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threadedComments/threadedComment3.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2.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24226"/>
  <mc:AlternateContent xmlns:mc="http://schemas.openxmlformats.org/markup-compatibility/2006">
    <mc:Choice Requires="x15">
      <x15ac:absPath xmlns:x15ac="http://schemas.microsoft.com/office/spreadsheetml/2010/11/ac" url="D:\VEDA\VEDA_Models\0_EDP_H2\Templ_RNBCv2_PL_H2APREN_Paper\SubRes_Tmpl\"/>
    </mc:Choice>
  </mc:AlternateContent>
  <xr:revisionPtr revIDLastSave="0" documentId="13_ncr:1_{8612A3C7-0D6C-4C80-BC2D-A7582DA83579}" xr6:coauthVersionLast="47" xr6:coauthVersionMax="47" xr10:uidLastSave="{00000000-0000-0000-0000-000000000000}"/>
  <bookViews>
    <workbookView xWindow="0" yWindow="860" windowWidth="19200" windowHeight="9435" tabRatio="1000" activeTab="1" xr2:uid="{828E9193-82BB-4CB1-8772-7241F5BA9AD5}"/>
  </bookViews>
  <sheets>
    <sheet name="INPUT-Data(HP)" sheetId="23" r:id="rId1"/>
    <sheet name="EDP_Data" sheetId="33" r:id="rId2"/>
    <sheet name="INPUT-Data(HS)" sheetId="28" r:id="rId3"/>
    <sheet name="INPUT-Data(HD)" sheetId="26" r:id="rId4"/>
    <sheet name="SUP_HP" sheetId="21" r:id="rId5"/>
    <sheet name="ELC_H2" sheetId="39" r:id="rId6"/>
    <sheet name="SUP_HS" sheetId="27" r:id="rId7"/>
    <sheet name="SUP_HT" sheetId="31" r:id="rId8"/>
    <sheet name="SUP_HD_TRA" sheetId="35" r:id="rId9"/>
    <sheet name="SUP_HD RSD" sheetId="37" r:id="rId10"/>
    <sheet name="SUP_HD_COM" sheetId="36" r:id="rId11"/>
    <sheet name="SUP_HD_IND" sheetId="38" r:id="rId12"/>
    <sheet name="H2 matriz" sheetId="34" r:id="rId13"/>
    <sheet name="SUP_HD" sheetId="25" r:id="rId14"/>
    <sheet name="SUP_HD (2)" sheetId="32" r:id="rId15"/>
    <sheet name="SUP_HFC" sheetId="30" r:id="rId16"/>
    <sheet name="List_of_References" sheetId="17" r:id="rId17"/>
  </sheets>
  <externalReferences>
    <externalReference r:id="rId18"/>
  </externalReferences>
  <definedNames>
    <definedName name="FID_1">[1]AGR_Fuels!$A$2</definedName>
    <definedName name="OLE_LINK1" localSheetId="3">'INPUT-Data(HD)'!$Y$3</definedName>
    <definedName name="OLE_LINK1" localSheetId="0">'INPUT-Data(HP)'!$C$3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51" i="31" l="1"/>
  <c r="S51" i="31"/>
  <c r="S47" i="31"/>
  <c r="K124" i="31"/>
  <c r="K137" i="31" s="1"/>
  <c r="K150" i="31"/>
  <c r="K106" i="31"/>
  <c r="K93" i="31"/>
  <c r="S93" i="31"/>
  <c r="P51" i="31" l="1"/>
  <c r="Q51" i="31"/>
  <c r="R51" i="31"/>
  <c r="S134" i="31" l="1"/>
  <c r="S131" i="31"/>
  <c r="S128" i="31"/>
  <c r="S129" i="31" s="1"/>
  <c r="S137" i="31"/>
  <c r="K51" i="31"/>
  <c r="K47" i="31"/>
  <c r="O47" i="31" s="1"/>
  <c r="L51" i="31"/>
  <c r="M51" i="31" s="1"/>
  <c r="N51" i="31" s="1"/>
  <c r="S132" i="31" l="1"/>
  <c r="S135" i="31" s="1"/>
  <c r="L47" i="31"/>
  <c r="P47" i="31" l="1"/>
  <c r="M47" i="31"/>
  <c r="EM54" i="34"/>
  <c r="EO53" i="34"/>
  <c r="EM53" i="34"/>
  <c r="G66" i="31"/>
  <c r="G63" i="31"/>
  <c r="N47" i="31" l="1"/>
  <c r="R47" i="31" s="1"/>
  <c r="Q47" i="31"/>
  <c r="D202" i="31"/>
  <c r="D203" i="31"/>
  <c r="D204" i="31"/>
  <c r="D205" i="31"/>
  <c r="C205" i="31"/>
  <c r="C204" i="31"/>
  <c r="C203" i="31"/>
  <c r="C202" i="31"/>
  <c r="L55" i="31"/>
  <c r="X70" i="31"/>
  <c r="X64" i="31"/>
  <c r="X61" i="31"/>
  <c r="X58" i="31"/>
  <c r="L70" i="31"/>
  <c r="P70" i="31" s="1"/>
  <c r="L64" i="31"/>
  <c r="L61" i="31"/>
  <c r="P61" i="31" s="1"/>
  <c r="L58" i="31"/>
  <c r="M64" i="31"/>
  <c r="N64" i="31" s="1"/>
  <c r="R64" i="31" s="1"/>
  <c r="P64" i="31"/>
  <c r="X67" i="31"/>
  <c r="P67" i="31"/>
  <c r="M67" i="31"/>
  <c r="Q67" i="31" s="1"/>
  <c r="L67" i="31"/>
  <c r="M55" i="31"/>
  <c r="N55" i="31" s="1"/>
  <c r="X55" i="31"/>
  <c r="M70" i="31" l="1"/>
  <c r="N70" i="31" s="1"/>
  <c r="R70" i="31" s="1"/>
  <c r="Q64" i="31"/>
  <c r="M61" i="31"/>
  <c r="N61" i="31" s="1"/>
  <c r="R61" i="31" s="1"/>
  <c r="N67" i="31"/>
  <c r="R67" i="31" s="1"/>
  <c r="M58" i="31"/>
  <c r="Q70" i="31" l="1"/>
  <c r="Q61" i="31"/>
  <c r="D201" i="31"/>
  <c r="C201" i="31"/>
  <c r="P58" i="31"/>
  <c r="EW1" i="34" l="1"/>
  <c r="Q58" i="31" l="1"/>
  <c r="N58" i="31"/>
  <c r="R58" i="31" s="1"/>
  <c r="BW6" i="33"/>
  <c r="CB6" i="33" s="1"/>
  <c r="CE8" i="33"/>
  <c r="CI8" i="33" s="1"/>
  <c r="BW9" i="33"/>
  <c r="BZ9" i="33" s="1"/>
  <c r="BX9" i="33"/>
  <c r="BY9" i="33"/>
  <c r="BW10" i="33"/>
  <c r="BX10" i="33"/>
  <c r="BY10" i="33"/>
  <c r="BZ10" i="33"/>
  <c r="BW11" i="33"/>
  <c r="BZ11" i="33" s="1"/>
  <c r="BX11" i="33"/>
  <c r="BY11" i="33"/>
  <c r="BW12" i="33"/>
  <c r="CE12" i="33" s="1"/>
  <c r="CI12" i="33" s="1"/>
  <c r="BX12" i="33"/>
  <c r="CF12" i="33" s="1"/>
  <c r="CJ12" i="33" s="1"/>
  <c r="BY12" i="33"/>
  <c r="CD12" i="33" s="1"/>
  <c r="BW13" i="33"/>
  <c r="BZ13" i="33" s="1"/>
  <c r="BX13" i="33"/>
  <c r="BY13" i="33"/>
  <c r="BW14" i="33"/>
  <c r="BZ14" i="33" s="1"/>
  <c r="BX14" i="33"/>
  <c r="BY14" i="33"/>
  <c r="BW15" i="33"/>
  <c r="BZ15" i="33" s="1"/>
  <c r="BX15" i="33"/>
  <c r="CC15" i="33" s="1"/>
  <c r="BY15" i="33"/>
  <c r="CD15" i="33" s="1"/>
  <c r="BW16" i="33"/>
  <c r="BZ16" i="33" s="1"/>
  <c r="BX16" i="33"/>
  <c r="CC16" i="33" s="1"/>
  <c r="BY16" i="33"/>
  <c r="CD16" i="33" s="1"/>
  <c r="BW17" i="33"/>
  <c r="BZ17" i="33" s="1"/>
  <c r="BX17" i="33"/>
  <c r="CF17" i="33" s="1"/>
  <c r="CJ17" i="33" s="1"/>
  <c r="BY17" i="33"/>
  <c r="CG17" i="33" s="1"/>
  <c r="CK17" i="33" s="1"/>
  <c r="BW18" i="33"/>
  <c r="BX18" i="33"/>
  <c r="BY18" i="33"/>
  <c r="BZ18" i="33"/>
  <c r="BW19" i="33"/>
  <c r="BZ19" i="33" s="1"/>
  <c r="BX19" i="33"/>
  <c r="BY19" i="33"/>
  <c r="BW20" i="33"/>
  <c r="BZ20" i="33" s="1"/>
  <c r="BX20" i="33"/>
  <c r="BY20" i="33"/>
  <c r="BW21" i="33"/>
  <c r="BZ21" i="33" s="1"/>
  <c r="BX21" i="33"/>
  <c r="BY21" i="33"/>
  <c r="BW22" i="33"/>
  <c r="BX22" i="33"/>
  <c r="BY22" i="33"/>
  <c r="BZ22" i="33"/>
  <c r="BW23" i="33"/>
  <c r="BZ23" i="33" s="1"/>
  <c r="BX23" i="33"/>
  <c r="BY23" i="33"/>
  <c r="BW24" i="33"/>
  <c r="BX24" i="33"/>
  <c r="BY24" i="33"/>
  <c r="BZ24" i="33"/>
  <c r="BW25" i="33"/>
  <c r="BZ25" i="33" s="1"/>
  <c r="BX25" i="33"/>
  <c r="BY25" i="33"/>
  <c r="BW26" i="33"/>
  <c r="BX26" i="33"/>
  <c r="BY26" i="33"/>
  <c r="BZ26" i="33"/>
  <c r="BW27" i="33"/>
  <c r="BZ27" i="33" s="1"/>
  <c r="BX27" i="33"/>
  <c r="BY27" i="33"/>
  <c r="BW28" i="33"/>
  <c r="BX28" i="33"/>
  <c r="BY28" i="33"/>
  <c r="BZ28" i="33"/>
  <c r="BW29" i="33"/>
  <c r="BZ29" i="33" s="1"/>
  <c r="BX29" i="33"/>
  <c r="BY29" i="33"/>
  <c r="BW30" i="33"/>
  <c r="BX30" i="33"/>
  <c r="BY30" i="33"/>
  <c r="BZ30" i="33"/>
  <c r="BW31" i="33"/>
  <c r="BZ31" i="33" s="1"/>
  <c r="BX31" i="33"/>
  <c r="BY31" i="33"/>
  <c r="BW32" i="33"/>
  <c r="BX32" i="33"/>
  <c r="BY32" i="33"/>
  <c r="BZ32" i="33"/>
  <c r="BW33" i="33"/>
  <c r="BZ33" i="33" s="1"/>
  <c r="BX33" i="33"/>
  <c r="BY33" i="33"/>
  <c r="BW34" i="33"/>
  <c r="BX34" i="33"/>
  <c r="BY34" i="33"/>
  <c r="BZ34" i="33"/>
  <c r="BW35" i="33"/>
  <c r="BZ35" i="33" s="1"/>
  <c r="BX35" i="33"/>
  <c r="BY35" i="33"/>
  <c r="BW36" i="33"/>
  <c r="BX36" i="33"/>
  <c r="BY36" i="33"/>
  <c r="BZ36" i="33"/>
  <c r="BW37" i="33"/>
  <c r="BZ37" i="33" s="1"/>
  <c r="BX37" i="33"/>
  <c r="BY37" i="33"/>
  <c r="BW38" i="33"/>
  <c r="BX38" i="33"/>
  <c r="BY38" i="33"/>
  <c r="BZ38" i="33"/>
  <c r="BW39" i="33"/>
  <c r="BZ39" i="33" s="1"/>
  <c r="BX39" i="33"/>
  <c r="BY39" i="33"/>
  <c r="BW40" i="33"/>
  <c r="BX40" i="33"/>
  <c r="BY40" i="33"/>
  <c r="BZ40" i="33"/>
  <c r="BW41" i="33"/>
  <c r="BZ41" i="33" s="1"/>
  <c r="BX41" i="33"/>
  <c r="BY41" i="33"/>
  <c r="BW42" i="33"/>
  <c r="BX42" i="33"/>
  <c r="BY42" i="33"/>
  <c r="BZ42" i="33"/>
  <c r="BW43" i="33"/>
  <c r="BZ43" i="33" s="1"/>
  <c r="BX43" i="33"/>
  <c r="BY43" i="33"/>
  <c r="BW44" i="33"/>
  <c r="BX44" i="33"/>
  <c r="BY44" i="33"/>
  <c r="BZ44" i="33"/>
  <c r="BW45" i="33"/>
  <c r="BZ45" i="33" s="1"/>
  <c r="BX45" i="33"/>
  <c r="BY45" i="33"/>
  <c r="BX6" i="33"/>
  <c r="CC6" i="33" s="1"/>
  <c r="BY6" i="33"/>
  <c r="CG6" i="33" s="1"/>
  <c r="CK6" i="33" s="1"/>
  <c r="BX7" i="33"/>
  <c r="CF7" i="33" s="1"/>
  <c r="CJ7" i="33" s="1"/>
  <c r="BY7" i="33"/>
  <c r="CD7" i="33" s="1"/>
  <c r="BX8" i="33"/>
  <c r="CF8" i="33" s="1"/>
  <c r="CJ8" i="33" s="1"/>
  <c r="BY8" i="33"/>
  <c r="CG8" i="33" s="1"/>
  <c r="CK8" i="33" s="1"/>
  <c r="BW7" i="33"/>
  <c r="BZ7" i="33" s="1"/>
  <c r="BW8" i="33"/>
  <c r="BZ8" i="33" s="1"/>
  <c r="CB8" i="33" l="1"/>
  <c r="CE17" i="33"/>
  <c r="CI17" i="33" s="1"/>
  <c r="CC7" i="33"/>
  <c r="CB16" i="33"/>
  <c r="CE6" i="33"/>
  <c r="CI6" i="33" s="1"/>
  <c r="CB17" i="33"/>
  <c r="CC17" i="33"/>
  <c r="CD8" i="33"/>
  <c r="CD17" i="33"/>
  <c r="CB15" i="33"/>
  <c r="CE15" i="33"/>
  <c r="CI15" i="33" s="1"/>
  <c r="BZ12" i="33"/>
  <c r="CB12" i="33"/>
  <c r="CC12" i="33"/>
  <c r="CF15" i="33"/>
  <c r="CJ15" i="33" s="1"/>
  <c r="CG15" i="33"/>
  <c r="CK15" i="33" s="1"/>
  <c r="CG12" i="33"/>
  <c r="CK12" i="33" s="1"/>
  <c r="CC8" i="33"/>
  <c r="CB7" i="33"/>
  <c r="CG7" i="33"/>
  <c r="CK7" i="33" s="1"/>
  <c r="CE7" i="33"/>
  <c r="CI7" i="33" s="1"/>
  <c r="CD6" i="33"/>
  <c r="CF6" i="33"/>
  <c r="CJ6" i="33" s="1"/>
  <c r="BZ6" i="33"/>
  <c r="D96" i="31"/>
  <c r="D109" i="31" s="1"/>
  <c r="D127" i="31" s="1"/>
  <c r="D140" i="31" s="1"/>
  <c r="D152" i="31" s="1"/>
  <c r="EJ22" i="34" l="1"/>
  <c r="EN22" i="34"/>
  <c r="D56" i="31" l="1"/>
  <c r="D138" i="31"/>
  <c r="D94" i="31"/>
  <c r="D107" i="31"/>
  <c r="D199" i="31" l="1"/>
  <c r="C199" i="31"/>
  <c r="D198" i="31"/>
  <c r="C198" i="31"/>
  <c r="W47" i="31"/>
  <c r="V47" i="31"/>
  <c r="D18" i="27" l="1"/>
  <c r="D17" i="27"/>
  <c r="D209" i="31"/>
  <c r="C209" i="31"/>
  <c r="L243" i="21" l="1"/>
  <c r="V73" i="31" l="1"/>
  <c r="G45" i="31" l="1"/>
  <c r="G53" i="31" s="1"/>
  <c r="G78" i="31"/>
  <c r="G9" i="31" l="1"/>
  <c r="T16" i="39" l="1"/>
  <c r="U16" i="39"/>
  <c r="V16" i="39"/>
  <c r="W16" i="39"/>
  <c r="X16" i="39"/>
  <c r="Y16" i="39"/>
  <c r="S16" i="39"/>
  <c r="T11" i="39"/>
  <c r="U11" i="39"/>
  <c r="V11" i="39"/>
  <c r="W11" i="39"/>
  <c r="X11" i="39"/>
  <c r="Y11" i="39"/>
  <c r="S11" i="39"/>
  <c r="J7" i="27" l="1"/>
  <c r="K7" i="27" s="1"/>
  <c r="J267" i="21" l="1"/>
  <c r="J269" i="21" s="1"/>
  <c r="I267" i="21"/>
  <c r="I269" i="21" s="1"/>
  <c r="G267" i="21"/>
  <c r="G269" i="21" s="1"/>
  <c r="F267" i="21"/>
  <c r="F269" i="21" s="1"/>
  <c r="D434" i="21" l="1"/>
  <c r="C434" i="21"/>
  <c r="D466" i="21" l="1"/>
  <c r="D465" i="21"/>
  <c r="D464" i="21"/>
  <c r="D463" i="21"/>
  <c r="D462" i="21"/>
  <c r="D461" i="21"/>
  <c r="D460" i="21"/>
  <c r="D459" i="21"/>
  <c r="D458" i="21"/>
  <c r="D457" i="21"/>
  <c r="D456" i="21"/>
  <c r="D455" i="21"/>
  <c r="D454" i="21"/>
  <c r="D453" i="21"/>
  <c r="D452" i="21"/>
  <c r="D451" i="21"/>
  <c r="D450" i="21"/>
  <c r="D449" i="21"/>
  <c r="D448" i="21"/>
  <c r="D447" i="21"/>
  <c r="D446" i="21"/>
  <c r="D445" i="21"/>
  <c r="D444" i="21"/>
  <c r="D443" i="21"/>
  <c r="D442" i="21"/>
  <c r="D441" i="21"/>
  <c r="D440" i="21"/>
  <c r="D439" i="21"/>
  <c r="D438" i="21"/>
  <c r="D437" i="21"/>
  <c r="D436" i="21"/>
  <c r="D435" i="21"/>
  <c r="D433" i="21"/>
  <c r="D432" i="21"/>
  <c r="D431" i="21"/>
  <c r="C466" i="21"/>
  <c r="C465" i="21"/>
  <c r="C464" i="21"/>
  <c r="C463" i="21"/>
  <c r="C462" i="21"/>
  <c r="C461" i="21"/>
  <c r="C460" i="21"/>
  <c r="C459" i="21"/>
  <c r="C458" i="21"/>
  <c r="C457" i="21"/>
  <c r="C456" i="21"/>
  <c r="C455" i="21"/>
  <c r="C454" i="21"/>
  <c r="C453" i="21"/>
  <c r="C452" i="21"/>
  <c r="C451" i="21"/>
  <c r="C450" i="21"/>
  <c r="C449" i="21"/>
  <c r="C448" i="21"/>
  <c r="C447" i="21"/>
  <c r="C446" i="21"/>
  <c r="C445" i="21"/>
  <c r="C444" i="21"/>
  <c r="C443" i="21"/>
  <c r="C442" i="21"/>
  <c r="C441" i="21"/>
  <c r="C440" i="21"/>
  <c r="C439" i="21"/>
  <c r="C438" i="21"/>
  <c r="C437" i="21"/>
  <c r="C436" i="21"/>
  <c r="C435" i="21"/>
  <c r="C433" i="21"/>
  <c r="C432" i="21"/>
  <c r="C431" i="21"/>
  <c r="AK316" i="21"/>
  <c r="AJ316" i="21"/>
  <c r="AI316" i="21"/>
  <c r="AH316" i="21"/>
  <c r="AG316" i="21"/>
  <c r="AF316" i="21"/>
  <c r="AE316" i="21"/>
  <c r="Z316" i="21"/>
  <c r="Y316" i="21"/>
  <c r="X316" i="21"/>
  <c r="W316" i="21"/>
  <c r="V316" i="21"/>
  <c r="U316" i="21"/>
  <c r="T316" i="21"/>
  <c r="S316" i="21"/>
  <c r="R316" i="21"/>
  <c r="Q316" i="21"/>
  <c r="AK314" i="21"/>
  <c r="AJ314" i="21"/>
  <c r="AH314" i="21"/>
  <c r="AG314" i="21"/>
  <c r="AF314" i="21"/>
  <c r="AE314" i="21"/>
  <c r="X314" i="21"/>
  <c r="S314" i="21"/>
  <c r="AI307" i="21"/>
  <c r="AE307" i="21"/>
  <c r="AI300" i="21"/>
  <c r="AN280" i="21"/>
  <c r="AM280" i="21"/>
  <c r="AL280" i="21"/>
  <c r="AK280" i="21"/>
  <c r="AJ280" i="21"/>
  <c r="AI280" i="21"/>
  <c r="AH280" i="21"/>
  <c r="AG280" i="21"/>
  <c r="AF280" i="21"/>
  <c r="AE280" i="21"/>
  <c r="AD280" i="21"/>
  <c r="AC280" i="21"/>
  <c r="AB280" i="21"/>
  <c r="AA280" i="21"/>
  <c r="Z280" i="21"/>
  <c r="Y280" i="21"/>
  <c r="X280" i="21"/>
  <c r="W280" i="21"/>
  <c r="V280" i="21"/>
  <c r="U280" i="21"/>
  <c r="T280" i="21"/>
  <c r="S280" i="21"/>
  <c r="R280" i="21"/>
  <c r="Q280" i="21"/>
  <c r="P280" i="21"/>
  <c r="K280" i="21"/>
  <c r="J280" i="21"/>
  <c r="I280" i="21"/>
  <c r="H280" i="21"/>
  <c r="G280" i="21"/>
  <c r="F280" i="21"/>
  <c r="AN278" i="21"/>
  <c r="AM278" i="21"/>
  <c r="AL278" i="21"/>
  <c r="AK278" i="21"/>
  <c r="AH278" i="21"/>
  <c r="AG278" i="21"/>
  <c r="AF278" i="21"/>
  <c r="AD278" i="21"/>
  <c r="AC278" i="21"/>
  <c r="AB278" i="21"/>
  <c r="AA278" i="21"/>
  <c r="X278" i="21"/>
  <c r="V278" i="21"/>
  <c r="S278" i="21"/>
  <c r="Q278" i="21"/>
  <c r="K278" i="21"/>
  <c r="J278" i="21"/>
  <c r="I278" i="21"/>
  <c r="H278" i="21"/>
  <c r="G278" i="21"/>
  <c r="F278" i="21"/>
  <c r="O271" i="21"/>
  <c r="N271" i="21"/>
  <c r="L271" i="21"/>
  <c r="L240" i="21"/>
  <c r="L237" i="21"/>
  <c r="AK227" i="21"/>
  <c r="AJ227" i="21"/>
  <c r="AI227" i="21"/>
  <c r="AH227" i="21"/>
  <c r="AG227" i="21"/>
  <c r="AF227" i="21"/>
  <c r="AE227" i="21"/>
  <c r="AD227" i="21"/>
  <c r="AC227" i="21"/>
  <c r="AB227" i="21"/>
  <c r="AA227" i="21"/>
  <c r="Z227" i="21"/>
  <c r="Y227" i="21"/>
  <c r="X227" i="21"/>
  <c r="W227" i="21"/>
  <c r="V227" i="21"/>
  <c r="U227" i="21"/>
  <c r="T227" i="21"/>
  <c r="S227" i="21"/>
  <c r="R227" i="21"/>
  <c r="Q227" i="21"/>
  <c r="AK224" i="21"/>
  <c r="AJ224" i="21"/>
  <c r="AH224" i="21"/>
  <c r="AG224" i="21"/>
  <c r="AF224" i="21"/>
  <c r="AD224" i="21"/>
  <c r="AC224" i="21"/>
  <c r="AB224" i="21"/>
  <c r="AA224" i="21"/>
  <c r="W224" i="21"/>
  <c r="V224" i="21"/>
  <c r="S224" i="21"/>
  <c r="R224" i="21"/>
  <c r="Q224" i="21"/>
  <c r="AK223" i="21"/>
  <c r="AJ223" i="21"/>
  <c r="AI223" i="21"/>
  <c r="AH223" i="21"/>
  <c r="AG223" i="21"/>
  <c r="AF223" i="21"/>
  <c r="AE223" i="21"/>
  <c r="AD223" i="21"/>
  <c r="AC223" i="21"/>
  <c r="AB223" i="21"/>
  <c r="AA223" i="21"/>
  <c r="Z223" i="21"/>
  <c r="Y223" i="21"/>
  <c r="X223" i="21"/>
  <c r="W223" i="21"/>
  <c r="V223" i="21"/>
  <c r="U223" i="21"/>
  <c r="T223" i="21"/>
  <c r="S223" i="21"/>
  <c r="R223" i="21"/>
  <c r="Q223" i="21"/>
  <c r="AK221" i="21"/>
  <c r="AJ221" i="21"/>
  <c r="AH221" i="21"/>
  <c r="AG221" i="21"/>
  <c r="AF221" i="21"/>
  <c r="AD221" i="21"/>
  <c r="AC221" i="21"/>
  <c r="AB221" i="21"/>
  <c r="AA221" i="21"/>
  <c r="W221" i="21"/>
  <c r="V221" i="21"/>
  <c r="S221" i="21"/>
  <c r="R221" i="21"/>
  <c r="Q221" i="21"/>
  <c r="AK220" i="21"/>
  <c r="AJ220" i="21"/>
  <c r="AI220" i="21"/>
  <c r="AH220" i="21"/>
  <c r="AG220" i="21"/>
  <c r="AF220" i="21"/>
  <c r="AE220" i="21"/>
  <c r="AD220" i="21"/>
  <c r="AC220" i="21"/>
  <c r="AB220" i="21"/>
  <c r="AA220" i="21"/>
  <c r="Z220" i="21"/>
  <c r="Y220" i="21"/>
  <c r="X220" i="21"/>
  <c r="W220" i="21"/>
  <c r="V220" i="21"/>
  <c r="U220" i="21"/>
  <c r="T220" i="21"/>
  <c r="S220" i="21"/>
  <c r="R220" i="21"/>
  <c r="Q220" i="21"/>
  <c r="AK218" i="21"/>
  <c r="AJ218" i="21"/>
  <c r="AH218" i="21"/>
  <c r="AG218" i="21"/>
  <c r="AF218" i="21"/>
  <c r="AD218" i="21"/>
  <c r="AC218" i="21"/>
  <c r="AB218" i="21"/>
  <c r="AA218" i="21"/>
  <c r="W218" i="21"/>
  <c r="V218" i="21"/>
  <c r="S218" i="21"/>
  <c r="R218" i="21"/>
  <c r="Q218" i="21"/>
  <c r="AK217" i="21"/>
  <c r="AJ217" i="21"/>
  <c r="AI217" i="21"/>
  <c r="AH217" i="21"/>
  <c r="AG217" i="21"/>
  <c r="AF217" i="21"/>
  <c r="AE217" i="21"/>
  <c r="AD217" i="21"/>
  <c r="AC217" i="21"/>
  <c r="AB217" i="21"/>
  <c r="AA217" i="21"/>
  <c r="Z217" i="21"/>
  <c r="Y217" i="21"/>
  <c r="X217" i="21"/>
  <c r="W217" i="21"/>
  <c r="V217" i="21"/>
  <c r="U217" i="21"/>
  <c r="T217" i="21"/>
  <c r="S217" i="21"/>
  <c r="R217" i="21"/>
  <c r="Q217" i="21"/>
  <c r="AK215" i="21"/>
  <c r="AJ215" i="21"/>
  <c r="AH215" i="21"/>
  <c r="AG215" i="21"/>
  <c r="AF215" i="21"/>
  <c r="AD215" i="21"/>
  <c r="AC215" i="21"/>
  <c r="AB215" i="21"/>
  <c r="AA215" i="21"/>
  <c r="W215" i="21"/>
  <c r="V215" i="21"/>
  <c r="S215" i="21"/>
  <c r="R215" i="21"/>
  <c r="Q215" i="21"/>
  <c r="AK203" i="21"/>
  <c r="AJ203" i="21"/>
  <c r="AI203" i="21"/>
  <c r="AH203" i="21"/>
  <c r="AG203" i="21"/>
  <c r="AF203" i="21"/>
  <c r="AE203" i="21"/>
  <c r="AD203" i="21"/>
  <c r="AC203" i="21"/>
  <c r="AB203" i="21"/>
  <c r="AA203" i="21"/>
  <c r="Z203" i="21"/>
  <c r="Y203" i="21"/>
  <c r="X203" i="21"/>
  <c r="W203" i="21"/>
  <c r="V203" i="21"/>
  <c r="U203" i="21"/>
  <c r="T203" i="21"/>
  <c r="S203" i="21"/>
  <c r="R203" i="21"/>
  <c r="Q203" i="21"/>
  <c r="AK200" i="21"/>
  <c r="AJ200" i="21"/>
  <c r="AH200" i="21"/>
  <c r="AG200" i="21"/>
  <c r="AF200" i="21"/>
  <c r="AD200" i="21"/>
  <c r="AC200" i="21"/>
  <c r="AB200" i="21"/>
  <c r="AA200" i="21"/>
  <c r="W200" i="21"/>
  <c r="V200" i="21"/>
  <c r="S200" i="21"/>
  <c r="R200" i="21"/>
  <c r="Q200" i="21"/>
  <c r="AK199" i="21"/>
  <c r="AJ199" i="21"/>
  <c r="AI199" i="21"/>
  <c r="AH199" i="21"/>
  <c r="AG199" i="21"/>
  <c r="AF199" i="21"/>
  <c r="AE199" i="21"/>
  <c r="AD199" i="21"/>
  <c r="AC199" i="21"/>
  <c r="AB199" i="21"/>
  <c r="AA199" i="21"/>
  <c r="Z199" i="21"/>
  <c r="Y199" i="21"/>
  <c r="X199" i="21"/>
  <c r="W199" i="21"/>
  <c r="V199" i="21"/>
  <c r="U199" i="21"/>
  <c r="T199" i="21"/>
  <c r="S199" i="21"/>
  <c r="R199" i="21"/>
  <c r="Q199" i="21"/>
  <c r="AK197" i="21"/>
  <c r="AJ197" i="21"/>
  <c r="AH197" i="21"/>
  <c r="AG197" i="21"/>
  <c r="AF197" i="21"/>
  <c r="AD197" i="21"/>
  <c r="AC197" i="21"/>
  <c r="AB197" i="21"/>
  <c r="AA197" i="21"/>
  <c r="W197" i="21"/>
  <c r="V197" i="21"/>
  <c r="S197" i="21"/>
  <c r="R197" i="21"/>
  <c r="Q197" i="21"/>
  <c r="AK196" i="21"/>
  <c r="AJ196" i="21"/>
  <c r="AI196" i="21"/>
  <c r="AH196" i="21"/>
  <c r="AG196" i="21"/>
  <c r="AF196" i="21"/>
  <c r="AE196" i="21"/>
  <c r="AD196" i="21"/>
  <c r="AC196" i="21"/>
  <c r="AB196" i="21"/>
  <c r="AA196" i="21"/>
  <c r="Z196" i="21"/>
  <c r="Y196" i="21"/>
  <c r="X196" i="21"/>
  <c r="W196" i="21"/>
  <c r="V196" i="21"/>
  <c r="U196" i="21"/>
  <c r="T196" i="21"/>
  <c r="S196" i="21"/>
  <c r="R196" i="21"/>
  <c r="Q196" i="21"/>
  <c r="AK194" i="21"/>
  <c r="AJ194" i="21"/>
  <c r="AH194" i="21"/>
  <c r="AG194" i="21"/>
  <c r="AF194" i="21"/>
  <c r="AD194" i="21"/>
  <c r="AC194" i="21"/>
  <c r="AB194" i="21"/>
  <c r="AA194" i="21"/>
  <c r="W194" i="21"/>
  <c r="V194" i="21"/>
  <c r="S194" i="21"/>
  <c r="R194" i="21"/>
  <c r="Q194" i="21"/>
  <c r="AK193" i="21"/>
  <c r="AJ193" i="21"/>
  <c r="AI193" i="21"/>
  <c r="AH193" i="21"/>
  <c r="AG193" i="21"/>
  <c r="AF193" i="21"/>
  <c r="AE193" i="21"/>
  <c r="AD193" i="21"/>
  <c r="AC193" i="21"/>
  <c r="AB193" i="21"/>
  <c r="AA193" i="21"/>
  <c r="Z193" i="21"/>
  <c r="Y193" i="21"/>
  <c r="X193" i="21"/>
  <c r="W193" i="21"/>
  <c r="V193" i="21"/>
  <c r="U193" i="21"/>
  <c r="T193" i="21"/>
  <c r="S193" i="21"/>
  <c r="R193" i="21"/>
  <c r="Q193" i="21"/>
  <c r="AK191" i="21"/>
  <c r="AJ191" i="21"/>
  <c r="AH191" i="21"/>
  <c r="AG191" i="21"/>
  <c r="AF191" i="21"/>
  <c r="AD191" i="21"/>
  <c r="AC191" i="21"/>
  <c r="AB191" i="21"/>
  <c r="AA191" i="21"/>
  <c r="W191" i="21"/>
  <c r="V191" i="21"/>
  <c r="S191" i="21"/>
  <c r="R191" i="21"/>
  <c r="Q191" i="21"/>
  <c r="AK179" i="21"/>
  <c r="AJ179" i="21"/>
  <c r="AI179" i="21"/>
  <c r="AH179" i="21"/>
  <c r="AG179" i="21"/>
  <c r="AF179" i="21"/>
  <c r="AE179" i="21"/>
  <c r="AD179" i="21"/>
  <c r="AC179" i="21"/>
  <c r="AB179" i="21"/>
  <c r="AA179" i="21"/>
  <c r="Z179" i="21"/>
  <c r="Y179" i="21"/>
  <c r="X179" i="21"/>
  <c r="W179" i="21"/>
  <c r="V179" i="21"/>
  <c r="U179" i="21"/>
  <c r="T179" i="21"/>
  <c r="S179" i="21"/>
  <c r="R179" i="21"/>
  <c r="Q179" i="21"/>
  <c r="AK176" i="21"/>
  <c r="AJ176" i="21"/>
  <c r="AH176" i="21"/>
  <c r="AG176" i="21"/>
  <c r="AF176" i="21"/>
  <c r="AD176" i="21"/>
  <c r="AC176" i="21"/>
  <c r="AB176" i="21"/>
  <c r="AA176" i="21"/>
  <c r="W176" i="21"/>
  <c r="S176" i="21"/>
  <c r="AK175" i="21"/>
  <c r="AJ175" i="21"/>
  <c r="AI175" i="21"/>
  <c r="AH175" i="21"/>
  <c r="AG175" i="21"/>
  <c r="AF175" i="21"/>
  <c r="AE175" i="21"/>
  <c r="AD175" i="21"/>
  <c r="AC175" i="21"/>
  <c r="AB175" i="21"/>
  <c r="AA175" i="21"/>
  <c r="Z175" i="21"/>
  <c r="Y175" i="21"/>
  <c r="X175" i="21"/>
  <c r="W175" i="21"/>
  <c r="V175" i="21"/>
  <c r="U175" i="21"/>
  <c r="T175" i="21"/>
  <c r="S175" i="21"/>
  <c r="R175" i="21"/>
  <c r="Q175" i="21"/>
  <c r="AK173" i="21"/>
  <c r="AJ173" i="21"/>
  <c r="AH173" i="21"/>
  <c r="AG173" i="21"/>
  <c r="AF173" i="21"/>
  <c r="AD173" i="21"/>
  <c r="AC173" i="21"/>
  <c r="AB173" i="21"/>
  <c r="AA173" i="21"/>
  <c r="W173" i="21"/>
  <c r="S173" i="21"/>
  <c r="AK172" i="21"/>
  <c r="AJ172" i="21"/>
  <c r="AI172" i="21"/>
  <c r="AH172" i="21"/>
  <c r="AG172" i="21"/>
  <c r="AF172" i="21"/>
  <c r="AE172" i="21"/>
  <c r="AD172" i="21"/>
  <c r="AC172" i="21"/>
  <c r="AB172" i="21"/>
  <c r="AA172" i="21"/>
  <c r="Z172" i="21"/>
  <c r="Y172" i="21"/>
  <c r="X172" i="21"/>
  <c r="V172" i="21"/>
  <c r="U172" i="21"/>
  <c r="T172" i="21"/>
  <c r="S172" i="21"/>
  <c r="R172" i="21"/>
  <c r="Q172" i="21"/>
  <c r="AK170" i="21"/>
  <c r="AJ170" i="21"/>
  <c r="AH170" i="21"/>
  <c r="AG170" i="21"/>
  <c r="AF170" i="21"/>
  <c r="AD170" i="21"/>
  <c r="AC170" i="21"/>
  <c r="AB170" i="21"/>
  <c r="AA170" i="21"/>
  <c r="S170" i="21"/>
  <c r="AK160" i="21"/>
  <c r="AJ160" i="21"/>
  <c r="AI160" i="21"/>
  <c r="AH160" i="21"/>
  <c r="AG160" i="21"/>
  <c r="AF160" i="21"/>
  <c r="AE160" i="21"/>
  <c r="AD160" i="21"/>
  <c r="AC160" i="21"/>
  <c r="AB160" i="21"/>
  <c r="AA160" i="21"/>
  <c r="Z160" i="21"/>
  <c r="Y160" i="21"/>
  <c r="X160" i="21"/>
  <c r="W160" i="21"/>
  <c r="V160" i="21"/>
  <c r="U160" i="21"/>
  <c r="T160" i="21"/>
  <c r="S160" i="21"/>
  <c r="R160" i="21"/>
  <c r="Q160" i="21"/>
  <c r="AK157" i="21"/>
  <c r="AJ157" i="21"/>
  <c r="AH157" i="21"/>
  <c r="AG157" i="21"/>
  <c r="AF157" i="21"/>
  <c r="AD157" i="21"/>
  <c r="AC157" i="21"/>
  <c r="AB157" i="21"/>
  <c r="AA157" i="21"/>
  <c r="S157" i="21"/>
  <c r="AK156" i="21"/>
  <c r="AJ156" i="21"/>
  <c r="AI156" i="21"/>
  <c r="AH156" i="21"/>
  <c r="AG156" i="21"/>
  <c r="AF156" i="21"/>
  <c r="AE156" i="21"/>
  <c r="AD156" i="21"/>
  <c r="AC156" i="21"/>
  <c r="AB156" i="21"/>
  <c r="AA156" i="21"/>
  <c r="Z156" i="21"/>
  <c r="Y156" i="21"/>
  <c r="X156" i="21"/>
  <c r="W156" i="21"/>
  <c r="V156" i="21"/>
  <c r="U156" i="21"/>
  <c r="T156" i="21"/>
  <c r="S156" i="21"/>
  <c r="R156" i="21"/>
  <c r="Q156" i="21"/>
  <c r="AK154" i="21"/>
  <c r="AJ154" i="21"/>
  <c r="AH154" i="21"/>
  <c r="AG154" i="21"/>
  <c r="AF154" i="21"/>
  <c r="AD154" i="21"/>
  <c r="AC154" i="21"/>
  <c r="AB154" i="21"/>
  <c r="AA154" i="21"/>
  <c r="S154" i="21"/>
  <c r="AK153" i="21"/>
  <c r="AJ153" i="21"/>
  <c r="AI153" i="21"/>
  <c r="AH153" i="21"/>
  <c r="AG153" i="21"/>
  <c r="AF153" i="21"/>
  <c r="AE153" i="21"/>
  <c r="AD153" i="21"/>
  <c r="AC153" i="21"/>
  <c r="AB153" i="21"/>
  <c r="AA153" i="21"/>
  <c r="Z153" i="21"/>
  <c r="Y153" i="21"/>
  <c r="X153" i="21"/>
  <c r="W153" i="21"/>
  <c r="V153" i="21"/>
  <c r="U153" i="21"/>
  <c r="T153" i="21"/>
  <c r="S153" i="21"/>
  <c r="R153" i="21"/>
  <c r="Q153" i="21"/>
  <c r="AK151" i="21"/>
  <c r="AJ151" i="21"/>
  <c r="AH151" i="21"/>
  <c r="AG151" i="21"/>
  <c r="AF151" i="21"/>
  <c r="AD151" i="21"/>
  <c r="AC151" i="21"/>
  <c r="AB151" i="21"/>
  <c r="AA151" i="21"/>
  <c r="S151" i="21"/>
  <c r="AK141" i="21"/>
  <c r="AJ141" i="21"/>
  <c r="AI141" i="21"/>
  <c r="AH141" i="21"/>
  <c r="AG141" i="21"/>
  <c r="AF141" i="21"/>
  <c r="AE141" i="21"/>
  <c r="AD141" i="21"/>
  <c r="AC141" i="21"/>
  <c r="AB141" i="21"/>
  <c r="AA141" i="21"/>
  <c r="Z141" i="21"/>
  <c r="Y141" i="21"/>
  <c r="X141" i="21"/>
  <c r="W141" i="21"/>
  <c r="V141" i="21"/>
  <c r="U141" i="21"/>
  <c r="T141" i="21"/>
  <c r="S141" i="21"/>
  <c r="R141" i="21"/>
  <c r="Q141" i="21"/>
  <c r="AK138" i="21"/>
  <c r="AJ138" i="21"/>
  <c r="AH138" i="21"/>
  <c r="AG138" i="21"/>
  <c r="AF138" i="21"/>
  <c r="AD138" i="21"/>
  <c r="AC138" i="21"/>
  <c r="AB138" i="21"/>
  <c r="AA138" i="21"/>
  <c r="S138" i="21"/>
  <c r="R138" i="21"/>
  <c r="Q138" i="21"/>
  <c r="AK137" i="21"/>
  <c r="AJ137" i="21"/>
  <c r="AI137" i="21"/>
  <c r="AH137" i="21"/>
  <c r="AG137" i="21"/>
  <c r="AF137" i="21"/>
  <c r="AE137" i="21"/>
  <c r="AD137" i="21"/>
  <c r="AC137" i="21"/>
  <c r="AB137" i="21"/>
  <c r="AA137" i="21"/>
  <c r="Z137" i="21"/>
  <c r="Y137" i="21"/>
  <c r="X137" i="21"/>
  <c r="W137" i="21"/>
  <c r="V137" i="21"/>
  <c r="U137" i="21"/>
  <c r="T137" i="21"/>
  <c r="S137" i="21"/>
  <c r="R137" i="21"/>
  <c r="Q137" i="21"/>
  <c r="AK135" i="21"/>
  <c r="AJ135" i="21"/>
  <c r="AH135" i="21"/>
  <c r="AG135" i="21"/>
  <c r="AF135" i="21"/>
  <c r="AD135" i="21"/>
  <c r="AC135" i="21"/>
  <c r="AB135" i="21"/>
  <c r="AA135" i="21"/>
  <c r="S135" i="21"/>
  <c r="R135" i="21"/>
  <c r="Q135" i="21"/>
  <c r="AK134" i="21"/>
  <c r="AJ134" i="21"/>
  <c r="AI134" i="21"/>
  <c r="AH134" i="21"/>
  <c r="AG134" i="21"/>
  <c r="AF134" i="21"/>
  <c r="AE134" i="21"/>
  <c r="AD134" i="21"/>
  <c r="AC134" i="21"/>
  <c r="AB134" i="21"/>
  <c r="AA134" i="21"/>
  <c r="Z134" i="21"/>
  <c r="Y134" i="21"/>
  <c r="X134" i="21"/>
  <c r="W134" i="21"/>
  <c r="V134" i="21"/>
  <c r="U134" i="21"/>
  <c r="T134" i="21"/>
  <c r="S134" i="21"/>
  <c r="R134" i="21"/>
  <c r="Q134" i="21"/>
  <c r="AK132" i="21"/>
  <c r="AJ132" i="21"/>
  <c r="AH132" i="21"/>
  <c r="AG132" i="21"/>
  <c r="AF132" i="21"/>
  <c r="AD132" i="21"/>
  <c r="AC132" i="21"/>
  <c r="AB132" i="21"/>
  <c r="AA132" i="21"/>
  <c r="S132" i="21"/>
  <c r="R132" i="21"/>
  <c r="Q132" i="21"/>
  <c r="AK131" i="21"/>
  <c r="AJ131" i="21"/>
  <c r="AI131" i="21"/>
  <c r="AH131" i="21"/>
  <c r="AG131" i="21"/>
  <c r="AF131" i="21"/>
  <c r="AE131" i="21"/>
  <c r="AD131" i="21"/>
  <c r="AC131" i="21"/>
  <c r="AB131" i="21"/>
  <c r="AA131" i="21"/>
  <c r="Z131" i="21"/>
  <c r="Y131" i="21"/>
  <c r="X131" i="21"/>
  <c r="W131" i="21"/>
  <c r="V131" i="21"/>
  <c r="U131" i="21"/>
  <c r="T131" i="21"/>
  <c r="S131" i="21"/>
  <c r="R131" i="21"/>
  <c r="Q131" i="21"/>
  <c r="AK129" i="21"/>
  <c r="AJ129" i="21"/>
  <c r="AH129" i="21"/>
  <c r="AG129" i="21"/>
  <c r="AF129" i="21"/>
  <c r="AD129" i="21"/>
  <c r="AC129" i="21"/>
  <c r="AB129" i="21"/>
  <c r="AA129" i="21"/>
  <c r="S129" i="21"/>
  <c r="R129" i="21"/>
  <c r="Q129" i="21"/>
  <c r="Q113" i="21"/>
  <c r="R113" i="21"/>
  <c r="S113" i="21"/>
  <c r="T113" i="21"/>
  <c r="U113" i="21"/>
  <c r="V113" i="21"/>
  <c r="W113" i="21"/>
  <c r="X113" i="21"/>
  <c r="Y113" i="21"/>
  <c r="Z113" i="21"/>
  <c r="AA113" i="21"/>
  <c r="AB113" i="21"/>
  <c r="AC113" i="21"/>
  <c r="AD113" i="21"/>
  <c r="AE113" i="21"/>
  <c r="AF113" i="21"/>
  <c r="AG113" i="21"/>
  <c r="AH113" i="21"/>
  <c r="AI113" i="21"/>
  <c r="AJ113" i="21"/>
  <c r="AK113" i="21"/>
  <c r="AK117" i="21"/>
  <c r="AJ117" i="21"/>
  <c r="AI117" i="21"/>
  <c r="AH117" i="21"/>
  <c r="AG117" i="21"/>
  <c r="AF117" i="21"/>
  <c r="AE117" i="21"/>
  <c r="AD117" i="21"/>
  <c r="AC117" i="21"/>
  <c r="AB117" i="21"/>
  <c r="AA117" i="21"/>
  <c r="Z117" i="21"/>
  <c r="Y117" i="21"/>
  <c r="X117" i="21"/>
  <c r="W117" i="21"/>
  <c r="V117" i="21"/>
  <c r="U117" i="21"/>
  <c r="T117" i="21"/>
  <c r="S117" i="21"/>
  <c r="R117" i="21"/>
  <c r="Q117" i="21"/>
  <c r="AK114" i="21"/>
  <c r="AJ114" i="21"/>
  <c r="AH114" i="21"/>
  <c r="AG114" i="21"/>
  <c r="AF114" i="21"/>
  <c r="AD114" i="21"/>
  <c r="AC114" i="21"/>
  <c r="AB114" i="21"/>
  <c r="AA114" i="21"/>
  <c r="S114" i="21"/>
  <c r="AK111" i="21"/>
  <c r="AJ111" i="21"/>
  <c r="AH111" i="21"/>
  <c r="AG111" i="21"/>
  <c r="AF111" i="21"/>
  <c r="AD111" i="21"/>
  <c r="AC111" i="21"/>
  <c r="AB111" i="21"/>
  <c r="AA111" i="21"/>
  <c r="S111" i="21"/>
  <c r="AK110" i="21"/>
  <c r="AJ110" i="21"/>
  <c r="AI110" i="21"/>
  <c r="AH110" i="21"/>
  <c r="AG110" i="21"/>
  <c r="AF110" i="21"/>
  <c r="AE110" i="21"/>
  <c r="AD110" i="21"/>
  <c r="AC110" i="21"/>
  <c r="AB110" i="21"/>
  <c r="AA110" i="21"/>
  <c r="Z110" i="21"/>
  <c r="Y110" i="21"/>
  <c r="X110" i="21"/>
  <c r="W110" i="21"/>
  <c r="V110" i="21"/>
  <c r="U110" i="21"/>
  <c r="T110" i="21"/>
  <c r="S110" i="21"/>
  <c r="R110" i="21"/>
  <c r="Q110" i="21"/>
  <c r="AK108" i="21"/>
  <c r="AJ108" i="21"/>
  <c r="AH108" i="21"/>
  <c r="AG108" i="21"/>
  <c r="AF108" i="21"/>
  <c r="AD108" i="21"/>
  <c r="AC108" i="21"/>
  <c r="AB108" i="21"/>
  <c r="AA108" i="21"/>
  <c r="S108" i="21"/>
  <c r="AK98" i="21"/>
  <c r="AJ98" i="21"/>
  <c r="AI98" i="21"/>
  <c r="AH98" i="21"/>
  <c r="AG98" i="21"/>
  <c r="AF98" i="21"/>
  <c r="AE98" i="21"/>
  <c r="AD98" i="21"/>
  <c r="AC98" i="21"/>
  <c r="AB98" i="21"/>
  <c r="AA98" i="21"/>
  <c r="Z98" i="21"/>
  <c r="Y98" i="21"/>
  <c r="X98" i="21"/>
  <c r="W98" i="21"/>
  <c r="V98" i="21"/>
  <c r="U98" i="21"/>
  <c r="T98" i="21"/>
  <c r="S98" i="21"/>
  <c r="R98" i="21"/>
  <c r="Q98" i="21"/>
  <c r="AK95" i="21"/>
  <c r="AJ95" i="21"/>
  <c r="AH95" i="21"/>
  <c r="AG95" i="21"/>
  <c r="AF95" i="21"/>
  <c r="AD95" i="21"/>
  <c r="AC95" i="21"/>
  <c r="AB95" i="21"/>
  <c r="AA95" i="21"/>
  <c r="S95" i="21"/>
  <c r="R95" i="21"/>
  <c r="Q95" i="21"/>
  <c r="AK94" i="21"/>
  <c r="AJ94" i="21"/>
  <c r="AI94" i="21"/>
  <c r="AH94" i="21"/>
  <c r="AG94" i="21"/>
  <c r="AF94" i="21"/>
  <c r="AE94" i="21"/>
  <c r="AD94" i="21"/>
  <c r="AC94" i="21"/>
  <c r="AB94" i="21"/>
  <c r="AA94" i="21"/>
  <c r="Z94" i="21"/>
  <c r="Y94" i="21"/>
  <c r="X94" i="21"/>
  <c r="W94" i="21"/>
  <c r="V94" i="21"/>
  <c r="U94" i="21"/>
  <c r="T94" i="21"/>
  <c r="S94" i="21"/>
  <c r="R94" i="21"/>
  <c r="Q94" i="21"/>
  <c r="AK92" i="21"/>
  <c r="AJ92" i="21"/>
  <c r="AH92" i="21"/>
  <c r="AG92" i="21"/>
  <c r="AF92" i="21"/>
  <c r="AD92" i="21"/>
  <c r="AC92" i="21"/>
  <c r="AB92" i="21"/>
  <c r="AA92" i="21"/>
  <c r="S92" i="21"/>
  <c r="R92" i="21"/>
  <c r="Q92" i="21"/>
  <c r="AK91" i="21"/>
  <c r="AJ91" i="21"/>
  <c r="AI91" i="21"/>
  <c r="AH91" i="21"/>
  <c r="AG91" i="21"/>
  <c r="AF91" i="21"/>
  <c r="AE91" i="21"/>
  <c r="AD91" i="21"/>
  <c r="AC91" i="21"/>
  <c r="AB91" i="21"/>
  <c r="AA91" i="21"/>
  <c r="Z91" i="21"/>
  <c r="Y91" i="21"/>
  <c r="X91" i="21"/>
  <c r="W91" i="21"/>
  <c r="V91" i="21"/>
  <c r="U91" i="21"/>
  <c r="T91" i="21"/>
  <c r="S91" i="21"/>
  <c r="R91" i="21"/>
  <c r="Q91" i="21"/>
  <c r="AK89" i="21"/>
  <c r="AJ89" i="21"/>
  <c r="AH89" i="21"/>
  <c r="AG89" i="21"/>
  <c r="AF89" i="21"/>
  <c r="AD89" i="21"/>
  <c r="AC89" i="21"/>
  <c r="AB89" i="21"/>
  <c r="AA89" i="21"/>
  <c r="S89" i="21"/>
  <c r="R89" i="21"/>
  <c r="Q89" i="21"/>
  <c r="AK88" i="21"/>
  <c r="AJ88" i="21"/>
  <c r="AI88" i="21"/>
  <c r="AH88" i="21"/>
  <c r="AG88" i="21"/>
  <c r="AF88" i="21"/>
  <c r="AE88" i="21"/>
  <c r="AD88" i="21"/>
  <c r="AC88" i="21"/>
  <c r="AB88" i="21"/>
  <c r="AA88" i="21"/>
  <c r="Z88" i="21"/>
  <c r="Y88" i="21"/>
  <c r="X88" i="21"/>
  <c r="W88" i="21"/>
  <c r="V88" i="21"/>
  <c r="U88" i="21"/>
  <c r="T88" i="21"/>
  <c r="S88" i="21"/>
  <c r="R88" i="21"/>
  <c r="Q88" i="21"/>
  <c r="AK86" i="21"/>
  <c r="AJ86" i="21"/>
  <c r="AH86" i="21"/>
  <c r="AG86" i="21"/>
  <c r="AF86" i="21"/>
  <c r="AD86" i="21"/>
  <c r="AC86" i="21"/>
  <c r="AB86" i="21"/>
  <c r="AA86" i="21"/>
  <c r="S86" i="21"/>
  <c r="R86" i="21"/>
  <c r="Q86" i="21"/>
  <c r="K118" i="21"/>
  <c r="K120" i="21"/>
  <c r="K122" i="21"/>
  <c r="K124" i="21"/>
  <c r="K142" i="21"/>
  <c r="F143" i="21"/>
  <c r="K144" i="21"/>
  <c r="F145" i="21"/>
  <c r="K146" i="21"/>
  <c r="F147" i="21"/>
  <c r="K162" i="21"/>
  <c r="K163" i="21"/>
  <c r="F164" i="21"/>
  <c r="K165" i="21"/>
  <c r="F166" i="21"/>
  <c r="F169" i="21"/>
  <c r="F180" i="21"/>
  <c r="K181" i="21"/>
  <c r="K185" i="21" s="1"/>
  <c r="K182" i="21"/>
  <c r="K184" i="21"/>
  <c r="K186" i="21"/>
  <c r="K204" i="21"/>
  <c r="K206" i="21"/>
  <c r="K208" i="21"/>
  <c r="K210" i="21"/>
  <c r="K228" i="21"/>
  <c r="F102" i="21"/>
  <c r="F104" i="21"/>
  <c r="K76" i="21"/>
  <c r="K82" i="21" s="1"/>
  <c r="K77" i="21"/>
  <c r="K79" i="21"/>
  <c r="K81" i="21"/>
  <c r="K100" i="21"/>
  <c r="K102" i="21" s="1"/>
  <c r="K101" i="21"/>
  <c r="K103" i="21"/>
  <c r="G311" i="21"/>
  <c r="G313" i="21"/>
  <c r="K297" i="21"/>
  <c r="K313" i="21" s="1"/>
  <c r="K299" i="21"/>
  <c r="K304" i="21"/>
  <c r="K306" i="21"/>
  <c r="K310" i="21"/>
  <c r="K312" i="21"/>
  <c r="K318" i="21"/>
  <c r="K319" i="21"/>
  <c r="K320" i="21"/>
  <c r="K324" i="21"/>
  <c r="K331" i="21" s="1"/>
  <c r="K326" i="21"/>
  <c r="F311" i="21"/>
  <c r="F313" i="21"/>
  <c r="K187" i="21" l="1"/>
  <c r="K80" i="21"/>
  <c r="K78" i="21"/>
  <c r="K211" i="21"/>
  <c r="K209" i="21"/>
  <c r="K229" i="21"/>
  <c r="K205" i="21"/>
  <c r="K121" i="21"/>
  <c r="K207" i="21"/>
  <c r="K166" i="21"/>
  <c r="K145" i="21"/>
  <c r="K119" i="21"/>
  <c r="K183" i="21"/>
  <c r="K125" i="21"/>
  <c r="K164" i="21"/>
  <c r="K147" i="21"/>
  <c r="K143" i="21"/>
  <c r="K123" i="21"/>
  <c r="K104" i="21"/>
  <c r="K311" i="21"/>
  <c r="K333" i="21"/>
  <c r="G41" i="31"/>
  <c r="G49" i="31" s="1"/>
  <c r="D430" i="21" l="1"/>
  <c r="D429" i="21"/>
  <c r="D428" i="21"/>
  <c r="D427" i="21"/>
  <c r="D426" i="21"/>
  <c r="D425" i="21"/>
  <c r="D424" i="21"/>
  <c r="D423" i="21"/>
  <c r="D422" i="21"/>
  <c r="D421" i="21"/>
  <c r="D420" i="21"/>
  <c r="D419" i="21"/>
  <c r="D418" i="21"/>
  <c r="D417" i="21"/>
  <c r="D413" i="21"/>
  <c r="D412" i="21"/>
  <c r="D411" i="21"/>
  <c r="D410" i="21"/>
  <c r="D409" i="21"/>
  <c r="D408" i="21"/>
  <c r="D407" i="21"/>
  <c r="D406" i="21"/>
  <c r="D405" i="21"/>
  <c r="D404" i="21"/>
  <c r="D403" i="21"/>
  <c r="D402" i="21"/>
  <c r="D401" i="21"/>
  <c r="D400" i="21"/>
  <c r="D399" i="21"/>
  <c r="D398" i="21"/>
  <c r="D397" i="21"/>
  <c r="D396" i="21"/>
  <c r="D395" i="21"/>
  <c r="D394" i="21"/>
  <c r="D393" i="21"/>
  <c r="D392" i="21"/>
  <c r="D391" i="21"/>
  <c r="D390" i="21"/>
  <c r="D389" i="21"/>
  <c r="D388" i="21"/>
  <c r="D387" i="21"/>
  <c r="D386" i="21"/>
  <c r="D385" i="21"/>
  <c r="D384" i="21"/>
  <c r="D383" i="21"/>
  <c r="D382" i="21"/>
  <c r="D381" i="21"/>
  <c r="D380" i="21"/>
  <c r="D379" i="21"/>
  <c r="D378" i="21"/>
  <c r="D377" i="21"/>
  <c r="D376" i="21"/>
  <c r="D375" i="21"/>
  <c r="D374" i="21"/>
  <c r="D373" i="21"/>
  <c r="D372" i="21"/>
  <c r="D371" i="21"/>
  <c r="D370" i="21"/>
  <c r="D369" i="21"/>
  <c r="C413" i="21"/>
  <c r="C412" i="21"/>
  <c r="C411" i="21"/>
  <c r="C410" i="21"/>
  <c r="C404" i="21"/>
  <c r="C400" i="21"/>
  <c r="C395" i="21"/>
  <c r="C394" i="21"/>
  <c r="C390" i="21"/>
  <c r="C386" i="21"/>
  <c r="C382" i="21"/>
  <c r="C377" i="21"/>
  <c r="C376" i="21"/>
  <c r="C375" i="21"/>
  <c r="C374" i="21"/>
  <c r="C373" i="21"/>
  <c r="AA274" i="21"/>
  <c r="AB274" i="21"/>
  <c r="AC274" i="21"/>
  <c r="AD274" i="21"/>
  <c r="AK274" i="21"/>
  <c r="AL274" i="21"/>
  <c r="AM274" i="21"/>
  <c r="AN274" i="21"/>
  <c r="AA275" i="21"/>
  <c r="AB275" i="21"/>
  <c r="AC275" i="21"/>
  <c r="AD275" i="21"/>
  <c r="AE275" i="21"/>
  <c r="AF275" i="21"/>
  <c r="AG275" i="21"/>
  <c r="AH275" i="21"/>
  <c r="AI275" i="21"/>
  <c r="AJ275" i="21"/>
  <c r="AK275" i="21"/>
  <c r="AL275" i="21"/>
  <c r="AM275" i="21"/>
  <c r="AN275" i="21"/>
  <c r="AA276" i="21"/>
  <c r="AB276" i="21"/>
  <c r="AC276" i="21"/>
  <c r="AD276" i="21"/>
  <c r="AK276" i="21"/>
  <c r="AL276" i="21"/>
  <c r="AM276" i="21"/>
  <c r="AN276" i="21"/>
  <c r="AA277" i="21"/>
  <c r="AB277" i="21"/>
  <c r="AC277" i="21"/>
  <c r="AD277" i="21"/>
  <c r="AE277" i="21"/>
  <c r="AF277" i="21"/>
  <c r="AG277" i="21"/>
  <c r="AH277" i="21"/>
  <c r="AI277" i="21"/>
  <c r="AJ277" i="21"/>
  <c r="AK277" i="21"/>
  <c r="AL277" i="21"/>
  <c r="AM277" i="21"/>
  <c r="AN277" i="21"/>
  <c r="F277" i="21"/>
  <c r="G277" i="21"/>
  <c r="H277" i="21"/>
  <c r="I277" i="21"/>
  <c r="J277" i="21"/>
  <c r="K277" i="21"/>
  <c r="Q277" i="21"/>
  <c r="R277" i="21"/>
  <c r="S277" i="21"/>
  <c r="T277" i="21"/>
  <c r="U277" i="21"/>
  <c r="V277" i="21"/>
  <c r="W277" i="21"/>
  <c r="X277" i="21"/>
  <c r="Y277" i="21"/>
  <c r="Z277" i="21"/>
  <c r="G275" i="21"/>
  <c r="H275" i="21"/>
  <c r="I275" i="21"/>
  <c r="J275" i="21"/>
  <c r="K275" i="21"/>
  <c r="Q275" i="21"/>
  <c r="R275" i="21"/>
  <c r="S275" i="21"/>
  <c r="T275" i="21"/>
  <c r="U275" i="21"/>
  <c r="V275" i="21"/>
  <c r="W275" i="21"/>
  <c r="X275" i="21"/>
  <c r="Y275" i="21"/>
  <c r="Z275" i="21"/>
  <c r="F275" i="21"/>
  <c r="AK169" i="21"/>
  <c r="AJ169" i="21"/>
  <c r="AI169" i="21"/>
  <c r="AH169" i="21"/>
  <c r="AG169" i="21"/>
  <c r="AF169" i="21"/>
  <c r="AE169" i="21"/>
  <c r="AD169" i="21"/>
  <c r="AC169" i="21"/>
  <c r="AB169" i="21"/>
  <c r="AA169" i="21"/>
  <c r="Z169" i="21"/>
  <c r="Y169" i="21"/>
  <c r="X169" i="21"/>
  <c r="W169" i="21"/>
  <c r="V169" i="21"/>
  <c r="U169" i="21"/>
  <c r="T169" i="21"/>
  <c r="S169" i="21"/>
  <c r="R169" i="21"/>
  <c r="Q169" i="21"/>
  <c r="AK167" i="21"/>
  <c r="AJ167" i="21"/>
  <c r="AH167" i="21"/>
  <c r="AG167" i="21"/>
  <c r="AF167" i="21"/>
  <c r="AD167" i="21"/>
  <c r="AC167" i="21"/>
  <c r="AB167" i="21"/>
  <c r="AA167" i="21"/>
  <c r="W167" i="21"/>
  <c r="S167" i="21"/>
  <c r="AK150" i="21"/>
  <c r="AJ150" i="21"/>
  <c r="AI150" i="21"/>
  <c r="AH150" i="21"/>
  <c r="AG150" i="21"/>
  <c r="AF150" i="21"/>
  <c r="AE150" i="21"/>
  <c r="AD150" i="21"/>
  <c r="AC150" i="21"/>
  <c r="AB150" i="21"/>
  <c r="AA150" i="21"/>
  <c r="Z150" i="21"/>
  <c r="Y150" i="21"/>
  <c r="X150" i="21"/>
  <c r="W150" i="21"/>
  <c r="V150" i="21"/>
  <c r="U150" i="21"/>
  <c r="T150" i="21"/>
  <c r="S150" i="21"/>
  <c r="R150" i="21"/>
  <c r="Q150" i="21"/>
  <c r="AK148" i="21"/>
  <c r="AJ148" i="21"/>
  <c r="AH148" i="21"/>
  <c r="AG148" i="21"/>
  <c r="AF148" i="21"/>
  <c r="AD148" i="21"/>
  <c r="AC148" i="21"/>
  <c r="AB148" i="21"/>
  <c r="AA148" i="21"/>
  <c r="S148" i="21"/>
  <c r="AK107" i="21"/>
  <c r="AJ107" i="21"/>
  <c r="AI107" i="21"/>
  <c r="AH107" i="21"/>
  <c r="AG107" i="21"/>
  <c r="AF107" i="21"/>
  <c r="AE107" i="21"/>
  <c r="AD107" i="21"/>
  <c r="AC107" i="21"/>
  <c r="AB107" i="21"/>
  <c r="AA107" i="21"/>
  <c r="Z107" i="21"/>
  <c r="Y107" i="21"/>
  <c r="X107" i="21"/>
  <c r="W107" i="21"/>
  <c r="V107" i="21"/>
  <c r="U107" i="21"/>
  <c r="T107" i="21"/>
  <c r="S107" i="21"/>
  <c r="R107" i="21"/>
  <c r="Q107" i="21"/>
  <c r="AK105" i="21"/>
  <c r="AJ105" i="21"/>
  <c r="AH105" i="21"/>
  <c r="AG105" i="21"/>
  <c r="AF105" i="21"/>
  <c r="AD105" i="21"/>
  <c r="AC105" i="21"/>
  <c r="AB105" i="21"/>
  <c r="AA105" i="21"/>
  <c r="S105" i="21"/>
  <c r="AK128" i="21"/>
  <c r="AJ128" i="21"/>
  <c r="AI128" i="21"/>
  <c r="AH128" i="21"/>
  <c r="AG128" i="21"/>
  <c r="AF128" i="21"/>
  <c r="AE128" i="21"/>
  <c r="AD128" i="21"/>
  <c r="AC128" i="21"/>
  <c r="AB128" i="21"/>
  <c r="AA128" i="21"/>
  <c r="Z128" i="21"/>
  <c r="Y128" i="21"/>
  <c r="X128" i="21"/>
  <c r="W128" i="21"/>
  <c r="V128" i="21"/>
  <c r="U128" i="21"/>
  <c r="T128" i="21"/>
  <c r="S128" i="21"/>
  <c r="R128" i="21"/>
  <c r="Q128" i="21"/>
  <c r="AK126" i="21"/>
  <c r="AJ126" i="21"/>
  <c r="AH126" i="21"/>
  <c r="AG126" i="21"/>
  <c r="AF126" i="21"/>
  <c r="AD126" i="21"/>
  <c r="AC126" i="21"/>
  <c r="AB126" i="21"/>
  <c r="AA126" i="21"/>
  <c r="S126" i="21"/>
  <c r="R126" i="21"/>
  <c r="Q126" i="21"/>
  <c r="AK85" i="21"/>
  <c r="AJ85" i="21"/>
  <c r="AI85" i="21"/>
  <c r="AH85" i="21"/>
  <c r="AG85" i="21"/>
  <c r="AF85" i="21"/>
  <c r="AE85" i="21"/>
  <c r="AD85" i="21"/>
  <c r="AC85" i="21"/>
  <c r="AB85" i="21"/>
  <c r="AA85" i="21"/>
  <c r="Z85" i="21"/>
  <c r="Y85" i="21"/>
  <c r="X85" i="21"/>
  <c r="W85" i="21"/>
  <c r="V85" i="21"/>
  <c r="U85" i="21"/>
  <c r="T85" i="21"/>
  <c r="S85" i="21"/>
  <c r="R85" i="21"/>
  <c r="Q85" i="21"/>
  <c r="AK83" i="21"/>
  <c r="AJ83" i="21"/>
  <c r="AH83" i="21"/>
  <c r="AG83" i="21"/>
  <c r="AF83" i="21"/>
  <c r="AD83" i="21"/>
  <c r="AC83" i="21"/>
  <c r="AB83" i="21"/>
  <c r="AA83" i="21"/>
  <c r="S83" i="21"/>
  <c r="R83" i="21"/>
  <c r="Q83" i="21"/>
  <c r="AK214" i="21"/>
  <c r="AJ214" i="21"/>
  <c r="AI214" i="21"/>
  <c r="AH214" i="21"/>
  <c r="AG214" i="21"/>
  <c r="AF214" i="21"/>
  <c r="AE214" i="21"/>
  <c r="AD214" i="21"/>
  <c r="AC214" i="21"/>
  <c r="AB214" i="21"/>
  <c r="AA214" i="21"/>
  <c r="Z214" i="21"/>
  <c r="Y214" i="21"/>
  <c r="X214" i="21"/>
  <c r="W214" i="21"/>
  <c r="V214" i="21"/>
  <c r="U214" i="21"/>
  <c r="T214" i="21"/>
  <c r="S214" i="21"/>
  <c r="R214" i="21"/>
  <c r="Q214" i="21"/>
  <c r="AK212" i="21"/>
  <c r="AJ212" i="21"/>
  <c r="AH212" i="21"/>
  <c r="AG212" i="21"/>
  <c r="AF212" i="21"/>
  <c r="AD212" i="21"/>
  <c r="AC212" i="21"/>
  <c r="AB212" i="21"/>
  <c r="AA212" i="21"/>
  <c r="W212" i="21"/>
  <c r="V212" i="21"/>
  <c r="S212" i="21"/>
  <c r="R212" i="21"/>
  <c r="Q212" i="21"/>
  <c r="AK190" i="21"/>
  <c r="AJ190" i="21"/>
  <c r="AI190" i="21"/>
  <c r="AH190" i="21"/>
  <c r="AG190" i="21"/>
  <c r="AF190" i="21"/>
  <c r="AE190" i="21"/>
  <c r="AD190" i="21"/>
  <c r="AC190" i="21"/>
  <c r="AB190" i="21"/>
  <c r="AA190" i="21"/>
  <c r="Z190" i="21"/>
  <c r="Y190" i="21"/>
  <c r="X190" i="21"/>
  <c r="W190" i="21"/>
  <c r="V190" i="21"/>
  <c r="U190" i="21"/>
  <c r="T190" i="21"/>
  <c r="S190" i="21"/>
  <c r="R190" i="21"/>
  <c r="Q190" i="21"/>
  <c r="AK188" i="21"/>
  <c r="AJ188" i="21"/>
  <c r="AH188" i="21"/>
  <c r="AG188" i="21"/>
  <c r="AF188" i="21"/>
  <c r="AD188" i="21"/>
  <c r="AC188" i="21"/>
  <c r="AB188" i="21"/>
  <c r="AA188" i="21"/>
  <c r="W188" i="21"/>
  <c r="V188" i="21"/>
  <c r="S188" i="21"/>
  <c r="R188" i="21"/>
  <c r="Q188" i="21"/>
  <c r="D196" i="31" l="1"/>
  <c r="C196" i="31"/>
  <c r="C174" i="31" l="1"/>
  <c r="D174" i="31"/>
  <c r="C175" i="31"/>
  <c r="D175" i="31"/>
  <c r="C176" i="31"/>
  <c r="D176" i="31"/>
  <c r="AC12" i="31"/>
  <c r="Y30" i="31"/>
  <c r="AB11" i="31"/>
  <c r="Y25" i="31"/>
  <c r="AA10" i="31"/>
  <c r="C41" i="39" l="1"/>
  <c r="B41" i="39"/>
  <c r="AH6" i="39"/>
  <c r="AI6" i="39"/>
  <c r="AJ6" i="39"/>
  <c r="AK6" i="39"/>
  <c r="AL6" i="39"/>
  <c r="AM6" i="39"/>
  <c r="AG6" i="39"/>
  <c r="AF6" i="39"/>
  <c r="AA6" i="39"/>
  <c r="AB6" i="39"/>
  <c r="AC6" i="39"/>
  <c r="AD6" i="39"/>
  <c r="AE6" i="39"/>
  <c r="Z6" i="39"/>
  <c r="T6" i="39"/>
  <c r="U6" i="39"/>
  <c r="V6" i="39"/>
  <c r="W6" i="39"/>
  <c r="X6" i="39"/>
  <c r="Y6" i="39"/>
  <c r="S6" i="39"/>
  <c r="Y121" i="31" l="1"/>
  <c r="D173" i="31"/>
  <c r="D177" i="31"/>
  <c r="D178" i="31"/>
  <c r="D179" i="31"/>
  <c r="D180" i="31"/>
  <c r="D181" i="31"/>
  <c r="C181" i="31"/>
  <c r="C182" i="31"/>
  <c r="C180" i="31"/>
  <c r="C179" i="31"/>
  <c r="C178" i="31"/>
  <c r="C177" i="31"/>
  <c r="G118" i="31"/>
  <c r="G119" i="31" s="1"/>
  <c r="G116" i="31"/>
  <c r="G117" i="31" s="1"/>
  <c r="G113" i="31"/>
  <c r="G114" i="31" s="1"/>
  <c r="G111" i="31"/>
  <c r="G112" i="31" s="1"/>
  <c r="G33" i="31" l="1"/>
  <c r="G28" i="31"/>
  <c r="G23" i="31"/>
  <c r="Y20" i="31"/>
  <c r="G149" i="31"/>
  <c r="G148" i="31" s="1"/>
  <c r="G146" i="31"/>
  <c r="G145" i="31" s="1"/>
  <c r="G143" i="31"/>
  <c r="G142" i="31" s="1"/>
  <c r="G136" i="31"/>
  <c r="G135" i="31" s="1"/>
  <c r="G133" i="31"/>
  <c r="G132" i="31" s="1"/>
  <c r="G130" i="31"/>
  <c r="G129" i="31" s="1"/>
  <c r="G105" i="31"/>
  <c r="G104" i="31" s="1"/>
  <c r="G102" i="31"/>
  <c r="G101" i="31" s="1"/>
  <c r="G99" i="31"/>
  <c r="G98" i="31" s="1"/>
  <c r="G86" i="31"/>
  <c r="G85" i="31" s="1"/>
  <c r="G92" i="31"/>
  <c r="G91" i="31" s="1"/>
  <c r="G89" i="31"/>
  <c r="G88" i="31" s="1"/>
  <c r="Z121" i="31" l="1"/>
  <c r="AA121" i="31"/>
  <c r="DK22" i="34"/>
  <c r="DK23" i="34"/>
  <c r="DK21" i="34"/>
  <c r="DE28" i="34"/>
  <c r="DE27" i="34"/>
  <c r="DE20" i="34"/>
  <c r="DE21" i="34"/>
  <c r="K260" i="21" l="1"/>
  <c r="I259" i="21"/>
  <c r="H259" i="21"/>
  <c r="F259" i="21"/>
  <c r="AI258" i="21"/>
  <c r="AE258" i="21"/>
  <c r="P258" i="21"/>
  <c r="I258" i="21"/>
  <c r="H258" i="21"/>
  <c r="F258" i="21"/>
  <c r="K257" i="21"/>
  <c r="I256" i="21"/>
  <c r="H256" i="21"/>
  <c r="G256" i="21"/>
  <c r="F256" i="21"/>
  <c r="AI255" i="21"/>
  <c r="AE255" i="21"/>
  <c r="P255" i="21"/>
  <c r="I255" i="21"/>
  <c r="H255" i="21"/>
  <c r="G255" i="21"/>
  <c r="F255" i="21"/>
  <c r="L39" i="23"/>
  <c r="G228" i="21" s="1"/>
  <c r="J311" i="21"/>
  <c r="S124" i="31" l="1"/>
  <c r="S120" i="31"/>
  <c r="S121" i="31" s="1"/>
  <c r="S115" i="31"/>
  <c r="S116" i="31" s="1"/>
  <c r="S118" i="31" s="1"/>
  <c r="S110" i="31"/>
  <c r="S111" i="31" s="1"/>
  <c r="S113" i="31" s="1"/>
  <c r="S106" i="31"/>
  <c r="S97" i="31"/>
  <c r="S98" i="31" s="1"/>
  <c r="S100" i="31"/>
  <c r="S103" i="31"/>
  <c r="S104" i="31" s="1"/>
  <c r="T30" i="31"/>
  <c r="T25" i="31"/>
  <c r="T20" i="31"/>
  <c r="DP27" i="34"/>
  <c r="DP28" i="34"/>
  <c r="DP29" i="34"/>
  <c r="DO25" i="34"/>
  <c r="DP26" i="34"/>
  <c r="DO17" i="34"/>
  <c r="DP19" i="34"/>
  <c r="DP20" i="34"/>
  <c r="DP21" i="34"/>
  <c r="DP23" i="34"/>
  <c r="DP18" i="34"/>
  <c r="S150" i="31" l="1"/>
  <c r="S87" i="31"/>
  <c r="S144" i="31" s="1"/>
  <c r="S84" i="31"/>
  <c r="S141" i="31" s="1"/>
  <c r="S90" i="31"/>
  <c r="S147" i="31" s="1"/>
  <c r="S101" i="31"/>
  <c r="C27" i="21" l="1"/>
  <c r="C21" i="21"/>
  <c r="C18" i="21"/>
  <c r="C407" i="21" l="1"/>
  <c r="C430" i="21"/>
  <c r="C429" i="21"/>
  <c r="C428" i="21"/>
  <c r="C427" i="21"/>
  <c r="C426" i="21"/>
  <c r="C425" i="21"/>
  <c r="C424" i="21"/>
  <c r="C423" i="21"/>
  <c r="C422" i="21"/>
  <c r="C421" i="21"/>
  <c r="C420" i="21"/>
  <c r="C419" i="21"/>
  <c r="C418" i="21"/>
  <c r="C417" i="21"/>
  <c r="C416" i="21"/>
  <c r="C415" i="21"/>
  <c r="C414" i="21"/>
  <c r="C409" i="21"/>
  <c r="C408" i="21"/>
  <c r="C406" i="21"/>
  <c r="C405" i="21"/>
  <c r="C45" i="21"/>
  <c r="C42" i="21"/>
  <c r="C39" i="21"/>
  <c r="C36" i="21"/>
  <c r="C33" i="21"/>
  <c r="C30" i="21"/>
  <c r="C39" i="39" l="1"/>
  <c r="C40" i="39"/>
  <c r="C42" i="39"/>
  <c r="B42" i="39"/>
  <c r="B40" i="39"/>
  <c r="B39" i="39"/>
  <c r="C19" i="25"/>
  <c r="D192" i="31"/>
  <c r="C192" i="31"/>
  <c r="D185" i="31"/>
  <c r="C185" i="31"/>
  <c r="D169" i="31"/>
  <c r="C169" i="31"/>
  <c r="D162" i="31"/>
  <c r="C162" i="31"/>
  <c r="S91" i="31"/>
  <c r="S148" i="31" s="1"/>
  <c r="S88" i="31"/>
  <c r="S145" i="31" s="1"/>
  <c r="S85" i="31"/>
  <c r="S142" i="31" s="1"/>
  <c r="AN261" i="21" l="1"/>
  <c r="AM261" i="21"/>
  <c r="AM264" i="21" s="1"/>
  <c r="AN66" i="21"/>
  <c r="AM66" i="21"/>
  <c r="AM69" i="21" s="1"/>
  <c r="AN69" i="21" l="1"/>
  <c r="AO66" i="21"/>
  <c r="AO69" i="21" s="1"/>
  <c r="AN264" i="21"/>
  <c r="AO264" i="21" s="1"/>
  <c r="EV64" i="34"/>
  <c r="EX65" i="34"/>
  <c r="ES60" i="34"/>
  <c r="I76" i="31" l="1"/>
  <c r="D197" i="31" l="1"/>
  <c r="D200" i="31"/>
  <c r="D206" i="31"/>
  <c r="D207" i="31"/>
  <c r="C207" i="31"/>
  <c r="C206" i="31"/>
  <c r="C200" i="31"/>
  <c r="C197" i="31"/>
  <c r="ES59" i="34"/>
  <c r="EU59" i="34"/>
  <c r="EU67" i="34"/>
  <c r="ES67" i="34"/>
  <c r="EU55" i="34"/>
  <c r="ES55" i="34"/>
  <c r="ES56" i="34" s="1"/>
  <c r="G57" i="31" s="1"/>
  <c r="I73" i="31"/>
  <c r="I55" i="31"/>
  <c r="V76" i="31"/>
  <c r="V43" i="31"/>
  <c r="V51" i="31" s="1"/>
  <c r="I58" i="31" l="1"/>
  <c r="I67" i="31"/>
  <c r="G60" i="31"/>
  <c r="G72" i="31" s="1"/>
  <c r="G69" i="31"/>
  <c r="G75" i="31"/>
  <c r="ES68" i="34"/>
  <c r="D159" i="31"/>
  <c r="D160" i="31"/>
  <c r="D161" i="31"/>
  <c r="D163" i="31"/>
  <c r="D164" i="31"/>
  <c r="D165" i="31"/>
  <c r="D166" i="31"/>
  <c r="D167" i="31"/>
  <c r="D168" i="31"/>
  <c r="D170" i="31"/>
  <c r="D171" i="31"/>
  <c r="D172" i="31"/>
  <c r="D182" i="31"/>
  <c r="D183" i="31"/>
  <c r="D184" i="31"/>
  <c r="D186" i="31"/>
  <c r="D187" i="31"/>
  <c r="D188" i="31"/>
  <c r="D189" i="31"/>
  <c r="D190" i="31"/>
  <c r="D191" i="31"/>
  <c r="D193" i="31"/>
  <c r="D194" i="31"/>
  <c r="D195" i="31"/>
  <c r="C195" i="31"/>
  <c r="C194" i="31"/>
  <c r="C193" i="31"/>
  <c r="C188" i="31"/>
  <c r="C187" i="31"/>
  <c r="C186" i="31"/>
  <c r="C172" i="31"/>
  <c r="C171" i="31"/>
  <c r="C170" i="31"/>
  <c r="C165" i="31"/>
  <c r="C164" i="31"/>
  <c r="C163" i="31"/>
  <c r="I70" i="31" l="1"/>
  <c r="I61" i="31"/>
  <c r="I64" i="31" s="1"/>
  <c r="D346" i="21"/>
  <c r="D347" i="21"/>
  <c r="D348" i="21"/>
  <c r="D349" i="21"/>
  <c r="D360" i="21"/>
  <c r="D361" i="21"/>
  <c r="D362" i="21"/>
  <c r="D363" i="21"/>
  <c r="D364" i="21"/>
  <c r="D365" i="21"/>
  <c r="D366" i="21"/>
  <c r="D367" i="21"/>
  <c r="D368" i="21"/>
  <c r="C403" i="21"/>
  <c r="C402" i="21"/>
  <c r="C401" i="21"/>
  <c r="C399" i="21"/>
  <c r="C398" i="21"/>
  <c r="C397" i="21"/>
  <c r="C396" i="21"/>
  <c r="C393" i="21"/>
  <c r="C392" i="21"/>
  <c r="C391" i="21"/>
  <c r="C389" i="21"/>
  <c r="C388" i="21"/>
  <c r="C387" i="21"/>
  <c r="C385" i="21"/>
  <c r="C384" i="21"/>
  <c r="C383" i="21"/>
  <c r="C381" i="21"/>
  <c r="C380" i="21"/>
  <c r="C379" i="21"/>
  <c r="C378" i="21"/>
  <c r="C372" i="21"/>
  <c r="C371" i="21"/>
  <c r="C370" i="21"/>
  <c r="C369" i="21"/>
  <c r="C368" i="21"/>
  <c r="C367" i="21"/>
  <c r="C366" i="21"/>
  <c r="C365" i="21"/>
  <c r="C364" i="21"/>
  <c r="C363" i="21"/>
  <c r="C362" i="21"/>
  <c r="C361" i="21"/>
  <c r="C360" i="21"/>
  <c r="C359" i="21"/>
  <c r="C358" i="21"/>
  <c r="C357" i="21"/>
  <c r="C356" i="21"/>
  <c r="C355" i="21"/>
  <c r="C354" i="21"/>
  <c r="C353" i="21"/>
  <c r="C352" i="21"/>
  <c r="C351" i="21"/>
  <c r="C350" i="21"/>
  <c r="K266" i="21"/>
  <c r="S312" i="21"/>
  <c r="X312" i="21"/>
  <c r="AF312" i="21"/>
  <c r="AG312" i="21"/>
  <c r="AH312" i="21"/>
  <c r="AJ312" i="21"/>
  <c r="H313" i="21"/>
  <c r="I313" i="21"/>
  <c r="J313" i="21"/>
  <c r="Q313" i="21"/>
  <c r="R313" i="21"/>
  <c r="S313" i="21"/>
  <c r="T313" i="21"/>
  <c r="U313" i="21"/>
  <c r="V313" i="21"/>
  <c r="W313" i="21"/>
  <c r="X313" i="21"/>
  <c r="Y313" i="21"/>
  <c r="Z313" i="21"/>
  <c r="AE313" i="21"/>
  <c r="AF313" i="21"/>
  <c r="AG313" i="21"/>
  <c r="AH313" i="21"/>
  <c r="AI313" i="21"/>
  <c r="AJ313" i="21"/>
  <c r="S310" i="21"/>
  <c r="X310" i="21"/>
  <c r="AF310" i="21"/>
  <c r="AG310" i="21"/>
  <c r="AH310" i="21"/>
  <c r="AJ310" i="21"/>
  <c r="AK310" i="21"/>
  <c r="H311" i="21"/>
  <c r="I311" i="21"/>
  <c r="Q311" i="21"/>
  <c r="R311" i="21"/>
  <c r="S311" i="21"/>
  <c r="T311" i="21"/>
  <c r="U311" i="21"/>
  <c r="W311" i="21"/>
  <c r="X311" i="21"/>
  <c r="Y311" i="21"/>
  <c r="Z311" i="21"/>
  <c r="AE311" i="21"/>
  <c r="AF311" i="21"/>
  <c r="AG311" i="21"/>
  <c r="AH311" i="21"/>
  <c r="AI311" i="21"/>
  <c r="AJ311" i="21"/>
  <c r="AK311" i="21"/>
  <c r="AK312" i="21"/>
  <c r="AK313" i="21"/>
  <c r="AK187" i="21"/>
  <c r="AJ187" i="21"/>
  <c r="AI187" i="21"/>
  <c r="AH187" i="21"/>
  <c r="AG187" i="21"/>
  <c r="AF187" i="21"/>
  <c r="AE187" i="21"/>
  <c r="AD187" i="21"/>
  <c r="AC187" i="21"/>
  <c r="AB187" i="21"/>
  <c r="AA187" i="21"/>
  <c r="Z187" i="21"/>
  <c r="Y187" i="21"/>
  <c r="X187" i="21"/>
  <c r="W187" i="21"/>
  <c r="V187" i="21"/>
  <c r="U187" i="21"/>
  <c r="T187" i="21"/>
  <c r="S187" i="21"/>
  <c r="R187" i="21"/>
  <c r="Q187" i="21"/>
  <c r="J187" i="21"/>
  <c r="I187" i="21"/>
  <c r="AK186" i="21"/>
  <c r="AJ186" i="21"/>
  <c r="AH186" i="21"/>
  <c r="AG186" i="21"/>
  <c r="AF186" i="21"/>
  <c r="AD186" i="21"/>
  <c r="AC186" i="21"/>
  <c r="AB186" i="21"/>
  <c r="AA186" i="21"/>
  <c r="W186" i="21"/>
  <c r="V186" i="21"/>
  <c r="S186" i="21"/>
  <c r="R186" i="21"/>
  <c r="Q186" i="21"/>
  <c r="AK211" i="21"/>
  <c r="AJ211" i="21"/>
  <c r="AI211" i="21"/>
  <c r="AH211" i="21"/>
  <c r="AG211" i="21"/>
  <c r="AF211" i="21"/>
  <c r="AE211" i="21"/>
  <c r="AD211" i="21"/>
  <c r="AC211" i="21"/>
  <c r="AB211" i="21"/>
  <c r="AA211" i="21"/>
  <c r="Z211" i="21"/>
  <c r="Y211" i="21"/>
  <c r="X211" i="21"/>
  <c r="W211" i="21"/>
  <c r="V211" i="21"/>
  <c r="U211" i="21"/>
  <c r="T211" i="21"/>
  <c r="S211" i="21"/>
  <c r="R211" i="21"/>
  <c r="Q211" i="21"/>
  <c r="J211" i="21"/>
  <c r="I211" i="21"/>
  <c r="AK210" i="21"/>
  <c r="AJ210" i="21"/>
  <c r="AH210" i="21"/>
  <c r="AG210" i="21"/>
  <c r="AF210" i="21"/>
  <c r="AD210" i="21"/>
  <c r="AC210" i="21"/>
  <c r="AB210" i="21"/>
  <c r="AA210" i="21"/>
  <c r="W210" i="21"/>
  <c r="V210" i="21"/>
  <c r="S210" i="21"/>
  <c r="R210" i="21"/>
  <c r="Q210" i="21"/>
  <c r="AK229" i="21"/>
  <c r="AJ229" i="21"/>
  <c r="AI229" i="21"/>
  <c r="AH229" i="21"/>
  <c r="AG229" i="21"/>
  <c r="AF229" i="21"/>
  <c r="AE229" i="21"/>
  <c r="AD229" i="21"/>
  <c r="AC229" i="21"/>
  <c r="AB229" i="21"/>
  <c r="AA229" i="21"/>
  <c r="Z229" i="21"/>
  <c r="Y229" i="21"/>
  <c r="X229" i="21"/>
  <c r="W229" i="21"/>
  <c r="V229" i="21"/>
  <c r="U229" i="21"/>
  <c r="T229" i="21"/>
  <c r="S229" i="21"/>
  <c r="R229" i="21"/>
  <c r="Q229" i="21"/>
  <c r="J229" i="21"/>
  <c r="I229" i="21"/>
  <c r="AK228" i="21"/>
  <c r="AJ228" i="21"/>
  <c r="AH228" i="21"/>
  <c r="AG228" i="21"/>
  <c r="AF228" i="21"/>
  <c r="AD228" i="21"/>
  <c r="AC228" i="21"/>
  <c r="AB228" i="21"/>
  <c r="AA228" i="21"/>
  <c r="V228" i="21"/>
  <c r="S228" i="21"/>
  <c r="Q228" i="21"/>
  <c r="AK209" i="21"/>
  <c r="AJ209" i="21"/>
  <c r="AI209" i="21"/>
  <c r="AH209" i="21"/>
  <c r="AG209" i="21"/>
  <c r="AF209" i="21"/>
  <c r="AE209" i="21"/>
  <c r="AD209" i="21"/>
  <c r="AC209" i="21"/>
  <c r="AB209" i="21"/>
  <c r="AA209" i="21"/>
  <c r="Z209" i="21"/>
  <c r="Y209" i="21"/>
  <c r="X209" i="21"/>
  <c r="W209" i="21"/>
  <c r="V209" i="21"/>
  <c r="U209" i="21"/>
  <c r="T209" i="21"/>
  <c r="S209" i="21"/>
  <c r="R209" i="21"/>
  <c r="Q209" i="21"/>
  <c r="J209" i="21"/>
  <c r="I209" i="21"/>
  <c r="AK208" i="21"/>
  <c r="AJ208" i="21"/>
  <c r="AH208" i="21"/>
  <c r="AG208" i="21"/>
  <c r="AF208" i="21"/>
  <c r="AD208" i="21"/>
  <c r="AC208" i="21"/>
  <c r="AB208" i="21"/>
  <c r="AA208" i="21"/>
  <c r="W208" i="21"/>
  <c r="V208" i="21"/>
  <c r="S208" i="21"/>
  <c r="R208" i="21"/>
  <c r="Q208" i="21"/>
  <c r="AK207" i="21"/>
  <c r="AJ207" i="21"/>
  <c r="AI207" i="21"/>
  <c r="AH207" i="21"/>
  <c r="AG207" i="21"/>
  <c r="AF207" i="21"/>
  <c r="AE207" i="21"/>
  <c r="AD207" i="21"/>
  <c r="AC207" i="21"/>
  <c r="AB207" i="21"/>
  <c r="AA207" i="21"/>
  <c r="Z207" i="21"/>
  <c r="Y207" i="21"/>
  <c r="X207" i="21"/>
  <c r="W207" i="21"/>
  <c r="V207" i="21"/>
  <c r="U207" i="21"/>
  <c r="T207" i="21"/>
  <c r="S207" i="21"/>
  <c r="R207" i="21"/>
  <c r="Q207" i="21"/>
  <c r="J207" i="21"/>
  <c r="I207" i="21"/>
  <c r="AK206" i="21"/>
  <c r="AJ206" i="21"/>
  <c r="AH206" i="21"/>
  <c r="AG206" i="21"/>
  <c r="AF206" i="21"/>
  <c r="AD206" i="21"/>
  <c r="AC206" i="21"/>
  <c r="AB206" i="21"/>
  <c r="AA206" i="21"/>
  <c r="W206" i="21"/>
  <c r="V206" i="21"/>
  <c r="S206" i="21"/>
  <c r="R206" i="21"/>
  <c r="Q206" i="21"/>
  <c r="AK205" i="21"/>
  <c r="AJ205" i="21"/>
  <c r="AI205" i="21"/>
  <c r="AH205" i="21"/>
  <c r="AG205" i="21"/>
  <c r="AF205" i="21"/>
  <c r="AE205" i="21"/>
  <c r="AD205" i="21"/>
  <c r="AC205" i="21"/>
  <c r="AB205" i="21"/>
  <c r="AA205" i="21"/>
  <c r="Z205" i="21"/>
  <c r="Y205" i="21"/>
  <c r="X205" i="21"/>
  <c r="W205" i="21"/>
  <c r="V205" i="21"/>
  <c r="U205" i="21"/>
  <c r="T205" i="21"/>
  <c r="S205" i="21"/>
  <c r="R205" i="21"/>
  <c r="Q205" i="21"/>
  <c r="J205" i="21"/>
  <c r="I205" i="21"/>
  <c r="AK204" i="21"/>
  <c r="AJ204" i="21"/>
  <c r="AH204" i="21"/>
  <c r="AG204" i="21"/>
  <c r="AF204" i="21"/>
  <c r="AD204" i="21"/>
  <c r="AC204" i="21"/>
  <c r="AB204" i="21"/>
  <c r="AA204" i="21"/>
  <c r="W204" i="21"/>
  <c r="V204" i="21"/>
  <c r="S204" i="21"/>
  <c r="R204" i="21"/>
  <c r="Q204" i="21"/>
  <c r="Q182" i="21"/>
  <c r="R182" i="21"/>
  <c r="S182" i="21"/>
  <c r="V182" i="21"/>
  <c r="W182" i="21"/>
  <c r="AA182" i="21"/>
  <c r="AB182" i="21"/>
  <c r="AC182" i="21"/>
  <c r="AD182" i="21"/>
  <c r="AF182" i="21"/>
  <c r="AG182" i="21"/>
  <c r="AH182" i="21"/>
  <c r="AJ182" i="21"/>
  <c r="AK182" i="21"/>
  <c r="J183" i="21"/>
  <c r="Q183" i="21"/>
  <c r="R183" i="21"/>
  <c r="S183" i="21"/>
  <c r="T183" i="21"/>
  <c r="U183" i="21"/>
  <c r="V183" i="21"/>
  <c r="W183" i="21"/>
  <c r="X183" i="21"/>
  <c r="Y183" i="21"/>
  <c r="Z183" i="21"/>
  <c r="AA183" i="21"/>
  <c r="AB183" i="21"/>
  <c r="AC183" i="21"/>
  <c r="AD183" i="21"/>
  <c r="AE183" i="21"/>
  <c r="AF183" i="21"/>
  <c r="AG183" i="21"/>
  <c r="AH183" i="21"/>
  <c r="AI183" i="21"/>
  <c r="AJ183" i="21"/>
  <c r="AK183" i="21"/>
  <c r="Q184" i="21"/>
  <c r="R184" i="21"/>
  <c r="S184" i="21"/>
  <c r="V184" i="21"/>
  <c r="W184" i="21"/>
  <c r="AA184" i="21"/>
  <c r="AB184" i="21"/>
  <c r="AC184" i="21"/>
  <c r="AD184" i="21"/>
  <c r="AF184" i="21"/>
  <c r="AG184" i="21"/>
  <c r="AH184" i="21"/>
  <c r="AJ184" i="21"/>
  <c r="AK184" i="21"/>
  <c r="J185" i="21"/>
  <c r="Q185" i="21"/>
  <c r="R185" i="21"/>
  <c r="S185" i="21"/>
  <c r="T185" i="21"/>
  <c r="U185" i="21"/>
  <c r="V185" i="21"/>
  <c r="W185" i="21"/>
  <c r="X185" i="21"/>
  <c r="Y185" i="21"/>
  <c r="Z185" i="21"/>
  <c r="AA185" i="21"/>
  <c r="AB185" i="21"/>
  <c r="AC185" i="21"/>
  <c r="AD185" i="21"/>
  <c r="AE185" i="21"/>
  <c r="AF185" i="21"/>
  <c r="AG185" i="21"/>
  <c r="AH185" i="21"/>
  <c r="AI185" i="21"/>
  <c r="AJ185" i="21"/>
  <c r="AK185" i="21"/>
  <c r="I185" i="21"/>
  <c r="I183" i="21"/>
  <c r="H163" i="21"/>
  <c r="S163" i="21"/>
  <c r="AA163" i="21"/>
  <c r="AB163" i="21"/>
  <c r="AC163" i="21"/>
  <c r="AD163" i="21"/>
  <c r="AF163" i="21"/>
  <c r="AG163" i="21"/>
  <c r="AH163" i="21"/>
  <c r="AJ163" i="21"/>
  <c r="AK163" i="21"/>
  <c r="G164" i="21"/>
  <c r="H164" i="21"/>
  <c r="I164" i="21"/>
  <c r="J164" i="21"/>
  <c r="Q164" i="21"/>
  <c r="R164" i="21"/>
  <c r="S164" i="21"/>
  <c r="T164" i="21"/>
  <c r="U164" i="21"/>
  <c r="V164" i="21"/>
  <c r="X164" i="21"/>
  <c r="Y164" i="21"/>
  <c r="Z164" i="21"/>
  <c r="AA164" i="21"/>
  <c r="AB164" i="21"/>
  <c r="AC164" i="21"/>
  <c r="AD164" i="21"/>
  <c r="AE164" i="21"/>
  <c r="AF164" i="21"/>
  <c r="AG164" i="21"/>
  <c r="AH164" i="21"/>
  <c r="AI164" i="21"/>
  <c r="AJ164" i="21"/>
  <c r="AK164" i="21"/>
  <c r="H165" i="21"/>
  <c r="S165" i="21"/>
  <c r="AA165" i="21"/>
  <c r="AB165" i="21"/>
  <c r="AC165" i="21"/>
  <c r="AD165" i="21"/>
  <c r="AF165" i="21"/>
  <c r="AG165" i="21"/>
  <c r="AH165" i="21"/>
  <c r="AJ165" i="21"/>
  <c r="AK165" i="21"/>
  <c r="G166" i="21"/>
  <c r="H166" i="21"/>
  <c r="I166" i="21"/>
  <c r="J166" i="21"/>
  <c r="Q166" i="21"/>
  <c r="R166" i="21"/>
  <c r="S166" i="21"/>
  <c r="T166" i="21"/>
  <c r="U166" i="21"/>
  <c r="V166" i="21"/>
  <c r="W166" i="21"/>
  <c r="X166" i="21"/>
  <c r="Y166" i="21"/>
  <c r="Z166" i="21"/>
  <c r="AA166" i="21"/>
  <c r="AB166" i="21"/>
  <c r="AC166" i="21"/>
  <c r="AD166" i="21"/>
  <c r="AE166" i="21"/>
  <c r="AF166" i="21"/>
  <c r="AG166" i="21"/>
  <c r="AH166" i="21"/>
  <c r="AI166" i="21"/>
  <c r="AJ166" i="21"/>
  <c r="AK166" i="21"/>
  <c r="AK143" i="21"/>
  <c r="AJ143" i="21"/>
  <c r="AI143" i="21"/>
  <c r="AH143" i="21"/>
  <c r="AG143" i="21"/>
  <c r="AF143" i="21"/>
  <c r="AE143" i="21"/>
  <c r="AD143" i="21"/>
  <c r="AC143" i="21"/>
  <c r="AB143" i="21"/>
  <c r="AA143" i="21"/>
  <c r="Z143" i="21"/>
  <c r="Y143" i="21"/>
  <c r="X143" i="21"/>
  <c r="W143" i="21"/>
  <c r="V143" i="21"/>
  <c r="U143" i="21"/>
  <c r="T143" i="21"/>
  <c r="S143" i="21"/>
  <c r="R143" i="21"/>
  <c r="Q143" i="21"/>
  <c r="J143" i="21"/>
  <c r="I143" i="21"/>
  <c r="H143" i="21"/>
  <c r="G143" i="21"/>
  <c r="AK142" i="21"/>
  <c r="AJ142" i="21"/>
  <c r="AH142" i="21"/>
  <c r="AG142" i="21"/>
  <c r="AF142" i="21"/>
  <c r="AD142" i="21"/>
  <c r="AC142" i="21"/>
  <c r="AB142" i="21"/>
  <c r="AA142" i="21"/>
  <c r="S142" i="21"/>
  <c r="AK147" i="21"/>
  <c r="AJ147" i="21"/>
  <c r="AI147" i="21"/>
  <c r="AH147" i="21"/>
  <c r="AG147" i="21"/>
  <c r="AF147" i="21"/>
  <c r="AE147" i="21"/>
  <c r="AD147" i="21"/>
  <c r="AC147" i="21"/>
  <c r="AB147" i="21"/>
  <c r="AA147" i="21"/>
  <c r="Z147" i="21"/>
  <c r="Y147" i="21"/>
  <c r="X147" i="21"/>
  <c r="W147" i="21"/>
  <c r="V147" i="21"/>
  <c r="U147" i="21"/>
  <c r="T147" i="21"/>
  <c r="S147" i="21"/>
  <c r="R147" i="21"/>
  <c r="Q147" i="21"/>
  <c r="J147" i="21"/>
  <c r="I147" i="21"/>
  <c r="H147" i="21"/>
  <c r="G147" i="21"/>
  <c r="AK146" i="21"/>
  <c r="AJ146" i="21"/>
  <c r="AH146" i="21"/>
  <c r="AG146" i="21"/>
  <c r="AF146" i="21"/>
  <c r="AD146" i="21"/>
  <c r="AC146" i="21"/>
  <c r="AB146" i="21"/>
  <c r="AA146" i="21"/>
  <c r="S146" i="21"/>
  <c r="AK145" i="21"/>
  <c r="AJ145" i="21"/>
  <c r="AI145" i="21"/>
  <c r="AH145" i="21"/>
  <c r="AG145" i="21"/>
  <c r="AF145" i="21"/>
  <c r="AE145" i="21"/>
  <c r="AD145" i="21"/>
  <c r="AC145" i="21"/>
  <c r="AB145" i="21"/>
  <c r="AA145" i="21"/>
  <c r="Z145" i="21"/>
  <c r="Y145" i="21"/>
  <c r="X145" i="21"/>
  <c r="W145" i="21"/>
  <c r="V145" i="21"/>
  <c r="U145" i="21"/>
  <c r="T145" i="21"/>
  <c r="S145" i="21"/>
  <c r="R145" i="21"/>
  <c r="Q145" i="21"/>
  <c r="J145" i="21"/>
  <c r="I145" i="21"/>
  <c r="H145" i="21"/>
  <c r="G145" i="21"/>
  <c r="AK144" i="21"/>
  <c r="AJ144" i="21"/>
  <c r="AH144" i="21"/>
  <c r="AG144" i="21"/>
  <c r="AF144" i="21"/>
  <c r="AD144" i="21"/>
  <c r="AC144" i="21"/>
  <c r="AB144" i="21"/>
  <c r="AA144" i="21"/>
  <c r="S144" i="21"/>
  <c r="AK119" i="21"/>
  <c r="AJ119" i="21"/>
  <c r="AI119" i="21"/>
  <c r="AH119" i="21"/>
  <c r="AG119" i="21"/>
  <c r="AF119" i="21"/>
  <c r="AE119" i="21"/>
  <c r="AD119" i="21"/>
  <c r="AC119" i="21"/>
  <c r="AB119" i="21"/>
  <c r="AA119" i="21"/>
  <c r="Z119" i="21"/>
  <c r="Y119" i="21"/>
  <c r="X119" i="21"/>
  <c r="W119" i="21"/>
  <c r="V119" i="21"/>
  <c r="U119" i="21"/>
  <c r="T119" i="21"/>
  <c r="S119" i="21"/>
  <c r="R119" i="21"/>
  <c r="Q119" i="21"/>
  <c r="J119" i="21"/>
  <c r="I119" i="21"/>
  <c r="AK118" i="21"/>
  <c r="AJ118" i="21"/>
  <c r="AH118" i="21"/>
  <c r="AG118" i="21"/>
  <c r="AF118" i="21"/>
  <c r="AD118" i="21"/>
  <c r="AC118" i="21"/>
  <c r="AB118" i="21"/>
  <c r="AA118" i="21"/>
  <c r="S118" i="21"/>
  <c r="R118" i="21"/>
  <c r="Q118" i="21"/>
  <c r="AK125" i="21"/>
  <c r="AJ125" i="21"/>
  <c r="AI125" i="21"/>
  <c r="AH125" i="21"/>
  <c r="AG125" i="21"/>
  <c r="AF125" i="21"/>
  <c r="AE125" i="21"/>
  <c r="AD125" i="21"/>
  <c r="AC125" i="21"/>
  <c r="AB125" i="21"/>
  <c r="AA125" i="21"/>
  <c r="Z125" i="21"/>
  <c r="Y125" i="21"/>
  <c r="X125" i="21"/>
  <c r="W125" i="21"/>
  <c r="V125" i="21"/>
  <c r="U125" i="21"/>
  <c r="T125" i="21"/>
  <c r="S125" i="21"/>
  <c r="R125" i="21"/>
  <c r="Q125" i="21"/>
  <c r="J125" i="21"/>
  <c r="I125" i="21"/>
  <c r="AK124" i="21"/>
  <c r="AJ124" i="21"/>
  <c r="AH124" i="21"/>
  <c r="AG124" i="21"/>
  <c r="AF124" i="21"/>
  <c r="AD124" i="21"/>
  <c r="AC124" i="21"/>
  <c r="AB124" i="21"/>
  <c r="AA124" i="21"/>
  <c r="S124" i="21"/>
  <c r="R124" i="21"/>
  <c r="Q124" i="21"/>
  <c r="AK123" i="21"/>
  <c r="AJ123" i="21"/>
  <c r="AI123" i="21"/>
  <c r="AH123" i="21"/>
  <c r="AG123" i="21"/>
  <c r="AF123" i="21"/>
  <c r="AE123" i="21"/>
  <c r="AD123" i="21"/>
  <c r="AC123" i="21"/>
  <c r="AB123" i="21"/>
  <c r="AA123" i="21"/>
  <c r="Z123" i="21"/>
  <c r="Y123" i="21"/>
  <c r="X123" i="21"/>
  <c r="W123" i="21"/>
  <c r="V123" i="21"/>
  <c r="U123" i="21"/>
  <c r="T123" i="21"/>
  <c r="S123" i="21"/>
  <c r="R123" i="21"/>
  <c r="Q123" i="21"/>
  <c r="J123" i="21"/>
  <c r="I123" i="21"/>
  <c r="AK122" i="21"/>
  <c r="AJ122" i="21"/>
  <c r="AH122" i="21"/>
  <c r="AG122" i="21"/>
  <c r="AF122" i="21"/>
  <c r="AD122" i="21"/>
  <c r="AC122" i="21"/>
  <c r="AB122" i="21"/>
  <c r="AA122" i="21"/>
  <c r="S122" i="21"/>
  <c r="R122" i="21"/>
  <c r="Q122" i="21"/>
  <c r="AK121" i="21"/>
  <c r="AJ121" i="21"/>
  <c r="AI121" i="21"/>
  <c r="AH121" i="21"/>
  <c r="AG121" i="21"/>
  <c r="AF121" i="21"/>
  <c r="AE121" i="21"/>
  <c r="AD121" i="21"/>
  <c r="AC121" i="21"/>
  <c r="AB121" i="21"/>
  <c r="AA121" i="21"/>
  <c r="Z121" i="21"/>
  <c r="Y121" i="21"/>
  <c r="X121" i="21"/>
  <c r="W121" i="21"/>
  <c r="V121" i="21"/>
  <c r="U121" i="21"/>
  <c r="T121" i="21"/>
  <c r="S121" i="21"/>
  <c r="R121" i="21"/>
  <c r="Q121" i="21"/>
  <c r="J121" i="21"/>
  <c r="I121" i="21"/>
  <c r="AK120" i="21"/>
  <c r="AJ120" i="21"/>
  <c r="AH120" i="21"/>
  <c r="AG120" i="21"/>
  <c r="AF120" i="21"/>
  <c r="AD120" i="21"/>
  <c r="AC120" i="21"/>
  <c r="AB120" i="21"/>
  <c r="AA120" i="21"/>
  <c r="S120" i="21"/>
  <c r="R120" i="21"/>
  <c r="Q120" i="21"/>
  <c r="AK104" i="21"/>
  <c r="AJ104" i="21"/>
  <c r="AI104" i="21"/>
  <c r="AH104" i="21"/>
  <c r="AG104" i="21"/>
  <c r="AF104" i="21"/>
  <c r="AE104" i="21"/>
  <c r="AD104" i="21"/>
  <c r="AC104" i="21"/>
  <c r="AB104" i="21"/>
  <c r="AA104" i="21"/>
  <c r="Z104" i="21"/>
  <c r="Y104" i="21"/>
  <c r="X104" i="21"/>
  <c r="W104" i="21"/>
  <c r="V104" i="21"/>
  <c r="U104" i="21"/>
  <c r="T104" i="21"/>
  <c r="S104" i="21"/>
  <c r="R104" i="21"/>
  <c r="Q104" i="21"/>
  <c r="J104" i="21"/>
  <c r="I104" i="21"/>
  <c r="H104" i="21"/>
  <c r="G104" i="21"/>
  <c r="AK103" i="21"/>
  <c r="AJ103" i="21"/>
  <c r="AH103" i="21"/>
  <c r="AG103" i="21"/>
  <c r="AF103" i="21"/>
  <c r="AD103" i="21"/>
  <c r="AC103" i="21"/>
  <c r="AB103" i="21"/>
  <c r="AA103" i="21"/>
  <c r="S103" i="21"/>
  <c r="S101" i="21"/>
  <c r="AA101" i="21"/>
  <c r="AB101" i="21"/>
  <c r="AC101" i="21"/>
  <c r="AD101" i="21"/>
  <c r="AF101" i="21"/>
  <c r="AG101" i="21"/>
  <c r="AH101" i="21"/>
  <c r="AJ101" i="21"/>
  <c r="AK101" i="21"/>
  <c r="G102" i="21"/>
  <c r="H102" i="21"/>
  <c r="I102" i="21"/>
  <c r="J102" i="21"/>
  <c r="Q102" i="21"/>
  <c r="R102" i="21"/>
  <c r="S102" i="21"/>
  <c r="T102" i="21"/>
  <c r="U102" i="21"/>
  <c r="V102" i="21"/>
  <c r="W102" i="21"/>
  <c r="X102" i="21"/>
  <c r="Y102" i="21"/>
  <c r="Z102" i="21"/>
  <c r="AA102" i="21"/>
  <c r="AB102" i="21"/>
  <c r="AC102" i="21"/>
  <c r="AD102" i="21"/>
  <c r="AE102" i="21"/>
  <c r="AF102" i="21"/>
  <c r="AG102" i="21"/>
  <c r="AH102" i="21"/>
  <c r="AI102" i="21"/>
  <c r="AJ102" i="21"/>
  <c r="AK102" i="21"/>
  <c r="Q77" i="21"/>
  <c r="R77" i="21"/>
  <c r="S77" i="21"/>
  <c r="AA77" i="21"/>
  <c r="AB77" i="21"/>
  <c r="AC77" i="21"/>
  <c r="AD77" i="21"/>
  <c r="AF77" i="21"/>
  <c r="AG77" i="21"/>
  <c r="AH77" i="21"/>
  <c r="AJ77" i="21"/>
  <c r="AK77" i="21"/>
  <c r="J78" i="21"/>
  <c r="Q78" i="21"/>
  <c r="R78" i="21"/>
  <c r="S78" i="21"/>
  <c r="T78" i="21"/>
  <c r="U78" i="21"/>
  <c r="V78" i="21"/>
  <c r="W78" i="21"/>
  <c r="X78" i="21"/>
  <c r="Y78" i="21"/>
  <c r="Z78" i="21"/>
  <c r="AA78" i="21"/>
  <c r="AB78" i="21"/>
  <c r="AC78" i="21"/>
  <c r="AD78" i="21"/>
  <c r="AE78" i="21"/>
  <c r="AF78" i="21"/>
  <c r="AG78" i="21"/>
  <c r="AH78" i="21"/>
  <c r="AI78" i="21"/>
  <c r="AJ78" i="21"/>
  <c r="AK78" i="21"/>
  <c r="Q79" i="21"/>
  <c r="R79" i="21"/>
  <c r="S79" i="21"/>
  <c r="AA79" i="21"/>
  <c r="AB79" i="21"/>
  <c r="AC79" i="21"/>
  <c r="AD79" i="21"/>
  <c r="AF79" i="21"/>
  <c r="AG79" i="21"/>
  <c r="AH79" i="21"/>
  <c r="AJ79" i="21"/>
  <c r="AK79" i="21"/>
  <c r="J80" i="21"/>
  <c r="Q80" i="21"/>
  <c r="R80" i="21"/>
  <c r="S80" i="21"/>
  <c r="T80" i="21"/>
  <c r="U80" i="21"/>
  <c r="V80" i="21"/>
  <c r="W80" i="21"/>
  <c r="X80" i="21"/>
  <c r="Y80" i="21"/>
  <c r="Z80" i="21"/>
  <c r="AA80" i="21"/>
  <c r="AB80" i="21"/>
  <c r="AC80" i="21"/>
  <c r="AD80" i="21"/>
  <c r="AE80" i="21"/>
  <c r="AF80" i="21"/>
  <c r="AG80" i="21"/>
  <c r="AH80" i="21"/>
  <c r="AI80" i="21"/>
  <c r="AJ80" i="21"/>
  <c r="AK80" i="21"/>
  <c r="Q81" i="21"/>
  <c r="R81" i="21"/>
  <c r="S81" i="21"/>
  <c r="AA81" i="21"/>
  <c r="AB81" i="21"/>
  <c r="AC81" i="21"/>
  <c r="AD81" i="21"/>
  <c r="AF81" i="21"/>
  <c r="AG81" i="21"/>
  <c r="AH81" i="21"/>
  <c r="AJ81" i="21"/>
  <c r="AK81" i="21"/>
  <c r="J82" i="21"/>
  <c r="Q82" i="21"/>
  <c r="R82" i="21"/>
  <c r="S82" i="21"/>
  <c r="T82" i="21"/>
  <c r="U82" i="21"/>
  <c r="V82" i="21"/>
  <c r="W82" i="21"/>
  <c r="X82" i="21"/>
  <c r="Y82" i="21"/>
  <c r="Z82" i="21"/>
  <c r="AA82" i="21"/>
  <c r="AB82" i="21"/>
  <c r="AC82" i="21"/>
  <c r="AD82" i="21"/>
  <c r="AE82" i="21"/>
  <c r="AF82" i="21"/>
  <c r="AG82" i="21"/>
  <c r="AH82" i="21"/>
  <c r="AI82" i="21"/>
  <c r="AJ82" i="21"/>
  <c r="AK82" i="21"/>
  <c r="I82" i="21"/>
  <c r="I80" i="21"/>
  <c r="I78" i="21"/>
  <c r="AI305" i="21"/>
  <c r="AE305" i="21"/>
  <c r="X305" i="21"/>
  <c r="H305" i="21"/>
  <c r="AI303" i="21"/>
  <c r="AE303" i="21"/>
  <c r="X303" i="21"/>
  <c r="H303" i="21"/>
  <c r="F293" i="21"/>
  <c r="G293" i="21" s="1"/>
  <c r="J324" i="21"/>
  <c r="J333" i="21" s="1"/>
  <c r="J276" i="21" s="1"/>
  <c r="K274" i="21"/>
  <c r="Q324" i="21"/>
  <c r="Q331" i="21" s="1"/>
  <c r="Q274" i="21" s="1"/>
  <c r="S324" i="21"/>
  <c r="S333" i="21" s="1"/>
  <c r="S276" i="21" s="1"/>
  <c r="V324" i="21"/>
  <c r="V333" i="21" s="1"/>
  <c r="V276" i="21" s="1"/>
  <c r="AF324" i="21"/>
  <c r="AF333" i="21" s="1"/>
  <c r="AF276" i="21" s="1"/>
  <c r="AG324" i="21"/>
  <c r="AG333" i="21" s="1"/>
  <c r="AG276" i="21" s="1"/>
  <c r="AH324" i="21"/>
  <c r="AH333" i="21" s="1"/>
  <c r="AH276" i="21" s="1"/>
  <c r="AJ324" i="21"/>
  <c r="AJ331" i="21" s="1"/>
  <c r="AJ274" i="21" s="1"/>
  <c r="J326" i="21"/>
  <c r="Q326" i="21"/>
  <c r="Q335" i="21" s="1"/>
  <c r="S326" i="21"/>
  <c r="S335" i="21" s="1"/>
  <c r="V326" i="21"/>
  <c r="V335" i="21" s="1"/>
  <c r="AF326" i="21"/>
  <c r="AF335" i="21" s="1"/>
  <c r="AG326" i="21"/>
  <c r="AG335" i="21" s="1"/>
  <c r="AH326" i="21"/>
  <c r="AH335" i="21" s="1"/>
  <c r="AJ326" i="21"/>
  <c r="AJ335" i="21" s="1"/>
  <c r="J319" i="21"/>
  <c r="Q319" i="21"/>
  <c r="S319" i="21"/>
  <c r="V319" i="21"/>
  <c r="AF319" i="21"/>
  <c r="AG319" i="21"/>
  <c r="AH319" i="21"/>
  <c r="AJ319" i="21"/>
  <c r="AI298" i="21"/>
  <c r="AI314" i="21" s="1"/>
  <c r="F252" i="21"/>
  <c r="G252" i="21" s="1"/>
  <c r="H252" i="21"/>
  <c r="I252" i="21"/>
  <c r="P252" i="21"/>
  <c r="AE252" i="21"/>
  <c r="AI252" i="21"/>
  <c r="F253" i="21"/>
  <c r="G253" i="21" s="1"/>
  <c r="H253" i="21"/>
  <c r="I253" i="21"/>
  <c r="K254" i="21"/>
  <c r="F261" i="21"/>
  <c r="H261" i="21"/>
  <c r="P261" i="21"/>
  <c r="AE261" i="21"/>
  <c r="F262" i="21"/>
  <c r="H262" i="21"/>
  <c r="K263" i="21"/>
  <c r="F281" i="21"/>
  <c r="G281" i="21" s="1"/>
  <c r="H281" i="21"/>
  <c r="I281" i="21"/>
  <c r="P281" i="21"/>
  <c r="AE281" i="21"/>
  <c r="AI281" i="21"/>
  <c r="F282" i="21"/>
  <c r="G282" i="21" s="1"/>
  <c r="H282" i="21"/>
  <c r="I282" i="21"/>
  <c r="K283" i="21"/>
  <c r="F284" i="21"/>
  <c r="G284" i="21" s="1"/>
  <c r="H284" i="21"/>
  <c r="I284" i="21"/>
  <c r="P284" i="21"/>
  <c r="AE284" i="21"/>
  <c r="AI284" i="21"/>
  <c r="F285" i="21"/>
  <c r="G285" i="21" s="1"/>
  <c r="H285" i="21"/>
  <c r="I285" i="21"/>
  <c r="K286" i="21"/>
  <c r="F287" i="21"/>
  <c r="G287" i="21" s="1"/>
  <c r="H287" i="21"/>
  <c r="I287" i="21"/>
  <c r="P287" i="21"/>
  <c r="AE287" i="21"/>
  <c r="AI287" i="21"/>
  <c r="F288" i="21"/>
  <c r="G288" i="21" s="1"/>
  <c r="H288" i="21"/>
  <c r="I288" i="21"/>
  <c r="K289" i="21"/>
  <c r="F290" i="21"/>
  <c r="G290" i="21" s="1"/>
  <c r="H290" i="21"/>
  <c r="I290" i="21"/>
  <c r="P290" i="21"/>
  <c r="AE290" i="21"/>
  <c r="AI290" i="21"/>
  <c r="F291" i="21"/>
  <c r="G291" i="21" s="1"/>
  <c r="H291" i="21"/>
  <c r="I291" i="21"/>
  <c r="K292" i="21"/>
  <c r="H293" i="21"/>
  <c r="I293" i="21"/>
  <c r="P293" i="21"/>
  <c r="AE293" i="21"/>
  <c r="AI293" i="21"/>
  <c r="F294" i="21"/>
  <c r="G294" i="21" s="1"/>
  <c r="H294" i="21"/>
  <c r="I294" i="21"/>
  <c r="K295" i="21"/>
  <c r="AE296" i="21"/>
  <c r="AE310" i="21" s="1"/>
  <c r="AI296" i="21"/>
  <c r="AI310" i="21" s="1"/>
  <c r="X317" i="21"/>
  <c r="X319" i="21" s="1"/>
  <c r="AE317" i="21"/>
  <c r="AE319" i="21" s="1"/>
  <c r="AI317" i="21"/>
  <c r="AI324" i="21" s="1"/>
  <c r="AI333" i="21" s="1"/>
  <c r="AI276" i="21" s="1"/>
  <c r="AI278" i="21" s="1"/>
  <c r="C346" i="21"/>
  <c r="AS47" i="33"/>
  <c r="AQ47" i="33"/>
  <c r="X37" i="23"/>
  <c r="Z37" i="23"/>
  <c r="AA37" i="23"/>
  <c r="S321" i="21" l="1"/>
  <c r="S328" i="21"/>
  <c r="Q321" i="21"/>
  <c r="Q328" i="21"/>
  <c r="AJ321" i="21"/>
  <c r="AJ328" i="21"/>
  <c r="AH328" i="21"/>
  <c r="AH321" i="21"/>
  <c r="AG321" i="21"/>
  <c r="AG328" i="21"/>
  <c r="AF328" i="21"/>
  <c r="AF321" i="21"/>
  <c r="V321" i="21"/>
  <c r="V328" i="21"/>
  <c r="AE321" i="21"/>
  <c r="AE328" i="21"/>
  <c r="X321" i="21"/>
  <c r="X328" i="21"/>
  <c r="AJ333" i="21"/>
  <c r="AJ276" i="21" s="1"/>
  <c r="AJ278" i="21" s="1"/>
  <c r="S331" i="21"/>
  <c r="S274" i="21" s="1"/>
  <c r="V331" i="21"/>
  <c r="V274" i="21" s="1"/>
  <c r="K276" i="21"/>
  <c r="Q333" i="21"/>
  <c r="Q276" i="21" s="1"/>
  <c r="AG331" i="21"/>
  <c r="AG274" i="21" s="1"/>
  <c r="AF331" i="21"/>
  <c r="AF274" i="21" s="1"/>
  <c r="J331" i="21"/>
  <c r="J274" i="21" s="1"/>
  <c r="AH331" i="21"/>
  <c r="AH274" i="21" s="1"/>
  <c r="AE312" i="21"/>
  <c r="AI331" i="21"/>
  <c r="AI274" i="21" s="1"/>
  <c r="H312" i="21"/>
  <c r="AI312" i="21"/>
  <c r="H310" i="21"/>
  <c r="X326" i="21"/>
  <c r="X335" i="21" s="1"/>
  <c r="AE326" i="21"/>
  <c r="AE335" i="21" s="1"/>
  <c r="X324" i="21"/>
  <c r="AI319" i="21"/>
  <c r="AE324" i="21"/>
  <c r="AI326" i="21"/>
  <c r="AI335" i="21" s="1"/>
  <c r="G259" i="21"/>
  <c r="G262" i="21" s="1"/>
  <c r="G258" i="21"/>
  <c r="G261" i="21" s="1"/>
  <c r="AI321" i="21" l="1"/>
  <c r="AI328" i="21"/>
  <c r="X333" i="21"/>
  <c r="X276" i="21" s="1"/>
  <c r="X331" i="21"/>
  <c r="X274" i="21" s="1"/>
  <c r="AE331" i="21"/>
  <c r="AE274" i="21" s="1"/>
  <c r="AE333" i="21"/>
  <c r="AE276" i="21" s="1"/>
  <c r="AE278" i="21" s="1"/>
  <c r="O38" i="23" l="1"/>
  <c r="O39" i="23"/>
  <c r="J228" i="21" s="1"/>
  <c r="O40" i="23"/>
  <c r="I317" i="21" s="1"/>
  <c r="N38" i="23"/>
  <c r="N39" i="23"/>
  <c r="I228" i="21" s="1"/>
  <c r="N40" i="23"/>
  <c r="H317" i="21" s="1"/>
  <c r="L45" i="23"/>
  <c r="K45" i="23" s="1"/>
  <c r="X99" i="21"/>
  <c r="X161" i="21"/>
  <c r="X75" i="21"/>
  <c r="V75" i="21"/>
  <c r="W75" i="21"/>
  <c r="V99" i="21"/>
  <c r="V161" i="21"/>
  <c r="U7" i="33"/>
  <c r="V7" i="33"/>
  <c r="W7" i="33"/>
  <c r="U8" i="33"/>
  <c r="V8" i="33"/>
  <c r="W8" i="33"/>
  <c r="V6" i="33"/>
  <c r="W6" i="33"/>
  <c r="U6" i="33"/>
  <c r="L103" i="23"/>
  <c r="M103" i="23"/>
  <c r="K103" i="23"/>
  <c r="AT5" i="21"/>
  <c r="AS5" i="21"/>
  <c r="N43" i="23" l="1"/>
  <c r="I180" i="21"/>
  <c r="N188" i="21" s="1"/>
  <c r="O43" i="23"/>
  <c r="J180" i="21"/>
  <c r="O188" i="21" s="1"/>
  <c r="V167" i="21"/>
  <c r="V170" i="21"/>
  <c r="V176" i="21"/>
  <c r="V173" i="21"/>
  <c r="X167" i="21"/>
  <c r="X170" i="21"/>
  <c r="X176" i="21"/>
  <c r="X173" i="21"/>
  <c r="V157" i="21"/>
  <c r="V154" i="21"/>
  <c r="V151" i="21"/>
  <c r="X157" i="21"/>
  <c r="X154" i="21"/>
  <c r="X151" i="21"/>
  <c r="W135" i="21"/>
  <c r="W132" i="21"/>
  <c r="W129" i="21"/>
  <c r="W138" i="21"/>
  <c r="V138" i="21"/>
  <c r="V135" i="21"/>
  <c r="V129" i="21"/>
  <c r="V132" i="21"/>
  <c r="X135" i="21"/>
  <c r="X132" i="21"/>
  <c r="X129" i="21"/>
  <c r="X138" i="21"/>
  <c r="X148" i="21"/>
  <c r="X114" i="21"/>
  <c r="X111" i="21"/>
  <c r="X108" i="21"/>
  <c r="V148" i="21"/>
  <c r="V114" i="21"/>
  <c r="V111" i="21"/>
  <c r="V108" i="21"/>
  <c r="W89" i="21"/>
  <c r="W92" i="21"/>
  <c r="W95" i="21"/>
  <c r="V89" i="21"/>
  <c r="V92" i="21"/>
  <c r="V95" i="21"/>
  <c r="X89" i="21"/>
  <c r="X92" i="21"/>
  <c r="X95" i="21"/>
  <c r="W126" i="21"/>
  <c r="W86" i="21"/>
  <c r="X126" i="21"/>
  <c r="X86" i="21"/>
  <c r="V126" i="21"/>
  <c r="V86" i="21"/>
  <c r="O44" i="23"/>
  <c r="J230" i="21"/>
  <c r="X142" i="21"/>
  <c r="X105" i="21"/>
  <c r="V142" i="21"/>
  <c r="V105" i="21"/>
  <c r="W118" i="21"/>
  <c r="W83" i="21"/>
  <c r="V118" i="21"/>
  <c r="V83" i="21"/>
  <c r="X118" i="21"/>
  <c r="X83" i="21"/>
  <c r="N44" i="23"/>
  <c r="I230" i="21"/>
  <c r="H324" i="21"/>
  <c r="H326" i="21"/>
  <c r="M328" i="21" s="1"/>
  <c r="H319" i="21"/>
  <c r="M321" i="21" s="1"/>
  <c r="I319" i="21"/>
  <c r="N321" i="21" s="1"/>
  <c r="I326" i="21"/>
  <c r="N328" i="21" s="1"/>
  <c r="I324" i="21"/>
  <c r="AS6" i="21"/>
  <c r="X165" i="21"/>
  <c r="X163" i="21"/>
  <c r="V165" i="21"/>
  <c r="V163" i="21"/>
  <c r="X146" i="21"/>
  <c r="X144" i="21"/>
  <c r="V146" i="21"/>
  <c r="V144" i="21"/>
  <c r="X122" i="21"/>
  <c r="X124" i="21"/>
  <c r="X77" i="21"/>
  <c r="X79" i="21"/>
  <c r="X81" i="21"/>
  <c r="X120" i="21"/>
  <c r="V103" i="21"/>
  <c r="V101" i="21"/>
  <c r="W77" i="21"/>
  <c r="W79" i="21"/>
  <c r="W81" i="21"/>
  <c r="W122" i="21"/>
  <c r="W120" i="21"/>
  <c r="W124" i="21"/>
  <c r="X103" i="21"/>
  <c r="X101" i="21"/>
  <c r="V124" i="21"/>
  <c r="V77" i="21"/>
  <c r="V122" i="21"/>
  <c r="V81" i="21"/>
  <c r="V120" i="21"/>
  <c r="V79" i="21"/>
  <c r="N45" i="23"/>
  <c r="O45" i="23"/>
  <c r="L44" i="23"/>
  <c r="K44" i="23" s="1"/>
  <c r="T7" i="37"/>
  <c r="I7" i="37"/>
  <c r="I232" i="21" l="1"/>
  <c r="N237" i="21"/>
  <c r="N234" i="21" s="1"/>
  <c r="J232" i="21"/>
  <c r="O237" i="21"/>
  <c r="O234" i="21" s="1"/>
  <c r="J186" i="21"/>
  <c r="O197" i="21" s="1"/>
  <c r="H333" i="21"/>
  <c r="H331" i="21"/>
  <c r="H274" i="21" s="1"/>
  <c r="I331" i="21"/>
  <c r="I274" i="21" s="1"/>
  <c r="I333" i="21"/>
  <c r="J210" i="21"/>
  <c r="J204" i="21"/>
  <c r="J208" i="21"/>
  <c r="O218" i="21" s="1"/>
  <c r="J206" i="21"/>
  <c r="O215" i="21" s="1"/>
  <c r="J182" i="21"/>
  <c r="O191" i="21" s="1"/>
  <c r="O200" i="21" s="1"/>
  <c r="J184" i="21"/>
  <c r="O194" i="21" s="1"/>
  <c r="K7" i="37"/>
  <c r="J7" i="37"/>
  <c r="L7" i="37"/>
  <c r="M7" i="37"/>
  <c r="G8" i="37"/>
  <c r="EJ17" i="34"/>
  <c r="DD64" i="34"/>
  <c r="DC64" i="34"/>
  <c r="DB64" i="34"/>
  <c r="DA64" i="34"/>
  <c r="CE64" i="34"/>
  <c r="BI64" i="34"/>
  <c r="DD63" i="34"/>
  <c r="DC63" i="34"/>
  <c r="DB63" i="34"/>
  <c r="DA63" i="34"/>
  <c r="CE63" i="34"/>
  <c r="BI63" i="34"/>
  <c r="DD62" i="34"/>
  <c r="DC62" i="34"/>
  <c r="DB62" i="34"/>
  <c r="DA62" i="34"/>
  <c r="CZ62" i="34"/>
  <c r="CY62" i="34"/>
  <c r="CX62" i="34"/>
  <c r="CW62" i="34"/>
  <c r="CV62" i="34"/>
  <c r="CE62" i="34"/>
  <c r="CD62" i="34"/>
  <c r="CC62" i="34"/>
  <c r="CB62" i="34"/>
  <c r="CA62" i="34"/>
  <c r="BZ62" i="34"/>
  <c r="BI62" i="34"/>
  <c r="BH62" i="34"/>
  <c r="BG62" i="34"/>
  <c r="BF62" i="34"/>
  <c r="BE62" i="34"/>
  <c r="BD62" i="34"/>
  <c r="DD61" i="34"/>
  <c r="DC61" i="34"/>
  <c r="DB61" i="34"/>
  <c r="DA61" i="34"/>
  <c r="CZ61" i="34"/>
  <c r="CY61" i="34"/>
  <c r="CV61" i="34"/>
  <c r="CU61" i="34"/>
  <c r="CM61" i="34"/>
  <c r="CE61" i="34"/>
  <c r="CD61" i="34"/>
  <c r="CC61" i="34"/>
  <c r="BZ61" i="34"/>
  <c r="BY61" i="34"/>
  <c r="BQ61" i="34"/>
  <c r="BI61" i="34"/>
  <c r="BH61" i="34"/>
  <c r="BG61" i="34"/>
  <c r="BD61" i="34"/>
  <c r="BC61" i="34"/>
  <c r="AU61" i="34"/>
  <c r="DD60" i="34"/>
  <c r="DC60" i="34"/>
  <c r="DB60" i="34"/>
  <c r="DA60" i="34"/>
  <c r="CZ60" i="34"/>
  <c r="CY60" i="34"/>
  <c r="CV60" i="34"/>
  <c r="CU60" i="34"/>
  <c r="CM60" i="34"/>
  <c r="CE60" i="34"/>
  <c r="CD60" i="34"/>
  <c r="CC60" i="34"/>
  <c r="BZ60" i="34"/>
  <c r="BY60" i="34"/>
  <c r="BQ60" i="34"/>
  <c r="BI60" i="34"/>
  <c r="BH60" i="34"/>
  <c r="BG60" i="34"/>
  <c r="BD60" i="34"/>
  <c r="BC60" i="34"/>
  <c r="AU60" i="34"/>
  <c r="DD59" i="34"/>
  <c r="DC59" i="34"/>
  <c r="DB59" i="34"/>
  <c r="DA59" i="34"/>
  <c r="CZ59" i="34"/>
  <c r="CY59" i="34"/>
  <c r="CX59" i="34"/>
  <c r="CW59" i="34"/>
  <c r="CV59" i="34"/>
  <c r="CU59" i="34"/>
  <c r="CT59" i="34"/>
  <c r="CS59" i="34"/>
  <c r="CN59" i="34"/>
  <c r="CM59" i="34"/>
  <c r="CL59" i="34"/>
  <c r="CK59" i="34"/>
  <c r="CJ59" i="34"/>
  <c r="CI59" i="34"/>
  <c r="CH59" i="34"/>
  <c r="CG59" i="34"/>
  <c r="CF59" i="34"/>
  <c r="CE59" i="34"/>
  <c r="CD59" i="34"/>
  <c r="CC59" i="34"/>
  <c r="CB59" i="34"/>
  <c r="CA59" i="34"/>
  <c r="BZ59" i="34"/>
  <c r="BY59" i="34"/>
  <c r="BX59" i="34"/>
  <c r="BW59" i="34"/>
  <c r="BR59" i="34"/>
  <c r="BQ59" i="34"/>
  <c r="BP59" i="34"/>
  <c r="BO59" i="34"/>
  <c r="BN59" i="34"/>
  <c r="BM59" i="34"/>
  <c r="BL59" i="34"/>
  <c r="BK59" i="34"/>
  <c r="BJ59" i="34"/>
  <c r="BI59" i="34"/>
  <c r="BH59" i="34"/>
  <c r="BG59" i="34"/>
  <c r="BF59" i="34"/>
  <c r="BE59" i="34"/>
  <c r="BD59" i="34"/>
  <c r="BC59" i="34"/>
  <c r="BB59" i="34"/>
  <c r="BA59" i="34"/>
  <c r="AV59" i="34"/>
  <c r="AU59" i="34"/>
  <c r="AT59" i="34"/>
  <c r="AS59" i="34"/>
  <c r="AR59" i="34"/>
  <c r="AQ59" i="34"/>
  <c r="AP59" i="34"/>
  <c r="AO59" i="34"/>
  <c r="AN59" i="34"/>
  <c r="O221" i="21" l="1"/>
  <c r="O224" i="21" s="1"/>
  <c r="O212" i="21"/>
  <c r="H276" i="21"/>
  <c r="M278" i="21" s="1"/>
  <c r="M335" i="21"/>
  <c r="I276" i="21"/>
  <c r="N278" i="21" s="1"/>
  <c r="N335" i="21"/>
  <c r="O240" i="21"/>
  <c r="O243" i="21" s="1"/>
  <c r="N240" i="21"/>
  <c r="N243" i="21" s="1"/>
  <c r="DL23" i="34"/>
  <c r="DG23" i="34"/>
  <c r="DH23" i="34" s="1"/>
  <c r="DI23" i="34"/>
  <c r="DO23" i="34" s="1"/>
  <c r="BV59" i="34" l="1"/>
  <c r="AX59" i="34"/>
  <c r="BU59" i="34"/>
  <c r="CR59" i="34"/>
  <c r="BT59" i="34"/>
  <c r="CP59" i="34"/>
  <c r="CQ59" i="34"/>
  <c r="BS59" i="34"/>
  <c r="CO59" i="34"/>
  <c r="AY59" i="34"/>
  <c r="AZ59" i="34"/>
  <c r="AW59" i="34"/>
  <c r="DQ23" i="34"/>
  <c r="CQ62" i="34"/>
  <c r="BS62" i="34"/>
  <c r="CP62" i="34"/>
  <c r="CO62" i="34"/>
  <c r="AZ62" i="34"/>
  <c r="AY62" i="34"/>
  <c r="BV62" i="34"/>
  <c r="AX62" i="34"/>
  <c r="BU62" i="34"/>
  <c r="AW62" i="34"/>
  <c r="CR62" i="34"/>
  <c r="BT62" i="34"/>
  <c r="DM23" i="34"/>
  <c r="EN23" i="34"/>
  <c r="EK23" i="34"/>
  <c r="EJ23" i="34"/>
  <c r="DN23" i="34" l="1"/>
  <c r="BU60" i="34"/>
  <c r="CQ60" i="34"/>
  <c r="AZ60" i="34"/>
  <c r="AY60" i="34"/>
  <c r="CR60" i="34"/>
  <c r="BV60" i="34"/>
  <c r="DR23" i="34"/>
  <c r="DJ42" i="34"/>
  <c r="DK42" i="34"/>
  <c r="DI42" i="34"/>
  <c r="CR61" i="34" l="1"/>
  <c r="AZ61" i="34"/>
  <c r="AY61" i="34"/>
  <c r="BV61" i="34"/>
  <c r="CQ61" i="34"/>
  <c r="BU61" i="34"/>
  <c r="C96" i="38" l="1"/>
  <c r="C129" i="38" s="1"/>
  <c r="C92" i="38"/>
  <c r="C128" i="38" s="1"/>
  <c r="C88" i="38"/>
  <c r="C85" i="38"/>
  <c r="C126" i="38" s="1"/>
  <c r="C81" i="38"/>
  <c r="C77" i="38"/>
  <c r="C73" i="38"/>
  <c r="C123" i="38" s="1"/>
  <c r="C70" i="38"/>
  <c r="C122" i="38" s="1"/>
  <c r="C66" i="38"/>
  <c r="C121" i="38" s="1"/>
  <c r="C62" i="38"/>
  <c r="C120" i="38" s="1"/>
  <c r="C58" i="38"/>
  <c r="C119" i="38" s="1"/>
  <c r="C55" i="38"/>
  <c r="C118" i="38" s="1"/>
  <c r="C51" i="38"/>
  <c r="C47" i="38"/>
  <c r="C116" i="38" s="1"/>
  <c r="C43" i="38"/>
  <c r="C115" i="38" s="1"/>
  <c r="C40" i="38"/>
  <c r="C114" i="38" s="1"/>
  <c r="C36" i="38"/>
  <c r="C32" i="38"/>
  <c r="C28" i="38"/>
  <c r="C25" i="38"/>
  <c r="C110" i="38" s="1"/>
  <c r="C21" i="38"/>
  <c r="C109" i="38" s="1"/>
  <c r="C17" i="38"/>
  <c r="C108" i="38" s="1"/>
  <c r="C13" i="38"/>
  <c r="C107" i="38" s="1"/>
  <c r="C10" i="38"/>
  <c r="C106" i="38" s="1"/>
  <c r="C7" i="38"/>
  <c r="C105" i="38"/>
  <c r="C113" i="38"/>
  <c r="C117" i="38"/>
  <c r="C125" i="38"/>
  <c r="B96" i="38"/>
  <c r="B92" i="38"/>
  <c r="B88" i="38"/>
  <c r="B85" i="38"/>
  <c r="B81" i="38"/>
  <c r="B77" i="38"/>
  <c r="B73" i="38"/>
  <c r="B70" i="38"/>
  <c r="B66" i="38"/>
  <c r="B62" i="38"/>
  <c r="B58" i="38"/>
  <c r="B55" i="38"/>
  <c r="B51" i="38"/>
  <c r="B47" i="38"/>
  <c r="B43" i="38"/>
  <c r="B40" i="38"/>
  <c r="B36" i="38"/>
  <c r="B32" i="38"/>
  <c r="B28" i="38"/>
  <c r="B25" i="38"/>
  <c r="B21" i="38"/>
  <c r="B17" i="38"/>
  <c r="B13" i="38"/>
  <c r="B10" i="38"/>
  <c r="B7" i="38"/>
  <c r="C111" i="38"/>
  <c r="C112" i="38"/>
  <c r="C124" i="38"/>
  <c r="C127" i="38"/>
  <c r="C98" i="36"/>
  <c r="C112" i="36"/>
  <c r="D127" i="35"/>
  <c r="D129" i="35"/>
  <c r="D134" i="35"/>
  <c r="D137" i="35"/>
  <c r="D142" i="35"/>
  <c r="D145" i="35"/>
  <c r="D150" i="35"/>
  <c r="D153" i="35"/>
  <c r="D156" i="35"/>
  <c r="D158" i="35"/>
  <c r="D161" i="35"/>
  <c r="D164" i="35"/>
  <c r="C118" i="35"/>
  <c r="C115" i="35"/>
  <c r="D163" i="35" s="1"/>
  <c r="C112" i="35"/>
  <c r="D162" i="35" s="1"/>
  <c r="C109" i="35"/>
  <c r="C106" i="35"/>
  <c r="D160" i="35" s="1"/>
  <c r="C103" i="35"/>
  <c r="D159" i="35" s="1"/>
  <c r="C100" i="35"/>
  <c r="C97" i="35"/>
  <c r="D157" i="35" s="1"/>
  <c r="C94" i="35"/>
  <c r="C91" i="35"/>
  <c r="D155" i="35" s="1"/>
  <c r="C88" i="35"/>
  <c r="D154" i="35" s="1"/>
  <c r="C85" i="35"/>
  <c r="C82" i="35"/>
  <c r="D152" i="35" s="1"/>
  <c r="C79" i="35"/>
  <c r="D151" i="35" s="1"/>
  <c r="C76" i="35"/>
  <c r="C73" i="35"/>
  <c r="D149" i="35" s="1"/>
  <c r="C70" i="35"/>
  <c r="D148" i="35" s="1"/>
  <c r="C67" i="35"/>
  <c r="D147" i="35" s="1"/>
  <c r="C64" i="35"/>
  <c r="D146" i="35" s="1"/>
  <c r="C61" i="35"/>
  <c r="C58" i="35"/>
  <c r="D144" i="35" s="1"/>
  <c r="C55" i="35"/>
  <c r="D143" i="35" s="1"/>
  <c r="C52" i="35"/>
  <c r="C49" i="35"/>
  <c r="D141" i="35" s="1"/>
  <c r="C46" i="35"/>
  <c r="D140" i="35" s="1"/>
  <c r="C43" i="35"/>
  <c r="D139" i="35" s="1"/>
  <c r="C40" i="35"/>
  <c r="D138" i="35" s="1"/>
  <c r="C37" i="35"/>
  <c r="C34" i="35"/>
  <c r="D136" i="35" s="1"/>
  <c r="C31" i="35"/>
  <c r="D135" i="35" s="1"/>
  <c r="C28" i="35"/>
  <c r="C25" i="35"/>
  <c r="D133" i="35" s="1"/>
  <c r="C22" i="35"/>
  <c r="D132" i="35" s="1"/>
  <c r="C19" i="35"/>
  <c r="D131" i="35" s="1"/>
  <c r="C16" i="35"/>
  <c r="D130" i="35" s="1"/>
  <c r="C13" i="35"/>
  <c r="C10" i="35"/>
  <c r="D128" i="35" s="1"/>
  <c r="C7" i="35"/>
  <c r="C89" i="37"/>
  <c r="C118" i="37" s="1"/>
  <c r="C85" i="37"/>
  <c r="C117" i="37" s="1"/>
  <c r="C81" i="37"/>
  <c r="C116" i="37" s="1"/>
  <c r="C77" i="37"/>
  <c r="C115" i="37" s="1"/>
  <c r="C74" i="37"/>
  <c r="C114" i="37" s="1"/>
  <c r="C70" i="37"/>
  <c r="C113" i="37" s="1"/>
  <c r="C66" i="37"/>
  <c r="C112" i="37" s="1"/>
  <c r="C62" i="37"/>
  <c r="C111" i="37" s="1"/>
  <c r="C59" i="37"/>
  <c r="C110" i="37" s="1"/>
  <c r="C55" i="37"/>
  <c r="C109" i="37" s="1"/>
  <c r="C51" i="37"/>
  <c r="C108" i="37" s="1"/>
  <c r="C47" i="37"/>
  <c r="C107" i="37" s="1"/>
  <c r="C44" i="37"/>
  <c r="C106" i="37" s="1"/>
  <c r="C40" i="37"/>
  <c r="C105" i="37" s="1"/>
  <c r="C36" i="37"/>
  <c r="C104" i="37" s="1"/>
  <c r="C32" i="37"/>
  <c r="C103" i="37" s="1"/>
  <c r="C29" i="37"/>
  <c r="C102" i="37" s="1"/>
  <c r="C25" i="37"/>
  <c r="C101" i="37" s="1"/>
  <c r="C21" i="37"/>
  <c r="C100" i="37" s="1"/>
  <c r="C17" i="37"/>
  <c r="C99" i="37" s="1"/>
  <c r="C14" i="37"/>
  <c r="C98" i="37" s="1"/>
  <c r="C10" i="37"/>
  <c r="C97" i="37" s="1"/>
  <c r="C85" i="36"/>
  <c r="C114" i="36" s="1"/>
  <c r="C81" i="36"/>
  <c r="C113" i="36" s="1"/>
  <c r="C77" i="36"/>
  <c r="C73" i="36"/>
  <c r="C111" i="36" s="1"/>
  <c r="C70" i="36"/>
  <c r="C110" i="36" s="1"/>
  <c r="C66" i="36"/>
  <c r="C109" i="36" s="1"/>
  <c r="C62" i="36"/>
  <c r="C108" i="36" s="1"/>
  <c r="C58" i="36"/>
  <c r="C107" i="36" s="1"/>
  <c r="C55" i="36"/>
  <c r="C106" i="36" s="1"/>
  <c r="C51" i="36"/>
  <c r="C105" i="36" s="1"/>
  <c r="C47" i="36"/>
  <c r="C104" i="36" s="1"/>
  <c r="C43" i="36"/>
  <c r="C103" i="36" s="1"/>
  <c r="C40" i="36"/>
  <c r="C102" i="36" s="1"/>
  <c r="C36" i="36"/>
  <c r="C101" i="36" s="1"/>
  <c r="C32" i="36"/>
  <c r="C100" i="36" s="1"/>
  <c r="C28" i="36"/>
  <c r="C99" i="36" s="1"/>
  <c r="C25" i="36"/>
  <c r="C21" i="36"/>
  <c r="C97" i="36" s="1"/>
  <c r="C17" i="36"/>
  <c r="C96" i="36" s="1"/>
  <c r="C13" i="36"/>
  <c r="C95" i="36" s="1"/>
  <c r="C10" i="36"/>
  <c r="C94" i="36" s="1"/>
  <c r="C7" i="36"/>
  <c r="C93" i="36" s="1"/>
  <c r="B85" i="36"/>
  <c r="B81" i="36"/>
  <c r="B77" i="36"/>
  <c r="B73" i="36"/>
  <c r="B70" i="36"/>
  <c r="B66" i="36"/>
  <c r="B62" i="36"/>
  <c r="B58" i="36"/>
  <c r="B55" i="36"/>
  <c r="B51" i="36"/>
  <c r="B47" i="36"/>
  <c r="B43" i="36"/>
  <c r="B40" i="36"/>
  <c r="B36" i="36"/>
  <c r="B32" i="36"/>
  <c r="B28" i="36"/>
  <c r="B25" i="36"/>
  <c r="B21" i="36"/>
  <c r="B17" i="36"/>
  <c r="B13" i="36"/>
  <c r="B10" i="36"/>
  <c r="B7" i="36"/>
  <c r="B118" i="35"/>
  <c r="C164" i="35" s="1"/>
  <c r="B115" i="35"/>
  <c r="C163" i="35" s="1"/>
  <c r="B112" i="35"/>
  <c r="C162" i="35" s="1"/>
  <c r="B109" i="35"/>
  <c r="C161" i="35" s="1"/>
  <c r="B106" i="35"/>
  <c r="F108" i="35" s="1"/>
  <c r="B103" i="35"/>
  <c r="B100" i="35"/>
  <c r="C158" i="35" s="1"/>
  <c r="B97" i="35"/>
  <c r="B94" i="35"/>
  <c r="B91" i="35"/>
  <c r="B88" i="35"/>
  <c r="B85" i="35"/>
  <c r="B82" i="35"/>
  <c r="B79" i="35"/>
  <c r="B76" i="35"/>
  <c r="B73" i="35"/>
  <c r="B70" i="35"/>
  <c r="B67" i="35"/>
  <c r="B64" i="35"/>
  <c r="B61" i="35"/>
  <c r="B49" i="35"/>
  <c r="B46" i="35"/>
  <c r="B43" i="35"/>
  <c r="B40" i="35"/>
  <c r="B37" i="35"/>
  <c r="B34" i="35"/>
  <c r="B31" i="35"/>
  <c r="T106" i="35"/>
  <c r="I106" i="35"/>
  <c r="T103" i="35"/>
  <c r="I103" i="35"/>
  <c r="I100" i="35"/>
  <c r="I97" i="35"/>
  <c r="I94" i="35"/>
  <c r="I91" i="35"/>
  <c r="I88" i="35"/>
  <c r="I85" i="35"/>
  <c r="T82" i="35"/>
  <c r="I82" i="35"/>
  <c r="T79" i="35"/>
  <c r="I79" i="35"/>
  <c r="C160" i="35" l="1"/>
  <c r="C151" i="35"/>
  <c r="C159" i="35"/>
  <c r="C152" i="35"/>
  <c r="C153" i="35"/>
  <c r="C154" i="35"/>
  <c r="C155" i="35"/>
  <c r="C156" i="35"/>
  <c r="C157" i="35"/>
  <c r="F90" i="35"/>
  <c r="F99" i="35"/>
  <c r="F93" i="35"/>
  <c r="F96" i="35"/>
  <c r="F81" i="35"/>
  <c r="F102" i="35"/>
  <c r="F84" i="35"/>
  <c r="F105" i="35"/>
  <c r="F87" i="35"/>
  <c r="A14" i="27"/>
  <c r="A15" i="27"/>
  <c r="A16" i="27"/>
  <c r="B129" i="38"/>
  <c r="B128" i="38"/>
  <c r="T96" i="38"/>
  <c r="I96" i="38"/>
  <c r="T92" i="38"/>
  <c r="I92" i="38"/>
  <c r="T88" i="38"/>
  <c r="I88" i="38"/>
  <c r="B114" i="38"/>
  <c r="B112" i="38"/>
  <c r="T85" i="38"/>
  <c r="I85" i="38"/>
  <c r="T81" i="38"/>
  <c r="I81" i="38"/>
  <c r="T77" i="38"/>
  <c r="I77" i="38"/>
  <c r="T73" i="38"/>
  <c r="I73" i="38"/>
  <c r="T70" i="38"/>
  <c r="I70" i="38"/>
  <c r="T66" i="38"/>
  <c r="I66" i="38"/>
  <c r="T62" i="38"/>
  <c r="I62" i="38"/>
  <c r="T58" i="38"/>
  <c r="I58" i="38"/>
  <c r="T55" i="38"/>
  <c r="I55" i="38"/>
  <c r="T51" i="38"/>
  <c r="I51" i="38"/>
  <c r="T47" i="38"/>
  <c r="I47" i="38"/>
  <c r="T43" i="38"/>
  <c r="I43" i="38"/>
  <c r="T40" i="38"/>
  <c r="I40" i="38"/>
  <c r="T36" i="38"/>
  <c r="I36" i="38"/>
  <c r="T32" i="38"/>
  <c r="I32" i="38"/>
  <c r="T28" i="38"/>
  <c r="I28" i="38"/>
  <c r="T25" i="38"/>
  <c r="I25" i="38"/>
  <c r="G25" i="38"/>
  <c r="G40" i="38" s="1"/>
  <c r="G55" i="38" s="1"/>
  <c r="G70" i="38" s="1"/>
  <c r="T21" i="38"/>
  <c r="I21" i="38"/>
  <c r="T17" i="38"/>
  <c r="I17" i="38"/>
  <c r="T13" i="38"/>
  <c r="I13" i="38"/>
  <c r="T10" i="38"/>
  <c r="I10" i="38"/>
  <c r="T7" i="38"/>
  <c r="I7" i="38"/>
  <c r="G25" i="36"/>
  <c r="G40" i="36" s="1"/>
  <c r="G55" i="36" s="1"/>
  <c r="G70" i="36" s="1"/>
  <c r="I85" i="36"/>
  <c r="I81" i="36"/>
  <c r="I77" i="36"/>
  <c r="I73" i="36"/>
  <c r="I70" i="36"/>
  <c r="I66" i="36"/>
  <c r="I62" i="36"/>
  <c r="I58" i="36"/>
  <c r="I55" i="36"/>
  <c r="I51" i="36"/>
  <c r="I47" i="36"/>
  <c r="I43" i="36"/>
  <c r="I40" i="36"/>
  <c r="I36" i="36"/>
  <c r="I32" i="36"/>
  <c r="I28" i="36"/>
  <c r="I25" i="36"/>
  <c r="I21" i="36"/>
  <c r="I17" i="36"/>
  <c r="I13" i="36"/>
  <c r="I10" i="36"/>
  <c r="I7" i="36"/>
  <c r="I89" i="37"/>
  <c r="I85" i="37"/>
  <c r="I81" i="37"/>
  <c r="I77" i="37"/>
  <c r="I74" i="37"/>
  <c r="I70" i="37"/>
  <c r="I66" i="37"/>
  <c r="I62" i="37"/>
  <c r="I59" i="37"/>
  <c r="I55" i="37"/>
  <c r="I51" i="37"/>
  <c r="I47" i="37"/>
  <c r="I44" i="37"/>
  <c r="I40" i="37"/>
  <c r="I36" i="37"/>
  <c r="I32" i="37"/>
  <c r="I29" i="37"/>
  <c r="I25" i="37"/>
  <c r="I21" i="37"/>
  <c r="I17" i="37"/>
  <c r="I14" i="37"/>
  <c r="I10" i="37"/>
  <c r="DH38" i="34"/>
  <c r="DG38" i="34"/>
  <c r="DH39" i="34"/>
  <c r="DG39" i="34"/>
  <c r="DH40" i="34"/>
  <c r="DG40" i="34"/>
  <c r="DH29" i="34"/>
  <c r="DG29" i="34"/>
  <c r="DH21" i="34"/>
  <c r="DH22" i="34"/>
  <c r="DG22" i="34"/>
  <c r="DG21" i="34"/>
  <c r="DB57" i="34"/>
  <c r="DC57" i="34"/>
  <c r="DB48" i="34"/>
  <c r="DC48" i="34"/>
  <c r="G29" i="37"/>
  <c r="G44" i="37" s="1"/>
  <c r="G59" i="37" s="1"/>
  <c r="G74" i="37" s="1"/>
  <c r="I118" i="35"/>
  <c r="I115" i="35"/>
  <c r="I112" i="35"/>
  <c r="I109" i="35"/>
  <c r="I76" i="35"/>
  <c r="I73" i="35"/>
  <c r="I70" i="35"/>
  <c r="I67" i="35"/>
  <c r="I64" i="35"/>
  <c r="I61" i="35"/>
  <c r="I58" i="35"/>
  <c r="I55" i="35"/>
  <c r="I52" i="35"/>
  <c r="I49" i="35"/>
  <c r="I46" i="35"/>
  <c r="I43" i="35"/>
  <c r="I40" i="35"/>
  <c r="I37" i="35"/>
  <c r="I34" i="35"/>
  <c r="I31" i="35"/>
  <c r="I28" i="35"/>
  <c r="I25" i="35"/>
  <c r="I22" i="35"/>
  <c r="I19" i="35"/>
  <c r="I16" i="35"/>
  <c r="I13" i="35"/>
  <c r="I10" i="35"/>
  <c r="I7" i="35"/>
  <c r="DV41" i="34"/>
  <c r="DV42" i="34"/>
  <c r="DV43" i="34"/>
  <c r="ER40" i="34"/>
  <c r="ER39" i="34"/>
  <c r="ER38" i="34"/>
  <c r="DV9" i="34"/>
  <c r="DV10" i="34"/>
  <c r="DV11" i="34"/>
  <c r="DV12" i="34"/>
  <c r="DV8" i="34"/>
  <c r="B89" i="37"/>
  <c r="B85" i="37"/>
  <c r="B81" i="37"/>
  <c r="B77" i="37"/>
  <c r="B74" i="37"/>
  <c r="B70" i="37"/>
  <c r="B113" i="37" s="1"/>
  <c r="B66" i="37"/>
  <c r="B62" i="37"/>
  <c r="B59" i="37"/>
  <c r="B55" i="37"/>
  <c r="B51" i="37"/>
  <c r="B108" i="37" s="1"/>
  <c r="B47" i="37"/>
  <c r="B44" i="37"/>
  <c r="B106" i="37" s="1"/>
  <c r="B40" i="37"/>
  <c r="B36" i="37"/>
  <c r="B32" i="37"/>
  <c r="B103" i="37" s="1"/>
  <c r="B29" i="37"/>
  <c r="B25" i="37"/>
  <c r="B21" i="37"/>
  <c r="B17" i="37"/>
  <c r="B14" i="37"/>
  <c r="B98" i="37" s="1"/>
  <c r="B10" i="37"/>
  <c r="F120" i="35"/>
  <c r="F117" i="35"/>
  <c r="F114" i="35"/>
  <c r="F111" i="35"/>
  <c r="F78" i="35"/>
  <c r="F75" i="35"/>
  <c r="F72" i="35"/>
  <c r="F69" i="35"/>
  <c r="F66" i="35"/>
  <c r="F63" i="35"/>
  <c r="B58" i="35"/>
  <c r="F60" i="35" s="1"/>
  <c r="B55" i="35"/>
  <c r="F57" i="35" s="1"/>
  <c r="B52" i="35"/>
  <c r="F54" i="35" s="1"/>
  <c r="F51" i="35"/>
  <c r="F48" i="35"/>
  <c r="F45" i="35"/>
  <c r="F42" i="35"/>
  <c r="F39" i="35"/>
  <c r="F36" i="35"/>
  <c r="F33" i="35"/>
  <c r="B28" i="35"/>
  <c r="F30" i="35" s="1"/>
  <c r="B25" i="35"/>
  <c r="F27" i="35" s="1"/>
  <c r="B22" i="35"/>
  <c r="F24" i="35" s="1"/>
  <c r="B19" i="35"/>
  <c r="F21" i="35" s="1"/>
  <c r="B16" i="35"/>
  <c r="F18" i="35" s="1"/>
  <c r="B13" i="35"/>
  <c r="F15" i="35" s="1"/>
  <c r="B10" i="35"/>
  <c r="F12" i="35" s="1"/>
  <c r="B7" i="35"/>
  <c r="F9" i="35" s="1"/>
  <c r="T89" i="37"/>
  <c r="T85" i="37"/>
  <c r="T81" i="37"/>
  <c r="T77" i="37"/>
  <c r="T74" i="37"/>
  <c r="T70" i="37"/>
  <c r="T66" i="37"/>
  <c r="T62" i="37"/>
  <c r="T59" i="37"/>
  <c r="T55" i="37"/>
  <c r="T51" i="37"/>
  <c r="T47" i="37"/>
  <c r="T44" i="37"/>
  <c r="T40" i="37"/>
  <c r="T36" i="37"/>
  <c r="T32" i="37"/>
  <c r="T29" i="37"/>
  <c r="T25" i="37"/>
  <c r="T21" i="37"/>
  <c r="T17" i="37"/>
  <c r="T14" i="37"/>
  <c r="T10" i="37"/>
  <c r="T85" i="36"/>
  <c r="T81" i="36"/>
  <c r="T77" i="36"/>
  <c r="B112" i="36"/>
  <c r="T73" i="36"/>
  <c r="B111" i="36"/>
  <c r="T70" i="36"/>
  <c r="B110" i="36"/>
  <c r="T66" i="36"/>
  <c r="B109" i="36"/>
  <c r="T62" i="36"/>
  <c r="B108" i="36"/>
  <c r="T58" i="36"/>
  <c r="B107" i="36"/>
  <c r="T55" i="36"/>
  <c r="T51" i="36"/>
  <c r="T47" i="36"/>
  <c r="T43" i="36"/>
  <c r="B103" i="36"/>
  <c r="T40" i="36"/>
  <c r="B102" i="36"/>
  <c r="T36" i="36"/>
  <c r="B101" i="36"/>
  <c r="T32" i="36"/>
  <c r="B100" i="36"/>
  <c r="T28" i="36"/>
  <c r="B99" i="36"/>
  <c r="T25" i="36"/>
  <c r="T21" i="36"/>
  <c r="T17" i="36"/>
  <c r="T13" i="36"/>
  <c r="B95" i="36"/>
  <c r="T10" i="36"/>
  <c r="B94" i="36"/>
  <c r="T7" i="36"/>
  <c r="K10" i="27"/>
  <c r="B97" i="37" l="1"/>
  <c r="B93" i="36"/>
  <c r="B96" i="36"/>
  <c r="B104" i="36"/>
  <c r="B97" i="36"/>
  <c r="B105" i="36"/>
  <c r="B113" i="36"/>
  <c r="B98" i="36"/>
  <c r="B106" i="36"/>
  <c r="B114" i="36"/>
  <c r="B122" i="38"/>
  <c r="B127" i="38"/>
  <c r="B120" i="38"/>
  <c r="B105" i="38"/>
  <c r="B113" i="38"/>
  <c r="B121" i="38"/>
  <c r="B106" i="38"/>
  <c r="B107" i="38"/>
  <c r="B115" i="38"/>
  <c r="B123" i="38"/>
  <c r="B108" i="38"/>
  <c r="B116" i="38"/>
  <c r="B124" i="38"/>
  <c r="B109" i="38"/>
  <c r="B117" i="38"/>
  <c r="B125" i="38"/>
  <c r="B110" i="38"/>
  <c r="B118" i="38"/>
  <c r="B126" i="38"/>
  <c r="B111" i="38"/>
  <c r="B119" i="38"/>
  <c r="B111" i="37"/>
  <c r="B104" i="37"/>
  <c r="B112" i="37"/>
  <c r="B114" i="37"/>
  <c r="B99" i="37"/>
  <c r="B107" i="37"/>
  <c r="B115" i="37"/>
  <c r="B100" i="37"/>
  <c r="B116" i="37"/>
  <c r="B101" i="37"/>
  <c r="B109" i="37"/>
  <c r="B117" i="37"/>
  <c r="B105" i="37"/>
  <c r="B102" i="37"/>
  <c r="B110" i="37"/>
  <c r="B118" i="37"/>
  <c r="DV29" i="34"/>
  <c r="DW37" i="34"/>
  <c r="DI36" i="34"/>
  <c r="DH36" i="34"/>
  <c r="DG36" i="34"/>
  <c r="DF36" i="34"/>
  <c r="DI37" i="34"/>
  <c r="DO37" i="34" s="1"/>
  <c r="DF37" i="34"/>
  <c r="P4" i="26"/>
  <c r="DG4" i="34"/>
  <c r="DH4" i="34"/>
  <c r="DI4" i="34"/>
  <c r="DJ4" i="34"/>
  <c r="DK4" i="34"/>
  <c r="DL4" i="34"/>
  <c r="DM4" i="34"/>
  <c r="DN4" i="34"/>
  <c r="DO4" i="34"/>
  <c r="DQ4" i="34"/>
  <c r="DR4" i="34"/>
  <c r="DG5" i="34"/>
  <c r="DH5" i="34"/>
  <c r="DI5" i="34"/>
  <c r="DJ5" i="34"/>
  <c r="DK5" i="34"/>
  <c r="DL5" i="34"/>
  <c r="DM5" i="34"/>
  <c r="DN5" i="34"/>
  <c r="DO5" i="34"/>
  <c r="DQ5" i="34"/>
  <c r="DR5" i="34"/>
  <c r="DG6" i="34"/>
  <c r="DH6" i="34"/>
  <c r="DI6" i="34"/>
  <c r="DJ6" i="34"/>
  <c r="DK6" i="34"/>
  <c r="DL6" i="34"/>
  <c r="DM6" i="34"/>
  <c r="DN6" i="34"/>
  <c r="DO6" i="34"/>
  <c r="DQ6" i="34"/>
  <c r="DR6" i="34"/>
  <c r="DG7" i="34"/>
  <c r="DH7" i="34"/>
  <c r="DI7" i="34"/>
  <c r="DJ7" i="34"/>
  <c r="DK7" i="34"/>
  <c r="DL7" i="34"/>
  <c r="DM7" i="34"/>
  <c r="DN7" i="34"/>
  <c r="DO7" i="34"/>
  <c r="DQ7" i="34"/>
  <c r="DR7" i="34"/>
  <c r="DG13" i="34"/>
  <c r="DH13" i="34"/>
  <c r="DI13" i="34"/>
  <c r="DG14" i="34"/>
  <c r="DH14" i="34"/>
  <c r="DI14" i="34"/>
  <c r="DG15" i="34"/>
  <c r="DH15" i="34"/>
  <c r="DI15" i="34"/>
  <c r="DG16" i="34"/>
  <c r="DH16" i="34"/>
  <c r="DI16" i="34"/>
  <c r="DG17" i="34"/>
  <c r="DH17" i="34"/>
  <c r="DI17" i="34"/>
  <c r="DQ17" i="34" s="1"/>
  <c r="DR17" i="34" s="1"/>
  <c r="DG18" i="34"/>
  <c r="DM18" i="34" s="1"/>
  <c r="DH18" i="34"/>
  <c r="DN18" i="34" s="1"/>
  <c r="DG24" i="34"/>
  <c r="DH24" i="34"/>
  <c r="DI24" i="34"/>
  <c r="DG25" i="34"/>
  <c r="DH25" i="34"/>
  <c r="DI25" i="34"/>
  <c r="DG26" i="34"/>
  <c r="DM26" i="34" s="1"/>
  <c r="DH26" i="34"/>
  <c r="DN26" i="34" s="1"/>
  <c r="DG30" i="34"/>
  <c r="DH30" i="34"/>
  <c r="DI30" i="34"/>
  <c r="DJ30" i="34"/>
  <c r="DK30" i="34"/>
  <c r="DL30" i="34"/>
  <c r="DM30" i="34"/>
  <c r="DN30" i="34"/>
  <c r="DO30" i="34"/>
  <c r="DF5" i="34"/>
  <c r="DF6" i="34"/>
  <c r="DF7" i="34"/>
  <c r="DF13" i="34"/>
  <c r="DF14" i="34"/>
  <c r="DF15" i="34"/>
  <c r="DF16" i="34"/>
  <c r="DF17" i="34"/>
  <c r="DF18" i="34"/>
  <c r="DF21" i="34"/>
  <c r="DF22" i="34"/>
  <c r="DF24" i="34"/>
  <c r="DF25" i="34"/>
  <c r="DF26" i="34"/>
  <c r="DF29" i="34"/>
  <c r="DF30" i="34"/>
  <c r="DF4" i="34"/>
  <c r="DV36" i="34"/>
  <c r="DF50" i="34"/>
  <c r="DG50" i="34" s="1"/>
  <c r="DH50" i="34" s="1"/>
  <c r="DF49" i="34"/>
  <c r="T51" i="26"/>
  <c r="T50" i="26"/>
  <c r="DQ37" i="34" l="1"/>
  <c r="AV60" i="34"/>
  <c r="CN60" i="34"/>
  <c r="BR60" i="34"/>
  <c r="CN61" i="34"/>
  <c r="L36" i="38" s="1"/>
  <c r="BR61" i="34"/>
  <c r="AV61" i="34"/>
  <c r="K66" i="38"/>
  <c r="K81" i="38"/>
  <c r="DL22" i="34"/>
  <c r="L81" i="38"/>
  <c r="L66" i="38"/>
  <c r="DL36" i="34"/>
  <c r="DO36" i="34"/>
  <c r="CD50" i="34"/>
  <c r="BD50" i="34"/>
  <c r="CV50" i="34"/>
  <c r="BH50" i="34"/>
  <c r="CZ50" i="34"/>
  <c r="BZ50" i="34"/>
  <c r="BA50" i="34"/>
  <c r="BO50" i="34"/>
  <c r="CS50" i="34"/>
  <c r="AN50" i="34"/>
  <c r="CF50" i="34"/>
  <c r="BJ50" i="34"/>
  <c r="CO50" i="34"/>
  <c r="BK50" i="34"/>
  <c r="BS50" i="34"/>
  <c r="AS50" i="34"/>
  <c r="AW50" i="34"/>
  <c r="BW50" i="34"/>
  <c r="AO50" i="34"/>
  <c r="CK50" i="34"/>
  <c r="CG50" i="34"/>
  <c r="DL26" i="34"/>
  <c r="AZ50" i="34"/>
  <c r="BN50" i="34"/>
  <c r="CR50" i="34"/>
  <c r="BR50" i="34"/>
  <c r="AR50" i="34"/>
  <c r="BV50" i="34"/>
  <c r="CJ50" i="34"/>
  <c r="AV50" i="34"/>
  <c r="CN50" i="34"/>
  <c r="CW50" i="34"/>
  <c r="BE50" i="34"/>
  <c r="CA50" i="34"/>
  <c r="L51" i="38"/>
  <c r="DL29" i="34"/>
  <c r="BE56" i="34"/>
  <c r="BE47" i="34"/>
  <c r="CA56" i="34"/>
  <c r="CW56" i="34"/>
  <c r="CW47" i="34"/>
  <c r="CA47" i="34"/>
  <c r="DL21" i="34"/>
  <c r="K36" i="38"/>
  <c r="K51" i="38"/>
  <c r="DL18" i="34"/>
  <c r="DL37" i="34"/>
  <c r="DF51" i="34"/>
  <c r="DG49" i="34"/>
  <c r="DH49" i="34" s="1"/>
  <c r="DM37" i="34" l="1"/>
  <c r="DR37" i="34"/>
  <c r="DM22" i="34"/>
  <c r="DQ36" i="34"/>
  <c r="DM36" i="34"/>
  <c r="J81" i="38"/>
  <c r="J66" i="38"/>
  <c r="DM29" i="34"/>
  <c r="J70" i="38"/>
  <c r="J51" i="38"/>
  <c r="J21" i="38"/>
  <c r="J36" i="38"/>
  <c r="DM21" i="34"/>
  <c r="J55" i="38"/>
  <c r="J10" i="38"/>
  <c r="J10" i="37"/>
  <c r="J7" i="38"/>
  <c r="J25" i="38"/>
  <c r="J40" i="38"/>
  <c r="DN44" i="34"/>
  <c r="DM44" i="34"/>
  <c r="DL44" i="34"/>
  <c r="DF43" i="34"/>
  <c r="DH46" i="34"/>
  <c r="DG46" i="34"/>
  <c r="DS17" i="34"/>
  <c r="DT17" i="34"/>
  <c r="DU17" i="34"/>
  <c r="DV17" i="34"/>
  <c r="DW17" i="34"/>
  <c r="DY17" i="34"/>
  <c r="DZ17" i="34"/>
  <c r="EA17" i="34"/>
  <c r="EB17" i="34"/>
  <c r="DT18" i="34"/>
  <c r="DU18" i="34"/>
  <c r="DU25" i="34" s="1"/>
  <c r="DW18" i="34"/>
  <c r="DW25" i="34" s="1"/>
  <c r="DY18" i="34"/>
  <c r="DY25" i="34" s="1"/>
  <c r="EA18" i="34"/>
  <c r="EB18" i="34"/>
  <c r="DS19" i="34"/>
  <c r="DT19" i="34"/>
  <c r="DU19" i="34"/>
  <c r="DU26" i="34" s="1"/>
  <c r="DW19" i="34"/>
  <c r="DW26" i="34" s="1"/>
  <c r="DY19" i="34"/>
  <c r="DY26" i="34" s="1"/>
  <c r="EA19" i="34"/>
  <c r="EB19" i="34"/>
  <c r="DS20" i="34"/>
  <c r="DT20" i="34"/>
  <c r="DU20" i="34"/>
  <c r="DU27" i="34" s="1"/>
  <c r="DW20" i="34"/>
  <c r="DW27" i="34" s="1"/>
  <c r="DY20" i="34"/>
  <c r="DY27" i="34" s="1"/>
  <c r="EA20" i="34"/>
  <c r="EB20" i="34"/>
  <c r="DS21" i="34"/>
  <c r="DT21" i="34"/>
  <c r="DU21" i="34"/>
  <c r="DU28" i="34" s="1"/>
  <c r="DV21" i="34"/>
  <c r="DW21" i="34"/>
  <c r="DW28" i="34" s="1"/>
  <c r="DY21" i="34"/>
  <c r="DY28" i="34" s="1"/>
  <c r="DZ21" i="34"/>
  <c r="EA21" i="34"/>
  <c r="EB21" i="34"/>
  <c r="DS22" i="34"/>
  <c r="DT22" i="34"/>
  <c r="DU22" i="34"/>
  <c r="DU29" i="34" s="1"/>
  <c r="DW22" i="34"/>
  <c r="DW29" i="34" s="1"/>
  <c r="DX22" i="34"/>
  <c r="DY22" i="34"/>
  <c r="DY29" i="34" s="1"/>
  <c r="DZ22" i="34"/>
  <c r="EA22" i="34"/>
  <c r="EB22" i="34"/>
  <c r="EB24" i="34"/>
  <c r="DS25" i="34"/>
  <c r="DT25" i="34"/>
  <c r="EA25" i="34"/>
  <c r="EB25" i="34"/>
  <c r="DS26" i="34"/>
  <c r="DT26" i="34"/>
  <c r="EA26" i="34"/>
  <c r="EB26" i="34"/>
  <c r="DS27" i="34"/>
  <c r="DT27" i="34"/>
  <c r="EA27" i="34"/>
  <c r="EB27" i="34"/>
  <c r="DS28" i="34"/>
  <c r="DT28" i="34"/>
  <c r="EA28" i="34"/>
  <c r="EB28" i="34"/>
  <c r="DS29" i="34"/>
  <c r="DT29" i="34"/>
  <c r="EA29" i="34"/>
  <c r="EB29" i="34"/>
  <c r="DG31" i="34"/>
  <c r="DH31" i="34"/>
  <c r="DI31" i="34"/>
  <c r="DL31" i="34"/>
  <c r="DM31" i="34"/>
  <c r="DN31" i="34"/>
  <c r="DO31" i="34"/>
  <c r="DS31" i="34"/>
  <c r="DT31" i="34"/>
  <c r="DU31" i="34"/>
  <c r="DV31" i="34"/>
  <c r="DW31" i="34"/>
  <c r="DX31" i="34"/>
  <c r="DY31" i="34"/>
  <c r="DZ31" i="34"/>
  <c r="EA31" i="34"/>
  <c r="EB31" i="34"/>
  <c r="DG32" i="34"/>
  <c r="DH32" i="34"/>
  <c r="DI32" i="34"/>
  <c r="DL32" i="34"/>
  <c r="J88" i="38" s="1"/>
  <c r="DM32" i="34"/>
  <c r="K88" i="38" s="1"/>
  <c r="DN32" i="34"/>
  <c r="L88" i="38" s="1"/>
  <c r="DO32" i="34"/>
  <c r="M88" i="38" s="1"/>
  <c r="DS32" i="34"/>
  <c r="DB66" i="34" s="1"/>
  <c r="DT32" i="34"/>
  <c r="DU32" i="34"/>
  <c r="DV32" i="34"/>
  <c r="DZ32" i="34"/>
  <c r="EA32" i="34"/>
  <c r="EB32" i="34"/>
  <c r="DB67" i="34" s="1"/>
  <c r="DG33" i="34"/>
  <c r="DH33" i="34"/>
  <c r="DI33" i="34"/>
  <c r="DL33" i="34"/>
  <c r="J92" i="38" s="1"/>
  <c r="DM33" i="34"/>
  <c r="K92" i="38" s="1"/>
  <c r="DN33" i="34"/>
  <c r="L92" i="38" s="1"/>
  <c r="DO33" i="34"/>
  <c r="M92" i="38" s="1"/>
  <c r="DS33" i="34"/>
  <c r="DC66" i="34" s="1"/>
  <c r="DT33" i="34"/>
  <c r="DU33" i="34"/>
  <c r="DV33" i="34"/>
  <c r="DZ33" i="34"/>
  <c r="EA33" i="34"/>
  <c r="EB33" i="34"/>
  <c r="DC67" i="34" s="1"/>
  <c r="DG34" i="34"/>
  <c r="DH34" i="34"/>
  <c r="DI34" i="34"/>
  <c r="DL34" i="34"/>
  <c r="J96" i="38" s="1"/>
  <c r="DM34" i="34"/>
  <c r="K96" i="38" s="1"/>
  <c r="DN34" i="34"/>
  <c r="L96" i="38" s="1"/>
  <c r="DO34" i="34"/>
  <c r="M96" i="38" s="1"/>
  <c r="DS34" i="34"/>
  <c r="DD66" i="34" s="1"/>
  <c r="DT34" i="34"/>
  <c r="DU34" i="34"/>
  <c r="DV34" i="34"/>
  <c r="DW34" i="34"/>
  <c r="DX34" i="34"/>
  <c r="DZ34" i="34"/>
  <c r="EA34" i="34"/>
  <c r="EB34" i="34"/>
  <c r="DD67" i="34" s="1"/>
  <c r="DG35" i="34"/>
  <c r="DH35" i="34"/>
  <c r="DI35" i="34"/>
  <c r="DL35" i="34"/>
  <c r="DM35" i="34"/>
  <c r="DN35" i="34"/>
  <c r="DO35" i="34"/>
  <c r="DS35" i="34"/>
  <c r="DT35" i="34"/>
  <c r="DU35" i="34"/>
  <c r="DV35" i="34"/>
  <c r="DW35" i="34"/>
  <c r="DX35" i="34"/>
  <c r="DY35" i="34"/>
  <c r="DZ35" i="34"/>
  <c r="EA35" i="34"/>
  <c r="EB35" i="34"/>
  <c r="DG37" i="34"/>
  <c r="DH37" i="34"/>
  <c r="DS36" i="34"/>
  <c r="DT36" i="34"/>
  <c r="DW36" i="34"/>
  <c r="DY36" i="34"/>
  <c r="DZ36" i="34"/>
  <c r="EA36" i="34"/>
  <c r="EB36" i="34"/>
  <c r="DI38" i="34"/>
  <c r="DS38" i="34"/>
  <c r="DT38" i="34"/>
  <c r="DV38" i="34" s="1"/>
  <c r="DW38" i="34"/>
  <c r="DX38" i="34"/>
  <c r="DY38" i="34"/>
  <c r="DZ38" i="34"/>
  <c r="EA38" i="34"/>
  <c r="EB38" i="34"/>
  <c r="DI39" i="34"/>
  <c r="DO39" i="34" s="1"/>
  <c r="DQ39" i="34" s="1"/>
  <c r="DS39" i="34"/>
  <c r="DT39" i="34"/>
  <c r="DV39" i="34" s="1"/>
  <c r="DW39" i="34"/>
  <c r="DX39" i="34"/>
  <c r="DY39" i="34"/>
  <c r="DZ39" i="34"/>
  <c r="EA39" i="34"/>
  <c r="EB39" i="34"/>
  <c r="DI40" i="34"/>
  <c r="DO40" i="34" s="1"/>
  <c r="AA62" i="34" s="1"/>
  <c r="DS40" i="34"/>
  <c r="DT40" i="34"/>
  <c r="DV40" i="34" s="1"/>
  <c r="DW40" i="34"/>
  <c r="DX40" i="34"/>
  <c r="DY40" i="34"/>
  <c r="DZ40" i="34"/>
  <c r="EA40" i="34"/>
  <c r="EB40" i="34"/>
  <c r="DS41" i="34"/>
  <c r="DT41" i="34"/>
  <c r="DW41" i="34"/>
  <c r="DX41" i="34"/>
  <c r="DY41" i="34"/>
  <c r="DZ41" i="34"/>
  <c r="EA41" i="34"/>
  <c r="EB41" i="34"/>
  <c r="DS42" i="34"/>
  <c r="DT42" i="34"/>
  <c r="DW42" i="34"/>
  <c r="DX42" i="34"/>
  <c r="DY42" i="34"/>
  <c r="DZ42" i="34"/>
  <c r="EA42" i="34"/>
  <c r="EB42" i="34"/>
  <c r="DS43" i="34"/>
  <c r="DT43" i="34"/>
  <c r="DU43" i="34"/>
  <c r="DW43" i="34"/>
  <c r="DX43" i="34"/>
  <c r="DY43" i="34"/>
  <c r="DZ43" i="34"/>
  <c r="EA43" i="34"/>
  <c r="EB43" i="34"/>
  <c r="DI44" i="34"/>
  <c r="DZ44" i="34"/>
  <c r="DF31" i="34"/>
  <c r="DF32" i="34"/>
  <c r="DB50" i="34" s="1"/>
  <c r="DF33" i="34"/>
  <c r="DC50" i="34" s="1"/>
  <c r="DF34" i="34"/>
  <c r="DD50" i="34" s="1"/>
  <c r="DF35" i="34"/>
  <c r="DF38" i="34"/>
  <c r="DF39" i="34"/>
  <c r="DF40" i="34"/>
  <c r="DF41" i="34"/>
  <c r="DI41" i="34" s="1"/>
  <c r="DF42" i="34"/>
  <c r="EK44" i="34"/>
  <c r="EL44" i="34"/>
  <c r="EK43" i="34"/>
  <c r="EK55" i="34" s="1"/>
  <c r="EM43" i="34"/>
  <c r="EK42" i="34"/>
  <c r="EH42" i="34"/>
  <c r="EL42" i="34" s="1"/>
  <c r="EK41" i="34"/>
  <c r="EH41" i="34"/>
  <c r="EL41" i="34" s="1"/>
  <c r="EN40" i="34"/>
  <c r="EK40" i="34"/>
  <c r="EN39" i="34"/>
  <c r="EK39" i="34"/>
  <c r="EN38" i="34"/>
  <c r="EK38" i="34"/>
  <c r="EK29" i="34"/>
  <c r="EN29" i="34" s="1"/>
  <c r="EJ29" i="34"/>
  <c r="DI29" i="34" s="1"/>
  <c r="EK22" i="34"/>
  <c r="DI22" i="34"/>
  <c r="ET21" i="34"/>
  <c r="EK21" i="34"/>
  <c r="EN21" i="34" s="1"/>
  <c r="EJ21" i="34"/>
  <c r="DI21" i="34" s="1"/>
  <c r="ER20" i="34"/>
  <c r="EV20" i="34" s="1"/>
  <c r="DZ20" i="34" s="1"/>
  <c r="ER19" i="34"/>
  <c r="EV19" i="34" s="1"/>
  <c r="DZ19" i="34" s="1"/>
  <c r="EG19" i="34"/>
  <c r="ER18" i="34"/>
  <c r="DV18" i="34" s="1"/>
  <c r="EO18" i="34"/>
  <c r="DS18" i="34" s="1"/>
  <c r="EJ18" i="34"/>
  <c r="DI18" i="34" s="1"/>
  <c r="EN17" i="34"/>
  <c r="EK17" i="34"/>
  <c r="EN18" i="34" s="1"/>
  <c r="EJ8" i="34"/>
  <c r="EK8" i="34"/>
  <c r="EN8" i="34" s="1"/>
  <c r="ER8" i="34"/>
  <c r="EJ9" i="34"/>
  <c r="EK9" i="34"/>
  <c r="EN9" i="34" s="1"/>
  <c r="ER9" i="34"/>
  <c r="EJ10" i="34"/>
  <c r="EK10" i="34"/>
  <c r="EN10" i="34" s="1"/>
  <c r="EN11" i="34" s="1"/>
  <c r="ER10" i="34"/>
  <c r="EG11" i="34"/>
  <c r="EK11" i="34" s="1"/>
  <c r="ER11" i="34"/>
  <c r="EJ12" i="34"/>
  <c r="EK12" i="34"/>
  <c r="EN12" i="34" s="1"/>
  <c r="ER12" i="34"/>
  <c r="T118" i="35"/>
  <c r="T115" i="35"/>
  <c r="T112" i="35"/>
  <c r="T109" i="35"/>
  <c r="C150" i="35"/>
  <c r="T76" i="35"/>
  <c r="C149" i="35"/>
  <c r="C148" i="35"/>
  <c r="C147" i="35"/>
  <c r="C146" i="35"/>
  <c r="C145" i="35"/>
  <c r="C144" i="35"/>
  <c r="C143" i="35"/>
  <c r="C142" i="35"/>
  <c r="C141" i="35"/>
  <c r="C140" i="35"/>
  <c r="C139" i="35"/>
  <c r="C138" i="35"/>
  <c r="C137" i="35"/>
  <c r="C136" i="35"/>
  <c r="C135" i="35"/>
  <c r="C134" i="35"/>
  <c r="C133" i="35"/>
  <c r="C132" i="35"/>
  <c r="C131" i="35"/>
  <c r="C130" i="35"/>
  <c r="C129" i="35"/>
  <c r="C128" i="35"/>
  <c r="DH51" i="34" l="1"/>
  <c r="DH55" i="34"/>
  <c r="DG51" i="34"/>
  <c r="DG55" i="34"/>
  <c r="AI62" i="34"/>
  <c r="DL43" i="34"/>
  <c r="P55" i="31" s="1"/>
  <c r="DI43" i="34"/>
  <c r="S51" i="34" s="1"/>
  <c r="DQ40" i="34"/>
  <c r="DR40" i="34" s="1"/>
  <c r="AC62" i="34"/>
  <c r="P76" i="31"/>
  <c r="AK62" i="34"/>
  <c r="AE62" i="34"/>
  <c r="AG62" i="34"/>
  <c r="DR39" i="34"/>
  <c r="CS60" i="34"/>
  <c r="K55" i="38" s="1"/>
  <c r="CG60" i="34"/>
  <c r="K10" i="38" s="1"/>
  <c r="AS60" i="34"/>
  <c r="CF60" i="34"/>
  <c r="K7" i="38" s="1"/>
  <c r="AN60" i="34"/>
  <c r="K10" i="37" s="1"/>
  <c r="BW60" i="34"/>
  <c r="BK60" i="34"/>
  <c r="BJ60" i="34"/>
  <c r="CK60" i="34"/>
  <c r="BA60" i="34"/>
  <c r="AO60" i="34"/>
  <c r="BO60" i="34"/>
  <c r="BM60" i="34"/>
  <c r="CI60" i="34"/>
  <c r="AQ60" i="34"/>
  <c r="BN60" i="34"/>
  <c r="AR60" i="34"/>
  <c r="CJ60" i="34"/>
  <c r="K21" i="38" s="1"/>
  <c r="BE60" i="34"/>
  <c r="CW60" i="34"/>
  <c r="CA60" i="34"/>
  <c r="AW60" i="34"/>
  <c r="CO60" i="34"/>
  <c r="BS60" i="34"/>
  <c r="DN37" i="34"/>
  <c r="DO22" i="34"/>
  <c r="DP22" i="34" s="1"/>
  <c r="AH47" i="34"/>
  <c r="AA56" i="34"/>
  <c r="AC56" i="34"/>
  <c r="G94" i="35" s="1"/>
  <c r="Z56" i="34"/>
  <c r="AE56" i="34"/>
  <c r="AA47" i="34"/>
  <c r="AI56" i="34"/>
  <c r="AC47" i="34"/>
  <c r="AB56" i="34"/>
  <c r="G91" i="35" s="1"/>
  <c r="AG56" i="34"/>
  <c r="AI47" i="34"/>
  <c r="Z47" i="34"/>
  <c r="AE47" i="34"/>
  <c r="AG47" i="34"/>
  <c r="AD47" i="34"/>
  <c r="AF47" i="34"/>
  <c r="AF56" i="34"/>
  <c r="AB47" i="34"/>
  <c r="AH56" i="34"/>
  <c r="AD56" i="34"/>
  <c r="AB66" i="34"/>
  <c r="AA66" i="34"/>
  <c r="Z66" i="34"/>
  <c r="AC66" i="34"/>
  <c r="AI66" i="34"/>
  <c r="AG66" i="34"/>
  <c r="AH66" i="34"/>
  <c r="AF66" i="34"/>
  <c r="AE66" i="34"/>
  <c r="AD66" i="34"/>
  <c r="AL67" i="34"/>
  <c r="Y49" i="34"/>
  <c r="X49" i="34"/>
  <c r="Y58" i="34"/>
  <c r="X58" i="34"/>
  <c r="Z67" i="34"/>
  <c r="AI67" i="34"/>
  <c r="AG67" i="34"/>
  <c r="AA67" i="34"/>
  <c r="AH67" i="34"/>
  <c r="AF67" i="34"/>
  <c r="AE67" i="34"/>
  <c r="AD67" i="34"/>
  <c r="AC67" i="34"/>
  <c r="AB67" i="34"/>
  <c r="Y67" i="34"/>
  <c r="X67" i="34"/>
  <c r="Y66" i="34"/>
  <c r="X66" i="34"/>
  <c r="AH57" i="34"/>
  <c r="AF57" i="34"/>
  <c r="G104" i="35" s="1"/>
  <c r="AE57" i="34"/>
  <c r="AC48" i="34"/>
  <c r="AE48" i="34"/>
  <c r="AD48" i="34"/>
  <c r="AD57" i="34"/>
  <c r="AB48" i="34"/>
  <c r="AC57" i="34"/>
  <c r="G95" i="35" s="1"/>
  <c r="AA48" i="34"/>
  <c r="AG57" i="34"/>
  <c r="AB57" i="34"/>
  <c r="Z48" i="34"/>
  <c r="AI48" i="34"/>
  <c r="AA57" i="34"/>
  <c r="AG48" i="34"/>
  <c r="AI57" i="34"/>
  <c r="AH48" i="34"/>
  <c r="Z57" i="34"/>
  <c r="G86" i="35" s="1"/>
  <c r="AF48" i="34"/>
  <c r="AM66" i="34"/>
  <c r="AF50" i="34"/>
  <c r="AA50" i="34"/>
  <c r="Z50" i="34"/>
  <c r="AD50" i="34"/>
  <c r="AI50" i="34"/>
  <c r="AG50" i="34"/>
  <c r="AH50" i="34"/>
  <c r="Y50" i="34"/>
  <c r="AB50" i="34"/>
  <c r="AE50" i="34"/>
  <c r="AC50" i="34"/>
  <c r="X50" i="34"/>
  <c r="AD58" i="34"/>
  <c r="AC58" i="34"/>
  <c r="AA49" i="34"/>
  <c r="AB58" i="34"/>
  <c r="Z49" i="34"/>
  <c r="AI49" i="34"/>
  <c r="AA58" i="34"/>
  <c r="AG49" i="34"/>
  <c r="AH49" i="34"/>
  <c r="Z58" i="34"/>
  <c r="AF49" i="34"/>
  <c r="AI58" i="34"/>
  <c r="AG58" i="34"/>
  <c r="AE49" i="34"/>
  <c r="AE58" i="34"/>
  <c r="AC49" i="34"/>
  <c r="AB49" i="34"/>
  <c r="AH58" i="34"/>
  <c r="AF58" i="34"/>
  <c r="AD49" i="34"/>
  <c r="Y56" i="34"/>
  <c r="X56" i="34"/>
  <c r="G79" i="35" s="1"/>
  <c r="Y47" i="34"/>
  <c r="X47" i="34"/>
  <c r="AJ67" i="34"/>
  <c r="AK67" i="34"/>
  <c r="R47" i="34"/>
  <c r="R56" i="34"/>
  <c r="N47" i="34"/>
  <c r="N56" i="34"/>
  <c r="V47" i="34"/>
  <c r="P47" i="34"/>
  <c r="AL47" i="34"/>
  <c r="P56" i="34"/>
  <c r="V56" i="34"/>
  <c r="AL56" i="34"/>
  <c r="DC56" i="34"/>
  <c r="DC47" i="34"/>
  <c r="AM67" i="34"/>
  <c r="AL66" i="34"/>
  <c r="DX21" i="34"/>
  <c r="DD57" i="34"/>
  <c r="DD48" i="34"/>
  <c r="DC52" i="34"/>
  <c r="DC65" i="34"/>
  <c r="DC51" i="34"/>
  <c r="DO29" i="34"/>
  <c r="CW52" i="34"/>
  <c r="CA65" i="34"/>
  <c r="BE51" i="34"/>
  <c r="BE52" i="34"/>
  <c r="CA51" i="34"/>
  <c r="CW51" i="34"/>
  <c r="CW65" i="34"/>
  <c r="CA52" i="34"/>
  <c r="BE65" i="34"/>
  <c r="AM58" i="34"/>
  <c r="AM49" i="34"/>
  <c r="M85" i="38"/>
  <c r="BI50" i="34"/>
  <c r="CE50" i="34"/>
  <c r="DA50" i="34"/>
  <c r="AJ57" i="34"/>
  <c r="AK57" i="34"/>
  <c r="AJ48" i="34"/>
  <c r="AK48" i="34"/>
  <c r="AL58" i="34"/>
  <c r="AL49" i="34"/>
  <c r="L85" i="38"/>
  <c r="DD65" i="34"/>
  <c r="DD52" i="34"/>
  <c r="DD51" i="34"/>
  <c r="DL40" i="34"/>
  <c r="DM40" i="34" s="1"/>
  <c r="F50" i="34"/>
  <c r="AJ50" i="34"/>
  <c r="T50" i="34"/>
  <c r="AK50" i="34"/>
  <c r="G50" i="34"/>
  <c r="H50" i="34"/>
  <c r="I50" i="34"/>
  <c r="J50" i="34"/>
  <c r="E50" i="34"/>
  <c r="K50" i="34"/>
  <c r="U50" i="34"/>
  <c r="D50" i="34"/>
  <c r="AM48" i="34"/>
  <c r="AM57" i="34"/>
  <c r="K85" i="38"/>
  <c r="DD56" i="34"/>
  <c r="DD47" i="34"/>
  <c r="EJ11" i="34"/>
  <c r="BJ65" i="34"/>
  <c r="CS65" i="34"/>
  <c r="AO51" i="34"/>
  <c r="BW51" i="34"/>
  <c r="AS65" i="34"/>
  <c r="BS52" i="34"/>
  <c r="BO65" i="34"/>
  <c r="CS51" i="34"/>
  <c r="AW51" i="34"/>
  <c r="CG65" i="34"/>
  <c r="AN51" i="34"/>
  <c r="BO51" i="34"/>
  <c r="AW52" i="34"/>
  <c r="AS52" i="34"/>
  <c r="BA51" i="34"/>
  <c r="CG51" i="34"/>
  <c r="AO65" i="34"/>
  <c r="BK51" i="34"/>
  <c r="CO51" i="34"/>
  <c r="BW52" i="34"/>
  <c r="CS52" i="34"/>
  <c r="AO52" i="34"/>
  <c r="CK65" i="34"/>
  <c r="BK52" i="34"/>
  <c r="CO52" i="34"/>
  <c r="CO65" i="34"/>
  <c r="CK51" i="34"/>
  <c r="AN65" i="34"/>
  <c r="DO21" i="34"/>
  <c r="BA65" i="34"/>
  <c r="BJ51" i="34"/>
  <c r="AN52" i="34"/>
  <c r="BO52" i="34"/>
  <c r="CF65" i="34"/>
  <c r="BA52" i="34"/>
  <c r="AW65" i="34"/>
  <c r="CF52" i="34"/>
  <c r="CG52" i="34"/>
  <c r="CF51" i="34"/>
  <c r="BW65" i="34"/>
  <c r="BJ52" i="34"/>
  <c r="CK52" i="34"/>
  <c r="BS65" i="34"/>
  <c r="BS51" i="34"/>
  <c r="AS51" i="34"/>
  <c r="BK65" i="34"/>
  <c r="DL39" i="34"/>
  <c r="DM39" i="34" s="1"/>
  <c r="AJ56" i="34"/>
  <c r="AJ47" i="34"/>
  <c r="F56" i="34"/>
  <c r="AK47" i="34"/>
  <c r="AK56" i="34"/>
  <c r="J56" i="34"/>
  <c r="J47" i="34"/>
  <c r="F47" i="34"/>
  <c r="T47" i="34"/>
  <c r="I56" i="34"/>
  <c r="G56" i="34"/>
  <c r="I47" i="34"/>
  <c r="T56" i="34"/>
  <c r="U56" i="34"/>
  <c r="G47" i="34"/>
  <c r="H47" i="34"/>
  <c r="H56" i="34"/>
  <c r="K47" i="34"/>
  <c r="U47" i="34"/>
  <c r="K56" i="34"/>
  <c r="AL48" i="34"/>
  <c r="AL57" i="34"/>
  <c r="DB65" i="34"/>
  <c r="DB52" i="34"/>
  <c r="DB51" i="34"/>
  <c r="J85" i="38"/>
  <c r="AJ58" i="34"/>
  <c r="AK58" i="34"/>
  <c r="AJ49" i="34"/>
  <c r="AK49" i="34"/>
  <c r="ET17" i="34"/>
  <c r="DX17" i="34" s="1"/>
  <c r="DL38" i="34"/>
  <c r="DM38" i="34" s="1"/>
  <c r="AJ66" i="34"/>
  <c r="AK66" i="34"/>
  <c r="S56" i="34"/>
  <c r="Q47" i="34"/>
  <c r="W47" i="34"/>
  <c r="Q56" i="34"/>
  <c r="S47" i="34"/>
  <c r="AM56" i="34"/>
  <c r="O47" i="34"/>
  <c r="O56" i="34"/>
  <c r="W56" i="34"/>
  <c r="AM47" i="34"/>
  <c r="DD49" i="34"/>
  <c r="DD58" i="34"/>
  <c r="DC49" i="34"/>
  <c r="DC58" i="34"/>
  <c r="DA65" i="34"/>
  <c r="BI51" i="34"/>
  <c r="DA52" i="34"/>
  <c r="DA51" i="34"/>
  <c r="CE51" i="34"/>
  <c r="BI65" i="34"/>
  <c r="BI52" i="34"/>
  <c r="CE65" i="34"/>
  <c r="CE52" i="34"/>
  <c r="DN22" i="34"/>
  <c r="DR36" i="34"/>
  <c r="DN36" i="34"/>
  <c r="DB47" i="34"/>
  <c r="DB56" i="34"/>
  <c r="CB67" i="34"/>
  <c r="CX67" i="34"/>
  <c r="BF67" i="34"/>
  <c r="CD67" i="34"/>
  <c r="CV67" i="34"/>
  <c r="BD67" i="34"/>
  <c r="BH67" i="34"/>
  <c r="BZ67" i="34"/>
  <c r="CZ67" i="34"/>
  <c r="BM66" i="34"/>
  <c r="BU66" i="34"/>
  <c r="CM66" i="34"/>
  <c r="AQ66" i="34"/>
  <c r="BC66" i="34"/>
  <c r="BQ66" i="34"/>
  <c r="CQ66" i="34"/>
  <c r="CI66" i="34"/>
  <c r="AU66" i="34"/>
  <c r="CU66" i="34"/>
  <c r="AY66" i="34"/>
  <c r="BY66" i="34"/>
  <c r="DN29" i="34"/>
  <c r="K70" i="38"/>
  <c r="DA56" i="34"/>
  <c r="CE56" i="34"/>
  <c r="DA47" i="34"/>
  <c r="BI56" i="34"/>
  <c r="CE47" i="34"/>
  <c r="BI47" i="34"/>
  <c r="I67" i="34"/>
  <c r="O67" i="34"/>
  <c r="U67" i="34"/>
  <c r="H67" i="34"/>
  <c r="P67" i="34"/>
  <c r="W67" i="34"/>
  <c r="J67" i="34"/>
  <c r="Q67" i="34"/>
  <c r="K67" i="34"/>
  <c r="R67" i="34"/>
  <c r="S67" i="34"/>
  <c r="F67" i="34"/>
  <c r="T67" i="34"/>
  <c r="N67" i="34"/>
  <c r="V67" i="34"/>
  <c r="G67" i="34"/>
  <c r="H66" i="34"/>
  <c r="N66" i="34"/>
  <c r="T66" i="34"/>
  <c r="I66" i="34"/>
  <c r="O66" i="34"/>
  <c r="U66" i="34"/>
  <c r="R66" i="34"/>
  <c r="G66" i="34"/>
  <c r="S66" i="34"/>
  <c r="J66" i="34"/>
  <c r="K66" i="34"/>
  <c r="V66" i="34"/>
  <c r="W66" i="34"/>
  <c r="P66" i="34"/>
  <c r="F66" i="34"/>
  <c r="Q66" i="34"/>
  <c r="BL66" i="34"/>
  <c r="BT66" i="34"/>
  <c r="BP66" i="34"/>
  <c r="BX66" i="34"/>
  <c r="AP66" i="34"/>
  <c r="BB66" i="34"/>
  <c r="CP66" i="34"/>
  <c r="AT66" i="34"/>
  <c r="CT66" i="34"/>
  <c r="AX66" i="34"/>
  <c r="CL66" i="34"/>
  <c r="CH66" i="34"/>
  <c r="AR67" i="34"/>
  <c r="BV67" i="34"/>
  <c r="CN67" i="34"/>
  <c r="BN67" i="34"/>
  <c r="AV67" i="34"/>
  <c r="CR67" i="34"/>
  <c r="AZ67" i="34"/>
  <c r="CJ67" i="34"/>
  <c r="BR67" i="34"/>
  <c r="BE66" i="34"/>
  <c r="CA66" i="34"/>
  <c r="CW66" i="34"/>
  <c r="DB49" i="34"/>
  <c r="DB58" i="34"/>
  <c r="DA57" i="34"/>
  <c r="CE57" i="34"/>
  <c r="DA48" i="34"/>
  <c r="BI57" i="34"/>
  <c r="CE48" i="34"/>
  <c r="BI48" i="34"/>
  <c r="CC66" i="34"/>
  <c r="CY66" i="34"/>
  <c r="BG66" i="34"/>
  <c r="AN56" i="34"/>
  <c r="AO56" i="34"/>
  <c r="AW56" i="34"/>
  <c r="CK56" i="34"/>
  <c r="CS56" i="34"/>
  <c r="BO56" i="34"/>
  <c r="BW56" i="34"/>
  <c r="CF56" i="34"/>
  <c r="BJ56" i="34"/>
  <c r="BA56" i="34"/>
  <c r="AN47" i="34"/>
  <c r="AO47" i="34"/>
  <c r="AW47" i="34"/>
  <c r="CK47" i="34"/>
  <c r="CS47" i="34"/>
  <c r="BO47" i="34"/>
  <c r="BW47" i="34"/>
  <c r="BK56" i="34"/>
  <c r="CG56" i="34"/>
  <c r="CF47" i="34"/>
  <c r="BJ47" i="34"/>
  <c r="BS56" i="34"/>
  <c r="BK47" i="34"/>
  <c r="CG47" i="34"/>
  <c r="CO47" i="34"/>
  <c r="CO56" i="34"/>
  <c r="BS47" i="34"/>
  <c r="AS56" i="34"/>
  <c r="AS47" i="34"/>
  <c r="BA47" i="34"/>
  <c r="M47" i="34"/>
  <c r="E47" i="34"/>
  <c r="D47" i="34"/>
  <c r="M56" i="34"/>
  <c r="L56" i="34"/>
  <c r="E56" i="34"/>
  <c r="L47" i="34"/>
  <c r="D56" i="34"/>
  <c r="AV66" i="34"/>
  <c r="CJ66" i="34"/>
  <c r="CR66" i="34"/>
  <c r="AR66" i="34"/>
  <c r="AZ66" i="34"/>
  <c r="CN66" i="34"/>
  <c r="BN66" i="34"/>
  <c r="BR66" i="34"/>
  <c r="BV66" i="34"/>
  <c r="DA67" i="34"/>
  <c r="CE67" i="34"/>
  <c r="BI67" i="34"/>
  <c r="CB66" i="34"/>
  <c r="CX66" i="34"/>
  <c r="BF66" i="34"/>
  <c r="BD66" i="34"/>
  <c r="CZ66" i="34"/>
  <c r="BH66" i="34"/>
  <c r="BZ66" i="34"/>
  <c r="CD66" i="34"/>
  <c r="CV66" i="34"/>
  <c r="H58" i="34"/>
  <c r="N58" i="34"/>
  <c r="T58" i="34"/>
  <c r="I58" i="34"/>
  <c r="O58" i="34"/>
  <c r="U58" i="34"/>
  <c r="K58" i="34"/>
  <c r="Q58" i="34"/>
  <c r="W58" i="34"/>
  <c r="R58" i="34"/>
  <c r="F58" i="34"/>
  <c r="G58" i="34"/>
  <c r="H49" i="34"/>
  <c r="N49" i="34"/>
  <c r="T49" i="34"/>
  <c r="J58" i="34"/>
  <c r="I49" i="34"/>
  <c r="O49" i="34"/>
  <c r="U49" i="34"/>
  <c r="J49" i="34"/>
  <c r="P49" i="34"/>
  <c r="V49" i="34"/>
  <c r="K49" i="34"/>
  <c r="Q49" i="34"/>
  <c r="W49" i="34"/>
  <c r="P58" i="34"/>
  <c r="R49" i="34"/>
  <c r="F49" i="34"/>
  <c r="G49" i="34"/>
  <c r="S49" i="34"/>
  <c r="S58" i="34"/>
  <c r="V58" i="34"/>
  <c r="DZ29" i="34"/>
  <c r="AO58" i="34" s="1"/>
  <c r="CL67" i="34"/>
  <c r="BB67" i="34"/>
  <c r="BT67" i="34"/>
  <c r="AT67" i="34"/>
  <c r="BL67" i="34"/>
  <c r="BX67" i="34"/>
  <c r="CP67" i="34"/>
  <c r="AP67" i="34"/>
  <c r="AX67" i="34"/>
  <c r="CH67" i="34"/>
  <c r="CT67" i="34"/>
  <c r="BP67" i="34"/>
  <c r="G14" i="36"/>
  <c r="G29" i="36" s="1"/>
  <c r="G44" i="36" s="1"/>
  <c r="G59" i="36" s="1"/>
  <c r="G74" i="36" s="1"/>
  <c r="G14" i="38"/>
  <c r="G29" i="38" s="1"/>
  <c r="G44" i="38" s="1"/>
  <c r="G59" i="38" s="1"/>
  <c r="G74" i="38" s="1"/>
  <c r="G18" i="37"/>
  <c r="G33" i="37" s="1"/>
  <c r="G48" i="37" s="1"/>
  <c r="G63" i="37" s="1"/>
  <c r="G78" i="37" s="1"/>
  <c r="DZ27" i="34"/>
  <c r="AY58" i="34" s="1"/>
  <c r="BM67" i="34"/>
  <c r="BU67" i="34"/>
  <c r="CU67" i="34"/>
  <c r="CM67" i="34"/>
  <c r="BC67" i="34"/>
  <c r="AU67" i="34"/>
  <c r="AY67" i="34"/>
  <c r="BQ67" i="34"/>
  <c r="CI67" i="34"/>
  <c r="AQ67" i="34"/>
  <c r="CQ67" i="34"/>
  <c r="BY67" i="34"/>
  <c r="BE67" i="34"/>
  <c r="CW67" i="34"/>
  <c r="CA67" i="34"/>
  <c r="AN58" i="34"/>
  <c r="L58" i="34"/>
  <c r="M58" i="34"/>
  <c r="D58" i="34"/>
  <c r="L49" i="34"/>
  <c r="M49" i="34"/>
  <c r="D49" i="34"/>
  <c r="E49" i="34"/>
  <c r="E58" i="34"/>
  <c r="DZ28" i="34"/>
  <c r="BB58" i="34" s="1"/>
  <c r="AN66" i="34"/>
  <c r="AO66" i="34"/>
  <c r="AW66" i="34"/>
  <c r="CK66" i="34"/>
  <c r="CS66" i="34"/>
  <c r="CF66" i="34"/>
  <c r="BA66" i="34"/>
  <c r="BO66" i="34"/>
  <c r="CO66" i="34"/>
  <c r="D66" i="34"/>
  <c r="AS66" i="34"/>
  <c r="L66" i="34"/>
  <c r="BS66" i="34"/>
  <c r="CG66" i="34"/>
  <c r="E66" i="34"/>
  <c r="BJ66" i="34"/>
  <c r="BW66" i="34"/>
  <c r="M66" i="34"/>
  <c r="BK66" i="34"/>
  <c r="DA66" i="34"/>
  <c r="CE66" i="34"/>
  <c r="BI66" i="34"/>
  <c r="DA58" i="34"/>
  <c r="CE58" i="34"/>
  <c r="DA49" i="34"/>
  <c r="BI58" i="34"/>
  <c r="CE49" i="34"/>
  <c r="BI49" i="34"/>
  <c r="G11" i="38"/>
  <c r="G26" i="38" s="1"/>
  <c r="G41" i="38" s="1"/>
  <c r="G56" i="38" s="1"/>
  <c r="L57" i="34"/>
  <c r="M57" i="34"/>
  <c r="D57" i="34"/>
  <c r="L48" i="34"/>
  <c r="M48" i="34"/>
  <c r="D48" i="34"/>
  <c r="G11" i="36"/>
  <c r="G26" i="36" s="1"/>
  <c r="G41" i="36" s="1"/>
  <c r="G56" i="36" s="1"/>
  <c r="G15" i="37"/>
  <c r="G30" i="37" s="1"/>
  <c r="G45" i="37" s="1"/>
  <c r="G60" i="37" s="1"/>
  <c r="E57" i="34"/>
  <c r="E48" i="34"/>
  <c r="DX28" i="34"/>
  <c r="AO67" i="34"/>
  <c r="AW67" i="34"/>
  <c r="CK67" i="34"/>
  <c r="CS67" i="34"/>
  <c r="BA67" i="34"/>
  <c r="BJ67" i="34"/>
  <c r="BS67" i="34"/>
  <c r="AS67" i="34"/>
  <c r="BK67" i="34"/>
  <c r="D67" i="34"/>
  <c r="BW67" i="34"/>
  <c r="CF67" i="34"/>
  <c r="CO67" i="34"/>
  <c r="BO67" i="34"/>
  <c r="CG67" i="34"/>
  <c r="M67" i="34"/>
  <c r="E67" i="34"/>
  <c r="AN67" i="34"/>
  <c r="L67" i="34"/>
  <c r="G21" i="38"/>
  <c r="G36" i="38" s="1"/>
  <c r="G51" i="38" s="1"/>
  <c r="G66" i="38" s="1"/>
  <c r="G81" i="38" s="1"/>
  <c r="G96" i="38" s="1"/>
  <c r="G21" i="36"/>
  <c r="G36" i="36" s="1"/>
  <c r="G51" i="36" s="1"/>
  <c r="G66" i="36" s="1"/>
  <c r="G81" i="36" s="1"/>
  <c r="G25" i="37"/>
  <c r="G40" i="37" s="1"/>
  <c r="G55" i="37" s="1"/>
  <c r="G70" i="37" s="1"/>
  <c r="G85" i="37" s="1"/>
  <c r="DV25" i="34"/>
  <c r="CC67" i="34"/>
  <c r="CY67" i="34"/>
  <c r="BG67" i="34"/>
  <c r="H57" i="34"/>
  <c r="N57" i="34"/>
  <c r="T57" i="34"/>
  <c r="I57" i="34"/>
  <c r="O57" i="34"/>
  <c r="U57" i="34"/>
  <c r="K57" i="34"/>
  <c r="Q57" i="34"/>
  <c r="W57" i="34"/>
  <c r="R57" i="34"/>
  <c r="F57" i="34"/>
  <c r="G57" i="34"/>
  <c r="H48" i="34"/>
  <c r="N48" i="34"/>
  <c r="T48" i="34"/>
  <c r="J57" i="34"/>
  <c r="I48" i="34"/>
  <c r="O48" i="34"/>
  <c r="U48" i="34"/>
  <c r="J48" i="34"/>
  <c r="P48" i="34"/>
  <c r="V48" i="34"/>
  <c r="K48" i="34"/>
  <c r="Q48" i="34"/>
  <c r="W48" i="34"/>
  <c r="P57" i="34"/>
  <c r="R48" i="34"/>
  <c r="F48" i="34"/>
  <c r="S48" i="34"/>
  <c r="V57" i="34"/>
  <c r="G48" i="34"/>
  <c r="S57" i="34"/>
  <c r="DX29" i="34"/>
  <c r="BW57" i="34" s="1"/>
  <c r="DN21" i="34"/>
  <c r="K40" i="38"/>
  <c r="K25" i="38"/>
  <c r="G18" i="36"/>
  <c r="G33" i="36" s="1"/>
  <c r="G48" i="36" s="1"/>
  <c r="G63" i="36" s="1"/>
  <c r="G78" i="36" s="1"/>
  <c r="G22" i="37"/>
  <c r="G37" i="37" s="1"/>
  <c r="G52" i="37" s="1"/>
  <c r="G67" i="37" s="1"/>
  <c r="G82" i="37" s="1"/>
  <c r="G18" i="38"/>
  <c r="G33" i="38" s="1"/>
  <c r="G48" i="38" s="1"/>
  <c r="G63" i="38" s="1"/>
  <c r="G78" i="38" s="1"/>
  <c r="DZ26" i="34"/>
  <c r="DO18" i="34"/>
  <c r="EJ19" i="34"/>
  <c r="DI19" i="34" s="1"/>
  <c r="DH19" i="34"/>
  <c r="DG19" i="34"/>
  <c r="DF19" i="34"/>
  <c r="M50" i="34"/>
  <c r="AM50" i="34"/>
  <c r="AL50" i="34"/>
  <c r="N50" i="34"/>
  <c r="O50" i="34"/>
  <c r="P50" i="34"/>
  <c r="V50" i="34"/>
  <c r="Q50" i="34"/>
  <c r="W50" i="34"/>
  <c r="R50" i="34"/>
  <c r="S50" i="34"/>
  <c r="L50" i="34"/>
  <c r="DV28" i="34"/>
  <c r="EV18" i="34"/>
  <c r="DZ18" i="34" s="1"/>
  <c r="EG27" i="34"/>
  <c r="EG20" i="34"/>
  <c r="DG41" i="34"/>
  <c r="DV20" i="34"/>
  <c r="EL43" i="34"/>
  <c r="ET18" i="34"/>
  <c r="DX18" i="34" s="1"/>
  <c r="DL42" i="34"/>
  <c r="DL41" i="34"/>
  <c r="DG42" i="34"/>
  <c r="DV19" i="34"/>
  <c r="DG43" i="34"/>
  <c r="DJ43" i="34" s="1"/>
  <c r="DO38" i="34"/>
  <c r="DQ38" i="34" s="1"/>
  <c r="EN26" i="34"/>
  <c r="EI42" i="34"/>
  <c r="EK19" i="34"/>
  <c r="EG28" i="34"/>
  <c r="EM44" i="34"/>
  <c r="ET20" i="34"/>
  <c r="DX20" i="34" s="1"/>
  <c r="EI41" i="34"/>
  <c r="EJ26" i="34"/>
  <c r="DI26" i="34" s="1"/>
  <c r="AZ65" i="34" s="1"/>
  <c r="G82" i="35" l="1"/>
  <c r="L73" i="31"/>
  <c r="Q59" i="34"/>
  <c r="P59" i="34"/>
  <c r="AM59" i="34"/>
  <c r="O59" i="34"/>
  <c r="S59" i="34"/>
  <c r="AL59" i="34"/>
  <c r="N59" i="34"/>
  <c r="R59" i="34"/>
  <c r="W59" i="34"/>
  <c r="M59" i="34"/>
  <c r="V59" i="34"/>
  <c r="L59" i="34"/>
  <c r="U60" i="34"/>
  <c r="G88" i="35"/>
  <c r="G103" i="35"/>
  <c r="G98" i="35"/>
  <c r="DJ41" i="34"/>
  <c r="DQ41" i="34" s="1"/>
  <c r="AD63" i="34" s="1"/>
  <c r="G92" i="35"/>
  <c r="AC59" i="34"/>
  <c r="AB59" i="34"/>
  <c r="H59" i="34"/>
  <c r="AI59" i="34"/>
  <c r="L76" i="31"/>
  <c r="U59" i="34"/>
  <c r="AH59" i="34"/>
  <c r="E59" i="34"/>
  <c r="AE59" i="34"/>
  <c r="AK59" i="34"/>
  <c r="F59" i="34"/>
  <c r="AA59" i="34"/>
  <c r="G59" i="34"/>
  <c r="J59" i="34"/>
  <c r="AD59" i="34"/>
  <c r="X59" i="34"/>
  <c r="AF59" i="34"/>
  <c r="T59" i="34"/>
  <c r="Y59" i="34"/>
  <c r="AJ59" i="34"/>
  <c r="D59" i="34"/>
  <c r="Z59" i="34"/>
  <c r="J79" i="35" s="1"/>
  <c r="I59" i="34"/>
  <c r="K59" i="34"/>
  <c r="AG59" i="34"/>
  <c r="G107" i="35"/>
  <c r="G101" i="35"/>
  <c r="G100" i="35"/>
  <c r="G97" i="35"/>
  <c r="G85" i="35"/>
  <c r="G106" i="35"/>
  <c r="DR38" i="34"/>
  <c r="AC60" i="34"/>
  <c r="CW61" i="34"/>
  <c r="L70" i="38" s="1"/>
  <c r="CA61" i="34"/>
  <c r="BE61" i="34"/>
  <c r="BS61" i="34"/>
  <c r="CO61" i="34"/>
  <c r="AW61" i="34"/>
  <c r="Y60" i="34"/>
  <c r="AJ60" i="34"/>
  <c r="AE60" i="34"/>
  <c r="CJ62" i="34"/>
  <c r="BR62" i="34"/>
  <c r="AV62" i="34"/>
  <c r="BN62" i="34"/>
  <c r="CN62" i="34"/>
  <c r="AR62" i="34"/>
  <c r="AQ61" i="34"/>
  <c r="CI61" i="34"/>
  <c r="BM61" i="34"/>
  <c r="AR61" i="34"/>
  <c r="CJ61" i="34"/>
  <c r="L21" i="38" s="1"/>
  <c r="BN61" i="34"/>
  <c r="AK60" i="34"/>
  <c r="AG60" i="34"/>
  <c r="G60" i="34"/>
  <c r="M76" i="31"/>
  <c r="E60" i="34"/>
  <c r="AA60" i="34"/>
  <c r="I60" i="34"/>
  <c r="CF61" i="34"/>
  <c r="BW61" i="34"/>
  <c r="BK61" i="34"/>
  <c r="BJ61" i="34"/>
  <c r="CK61" i="34"/>
  <c r="L25" i="38" s="1"/>
  <c r="BA61" i="34"/>
  <c r="AN61" i="34"/>
  <c r="L10" i="37" s="1"/>
  <c r="BO61" i="34"/>
  <c r="CS61" i="34"/>
  <c r="CG61" i="34"/>
  <c r="AS61" i="34"/>
  <c r="AO61" i="34"/>
  <c r="AD60" i="34"/>
  <c r="G62" i="34"/>
  <c r="U62" i="34"/>
  <c r="K62" i="34"/>
  <c r="I62" i="34"/>
  <c r="BW62" i="34"/>
  <c r="BK62" i="34"/>
  <c r="BJ62" i="34"/>
  <c r="CK62" i="34"/>
  <c r="M25" i="38" s="1"/>
  <c r="BA62" i="34"/>
  <c r="AO62" i="34"/>
  <c r="E62" i="34"/>
  <c r="BO62" i="34"/>
  <c r="CS62" i="34"/>
  <c r="CG62" i="34"/>
  <c r="M10" i="38" s="1"/>
  <c r="AS62" i="34"/>
  <c r="CF62" i="34"/>
  <c r="M7" i="38" s="1"/>
  <c r="AN62" i="34"/>
  <c r="M10" i="37" s="1"/>
  <c r="Y62" i="34"/>
  <c r="AI60" i="34"/>
  <c r="K60" i="34"/>
  <c r="G89" i="35"/>
  <c r="W52" i="34"/>
  <c r="BA57" i="34"/>
  <c r="BJ49" i="34"/>
  <c r="BU49" i="34"/>
  <c r="AQ58" i="34"/>
  <c r="DQ22" i="34"/>
  <c r="J97" i="35"/>
  <c r="J103" i="35"/>
  <c r="X57" i="34"/>
  <c r="G80" i="35" s="1"/>
  <c r="Y57" i="34"/>
  <c r="G83" i="35" s="1"/>
  <c r="Y48" i="34"/>
  <c r="X48" i="34"/>
  <c r="AH52" i="34"/>
  <c r="AH51" i="34"/>
  <c r="AH65" i="34"/>
  <c r="AI52" i="34"/>
  <c r="AI51" i="34"/>
  <c r="AI65" i="34"/>
  <c r="AG65" i="34"/>
  <c r="Y65" i="34"/>
  <c r="AC65" i="34"/>
  <c r="AC52" i="34"/>
  <c r="AG52" i="34"/>
  <c r="AE51" i="34"/>
  <c r="Y52" i="34"/>
  <c r="AA65" i="34"/>
  <c r="AE65" i="34"/>
  <c r="AA51" i="34"/>
  <c r="AE52" i="34"/>
  <c r="AA52" i="34"/>
  <c r="Y51" i="34"/>
  <c r="AG51" i="34"/>
  <c r="AC51" i="34"/>
  <c r="AB65" i="34"/>
  <c r="AF65" i="34"/>
  <c r="AF52" i="34"/>
  <c r="AB51" i="34"/>
  <c r="X52" i="34"/>
  <c r="Z65" i="34"/>
  <c r="Z51" i="34"/>
  <c r="AD52" i="34"/>
  <c r="AF51" i="34"/>
  <c r="X51" i="34"/>
  <c r="Z52" i="34"/>
  <c r="AD51" i="34"/>
  <c r="AD65" i="34"/>
  <c r="AB52" i="34"/>
  <c r="X65" i="34"/>
  <c r="CI49" i="34"/>
  <c r="CQ49" i="34"/>
  <c r="BW48" i="34"/>
  <c r="EJ27" i="34"/>
  <c r="DI27" i="34" s="1"/>
  <c r="V51" i="34"/>
  <c r="CI58" i="34"/>
  <c r="BM49" i="34"/>
  <c r="BU58" i="34"/>
  <c r="AS57" i="34"/>
  <c r="CS49" i="34"/>
  <c r="CF58" i="34"/>
  <c r="M55" i="38"/>
  <c r="DQ21" i="34"/>
  <c r="M40" i="38"/>
  <c r="DQ29" i="34"/>
  <c r="M70" i="38"/>
  <c r="CK49" i="34"/>
  <c r="BS58" i="34"/>
  <c r="BK49" i="34"/>
  <c r="CG58" i="34"/>
  <c r="AW49" i="34"/>
  <c r="BO58" i="34"/>
  <c r="BY58" i="34"/>
  <c r="BV52" i="34"/>
  <c r="BC49" i="34"/>
  <c r="AU58" i="34"/>
  <c r="CQ58" i="34"/>
  <c r="CG49" i="34"/>
  <c r="CO58" i="34"/>
  <c r="BK58" i="34"/>
  <c r="AO49" i="34"/>
  <c r="CS58" i="34"/>
  <c r="M52" i="34"/>
  <c r="BY49" i="34"/>
  <c r="BQ58" i="34"/>
  <c r="BC58" i="34"/>
  <c r="DM41" i="34"/>
  <c r="X60" i="34" s="1"/>
  <c r="BN65" i="34"/>
  <c r="AU49" i="34"/>
  <c r="CM49" i="34"/>
  <c r="CU58" i="34"/>
  <c r="CK57" i="34"/>
  <c r="AS49" i="34"/>
  <c r="BA49" i="34"/>
  <c r="BW49" i="34"/>
  <c r="AN49" i="34"/>
  <c r="CK58" i="34"/>
  <c r="BM58" i="34"/>
  <c r="CU49" i="34"/>
  <c r="AY49" i="34"/>
  <c r="CM58" i="34"/>
  <c r="AS58" i="34"/>
  <c r="BO49" i="34"/>
  <c r="BA58" i="34"/>
  <c r="AW58" i="34"/>
  <c r="ET19" i="34"/>
  <c r="DX19" i="34" s="1"/>
  <c r="CF49" i="34"/>
  <c r="BW58" i="34"/>
  <c r="BQ49" i="34"/>
  <c r="AQ49" i="34"/>
  <c r="BS49" i="34"/>
  <c r="CO49" i="34"/>
  <c r="BJ58" i="34"/>
  <c r="Q52" i="34"/>
  <c r="G17" i="36"/>
  <c r="G32" i="36" s="1"/>
  <c r="G47" i="36" s="1"/>
  <c r="G62" i="36" s="1"/>
  <c r="G77" i="36" s="1"/>
  <c r="G21" i="37"/>
  <c r="G36" i="37" s="1"/>
  <c r="G51" i="37" s="1"/>
  <c r="G66" i="37" s="1"/>
  <c r="G81" i="37" s="1"/>
  <c r="G17" i="38"/>
  <c r="G32" i="38" s="1"/>
  <c r="G47" i="38" s="1"/>
  <c r="G62" i="38" s="1"/>
  <c r="G77" i="38" s="1"/>
  <c r="G92" i="38" s="1"/>
  <c r="DV26" i="34"/>
  <c r="O52" i="34"/>
  <c r="Q65" i="34"/>
  <c r="N65" i="34"/>
  <c r="BL56" i="34"/>
  <c r="BT56" i="34"/>
  <c r="G13" i="36"/>
  <c r="G28" i="36" s="1"/>
  <c r="G43" i="36" s="1"/>
  <c r="G58" i="36" s="1"/>
  <c r="G73" i="36" s="1"/>
  <c r="BP56" i="34"/>
  <c r="BX56" i="34"/>
  <c r="AT56" i="34"/>
  <c r="BB56" i="34"/>
  <c r="CH56" i="34"/>
  <c r="CP56" i="34"/>
  <c r="BL47" i="34"/>
  <c r="BT47" i="34"/>
  <c r="CT56" i="34"/>
  <c r="AP47" i="34"/>
  <c r="AX47" i="34"/>
  <c r="CL47" i="34"/>
  <c r="CT47" i="34"/>
  <c r="AP56" i="34"/>
  <c r="BP47" i="34"/>
  <c r="BX47" i="34"/>
  <c r="G13" i="38"/>
  <c r="G28" i="38" s="1"/>
  <c r="G43" i="38" s="1"/>
  <c r="G58" i="38" s="1"/>
  <c r="G73" i="38" s="1"/>
  <c r="G88" i="38" s="1"/>
  <c r="CL56" i="34"/>
  <c r="AT47" i="34"/>
  <c r="BB47" i="34"/>
  <c r="CH47" i="34"/>
  <c r="CP47" i="34"/>
  <c r="G17" i="37"/>
  <c r="G32" i="37" s="1"/>
  <c r="G47" i="37" s="1"/>
  <c r="G62" i="37" s="1"/>
  <c r="G77" i="37" s="1"/>
  <c r="AX56" i="34"/>
  <c r="DV27" i="34"/>
  <c r="AY56" i="34" s="1"/>
  <c r="V52" i="34"/>
  <c r="O51" i="34"/>
  <c r="AM52" i="34"/>
  <c r="AM65" i="34"/>
  <c r="P65" i="34"/>
  <c r="DO43" i="34"/>
  <c r="M62" i="34" s="1"/>
  <c r="AZ51" i="34"/>
  <c r="CO57" i="34"/>
  <c r="CG57" i="34"/>
  <c r="AO48" i="34"/>
  <c r="CC58" i="34"/>
  <c r="BG58" i="34"/>
  <c r="CC49" i="34"/>
  <c r="CY58" i="34"/>
  <c r="BG49" i="34"/>
  <c r="CY49" i="34"/>
  <c r="BX49" i="34"/>
  <c r="CT58" i="34"/>
  <c r="BP58" i="34"/>
  <c r="BE58" i="34"/>
  <c r="BE49" i="34"/>
  <c r="CA58" i="34"/>
  <c r="CW58" i="34"/>
  <c r="CW49" i="34"/>
  <c r="CA49" i="34"/>
  <c r="AX58" i="34"/>
  <c r="P52" i="34"/>
  <c r="S65" i="34"/>
  <c r="AL52" i="34"/>
  <c r="S52" i="34"/>
  <c r="BK48" i="34"/>
  <c r="BK57" i="34"/>
  <c r="AN48" i="34"/>
  <c r="CS57" i="34"/>
  <c r="BP49" i="34"/>
  <c r="BT49" i="34"/>
  <c r="BT58" i="34"/>
  <c r="AP58" i="34"/>
  <c r="P51" i="34"/>
  <c r="Q51" i="34"/>
  <c r="AM51" i="34"/>
  <c r="L52" i="34"/>
  <c r="O65" i="34"/>
  <c r="BD58" i="34"/>
  <c r="CZ58" i="34"/>
  <c r="BH58" i="34"/>
  <c r="CV58" i="34"/>
  <c r="BZ58" i="34"/>
  <c r="BD49" i="34"/>
  <c r="CZ49" i="34"/>
  <c r="CD49" i="34"/>
  <c r="CD58" i="34"/>
  <c r="BH49" i="34"/>
  <c r="CV49" i="34"/>
  <c r="BZ49" i="34"/>
  <c r="BS57" i="34"/>
  <c r="BO48" i="34"/>
  <c r="BJ57" i="34"/>
  <c r="G8" i="36" s="1"/>
  <c r="AW57" i="34"/>
  <c r="CP49" i="34"/>
  <c r="CP58" i="34"/>
  <c r="BL49" i="34"/>
  <c r="N52" i="34"/>
  <c r="AL51" i="34"/>
  <c r="M65" i="34"/>
  <c r="CB57" i="34"/>
  <c r="CX57" i="34"/>
  <c r="CB48" i="34"/>
  <c r="BF57" i="34"/>
  <c r="BF48" i="34"/>
  <c r="CX48" i="34"/>
  <c r="CO48" i="34"/>
  <c r="BJ48" i="34"/>
  <c r="AO57" i="34"/>
  <c r="CH49" i="34"/>
  <c r="CT49" i="34"/>
  <c r="CH58" i="34"/>
  <c r="N51" i="34"/>
  <c r="AS48" i="34"/>
  <c r="CS48" i="34"/>
  <c r="CF57" i="34"/>
  <c r="G8" i="38" s="1"/>
  <c r="AN57" i="34"/>
  <c r="G12" i="37" s="1"/>
  <c r="BB49" i="34"/>
  <c r="CL49" i="34"/>
  <c r="CB58" i="34"/>
  <c r="CX58" i="34"/>
  <c r="CB49" i="34"/>
  <c r="BF58" i="34"/>
  <c r="BF49" i="34"/>
  <c r="CX49" i="34"/>
  <c r="BL58" i="34"/>
  <c r="AL65" i="34"/>
  <c r="AV58" i="34"/>
  <c r="CJ58" i="34"/>
  <c r="CR58" i="34"/>
  <c r="AR58" i="34"/>
  <c r="AZ58" i="34"/>
  <c r="CN58" i="34"/>
  <c r="BR58" i="34"/>
  <c r="BV58" i="34"/>
  <c r="AV49" i="34"/>
  <c r="CJ49" i="34"/>
  <c r="CR49" i="34"/>
  <c r="BN49" i="34"/>
  <c r="BV49" i="34"/>
  <c r="G22" i="38"/>
  <c r="G37" i="38" s="1"/>
  <c r="G52" i="38" s="1"/>
  <c r="G67" i="38" s="1"/>
  <c r="G82" i="38" s="1"/>
  <c r="G22" i="36"/>
  <c r="G37" i="36" s="1"/>
  <c r="G52" i="36" s="1"/>
  <c r="G67" i="36" s="1"/>
  <c r="G82" i="36" s="1"/>
  <c r="AR49" i="34"/>
  <c r="AZ49" i="34"/>
  <c r="CN49" i="34"/>
  <c r="BR49" i="34"/>
  <c r="G26" i="37"/>
  <c r="G41" i="37" s="1"/>
  <c r="G56" i="37" s="1"/>
  <c r="G71" i="37" s="1"/>
  <c r="G86" i="37" s="1"/>
  <c r="BN58" i="34"/>
  <c r="DZ25" i="34"/>
  <c r="M51" i="34"/>
  <c r="R52" i="34"/>
  <c r="BL57" i="34"/>
  <c r="BT57" i="34"/>
  <c r="BP57" i="34"/>
  <c r="BX57" i="34"/>
  <c r="G15" i="38"/>
  <c r="G30" i="38" s="1"/>
  <c r="G45" i="38" s="1"/>
  <c r="G60" i="38" s="1"/>
  <c r="AT57" i="34"/>
  <c r="BB57" i="34"/>
  <c r="CH57" i="34"/>
  <c r="CP57" i="34"/>
  <c r="BL48" i="34"/>
  <c r="BT48" i="34"/>
  <c r="G19" i="37"/>
  <c r="G34" i="37" s="1"/>
  <c r="G49" i="37" s="1"/>
  <c r="G64" i="37" s="1"/>
  <c r="CT57" i="34"/>
  <c r="AP48" i="34"/>
  <c r="AX48" i="34"/>
  <c r="CL48" i="34"/>
  <c r="CT48" i="34"/>
  <c r="AP57" i="34"/>
  <c r="BP48" i="34"/>
  <c r="BX48" i="34"/>
  <c r="G15" i="36"/>
  <c r="G30" i="36" s="1"/>
  <c r="G45" i="36" s="1"/>
  <c r="G60" i="36" s="1"/>
  <c r="CL57" i="34"/>
  <c r="AT48" i="34"/>
  <c r="BB48" i="34"/>
  <c r="CH48" i="34"/>
  <c r="CP48" i="34"/>
  <c r="AX57" i="34"/>
  <c r="DX27" i="34"/>
  <c r="BY57" i="34" s="1"/>
  <c r="G23" i="36"/>
  <c r="G38" i="36" s="1"/>
  <c r="G53" i="36" s="1"/>
  <c r="G68" i="36" s="1"/>
  <c r="G23" i="38"/>
  <c r="G38" i="38" s="1"/>
  <c r="G53" i="38" s="1"/>
  <c r="G68" i="38" s="1"/>
  <c r="G27" i="37"/>
  <c r="G42" i="37" s="1"/>
  <c r="G57" i="37" s="1"/>
  <c r="G72" i="37" s="1"/>
  <c r="DX25" i="34"/>
  <c r="CB56" i="34"/>
  <c r="CX56" i="34"/>
  <c r="CB47" i="34"/>
  <c r="BF56" i="34"/>
  <c r="BF47" i="34"/>
  <c r="CX47" i="34"/>
  <c r="L65" i="34"/>
  <c r="R65" i="34"/>
  <c r="W65" i="34"/>
  <c r="L51" i="34"/>
  <c r="R51" i="34"/>
  <c r="L40" i="38"/>
  <c r="L55" i="38"/>
  <c r="L7" i="38"/>
  <c r="L10" i="38"/>
  <c r="BS48" i="34"/>
  <c r="CG48" i="34"/>
  <c r="CF48" i="34"/>
  <c r="CK48" i="34"/>
  <c r="AT49" i="34"/>
  <c r="AX49" i="34"/>
  <c r="AT58" i="34"/>
  <c r="W51" i="34"/>
  <c r="V65" i="34"/>
  <c r="BE57" i="34"/>
  <c r="BE48" i="34"/>
  <c r="CA57" i="34"/>
  <c r="CW57" i="34"/>
  <c r="CA48" i="34"/>
  <c r="CW48" i="34"/>
  <c r="BA48" i="34"/>
  <c r="AW48" i="34"/>
  <c r="BO57" i="34"/>
  <c r="CL58" i="34"/>
  <c r="AP49" i="34"/>
  <c r="BX58" i="34"/>
  <c r="CR52" i="34"/>
  <c r="AR51" i="34"/>
  <c r="CN52" i="34"/>
  <c r="CJ52" i="34"/>
  <c r="BR52" i="34"/>
  <c r="AZ52" i="34"/>
  <c r="DO19" i="34"/>
  <c r="BM51" i="34"/>
  <c r="BU51" i="34"/>
  <c r="BU52" i="34"/>
  <c r="CI51" i="34"/>
  <c r="AQ52" i="34"/>
  <c r="BQ65" i="34"/>
  <c r="BY65" i="34"/>
  <c r="BQ52" i="34"/>
  <c r="BY52" i="34"/>
  <c r="AU51" i="34"/>
  <c r="AY52" i="34"/>
  <c r="CM52" i="34"/>
  <c r="AQ51" i="34"/>
  <c r="AY51" i="34"/>
  <c r="CM51" i="34"/>
  <c r="CU51" i="34"/>
  <c r="CU52" i="34"/>
  <c r="AU65" i="34"/>
  <c r="BC65" i="34"/>
  <c r="CI65" i="34"/>
  <c r="CQ65" i="34"/>
  <c r="AU52" i="34"/>
  <c r="BC52" i="34"/>
  <c r="CI52" i="34"/>
  <c r="CQ52" i="34"/>
  <c r="BM52" i="34"/>
  <c r="BQ51" i="34"/>
  <c r="BY51" i="34"/>
  <c r="BC51" i="34"/>
  <c r="CQ51" i="34"/>
  <c r="BM65" i="34"/>
  <c r="BU65" i="34"/>
  <c r="AQ65" i="34"/>
  <c r="AY65" i="34"/>
  <c r="CM65" i="34"/>
  <c r="CU65" i="34"/>
  <c r="AV52" i="34"/>
  <c r="BR65" i="34"/>
  <c r="AR52" i="34"/>
  <c r="EK28" i="34"/>
  <c r="DH28" i="34"/>
  <c r="DG28" i="34"/>
  <c r="DF28" i="34"/>
  <c r="CR51" i="34"/>
  <c r="CR65" i="34"/>
  <c r="BV65" i="34"/>
  <c r="CN65" i="34"/>
  <c r="DL19" i="34"/>
  <c r="EJ20" i="34"/>
  <c r="DH20" i="34"/>
  <c r="DG20" i="34"/>
  <c r="DF20" i="34"/>
  <c r="AV51" i="34"/>
  <c r="CJ65" i="34"/>
  <c r="BR51" i="34"/>
  <c r="BH65" i="34"/>
  <c r="CV65" i="34"/>
  <c r="BH52" i="34"/>
  <c r="CV52" i="34"/>
  <c r="CD52" i="34"/>
  <c r="CD51" i="34"/>
  <c r="BZ65" i="34"/>
  <c r="BZ52" i="34"/>
  <c r="CD65" i="34"/>
  <c r="CZ51" i="34"/>
  <c r="BH51" i="34"/>
  <c r="CV51" i="34"/>
  <c r="BZ51" i="34"/>
  <c r="BD65" i="34"/>
  <c r="CZ65" i="34"/>
  <c r="BD52" i="34"/>
  <c r="CZ52" i="34"/>
  <c r="BD51" i="34"/>
  <c r="DO26" i="34"/>
  <c r="EK27" i="34"/>
  <c r="DH27" i="34"/>
  <c r="DG27" i="34"/>
  <c r="DF27" i="34"/>
  <c r="CQ50" i="34" s="1"/>
  <c r="BN52" i="34"/>
  <c r="AV65" i="34"/>
  <c r="BV51" i="34"/>
  <c r="AR65" i="34"/>
  <c r="CC51" i="34"/>
  <c r="BG51" i="34"/>
  <c r="CC52" i="34"/>
  <c r="CY65" i="34"/>
  <c r="CY52" i="34"/>
  <c r="CY51" i="34"/>
  <c r="CC65" i="34"/>
  <c r="BG52" i="34"/>
  <c r="BG65" i="34"/>
  <c r="DO27" i="34"/>
  <c r="CJ51" i="34"/>
  <c r="CN51" i="34"/>
  <c r="BN51" i="34"/>
  <c r="DQ18" i="34"/>
  <c r="DO42" i="34"/>
  <c r="I65" i="34"/>
  <c r="U65" i="34"/>
  <c r="E51" i="34"/>
  <c r="AK51" i="34"/>
  <c r="E52" i="34"/>
  <c r="AK52" i="34"/>
  <c r="G65" i="34"/>
  <c r="K52" i="34"/>
  <c r="K65" i="34"/>
  <c r="G51" i="34"/>
  <c r="G52" i="34"/>
  <c r="E65" i="34"/>
  <c r="AK65" i="34"/>
  <c r="I51" i="34"/>
  <c r="U51" i="34"/>
  <c r="I52" i="34"/>
  <c r="U52" i="34"/>
  <c r="K51" i="34"/>
  <c r="DN38" i="34"/>
  <c r="DN39" i="34"/>
  <c r="DN40" i="34"/>
  <c r="G61" i="34" s="1"/>
  <c r="DO41" i="34"/>
  <c r="F62" i="34" s="1"/>
  <c r="H65" i="34"/>
  <c r="T65" i="34"/>
  <c r="AJ51" i="34"/>
  <c r="AJ52" i="34"/>
  <c r="D52" i="34"/>
  <c r="J65" i="34"/>
  <c r="F51" i="34"/>
  <c r="F52" i="34"/>
  <c r="D51" i="34"/>
  <c r="AJ65" i="34"/>
  <c r="H51" i="34"/>
  <c r="T51" i="34"/>
  <c r="H52" i="34"/>
  <c r="T52" i="34"/>
  <c r="D65" i="34"/>
  <c r="F65" i="34"/>
  <c r="J51" i="34"/>
  <c r="J52" i="34"/>
  <c r="EM42" i="34"/>
  <c r="DH42" i="34"/>
  <c r="EM41" i="34"/>
  <c r="DH41" i="34"/>
  <c r="DK41" i="34" s="1"/>
  <c r="DQ43" i="34"/>
  <c r="AL63" i="34" s="1"/>
  <c r="DM43" i="34"/>
  <c r="DM42" i="34"/>
  <c r="DQ42" i="34"/>
  <c r="DH43" i="34"/>
  <c r="DK43" i="34" s="1"/>
  <c r="EN19" i="34"/>
  <c r="EK20" i="34"/>
  <c r="DU56" i="34"/>
  <c r="AM60" i="34" l="1"/>
  <c r="Q55" i="31"/>
  <c r="Z60" i="34"/>
  <c r="R62" i="34"/>
  <c r="P62" i="34"/>
  <c r="V62" i="34"/>
  <c r="M73" i="31"/>
  <c r="AL60" i="34"/>
  <c r="S60" i="34"/>
  <c r="P73" i="31"/>
  <c r="AM62" i="34"/>
  <c r="AL62" i="34"/>
  <c r="Q62" i="34"/>
  <c r="O62" i="34"/>
  <c r="W62" i="34"/>
  <c r="M60" i="34"/>
  <c r="S62" i="34"/>
  <c r="Q60" i="34"/>
  <c r="W60" i="34"/>
  <c r="L60" i="34"/>
  <c r="R60" i="34"/>
  <c r="V60" i="34"/>
  <c r="N60" i="34"/>
  <c r="O60" i="34"/>
  <c r="L62" i="34"/>
  <c r="N62" i="34"/>
  <c r="P60" i="34"/>
  <c r="X62" i="34"/>
  <c r="F60" i="34"/>
  <c r="M36" i="38"/>
  <c r="D62" i="34"/>
  <c r="H62" i="34"/>
  <c r="J62" i="34"/>
  <c r="K61" i="34"/>
  <c r="AF60" i="34"/>
  <c r="AB63" i="34"/>
  <c r="AJ63" i="34"/>
  <c r="T62" i="34"/>
  <c r="D60" i="34"/>
  <c r="Z63" i="34"/>
  <c r="AA61" i="34"/>
  <c r="AB60" i="34"/>
  <c r="H60" i="34"/>
  <c r="J60" i="34"/>
  <c r="T60" i="34"/>
  <c r="AH60" i="34"/>
  <c r="AF62" i="34"/>
  <c r="AJ62" i="34"/>
  <c r="AD62" i="34"/>
  <c r="Z62" i="34"/>
  <c r="AB62" i="34"/>
  <c r="AH62" i="34"/>
  <c r="AF63" i="34"/>
  <c r="AH63" i="34"/>
  <c r="U61" i="34"/>
  <c r="AI61" i="34"/>
  <c r="V63" i="34"/>
  <c r="N63" i="34"/>
  <c r="F63" i="34"/>
  <c r="S63" i="34"/>
  <c r="U63" i="34"/>
  <c r="T63" i="34"/>
  <c r="R63" i="34"/>
  <c r="J63" i="34"/>
  <c r="Q63" i="34"/>
  <c r="I63" i="34"/>
  <c r="P63" i="34"/>
  <c r="H63" i="34"/>
  <c r="W63" i="34"/>
  <c r="O63" i="34"/>
  <c r="G63" i="34"/>
  <c r="K63" i="34"/>
  <c r="CW63" i="34"/>
  <c r="CA63" i="34"/>
  <c r="BE63" i="34"/>
  <c r="CO63" i="34"/>
  <c r="AW63" i="34"/>
  <c r="BS63" i="34"/>
  <c r="Y61" i="34"/>
  <c r="AK61" i="34"/>
  <c r="I61" i="34"/>
  <c r="AE61" i="34"/>
  <c r="BJ63" i="34"/>
  <c r="BO63" i="34"/>
  <c r="CK63" i="34"/>
  <c r="BA63" i="34"/>
  <c r="AO63" i="34"/>
  <c r="M63" i="34"/>
  <c r="E63" i="34"/>
  <c r="AN63" i="34"/>
  <c r="L63" i="34"/>
  <c r="D63" i="34"/>
  <c r="CS63" i="34"/>
  <c r="CG63" i="34"/>
  <c r="AS63" i="34"/>
  <c r="CF63" i="34"/>
  <c r="BW63" i="34"/>
  <c r="BK63" i="34"/>
  <c r="Y63" i="34"/>
  <c r="X63" i="34"/>
  <c r="AE63" i="34"/>
  <c r="AC63" i="34"/>
  <c r="Q76" i="31"/>
  <c r="AG63" i="34"/>
  <c r="AA63" i="34"/>
  <c r="AI63" i="34"/>
  <c r="AK63" i="34"/>
  <c r="Q73" i="31"/>
  <c r="AM63" i="34"/>
  <c r="CM62" i="34"/>
  <c r="M32" i="38" s="1"/>
  <c r="BC62" i="34"/>
  <c r="AQ62" i="34"/>
  <c r="BQ62" i="34"/>
  <c r="CU62" i="34"/>
  <c r="CI62" i="34"/>
  <c r="M17" i="38" s="1"/>
  <c r="AU62" i="34"/>
  <c r="BY62" i="34"/>
  <c r="BM62" i="34"/>
  <c r="AC61" i="34"/>
  <c r="E61" i="34"/>
  <c r="N76" i="31"/>
  <c r="AG61" i="34"/>
  <c r="J91" i="35"/>
  <c r="J100" i="35"/>
  <c r="J88" i="35"/>
  <c r="J82" i="35"/>
  <c r="J106" i="35"/>
  <c r="J94" i="35"/>
  <c r="J85" i="35"/>
  <c r="CM56" i="34"/>
  <c r="DR22" i="34"/>
  <c r="CQ48" i="34"/>
  <c r="K103" i="35"/>
  <c r="K91" i="35"/>
  <c r="K79" i="35"/>
  <c r="M103" i="35"/>
  <c r="M106" i="35"/>
  <c r="CQ56" i="34"/>
  <c r="CI47" i="34"/>
  <c r="BM48" i="34"/>
  <c r="CQ47" i="34"/>
  <c r="AY47" i="34"/>
  <c r="G23" i="37"/>
  <c r="G38" i="37" s="1"/>
  <c r="G53" i="37" s="1"/>
  <c r="G68" i="37" s="1"/>
  <c r="G19" i="36"/>
  <c r="G34" i="36" s="1"/>
  <c r="G49" i="36" s="1"/>
  <c r="G64" i="36" s="1"/>
  <c r="CM57" i="34"/>
  <c r="CI57" i="34"/>
  <c r="AY57" i="34"/>
  <c r="DR29" i="34"/>
  <c r="AU48" i="34"/>
  <c r="BQ57" i="34"/>
  <c r="AQ57" i="34"/>
  <c r="DR21" i="34"/>
  <c r="AQ48" i="34"/>
  <c r="BU57" i="34"/>
  <c r="BU48" i="34"/>
  <c r="G19" i="38"/>
  <c r="G34" i="38" s="1"/>
  <c r="G49" i="38" s="1"/>
  <c r="G64" i="38" s="1"/>
  <c r="BQ47" i="34"/>
  <c r="CU56" i="34"/>
  <c r="DX26" i="34"/>
  <c r="BR57" i="34" s="1"/>
  <c r="CI56" i="34"/>
  <c r="AQ47" i="34"/>
  <c r="CU50" i="34"/>
  <c r="CC57" i="34"/>
  <c r="BG57" i="34"/>
  <c r="CC48" i="34"/>
  <c r="CY57" i="34"/>
  <c r="BG48" i="34"/>
  <c r="CY48" i="34"/>
  <c r="BQ48" i="34"/>
  <c r="AU57" i="34"/>
  <c r="BC57" i="34"/>
  <c r="BM57" i="34"/>
  <c r="BD56" i="34"/>
  <c r="CZ56" i="34"/>
  <c r="BH56" i="34"/>
  <c r="CV56" i="34"/>
  <c r="BZ56" i="34"/>
  <c r="BD47" i="34"/>
  <c r="CZ47" i="34"/>
  <c r="CD47" i="34"/>
  <c r="CD56" i="34"/>
  <c r="BH47" i="34"/>
  <c r="CV47" i="34"/>
  <c r="BZ47" i="34"/>
  <c r="AV56" i="34"/>
  <c r="BV56" i="34"/>
  <c r="CN47" i="34"/>
  <c r="CJ56" i="34"/>
  <c r="AV47" i="34"/>
  <c r="CR56" i="34"/>
  <c r="CJ47" i="34"/>
  <c r="BR47" i="34"/>
  <c r="CR47" i="34"/>
  <c r="BN56" i="34"/>
  <c r="AR56" i="34"/>
  <c r="BN47" i="34"/>
  <c r="CN56" i="34"/>
  <c r="AR47" i="34"/>
  <c r="BV47" i="34"/>
  <c r="BR56" i="34"/>
  <c r="AZ47" i="34"/>
  <c r="AZ56" i="34"/>
  <c r="BQ56" i="34"/>
  <c r="BU47" i="34"/>
  <c r="AY50" i="34"/>
  <c r="CI48" i="34"/>
  <c r="CU48" i="34"/>
  <c r="CQ57" i="34"/>
  <c r="CC56" i="34"/>
  <c r="BG56" i="34"/>
  <c r="CC47" i="34"/>
  <c r="CY56" i="34"/>
  <c r="BG47" i="34"/>
  <c r="CY47" i="34"/>
  <c r="AU47" i="34"/>
  <c r="AU56" i="34"/>
  <c r="BM47" i="34"/>
  <c r="AQ56" i="34"/>
  <c r="AQ50" i="34"/>
  <c r="AR57" i="34"/>
  <c r="BC48" i="34"/>
  <c r="CM48" i="34"/>
  <c r="BC47" i="34"/>
  <c r="CU47" i="34"/>
  <c r="BY56" i="34"/>
  <c r="BU56" i="34"/>
  <c r="M51" i="38"/>
  <c r="BC50" i="34"/>
  <c r="BY48" i="34"/>
  <c r="AY48" i="34"/>
  <c r="CU57" i="34"/>
  <c r="BY47" i="34"/>
  <c r="CM47" i="34"/>
  <c r="BC56" i="34"/>
  <c r="BM56" i="34"/>
  <c r="DQ27" i="34"/>
  <c r="M77" i="38"/>
  <c r="AT50" i="34"/>
  <c r="BB50" i="34"/>
  <c r="CH50" i="34"/>
  <c r="CP50" i="34"/>
  <c r="BP50" i="34"/>
  <c r="BL50" i="34"/>
  <c r="BT50" i="34"/>
  <c r="AP50" i="34"/>
  <c r="AX50" i="34"/>
  <c r="CL50" i="34"/>
  <c r="CT50" i="34"/>
  <c r="BX50" i="34"/>
  <c r="DL20" i="34"/>
  <c r="CM50" i="34"/>
  <c r="AU50" i="34"/>
  <c r="DQ19" i="34"/>
  <c r="M47" i="38"/>
  <c r="M62" i="38"/>
  <c r="DQ26" i="34"/>
  <c r="M66" i="38"/>
  <c r="M81" i="38"/>
  <c r="DR18" i="34"/>
  <c r="DI20" i="34"/>
  <c r="EJ28" i="34"/>
  <c r="DI28" i="34" s="1"/>
  <c r="BU50" i="34"/>
  <c r="DM19" i="34"/>
  <c r="BM50" i="34"/>
  <c r="M21" i="38"/>
  <c r="BY50" i="34"/>
  <c r="CX50" i="34"/>
  <c r="CB50" i="34"/>
  <c r="BF50" i="34"/>
  <c r="DL28" i="34"/>
  <c r="CY50" i="34"/>
  <c r="CC50" i="34"/>
  <c r="BG50" i="34"/>
  <c r="DL27" i="34"/>
  <c r="J47" i="38" s="1"/>
  <c r="BQ50" i="34"/>
  <c r="CI50" i="34"/>
  <c r="EN20" i="34"/>
  <c r="DN41" i="34"/>
  <c r="T61" i="34" s="1"/>
  <c r="DR41" i="34"/>
  <c r="EN27" i="34"/>
  <c r="DN42" i="34"/>
  <c r="DR42" i="34"/>
  <c r="DN43" i="34"/>
  <c r="DR43" i="34"/>
  <c r="DU47" i="34"/>
  <c r="N61" i="34" l="1"/>
  <c r="R55" i="31"/>
  <c r="F61" i="34"/>
  <c r="H61" i="34"/>
  <c r="N73" i="31"/>
  <c r="P61" i="34"/>
  <c r="R61" i="34"/>
  <c r="Q61" i="34"/>
  <c r="S61" i="34"/>
  <c r="V61" i="34"/>
  <c r="AL61" i="34"/>
  <c r="M61" i="34"/>
  <c r="L61" i="34"/>
  <c r="AM61" i="34"/>
  <c r="O61" i="34"/>
  <c r="W61" i="34"/>
  <c r="AH61" i="34"/>
  <c r="J61" i="34"/>
  <c r="AJ61" i="34"/>
  <c r="D61" i="34"/>
  <c r="X61" i="34"/>
  <c r="Z61" i="34"/>
  <c r="AF61" i="34"/>
  <c r="AB61" i="34"/>
  <c r="AD61" i="34"/>
  <c r="R73" i="31"/>
  <c r="AM64" i="34"/>
  <c r="CI63" i="34"/>
  <c r="BQ63" i="34"/>
  <c r="AU63" i="34"/>
  <c r="BY63" i="34"/>
  <c r="BM63" i="34"/>
  <c r="CM63" i="34"/>
  <c r="BC63" i="34"/>
  <c r="AQ63" i="34"/>
  <c r="CU63" i="34"/>
  <c r="AK64" i="34"/>
  <c r="R76" i="31"/>
  <c r="AI64" i="34"/>
  <c r="AC64" i="34"/>
  <c r="AG64" i="34"/>
  <c r="AE64" i="34"/>
  <c r="AA64" i="34"/>
  <c r="CC63" i="34"/>
  <c r="CY63" i="34"/>
  <c r="BG63" i="34"/>
  <c r="CQ63" i="34"/>
  <c r="BU63" i="34"/>
  <c r="AY63" i="34"/>
  <c r="CW64" i="34"/>
  <c r="CA64" i="34"/>
  <c r="BE64" i="34"/>
  <c r="CO64" i="34"/>
  <c r="AW64" i="34"/>
  <c r="BS64" i="34"/>
  <c r="U64" i="34"/>
  <c r="T64" i="34"/>
  <c r="S64" i="34"/>
  <c r="K64" i="34"/>
  <c r="J64" i="34"/>
  <c r="Q64" i="34"/>
  <c r="I64" i="34"/>
  <c r="P64" i="34"/>
  <c r="H64" i="34"/>
  <c r="W64" i="34"/>
  <c r="O64" i="34"/>
  <c r="G64" i="34"/>
  <c r="V64" i="34"/>
  <c r="N64" i="34"/>
  <c r="F64" i="34"/>
  <c r="R64" i="34"/>
  <c r="CD63" i="34"/>
  <c r="CV63" i="34"/>
  <c r="BH63" i="34"/>
  <c r="BZ63" i="34"/>
  <c r="CZ63" i="34"/>
  <c r="BD63" i="34"/>
  <c r="BV63" i="34"/>
  <c r="CR63" i="34"/>
  <c r="AZ63" i="34"/>
  <c r="AL64" i="34"/>
  <c r="AR63" i="34"/>
  <c r="CN63" i="34"/>
  <c r="CK64" i="34"/>
  <c r="BA64" i="34"/>
  <c r="AO64" i="34"/>
  <c r="M64" i="34"/>
  <c r="E64" i="34"/>
  <c r="AN64" i="34"/>
  <c r="L64" i="34"/>
  <c r="D64" i="34"/>
  <c r="BO64" i="34"/>
  <c r="CS64" i="34"/>
  <c r="CG64" i="34"/>
  <c r="AS64" i="34"/>
  <c r="CF64" i="34"/>
  <c r="BW64" i="34"/>
  <c r="BK64" i="34"/>
  <c r="BJ64" i="34"/>
  <c r="X64" i="34"/>
  <c r="Y64" i="34"/>
  <c r="BN63" i="34"/>
  <c r="AJ64" i="34"/>
  <c r="AF64" i="34"/>
  <c r="Z64" i="34"/>
  <c r="AH64" i="34"/>
  <c r="AB64" i="34"/>
  <c r="AD64" i="34"/>
  <c r="AV63" i="34"/>
  <c r="CJ63" i="34"/>
  <c r="CJ64" i="34"/>
  <c r="BR63" i="34"/>
  <c r="M85" i="35"/>
  <c r="M97" i="35"/>
  <c r="K88" i="35"/>
  <c r="K94" i="35"/>
  <c r="K100" i="35"/>
  <c r="M82" i="35"/>
  <c r="M88" i="35"/>
  <c r="M94" i="35"/>
  <c r="K97" i="35"/>
  <c r="M100" i="35"/>
  <c r="K82" i="35"/>
  <c r="M79" i="35"/>
  <c r="K106" i="35"/>
  <c r="M91" i="35"/>
  <c r="K85" i="35"/>
  <c r="AR48" i="34"/>
  <c r="AZ57" i="34"/>
  <c r="L106" i="35"/>
  <c r="CZ48" i="34"/>
  <c r="AZ48" i="34"/>
  <c r="BD48" i="34"/>
  <c r="BN48" i="34"/>
  <c r="BV48" i="34"/>
  <c r="BZ48" i="34"/>
  <c r="CV57" i="34"/>
  <c r="CR57" i="34"/>
  <c r="BZ57" i="34"/>
  <c r="CV48" i="34"/>
  <c r="BH57" i="34"/>
  <c r="AV48" i="34"/>
  <c r="BH48" i="34"/>
  <c r="CZ57" i="34"/>
  <c r="BR48" i="34"/>
  <c r="CR48" i="34"/>
  <c r="CD57" i="34"/>
  <c r="BD57" i="34"/>
  <c r="BN57" i="34"/>
  <c r="CN57" i="34"/>
  <c r="CD48" i="34"/>
  <c r="AV57" i="34"/>
  <c r="BV57" i="34"/>
  <c r="CJ57" i="34"/>
  <c r="CJ48" i="34"/>
  <c r="CN48" i="34"/>
  <c r="DN19" i="34"/>
  <c r="DM27" i="34"/>
  <c r="J77" i="38"/>
  <c r="J17" i="38"/>
  <c r="BF51" i="34"/>
  <c r="CX65" i="34"/>
  <c r="CX52" i="34"/>
  <c r="BF52" i="34"/>
  <c r="CB65" i="34"/>
  <c r="CB52" i="34"/>
  <c r="BF65" i="34"/>
  <c r="CX51" i="34"/>
  <c r="CB51" i="34"/>
  <c r="DO28" i="34"/>
  <c r="DR19" i="34"/>
  <c r="BP65" i="34"/>
  <c r="BX65" i="34"/>
  <c r="BP52" i="34"/>
  <c r="BX52" i="34"/>
  <c r="CP51" i="34"/>
  <c r="AP52" i="34"/>
  <c r="AP51" i="34"/>
  <c r="AX51" i="34"/>
  <c r="CL51" i="34"/>
  <c r="CT51" i="34"/>
  <c r="AP65" i="34"/>
  <c r="AX52" i="34"/>
  <c r="CL52" i="34"/>
  <c r="AT65" i="34"/>
  <c r="BB65" i="34"/>
  <c r="CH65" i="34"/>
  <c r="CP65" i="34"/>
  <c r="AT52" i="34"/>
  <c r="BB52" i="34"/>
  <c r="CH52" i="34"/>
  <c r="CP52" i="34"/>
  <c r="BP51" i="34"/>
  <c r="BX51" i="34"/>
  <c r="BL65" i="34"/>
  <c r="BT65" i="34"/>
  <c r="BL52" i="34"/>
  <c r="BT52" i="34"/>
  <c r="CH51" i="34"/>
  <c r="CL65" i="34"/>
  <c r="CT52" i="34"/>
  <c r="AT51" i="34"/>
  <c r="BB51" i="34"/>
  <c r="AX65" i="34"/>
  <c r="CT65" i="34"/>
  <c r="BL51" i="34"/>
  <c r="BT51" i="34"/>
  <c r="DO20" i="34"/>
  <c r="J32" i="38"/>
  <c r="DM28" i="34"/>
  <c r="J73" i="38"/>
  <c r="J62" i="38"/>
  <c r="DR26" i="34"/>
  <c r="DM20" i="34"/>
  <c r="J13" i="38"/>
  <c r="J43" i="38"/>
  <c r="J28" i="38"/>
  <c r="J58" i="38"/>
  <c r="DR27" i="34"/>
  <c r="EN28" i="34"/>
  <c r="CV64" i="34" l="1"/>
  <c r="BH64" i="34"/>
  <c r="BZ64" i="34"/>
  <c r="CZ64" i="34"/>
  <c r="BD64" i="34"/>
  <c r="CD64" i="34"/>
  <c r="AZ64" i="34"/>
  <c r="CR64" i="34"/>
  <c r="BV64" i="34"/>
  <c r="CC64" i="34"/>
  <c r="BG64" i="34"/>
  <c r="CY64" i="34"/>
  <c r="BU64" i="34"/>
  <c r="AY64" i="34"/>
  <c r="CQ64" i="34"/>
  <c r="BQ64" i="34"/>
  <c r="CU64" i="34"/>
  <c r="CI64" i="34"/>
  <c r="AU64" i="34"/>
  <c r="BY64" i="34"/>
  <c r="BM64" i="34"/>
  <c r="CM64" i="34"/>
  <c r="BC64" i="34"/>
  <c r="AQ64" i="34"/>
  <c r="AV64" i="34"/>
  <c r="CB60" i="34"/>
  <c r="BF60" i="34"/>
  <c r="CX60" i="34"/>
  <c r="CP60" i="34"/>
  <c r="BT60" i="34"/>
  <c r="AX60" i="34"/>
  <c r="CL62" i="34"/>
  <c r="M28" i="38" s="1"/>
  <c r="BB62" i="34"/>
  <c r="AP62" i="34"/>
  <c r="BP62" i="34"/>
  <c r="CT62" i="34"/>
  <c r="CH62" i="34"/>
  <c r="BX62" i="34"/>
  <c r="BL62" i="34"/>
  <c r="AT62" i="34"/>
  <c r="BN64" i="34"/>
  <c r="BX60" i="34"/>
  <c r="BL60" i="34"/>
  <c r="CL60" i="34"/>
  <c r="BB60" i="34"/>
  <c r="AP60" i="34"/>
  <c r="BP60" i="34"/>
  <c r="CT60" i="34"/>
  <c r="K58" i="38" s="1"/>
  <c r="CH60" i="34"/>
  <c r="AT60" i="34"/>
  <c r="BR64" i="34"/>
  <c r="AR64" i="34"/>
  <c r="CN64" i="34"/>
  <c r="L103" i="35"/>
  <c r="L85" i="35"/>
  <c r="L100" i="35"/>
  <c r="L91" i="35"/>
  <c r="L82" i="35"/>
  <c r="L94" i="35"/>
  <c r="L88" i="35"/>
  <c r="L97" i="35"/>
  <c r="L79" i="35"/>
  <c r="K17" i="38"/>
  <c r="K62" i="38"/>
  <c r="K32" i="38"/>
  <c r="K47" i="38"/>
  <c r="DQ28" i="34"/>
  <c r="M73" i="38"/>
  <c r="DN28" i="34"/>
  <c r="K73" i="38"/>
  <c r="DN20" i="34"/>
  <c r="K28" i="38"/>
  <c r="K13" i="38"/>
  <c r="K43" i="38"/>
  <c r="DQ20" i="34"/>
  <c r="M58" i="38"/>
  <c r="M13" i="38"/>
  <c r="M43" i="38"/>
  <c r="DN27" i="34"/>
  <c r="K77" i="38"/>
  <c r="BX61" i="34" l="1"/>
  <c r="BL61" i="34"/>
  <c r="AT61" i="34"/>
  <c r="CL61" i="34"/>
  <c r="BB61" i="34"/>
  <c r="AP61" i="34"/>
  <c r="BP61" i="34"/>
  <c r="CT61" i="34"/>
  <c r="L58" i="38" s="1"/>
  <c r="CH61" i="34"/>
  <c r="L13" i="38" s="1"/>
  <c r="CX61" i="34"/>
  <c r="CB61" i="34"/>
  <c r="BF61" i="34"/>
  <c r="BT61" i="34"/>
  <c r="CP61" i="34"/>
  <c r="AX61" i="34"/>
  <c r="CL63" i="34"/>
  <c r="BB63" i="34"/>
  <c r="AP63" i="34"/>
  <c r="BP63" i="34"/>
  <c r="CT63" i="34"/>
  <c r="CH63" i="34"/>
  <c r="AT63" i="34"/>
  <c r="BX63" i="34"/>
  <c r="BL63" i="34"/>
  <c r="CX63" i="34"/>
  <c r="CB63" i="34"/>
  <c r="BF63" i="34"/>
  <c r="CP63" i="34"/>
  <c r="AX63" i="34"/>
  <c r="BT63" i="34"/>
  <c r="L43" i="38"/>
  <c r="L28" i="38"/>
  <c r="L73" i="38"/>
  <c r="L47" i="38"/>
  <c r="L17" i="38"/>
  <c r="DR20" i="34"/>
  <c r="L77" i="38"/>
  <c r="L32" i="38"/>
  <c r="L62" i="38"/>
  <c r="DR28" i="34"/>
  <c r="C127" i="35"/>
  <c r="T73" i="35"/>
  <c r="T52" i="35"/>
  <c r="T49" i="35"/>
  <c r="T46" i="35"/>
  <c r="T43" i="35"/>
  <c r="T40" i="35"/>
  <c r="T37" i="35"/>
  <c r="T16" i="35"/>
  <c r="T13" i="35"/>
  <c r="T10" i="35"/>
  <c r="T7" i="35"/>
  <c r="CH64" i="34" l="1"/>
  <c r="BP64" i="34"/>
  <c r="CT64" i="34"/>
  <c r="AT64" i="34"/>
  <c r="BX64" i="34"/>
  <c r="BL64" i="34"/>
  <c r="CL64" i="34"/>
  <c r="BB64" i="34"/>
  <c r="AP64" i="34"/>
  <c r="CB64" i="34"/>
  <c r="BF64" i="34"/>
  <c r="CX64" i="34"/>
  <c r="CP64" i="34"/>
  <c r="AX64" i="34"/>
  <c r="BT64" i="34"/>
  <c r="K161" i="32"/>
  <c r="K160" i="32"/>
  <c r="H12" i="32"/>
  <c r="T10" i="32"/>
  <c r="I10" i="32"/>
  <c r="G10" i="32"/>
  <c r="H9" i="32"/>
  <c r="G8" i="32"/>
  <c r="G11" i="32" s="1"/>
  <c r="T7" i="32"/>
  <c r="M7" i="32"/>
  <c r="M10" i="32" s="1"/>
  <c r="J7" i="32"/>
  <c r="J10" i="32" s="1"/>
  <c r="I7" i="32"/>
  <c r="G7" i="32"/>
  <c r="K41" i="23"/>
  <c r="K42" i="23"/>
  <c r="K37" i="23"/>
  <c r="K38" i="23"/>
  <c r="K39" i="23"/>
  <c r="F228" i="21" s="1"/>
  <c r="AG15" i="33"/>
  <c r="AH15" i="33"/>
  <c r="AI15" i="33"/>
  <c r="AG17" i="33"/>
  <c r="AH17" i="33"/>
  <c r="AI17" i="33"/>
  <c r="AI12" i="33"/>
  <c r="AH12" i="33"/>
  <c r="AG12" i="33"/>
  <c r="L40" i="23" s="1"/>
  <c r="K40" i="23" s="1"/>
  <c r="F317" i="21" s="1"/>
  <c r="AG7" i="33"/>
  <c r="L31" i="23" s="1"/>
  <c r="L30" i="23" s="1"/>
  <c r="G99" i="21" s="1"/>
  <c r="AH7" i="33"/>
  <c r="N31" i="23" s="1"/>
  <c r="I161" i="21" s="1"/>
  <c r="N167" i="21" s="1"/>
  <c r="AI7" i="33"/>
  <c r="O31" i="23" s="1"/>
  <c r="J161" i="21" s="1"/>
  <c r="O167" i="21" s="1"/>
  <c r="AG8" i="33"/>
  <c r="AH8" i="33"/>
  <c r="N29" i="23" s="1"/>
  <c r="I75" i="21" s="1"/>
  <c r="AI8" i="33"/>
  <c r="O29" i="23" s="1"/>
  <c r="J75" i="21" s="1"/>
  <c r="AH6" i="33"/>
  <c r="N32" i="23" s="1"/>
  <c r="I296" i="21" s="1"/>
  <c r="AI6" i="33"/>
  <c r="O32" i="23" s="1"/>
  <c r="J296" i="21" s="1"/>
  <c r="AG6" i="33"/>
  <c r="L32" i="23" s="1"/>
  <c r="AB41" i="23"/>
  <c r="AD42" i="23"/>
  <c r="AE37" i="23"/>
  <c r="Y307" i="21" s="1"/>
  <c r="Y43" i="23"/>
  <c r="AG34" i="23"/>
  <c r="AG36" i="23"/>
  <c r="AG39" i="23"/>
  <c r="AG41" i="23"/>
  <c r="AG43" i="23"/>
  <c r="AI29" i="23"/>
  <c r="AH32" i="23"/>
  <c r="Y34" i="23"/>
  <c r="AB4" i="23"/>
  <c r="AJ4" i="23"/>
  <c r="AD5" i="23"/>
  <c r="X6" i="23"/>
  <c r="AF6" i="23"/>
  <c r="Z7" i="23"/>
  <c r="AH7" i="23"/>
  <c r="AB8" i="23"/>
  <c r="AJ8" i="23"/>
  <c r="AD9" i="23"/>
  <c r="X252" i="21" s="1"/>
  <c r="X10" i="23"/>
  <c r="AF10" i="23"/>
  <c r="Z11" i="23"/>
  <c r="AH11" i="23"/>
  <c r="AB12" i="23"/>
  <c r="AJ12" i="23"/>
  <c r="AD13" i="23"/>
  <c r="X14" i="23"/>
  <c r="AF14" i="23"/>
  <c r="Z15" i="23"/>
  <c r="AH15" i="23"/>
  <c r="AB16" i="23"/>
  <c r="AJ16" i="23"/>
  <c r="AD17" i="23"/>
  <c r="X18" i="23"/>
  <c r="AF18" i="23"/>
  <c r="Z19" i="23"/>
  <c r="AH19" i="23"/>
  <c r="AB20" i="23"/>
  <c r="AJ20" i="23"/>
  <c r="AD21" i="23"/>
  <c r="X22" i="23"/>
  <c r="AF22" i="23"/>
  <c r="Z23" i="23"/>
  <c r="T287" i="21" s="1"/>
  <c r="AH23" i="23"/>
  <c r="AB24" i="23"/>
  <c r="V281" i="21" s="1"/>
  <c r="W281" i="21" s="1"/>
  <c r="AJ24" i="23"/>
  <c r="AD281" i="21" s="1"/>
  <c r="AD25" i="23"/>
  <c r="X26" i="23"/>
  <c r="AF26" i="23"/>
  <c r="Z27" i="23"/>
  <c r="AH27" i="23"/>
  <c r="AB28" i="23"/>
  <c r="AJ28" i="23"/>
  <c r="AF3" i="23"/>
  <c r="AZ5" i="33"/>
  <c r="W4" i="23" s="1"/>
  <c r="BA5" i="33"/>
  <c r="X4" i="23" s="1"/>
  <c r="BB5" i="33"/>
  <c r="Y4" i="23" s="1"/>
  <c r="BC5" i="33"/>
  <c r="Z4" i="23" s="1"/>
  <c r="BD5" i="33"/>
  <c r="AA4" i="23" s="1"/>
  <c r="BE5" i="33"/>
  <c r="BF5" i="33"/>
  <c r="AC4" i="23" s="1"/>
  <c r="BG5" i="33"/>
  <c r="AD4" i="23" s="1"/>
  <c r="BH5" i="33"/>
  <c r="AE4" i="23" s="1"/>
  <c r="BI5" i="33"/>
  <c r="AF4" i="23" s="1"/>
  <c r="BJ5" i="33"/>
  <c r="AG4" i="23" s="1"/>
  <c r="BK5" i="33"/>
  <c r="AH4" i="23" s="1"/>
  <c r="BL5" i="33"/>
  <c r="AI4" i="23" s="1"/>
  <c r="BM5" i="33"/>
  <c r="AZ6" i="33"/>
  <c r="W5" i="23" s="1"/>
  <c r="BA6" i="33"/>
  <c r="X5" i="23" s="1"/>
  <c r="BB6" i="33"/>
  <c r="Y5" i="23" s="1"/>
  <c r="BC6" i="33"/>
  <c r="Z5" i="23" s="1"/>
  <c r="BD6" i="33"/>
  <c r="AA5" i="23" s="1"/>
  <c r="BE6" i="33"/>
  <c r="AB5" i="23" s="1"/>
  <c r="BF6" i="33"/>
  <c r="AC5" i="23" s="1"/>
  <c r="BG6" i="33"/>
  <c r="BH6" i="33"/>
  <c r="AE5" i="23" s="1"/>
  <c r="BI6" i="33"/>
  <c r="AF5" i="23" s="1"/>
  <c r="BJ6" i="33"/>
  <c r="AG5" i="23" s="1"/>
  <c r="BK6" i="33"/>
  <c r="AH5" i="23" s="1"/>
  <c r="BL6" i="33"/>
  <c r="AI5" i="23" s="1"/>
  <c r="BM6" i="33"/>
  <c r="AJ5" i="23" s="1"/>
  <c r="AZ7" i="33"/>
  <c r="W6" i="23" s="1"/>
  <c r="BA7" i="33"/>
  <c r="BB7" i="33"/>
  <c r="Y6" i="23" s="1"/>
  <c r="BC7" i="33"/>
  <c r="Z6" i="23" s="1"/>
  <c r="BD7" i="33"/>
  <c r="AA6" i="23" s="1"/>
  <c r="BE7" i="33"/>
  <c r="AB6" i="23" s="1"/>
  <c r="BF7" i="33"/>
  <c r="AC6" i="23" s="1"/>
  <c r="BG7" i="33"/>
  <c r="AD6" i="23" s="1"/>
  <c r="BH7" i="33"/>
  <c r="AE6" i="23" s="1"/>
  <c r="BI7" i="33"/>
  <c r="BJ7" i="33"/>
  <c r="AG6" i="23" s="1"/>
  <c r="BK7" i="33"/>
  <c r="AH6" i="23" s="1"/>
  <c r="BL7" i="33"/>
  <c r="AI6" i="23" s="1"/>
  <c r="BM7" i="33"/>
  <c r="AJ6" i="23" s="1"/>
  <c r="AZ8" i="33"/>
  <c r="W7" i="23" s="1"/>
  <c r="BA8" i="33"/>
  <c r="X7" i="23" s="1"/>
  <c r="BB8" i="33"/>
  <c r="Y7" i="23" s="1"/>
  <c r="BC8" i="33"/>
  <c r="BD8" i="33"/>
  <c r="AA7" i="23" s="1"/>
  <c r="BE8" i="33"/>
  <c r="AB7" i="23" s="1"/>
  <c r="BF8" i="33"/>
  <c r="AC7" i="23" s="1"/>
  <c r="BG8" i="33"/>
  <c r="AD7" i="23" s="1"/>
  <c r="BH8" i="33"/>
  <c r="AE7" i="23" s="1"/>
  <c r="BI8" i="33"/>
  <c r="AF7" i="23" s="1"/>
  <c r="BJ8" i="33"/>
  <c r="AG7" i="23" s="1"/>
  <c r="BK8" i="33"/>
  <c r="BL8" i="33"/>
  <c r="AI7" i="23" s="1"/>
  <c r="BM8" i="33"/>
  <c r="AJ7" i="23" s="1"/>
  <c r="AZ9" i="33"/>
  <c r="W8" i="23" s="1"/>
  <c r="BA9" i="33"/>
  <c r="X8" i="23" s="1"/>
  <c r="BB9" i="33"/>
  <c r="Y8" i="23" s="1"/>
  <c r="BC9" i="33"/>
  <c r="Z8" i="23" s="1"/>
  <c r="BD9" i="33"/>
  <c r="AA8" i="23" s="1"/>
  <c r="BE9" i="33"/>
  <c r="BF9" i="33"/>
  <c r="AC8" i="23" s="1"/>
  <c r="BG9" i="33"/>
  <c r="AD8" i="23" s="1"/>
  <c r="BH9" i="33"/>
  <c r="AE8" i="23" s="1"/>
  <c r="BI9" i="33"/>
  <c r="AF8" i="23" s="1"/>
  <c r="BJ9" i="33"/>
  <c r="AG8" i="23" s="1"/>
  <c r="BK9" i="33"/>
  <c r="AH8" i="23" s="1"/>
  <c r="BL9" i="33"/>
  <c r="AI8" i="23" s="1"/>
  <c r="BM9" i="33"/>
  <c r="AZ10" i="33"/>
  <c r="W9" i="23" s="1"/>
  <c r="Q252" i="21" s="1"/>
  <c r="BA10" i="33"/>
  <c r="X9" i="23" s="1"/>
  <c r="R252" i="21" s="1"/>
  <c r="BB10" i="33"/>
  <c r="Y9" i="23" s="1"/>
  <c r="BC10" i="33"/>
  <c r="Z9" i="23" s="1"/>
  <c r="BD10" i="33"/>
  <c r="AA9" i="23" s="1"/>
  <c r="BE10" i="33"/>
  <c r="AB9" i="23" s="1"/>
  <c r="V252" i="21" s="1"/>
  <c r="W252" i="21" s="1"/>
  <c r="BF10" i="33"/>
  <c r="AC9" i="23" s="1"/>
  <c r="BG10" i="33"/>
  <c r="BH10" i="33"/>
  <c r="AE9" i="23" s="1"/>
  <c r="BI10" i="33"/>
  <c r="AF9" i="23" s="1"/>
  <c r="BJ10" i="33"/>
  <c r="AG9" i="23" s="1"/>
  <c r="AA252" i="21" s="1"/>
  <c r="BK10" i="33"/>
  <c r="AH9" i="23" s="1"/>
  <c r="BL10" i="33"/>
  <c r="AI9" i="23" s="1"/>
  <c r="BM10" i="33"/>
  <c r="AJ9" i="23" s="1"/>
  <c r="AZ11" i="33"/>
  <c r="W10" i="23" s="1"/>
  <c r="BA11" i="33"/>
  <c r="BB11" i="33"/>
  <c r="Y10" i="23" s="1"/>
  <c r="BC11" i="33"/>
  <c r="Z10" i="23" s="1"/>
  <c r="BD11" i="33"/>
  <c r="AA10" i="23" s="1"/>
  <c r="BE11" i="33"/>
  <c r="AB10" i="23" s="1"/>
  <c r="BF11" i="33"/>
  <c r="AC10" i="23" s="1"/>
  <c r="BG11" i="33"/>
  <c r="AD10" i="23" s="1"/>
  <c r="BH11" i="33"/>
  <c r="AE10" i="23" s="1"/>
  <c r="BI11" i="33"/>
  <c r="BJ11" i="33"/>
  <c r="AG10" i="23" s="1"/>
  <c r="BK11" i="33"/>
  <c r="AH10" i="23" s="1"/>
  <c r="BL11" i="33"/>
  <c r="AI10" i="23" s="1"/>
  <c r="BM11" i="33"/>
  <c r="AJ10" i="23" s="1"/>
  <c r="AZ12" i="33"/>
  <c r="W11" i="23" s="1"/>
  <c r="BA12" i="33"/>
  <c r="X11" i="23" s="1"/>
  <c r="BB12" i="33"/>
  <c r="Y11" i="23" s="1"/>
  <c r="BC12" i="33"/>
  <c r="BD12" i="33"/>
  <c r="AA11" i="23" s="1"/>
  <c r="BE12" i="33"/>
  <c r="AB11" i="23" s="1"/>
  <c r="BF12" i="33"/>
  <c r="AC11" i="23" s="1"/>
  <c r="BG12" i="33"/>
  <c r="AD11" i="23" s="1"/>
  <c r="BH12" i="33"/>
  <c r="AE11" i="23" s="1"/>
  <c r="BI12" i="33"/>
  <c r="AF11" i="23" s="1"/>
  <c r="BJ12" i="33"/>
  <c r="AG11" i="23" s="1"/>
  <c r="BK12" i="33"/>
  <c r="BL12" i="33"/>
  <c r="AI11" i="23" s="1"/>
  <c r="BM12" i="33"/>
  <c r="AJ11" i="23" s="1"/>
  <c r="AZ13" i="33"/>
  <c r="W12" i="23" s="1"/>
  <c r="BA13" i="33"/>
  <c r="X12" i="23" s="1"/>
  <c r="BB13" i="33"/>
  <c r="Y12" i="23" s="1"/>
  <c r="BC13" i="33"/>
  <c r="Z12" i="23" s="1"/>
  <c r="BD13" i="33"/>
  <c r="AA12" i="23" s="1"/>
  <c r="BE13" i="33"/>
  <c r="BF13" i="33"/>
  <c r="AC12" i="23" s="1"/>
  <c r="BG13" i="33"/>
  <c r="AD12" i="23" s="1"/>
  <c r="BH13" i="33"/>
  <c r="AE12" i="23" s="1"/>
  <c r="BI13" i="33"/>
  <c r="AF12" i="23" s="1"/>
  <c r="BJ13" i="33"/>
  <c r="AG12" i="23" s="1"/>
  <c r="BK13" i="33"/>
  <c r="AH12" i="23" s="1"/>
  <c r="BL13" i="33"/>
  <c r="AI12" i="23" s="1"/>
  <c r="BM13" i="33"/>
  <c r="AZ14" i="33"/>
  <c r="W13" i="23" s="1"/>
  <c r="BA14" i="33"/>
  <c r="X13" i="23" s="1"/>
  <c r="BB14" i="33"/>
  <c r="Y13" i="23" s="1"/>
  <c r="BC14" i="33"/>
  <c r="Z13" i="23" s="1"/>
  <c r="BD14" i="33"/>
  <c r="AA13" i="23" s="1"/>
  <c r="BE14" i="33"/>
  <c r="AB13" i="23" s="1"/>
  <c r="BF14" i="33"/>
  <c r="AC13" i="23" s="1"/>
  <c r="BG14" i="33"/>
  <c r="BH14" i="33"/>
  <c r="AE13" i="23" s="1"/>
  <c r="BI14" i="33"/>
  <c r="AF13" i="23" s="1"/>
  <c r="BJ14" i="33"/>
  <c r="AG13" i="23" s="1"/>
  <c r="BK14" i="33"/>
  <c r="AH13" i="23" s="1"/>
  <c r="BL14" i="33"/>
  <c r="AI13" i="23" s="1"/>
  <c r="BM14" i="33"/>
  <c r="AJ13" i="23" s="1"/>
  <c r="AZ15" i="33"/>
  <c r="W14" i="23" s="1"/>
  <c r="BA15" i="33"/>
  <c r="BB15" i="33"/>
  <c r="Y14" i="23" s="1"/>
  <c r="BC15" i="33"/>
  <c r="Z14" i="23" s="1"/>
  <c r="BD15" i="33"/>
  <c r="AA14" i="23" s="1"/>
  <c r="BE15" i="33"/>
  <c r="AB14" i="23" s="1"/>
  <c r="BF15" i="33"/>
  <c r="AC14" i="23" s="1"/>
  <c r="BG15" i="33"/>
  <c r="AD14" i="23" s="1"/>
  <c r="BH15" i="33"/>
  <c r="AE14" i="23" s="1"/>
  <c r="BI15" i="33"/>
  <c r="BJ15" i="33"/>
  <c r="AG14" i="23" s="1"/>
  <c r="BK15" i="33"/>
  <c r="AH14" i="23" s="1"/>
  <c r="BL15" i="33"/>
  <c r="AI14" i="23" s="1"/>
  <c r="BM15" i="33"/>
  <c r="AJ14" i="23" s="1"/>
  <c r="AZ16" i="33"/>
  <c r="W15" i="23" s="1"/>
  <c r="BA16" i="33"/>
  <c r="X15" i="23" s="1"/>
  <c r="BB16" i="33"/>
  <c r="Y15" i="23" s="1"/>
  <c r="BC16" i="33"/>
  <c r="BD16" i="33"/>
  <c r="AA15" i="23" s="1"/>
  <c r="BE16" i="33"/>
  <c r="AB15" i="23" s="1"/>
  <c r="BF16" i="33"/>
  <c r="AC15" i="23" s="1"/>
  <c r="BG16" i="33"/>
  <c r="AD15" i="23" s="1"/>
  <c r="BH16" i="33"/>
  <c r="AE15" i="23" s="1"/>
  <c r="BI16" i="33"/>
  <c r="AF15" i="23" s="1"/>
  <c r="BJ16" i="33"/>
  <c r="AG15" i="23" s="1"/>
  <c r="BK16" i="33"/>
  <c r="BL16" i="33"/>
  <c r="AI15" i="23" s="1"/>
  <c r="BM16" i="33"/>
  <c r="AJ15" i="23" s="1"/>
  <c r="AZ17" i="33"/>
  <c r="W16" i="23" s="1"/>
  <c r="BA17" i="33"/>
  <c r="X16" i="23" s="1"/>
  <c r="BB17" i="33"/>
  <c r="Y16" i="23" s="1"/>
  <c r="BC17" i="33"/>
  <c r="Z16" i="23" s="1"/>
  <c r="BD17" i="33"/>
  <c r="AA16" i="23" s="1"/>
  <c r="BE17" i="33"/>
  <c r="BF17" i="33"/>
  <c r="AC16" i="23" s="1"/>
  <c r="BG17" i="33"/>
  <c r="AD16" i="23" s="1"/>
  <c r="BH17" i="33"/>
  <c r="AE16" i="23" s="1"/>
  <c r="BI17" i="33"/>
  <c r="AF16" i="23" s="1"/>
  <c r="BJ17" i="33"/>
  <c r="AG16" i="23" s="1"/>
  <c r="BK17" i="33"/>
  <c r="AH16" i="23" s="1"/>
  <c r="BL17" i="33"/>
  <c r="AI16" i="23" s="1"/>
  <c r="BM17" i="33"/>
  <c r="AZ18" i="33"/>
  <c r="W17" i="23" s="1"/>
  <c r="BA18" i="33"/>
  <c r="X17" i="23" s="1"/>
  <c r="BB18" i="33"/>
  <c r="Y17" i="23" s="1"/>
  <c r="BC18" i="33"/>
  <c r="Z17" i="23" s="1"/>
  <c r="BD18" i="33"/>
  <c r="AA17" i="23" s="1"/>
  <c r="BE18" i="33"/>
  <c r="AB17" i="23" s="1"/>
  <c r="BF18" i="33"/>
  <c r="AC17" i="23" s="1"/>
  <c r="BG18" i="33"/>
  <c r="BH18" i="33"/>
  <c r="AE17" i="23" s="1"/>
  <c r="BI18" i="33"/>
  <c r="AF17" i="23" s="1"/>
  <c r="BJ18" i="33"/>
  <c r="AG17" i="23" s="1"/>
  <c r="BK18" i="33"/>
  <c r="AH17" i="23" s="1"/>
  <c r="BL18" i="33"/>
  <c r="AI17" i="23" s="1"/>
  <c r="BM18" i="33"/>
  <c r="AJ17" i="23" s="1"/>
  <c r="AZ19" i="33"/>
  <c r="W18" i="23" s="1"/>
  <c r="BA19" i="33"/>
  <c r="BB19" i="33"/>
  <c r="Y18" i="23" s="1"/>
  <c r="BC19" i="33"/>
  <c r="Z18" i="23" s="1"/>
  <c r="BD19" i="33"/>
  <c r="AA18" i="23" s="1"/>
  <c r="BE19" i="33"/>
  <c r="AB18" i="23" s="1"/>
  <c r="BF19" i="33"/>
  <c r="AC18" i="23" s="1"/>
  <c r="BG19" i="33"/>
  <c r="AD18" i="23" s="1"/>
  <c r="BH19" i="33"/>
  <c r="AE18" i="23" s="1"/>
  <c r="BI19" i="33"/>
  <c r="BJ19" i="33"/>
  <c r="AG18" i="23" s="1"/>
  <c r="BK19" i="33"/>
  <c r="AH18" i="23" s="1"/>
  <c r="BL19" i="33"/>
  <c r="AI18" i="23" s="1"/>
  <c r="BM19" i="33"/>
  <c r="AJ18" i="23" s="1"/>
  <c r="AZ20" i="33"/>
  <c r="W19" i="23" s="1"/>
  <c r="BA20" i="33"/>
  <c r="X19" i="23" s="1"/>
  <c r="BB20" i="33"/>
  <c r="Y19" i="23" s="1"/>
  <c r="BC20" i="33"/>
  <c r="BD20" i="33"/>
  <c r="AA19" i="23" s="1"/>
  <c r="BE20" i="33"/>
  <c r="AB19" i="23" s="1"/>
  <c r="BF20" i="33"/>
  <c r="AC19" i="23" s="1"/>
  <c r="BG20" i="33"/>
  <c r="AD19" i="23" s="1"/>
  <c r="BH20" i="33"/>
  <c r="AE19" i="23" s="1"/>
  <c r="BI20" i="33"/>
  <c r="AF19" i="23" s="1"/>
  <c r="BJ20" i="33"/>
  <c r="AG19" i="23" s="1"/>
  <c r="BK20" i="33"/>
  <c r="BL20" i="33"/>
  <c r="AI19" i="23" s="1"/>
  <c r="BM20" i="33"/>
  <c r="AJ19" i="23" s="1"/>
  <c r="AZ21" i="33"/>
  <c r="W20" i="23" s="1"/>
  <c r="BA21" i="33"/>
  <c r="X20" i="23" s="1"/>
  <c r="BB21" i="33"/>
  <c r="Y20" i="23" s="1"/>
  <c r="BC21" i="33"/>
  <c r="Z20" i="23" s="1"/>
  <c r="BD21" i="33"/>
  <c r="AA20" i="23" s="1"/>
  <c r="BE21" i="33"/>
  <c r="BF21" i="33"/>
  <c r="AC20" i="23" s="1"/>
  <c r="BG21" i="33"/>
  <c r="AD20" i="23" s="1"/>
  <c r="BH21" i="33"/>
  <c r="AE20" i="23" s="1"/>
  <c r="BI21" i="33"/>
  <c r="AF20" i="23" s="1"/>
  <c r="BJ21" i="33"/>
  <c r="AG20" i="23" s="1"/>
  <c r="BK21" i="33"/>
  <c r="AH20" i="23" s="1"/>
  <c r="BL21" i="33"/>
  <c r="AI20" i="23" s="1"/>
  <c r="BM21" i="33"/>
  <c r="AZ22" i="33"/>
  <c r="W21" i="23" s="1"/>
  <c r="BA22" i="33"/>
  <c r="X21" i="23" s="1"/>
  <c r="BB22" i="33"/>
  <c r="Y21" i="23" s="1"/>
  <c r="BC22" i="33"/>
  <c r="Z21" i="23" s="1"/>
  <c r="BD22" i="33"/>
  <c r="AA21" i="23" s="1"/>
  <c r="BE22" i="33"/>
  <c r="AB21" i="23" s="1"/>
  <c r="BF22" i="33"/>
  <c r="AC21" i="23" s="1"/>
  <c r="BG22" i="33"/>
  <c r="BH22" i="33"/>
  <c r="AE21" i="23" s="1"/>
  <c r="BI22" i="33"/>
  <c r="AF21" i="23" s="1"/>
  <c r="BJ22" i="33"/>
  <c r="AG21" i="23" s="1"/>
  <c r="BK22" i="33"/>
  <c r="AH21" i="23" s="1"/>
  <c r="BL22" i="33"/>
  <c r="AI21" i="23" s="1"/>
  <c r="BM22" i="33"/>
  <c r="AJ21" i="23" s="1"/>
  <c r="AZ23" i="33"/>
  <c r="W22" i="23" s="1"/>
  <c r="BA23" i="33"/>
  <c r="BB23" i="33"/>
  <c r="Y22" i="23" s="1"/>
  <c r="BC23" i="33"/>
  <c r="Z22" i="23" s="1"/>
  <c r="T284" i="21" s="1"/>
  <c r="BD23" i="33"/>
  <c r="AA22" i="23" s="1"/>
  <c r="BE23" i="33"/>
  <c r="AB22" i="23" s="1"/>
  <c r="BF23" i="33"/>
  <c r="AC22" i="23" s="1"/>
  <c r="BG23" i="33"/>
  <c r="AD22" i="23" s="1"/>
  <c r="BH23" i="33"/>
  <c r="AE22" i="23" s="1"/>
  <c r="Y284" i="21" s="1"/>
  <c r="BI23" i="33"/>
  <c r="BJ23" i="33"/>
  <c r="AG22" i="23" s="1"/>
  <c r="BK23" i="33"/>
  <c r="AH22" i="23" s="1"/>
  <c r="BL23" i="33"/>
  <c r="AI22" i="23" s="1"/>
  <c r="BM23" i="33"/>
  <c r="AJ22" i="23" s="1"/>
  <c r="AD284" i="21" s="1"/>
  <c r="AZ24" i="33"/>
  <c r="W23" i="23" s="1"/>
  <c r="Q287" i="21" s="1"/>
  <c r="BA24" i="33"/>
  <c r="X23" i="23" s="1"/>
  <c r="R287" i="21" s="1"/>
  <c r="BB24" i="33"/>
  <c r="Y23" i="23" s="1"/>
  <c r="S287" i="21" s="1"/>
  <c r="BC24" i="33"/>
  <c r="BD24" i="33"/>
  <c r="AA23" i="23" s="1"/>
  <c r="BE24" i="33"/>
  <c r="AB23" i="23" s="1"/>
  <c r="V287" i="21" s="1"/>
  <c r="W287" i="21" s="1"/>
  <c r="BF24" i="33"/>
  <c r="AC23" i="23" s="1"/>
  <c r="BG24" i="33"/>
  <c r="AD23" i="23" s="1"/>
  <c r="X287" i="21" s="1"/>
  <c r="BH24" i="33"/>
  <c r="AE23" i="23" s="1"/>
  <c r="Y287" i="21" s="1"/>
  <c r="BI24" i="33"/>
  <c r="AF23" i="23" s="1"/>
  <c r="BJ24" i="33"/>
  <c r="AG23" i="23" s="1"/>
  <c r="AA287" i="21" s="1"/>
  <c r="BK24" i="33"/>
  <c r="BL24" i="33"/>
  <c r="AI23" i="23" s="1"/>
  <c r="AC287" i="21" s="1"/>
  <c r="BM24" i="33"/>
  <c r="AJ23" i="23" s="1"/>
  <c r="AD287" i="21" s="1"/>
  <c r="AZ25" i="33"/>
  <c r="W24" i="23" s="1"/>
  <c r="Q281" i="21" s="1"/>
  <c r="BA25" i="33"/>
  <c r="X24" i="23" s="1"/>
  <c r="R281" i="21" s="1"/>
  <c r="BB25" i="33"/>
  <c r="Y24" i="23" s="1"/>
  <c r="S281" i="21" s="1"/>
  <c r="BC25" i="33"/>
  <c r="Z24" i="23" s="1"/>
  <c r="T281" i="21" s="1"/>
  <c r="BD25" i="33"/>
  <c r="AA24" i="23" s="1"/>
  <c r="BE25" i="33"/>
  <c r="BF25" i="33"/>
  <c r="AC24" i="23" s="1"/>
  <c r="BG25" i="33"/>
  <c r="AD24" i="23" s="1"/>
  <c r="X281" i="21" s="1"/>
  <c r="BH25" i="33"/>
  <c r="AE24" i="23" s="1"/>
  <c r="Y281" i="21" s="1"/>
  <c r="BI25" i="33"/>
  <c r="AF24" i="23" s="1"/>
  <c r="BJ25" i="33"/>
  <c r="AG24" i="23" s="1"/>
  <c r="AA281" i="21" s="1"/>
  <c r="BK25" i="33"/>
  <c r="AH24" i="23" s="1"/>
  <c r="BL25" i="33"/>
  <c r="AI24" i="23" s="1"/>
  <c r="AC281" i="21" s="1"/>
  <c r="BM25" i="33"/>
  <c r="AZ26" i="33"/>
  <c r="W25" i="23" s="1"/>
  <c r="BA26" i="33"/>
  <c r="X25" i="23" s="1"/>
  <c r="BB26" i="33"/>
  <c r="Y25" i="23" s="1"/>
  <c r="BC26" i="33"/>
  <c r="Z25" i="23" s="1"/>
  <c r="BD26" i="33"/>
  <c r="AA25" i="23" s="1"/>
  <c r="BE26" i="33"/>
  <c r="AB25" i="23" s="1"/>
  <c r="BF26" i="33"/>
  <c r="AC25" i="23" s="1"/>
  <c r="BG26" i="33"/>
  <c r="BH26" i="33"/>
  <c r="AE25" i="23" s="1"/>
  <c r="BI26" i="33"/>
  <c r="AF25" i="23" s="1"/>
  <c r="BJ26" i="33"/>
  <c r="AG25" i="23" s="1"/>
  <c r="BK26" i="33"/>
  <c r="AH25" i="23" s="1"/>
  <c r="BL26" i="33"/>
  <c r="AI25" i="23" s="1"/>
  <c r="BM26" i="33"/>
  <c r="AJ25" i="23" s="1"/>
  <c r="AZ27" i="33"/>
  <c r="W26" i="23" s="1"/>
  <c r="Q290" i="21" s="1"/>
  <c r="R290" i="21" s="1"/>
  <c r="BA27" i="33"/>
  <c r="BB27" i="33"/>
  <c r="Y26" i="23" s="1"/>
  <c r="BC27" i="33"/>
  <c r="Z26" i="23" s="1"/>
  <c r="BD27" i="33"/>
  <c r="AA26" i="23" s="1"/>
  <c r="BE27" i="33"/>
  <c r="AB26" i="23" s="1"/>
  <c r="BF27" i="33"/>
  <c r="AC26" i="23" s="1"/>
  <c r="BG27" i="33"/>
  <c r="AD26" i="23" s="1"/>
  <c r="X290" i="21" s="1"/>
  <c r="BH27" i="33"/>
  <c r="AE26" i="23" s="1"/>
  <c r="BI27" i="33"/>
  <c r="BJ27" i="33"/>
  <c r="AG26" i="23" s="1"/>
  <c r="AA290" i="21" s="1"/>
  <c r="BK27" i="33"/>
  <c r="AH26" i="23" s="1"/>
  <c r="BL27" i="33"/>
  <c r="AI26" i="23" s="1"/>
  <c r="BM27" i="33"/>
  <c r="AJ26" i="23" s="1"/>
  <c r="AZ28" i="33"/>
  <c r="W27" i="23" s="1"/>
  <c r="Q293" i="21" s="1"/>
  <c r="R293" i="21" s="1"/>
  <c r="BA28" i="33"/>
  <c r="X27" i="23" s="1"/>
  <c r="BB28" i="33"/>
  <c r="Y27" i="23" s="1"/>
  <c r="BC28" i="33"/>
  <c r="BD28" i="33"/>
  <c r="AA27" i="23" s="1"/>
  <c r="BE28" i="33"/>
  <c r="AB27" i="23" s="1"/>
  <c r="V293" i="21" s="1"/>
  <c r="W293" i="21" s="1"/>
  <c r="BF28" i="33"/>
  <c r="AC27" i="23" s="1"/>
  <c r="BG28" i="33"/>
  <c r="AD27" i="23" s="1"/>
  <c r="X293" i="21" s="1"/>
  <c r="BH28" i="33"/>
  <c r="AE27" i="23" s="1"/>
  <c r="BI28" i="33"/>
  <c r="AF27" i="23" s="1"/>
  <c r="BJ28" i="33"/>
  <c r="AG27" i="23" s="1"/>
  <c r="AA293" i="21" s="1"/>
  <c r="BK28" i="33"/>
  <c r="BL28" i="33"/>
  <c r="AI27" i="23" s="1"/>
  <c r="BM28" i="33"/>
  <c r="AJ27" i="23" s="1"/>
  <c r="AZ29" i="33"/>
  <c r="W28" i="23" s="1"/>
  <c r="BA29" i="33"/>
  <c r="X28" i="23" s="1"/>
  <c r="BB29" i="33"/>
  <c r="Y28" i="23" s="1"/>
  <c r="BC29" i="33"/>
  <c r="Z28" i="23" s="1"/>
  <c r="BD29" i="33"/>
  <c r="AA28" i="23" s="1"/>
  <c r="BE29" i="33"/>
  <c r="BF29" i="33"/>
  <c r="AC28" i="23" s="1"/>
  <c r="BG29" i="33"/>
  <c r="AD28" i="23" s="1"/>
  <c r="BH29" i="33"/>
  <c r="AE28" i="23" s="1"/>
  <c r="BI29" i="33"/>
  <c r="AF28" i="23" s="1"/>
  <c r="BJ29" i="33"/>
  <c r="AG28" i="23" s="1"/>
  <c r="BK29" i="33"/>
  <c r="AH28" i="23" s="1"/>
  <c r="BL29" i="33"/>
  <c r="AI28" i="23" s="1"/>
  <c r="BM29" i="33"/>
  <c r="AZ30" i="33"/>
  <c r="BA30" i="33"/>
  <c r="BB30" i="33"/>
  <c r="BC30" i="33"/>
  <c r="BD30" i="33"/>
  <c r="BE30" i="33"/>
  <c r="BF30" i="33"/>
  <c r="BG30" i="33"/>
  <c r="BH30" i="33"/>
  <c r="BI30" i="33"/>
  <c r="BJ30" i="33"/>
  <c r="AG29" i="23" s="1"/>
  <c r="BK30" i="33"/>
  <c r="AH29" i="23" s="1"/>
  <c r="BL30" i="33"/>
  <c r="BM30" i="33"/>
  <c r="AJ29" i="23" s="1"/>
  <c r="AZ31" i="33"/>
  <c r="BA31" i="33"/>
  <c r="BB31" i="33"/>
  <c r="BC31" i="33"/>
  <c r="BD31" i="33"/>
  <c r="BE31" i="33"/>
  <c r="BF31" i="33"/>
  <c r="BG31" i="33"/>
  <c r="BH31" i="33"/>
  <c r="BI31" i="33"/>
  <c r="BJ31" i="33"/>
  <c r="AG30" i="23" s="1"/>
  <c r="BK31" i="33"/>
  <c r="AH30" i="23" s="1"/>
  <c r="BL31" i="33"/>
  <c r="AI30" i="23" s="1"/>
  <c r="BM31" i="33"/>
  <c r="AJ30" i="23" s="1"/>
  <c r="AZ32" i="33"/>
  <c r="BA32" i="33"/>
  <c r="BB32" i="33"/>
  <c r="BC32" i="33"/>
  <c r="BD32" i="33"/>
  <c r="BE32" i="33"/>
  <c r="BF32" i="33"/>
  <c r="BG32" i="33"/>
  <c r="BH32" i="33"/>
  <c r="BI32" i="33"/>
  <c r="BJ32" i="33"/>
  <c r="AG31" i="23" s="1"/>
  <c r="BK32" i="33"/>
  <c r="AH31" i="23" s="1"/>
  <c r="BL32" i="33"/>
  <c r="AI31" i="23" s="1"/>
  <c r="BM32" i="33"/>
  <c r="AJ31" i="23" s="1"/>
  <c r="AZ33" i="33"/>
  <c r="BA33" i="33"/>
  <c r="BB33" i="33"/>
  <c r="BC33" i="33"/>
  <c r="BD33" i="33"/>
  <c r="BE33" i="33"/>
  <c r="BF33" i="33"/>
  <c r="BG33" i="33"/>
  <c r="BH33" i="33"/>
  <c r="BI33" i="33"/>
  <c r="BJ33" i="33"/>
  <c r="AG32" i="23" s="1"/>
  <c r="BK33" i="33"/>
  <c r="BL33" i="33"/>
  <c r="AI32" i="23" s="1"/>
  <c r="BM33" i="33"/>
  <c r="AJ32" i="23" s="1"/>
  <c r="AZ34" i="33"/>
  <c r="BA34" i="33"/>
  <c r="BB34" i="33"/>
  <c r="Y33" i="23" s="1"/>
  <c r="BC34" i="33"/>
  <c r="BD34" i="33"/>
  <c r="BE34" i="33"/>
  <c r="BF34" i="33"/>
  <c r="BG34" i="33"/>
  <c r="BH34" i="33"/>
  <c r="BI34" i="33"/>
  <c r="BJ34" i="33"/>
  <c r="AG33" i="23" s="1"/>
  <c r="BK34" i="33"/>
  <c r="AH33" i="23" s="1"/>
  <c r="BL34" i="33"/>
  <c r="AI33" i="23" s="1"/>
  <c r="BM34" i="33"/>
  <c r="AJ33" i="23" s="1"/>
  <c r="AZ35" i="33"/>
  <c r="BA35" i="33"/>
  <c r="BB35" i="33"/>
  <c r="BC35" i="33"/>
  <c r="BD35" i="33"/>
  <c r="BE35" i="33"/>
  <c r="BF35" i="33"/>
  <c r="BG35" i="33"/>
  <c r="BH35" i="33"/>
  <c r="BI35" i="33"/>
  <c r="BJ35" i="33"/>
  <c r="BK35" i="33"/>
  <c r="AH34" i="23" s="1"/>
  <c r="BL35" i="33"/>
  <c r="AI34" i="23" s="1"/>
  <c r="BM35" i="33"/>
  <c r="AJ34" i="23" s="1"/>
  <c r="AZ36" i="33"/>
  <c r="BA36" i="33"/>
  <c r="BB36" i="33"/>
  <c r="Y35" i="23" s="1"/>
  <c r="BC36" i="33"/>
  <c r="BD36" i="33"/>
  <c r="BE36" i="33"/>
  <c r="BF36" i="33"/>
  <c r="BG36" i="33"/>
  <c r="BH36" i="33"/>
  <c r="BI36" i="33"/>
  <c r="BJ36" i="33"/>
  <c r="AG35" i="23" s="1"/>
  <c r="BK36" i="33"/>
  <c r="AH35" i="23" s="1"/>
  <c r="BL36" i="33"/>
  <c r="AI35" i="23" s="1"/>
  <c r="BM36" i="33"/>
  <c r="AJ35" i="23" s="1"/>
  <c r="AZ37" i="33"/>
  <c r="BA37" i="33"/>
  <c r="BB37" i="33"/>
  <c r="Y36" i="23" s="1"/>
  <c r="BC37" i="33"/>
  <c r="BD37" i="33"/>
  <c r="BE37" i="33"/>
  <c r="BF37" i="33"/>
  <c r="BG37" i="33"/>
  <c r="BH37" i="33"/>
  <c r="BI37" i="33"/>
  <c r="BJ37" i="33"/>
  <c r="BK37" i="33"/>
  <c r="AH36" i="23" s="1"/>
  <c r="BL37" i="33"/>
  <c r="AI36" i="23" s="1"/>
  <c r="BM37" i="33"/>
  <c r="AJ36" i="23" s="1"/>
  <c r="AZ38" i="33"/>
  <c r="BA38" i="33"/>
  <c r="BB38" i="33"/>
  <c r="BC38" i="33"/>
  <c r="BD38" i="33"/>
  <c r="BE38" i="33"/>
  <c r="BF38" i="33"/>
  <c r="BG38" i="33"/>
  <c r="BH38" i="33"/>
  <c r="BI38" i="33"/>
  <c r="BJ38" i="33"/>
  <c r="AG38" i="23" s="1"/>
  <c r="BK38" i="33"/>
  <c r="AH38" i="23" s="1"/>
  <c r="BL38" i="33"/>
  <c r="AI38" i="23" s="1"/>
  <c r="BM38" i="33"/>
  <c r="AJ38" i="23" s="1"/>
  <c r="AZ39" i="33"/>
  <c r="BA39" i="33"/>
  <c r="BB39" i="33"/>
  <c r="BC39" i="33"/>
  <c r="BD39" i="33"/>
  <c r="BE39" i="33"/>
  <c r="BF39" i="33"/>
  <c r="BG39" i="33"/>
  <c r="BH39" i="33"/>
  <c r="BI39" i="33"/>
  <c r="BJ39" i="33"/>
  <c r="BK39" i="33"/>
  <c r="AH39" i="23" s="1"/>
  <c r="BL39" i="33"/>
  <c r="AI39" i="23" s="1"/>
  <c r="BM39" i="33"/>
  <c r="AJ39" i="23" s="1"/>
  <c r="AZ40" i="33"/>
  <c r="BA40" i="33"/>
  <c r="BB40" i="33"/>
  <c r="BC40" i="33"/>
  <c r="BD40" i="33"/>
  <c r="BE40" i="33"/>
  <c r="BF40" i="33"/>
  <c r="BG40" i="33"/>
  <c r="BH40" i="33"/>
  <c r="BI40" i="33"/>
  <c r="BJ40" i="33"/>
  <c r="AG40" i="23" s="1"/>
  <c r="BK40" i="33"/>
  <c r="AH40" i="23" s="1"/>
  <c r="BL40" i="33"/>
  <c r="AI40" i="23" s="1"/>
  <c r="BM40" i="33"/>
  <c r="AJ40" i="23" s="1"/>
  <c r="AZ41" i="33"/>
  <c r="W41" i="23" s="1"/>
  <c r="BA41" i="33"/>
  <c r="X41" i="23" s="1"/>
  <c r="BB41" i="33"/>
  <c r="Y41" i="23" s="1"/>
  <c r="BC41" i="33"/>
  <c r="Z41" i="23" s="1"/>
  <c r="BD41" i="33"/>
  <c r="AA41" i="23" s="1"/>
  <c r="BE41" i="33"/>
  <c r="BF41" i="33"/>
  <c r="AC41" i="23" s="1"/>
  <c r="BG41" i="33"/>
  <c r="AD41" i="23" s="1"/>
  <c r="BH41" i="33"/>
  <c r="AE41" i="23" s="1"/>
  <c r="BI41" i="33"/>
  <c r="AF41" i="23" s="1"/>
  <c r="BJ41" i="33"/>
  <c r="BK41" i="33"/>
  <c r="AH41" i="23" s="1"/>
  <c r="BL41" i="33"/>
  <c r="AI41" i="23" s="1"/>
  <c r="BM41" i="33"/>
  <c r="AJ41" i="23" s="1"/>
  <c r="AZ42" i="33"/>
  <c r="W42" i="23" s="1"/>
  <c r="BA42" i="33"/>
  <c r="X42" i="23" s="1"/>
  <c r="BB42" i="33"/>
  <c r="Y42" i="23" s="1"/>
  <c r="BC42" i="33"/>
  <c r="Z42" i="23" s="1"/>
  <c r="BD42" i="33"/>
  <c r="AA42" i="23" s="1"/>
  <c r="BE42" i="33"/>
  <c r="AB42" i="23" s="1"/>
  <c r="BF42" i="33"/>
  <c r="AC42" i="23" s="1"/>
  <c r="BG42" i="33"/>
  <c r="BH42" i="33"/>
  <c r="AE42" i="23" s="1"/>
  <c r="BI42" i="33"/>
  <c r="AF42" i="23" s="1"/>
  <c r="BJ42" i="33"/>
  <c r="AG42" i="23" s="1"/>
  <c r="BK42" i="33"/>
  <c r="AH42" i="23" s="1"/>
  <c r="BL42" i="33"/>
  <c r="AI42" i="23" s="1"/>
  <c r="BM42" i="33"/>
  <c r="AJ42" i="23" s="1"/>
  <c r="AZ43" i="33"/>
  <c r="BA43" i="33"/>
  <c r="BB43" i="33"/>
  <c r="BC43" i="33"/>
  <c r="BD43" i="33"/>
  <c r="BE43" i="33"/>
  <c r="AB43" i="23" s="1"/>
  <c r="BF43" i="33"/>
  <c r="BG43" i="33"/>
  <c r="AD43" i="23" s="1"/>
  <c r="BH43" i="33"/>
  <c r="BI43" i="33"/>
  <c r="BJ43" i="33"/>
  <c r="BK43" i="33"/>
  <c r="AH43" i="23" s="1"/>
  <c r="BL43" i="33"/>
  <c r="AI43" i="23" s="1"/>
  <c r="BM43" i="33"/>
  <c r="AJ43" i="23" s="1"/>
  <c r="AZ44" i="33"/>
  <c r="W37" i="23" s="1"/>
  <c r="BA44" i="33"/>
  <c r="BB44" i="33"/>
  <c r="BC44" i="33"/>
  <c r="BD44" i="33"/>
  <c r="BE44" i="33"/>
  <c r="AB37" i="23" s="1"/>
  <c r="BF44" i="33"/>
  <c r="AC37" i="23" s="1"/>
  <c r="BG44" i="33"/>
  <c r="AD37" i="23" s="1"/>
  <c r="X307" i="21" s="1"/>
  <c r="BH44" i="33"/>
  <c r="BI44" i="33"/>
  <c r="AF37" i="23" s="1"/>
  <c r="Z307" i="21" s="1"/>
  <c r="BJ44" i="33"/>
  <c r="AG44" i="23" s="1"/>
  <c r="BK44" i="33"/>
  <c r="AH44" i="23" s="1"/>
  <c r="BL44" i="33"/>
  <c r="AI44" i="23" s="1"/>
  <c r="BM44" i="33"/>
  <c r="AJ44" i="23" s="1"/>
  <c r="AZ45" i="33"/>
  <c r="BA45" i="33"/>
  <c r="BB45" i="33"/>
  <c r="BC45" i="33"/>
  <c r="BD45" i="33"/>
  <c r="BE45" i="33"/>
  <c r="BF45" i="33"/>
  <c r="BG45" i="33"/>
  <c r="BH45" i="33"/>
  <c r="BI45" i="33"/>
  <c r="BJ45" i="33"/>
  <c r="AG45" i="23" s="1"/>
  <c r="BK45" i="33"/>
  <c r="AH45" i="23" s="1"/>
  <c r="BL45" i="33"/>
  <c r="AI45" i="23" s="1"/>
  <c r="BM45" i="33"/>
  <c r="AJ45" i="23" s="1"/>
  <c r="BA4" i="33"/>
  <c r="X3" i="23" s="1"/>
  <c r="BB4" i="33"/>
  <c r="Y3" i="23" s="1"/>
  <c r="BC4" i="33"/>
  <c r="Z3" i="23" s="1"/>
  <c r="BD4" i="33"/>
  <c r="AA3" i="23" s="1"/>
  <c r="BE4" i="33"/>
  <c r="AB3" i="23" s="1"/>
  <c r="BF4" i="33"/>
  <c r="AC3" i="23" s="1"/>
  <c r="BG4" i="33"/>
  <c r="AD3" i="23" s="1"/>
  <c r="BH4" i="33"/>
  <c r="AE3" i="23" s="1"/>
  <c r="BI4" i="33"/>
  <c r="BJ4" i="33"/>
  <c r="AG3" i="23" s="1"/>
  <c r="BK4" i="33"/>
  <c r="AH3" i="23" s="1"/>
  <c r="BL4" i="33"/>
  <c r="AI3" i="23" s="1"/>
  <c r="BM4" i="33"/>
  <c r="AJ3" i="23" s="1"/>
  <c r="AZ4" i="33"/>
  <c r="W3" i="23" s="1"/>
  <c r="X40" i="23"/>
  <c r="R317" i="21" s="1"/>
  <c r="AA38" i="23"/>
  <c r="Z38" i="23"/>
  <c r="Z39" i="23"/>
  <c r="T228" i="21" s="1"/>
  <c r="AA39" i="23"/>
  <c r="U228" i="21" s="1"/>
  <c r="X39" i="23"/>
  <c r="R228" i="21" s="1"/>
  <c r="AA40" i="23"/>
  <c r="U317" i="21" s="1"/>
  <c r="Z40" i="23"/>
  <c r="T317" i="21" s="1"/>
  <c r="AA29" i="23"/>
  <c r="Z29" i="23"/>
  <c r="AA31" i="23"/>
  <c r="AA30" i="23" s="1"/>
  <c r="W31" i="23"/>
  <c r="Z31" i="23"/>
  <c r="Z30" i="23" s="1"/>
  <c r="X31" i="23"/>
  <c r="R161" i="21" s="1"/>
  <c r="AA32" i="23"/>
  <c r="U296" i="21" s="1"/>
  <c r="Z32" i="23"/>
  <c r="T296" i="21" s="1"/>
  <c r="W32" i="23"/>
  <c r="Q296" i="21" s="1"/>
  <c r="X32" i="23"/>
  <c r="R296" i="21" s="1"/>
  <c r="AJ37" i="23" l="1"/>
  <c r="AI37" i="23"/>
  <c r="AH37" i="23"/>
  <c r="AG37" i="23"/>
  <c r="R258" i="21"/>
  <c r="R261" i="21" s="1"/>
  <c r="R255" i="21"/>
  <c r="R284" i="21"/>
  <c r="Q255" i="21"/>
  <c r="Q258" i="21"/>
  <c r="Q261" i="21" s="1"/>
  <c r="Q284" i="21"/>
  <c r="X258" i="21"/>
  <c r="X261" i="21" s="1"/>
  <c r="X255" i="21"/>
  <c r="X284" i="21"/>
  <c r="L105" i="21"/>
  <c r="L108" i="21"/>
  <c r="L111" i="21" s="1"/>
  <c r="L114" i="21" s="1"/>
  <c r="G142" i="21"/>
  <c r="G146" i="21"/>
  <c r="L154" i="21" s="1"/>
  <c r="G144" i="21"/>
  <c r="L151" i="21" s="1"/>
  <c r="L157" i="21" s="1"/>
  <c r="F319" i="21"/>
  <c r="F326" i="21"/>
  <c r="F324" i="21"/>
  <c r="G317" i="21"/>
  <c r="V258" i="21"/>
  <c r="V255" i="21"/>
  <c r="W255" i="21" s="1"/>
  <c r="V284" i="21"/>
  <c r="W284" i="21" s="1"/>
  <c r="R298" i="21"/>
  <c r="R310" i="21"/>
  <c r="R312" i="21"/>
  <c r="Q298" i="21"/>
  <c r="Q312" i="21"/>
  <c r="Q310" i="21"/>
  <c r="R324" i="21"/>
  <c r="R326" i="21"/>
  <c r="R335" i="21" s="1"/>
  <c r="R319" i="21"/>
  <c r="AC255" i="21"/>
  <c r="AC258" i="21"/>
  <c r="AC261" i="21" s="1"/>
  <c r="AC284" i="21"/>
  <c r="J118" i="21"/>
  <c r="O126" i="21" s="1"/>
  <c r="J124" i="21"/>
  <c r="O135" i="21" s="1"/>
  <c r="O138" i="21" s="1"/>
  <c r="J120" i="21"/>
  <c r="O129" i="21" s="1"/>
  <c r="J122" i="21"/>
  <c r="O132" i="21" s="1"/>
  <c r="T324" i="21"/>
  <c r="T319" i="21"/>
  <c r="T326" i="21"/>
  <c r="T335" i="21" s="1"/>
  <c r="I118" i="21"/>
  <c r="N126" i="21" s="1"/>
  <c r="I124" i="21"/>
  <c r="N135" i="21" s="1"/>
  <c r="N138" i="21" s="1"/>
  <c r="I122" i="21"/>
  <c r="N132" i="21" s="1"/>
  <c r="I120" i="21"/>
  <c r="N129" i="21" s="1"/>
  <c r="T298" i="21"/>
  <c r="T310" i="21"/>
  <c r="T312" i="21"/>
  <c r="U298" i="21"/>
  <c r="U312" i="21"/>
  <c r="U310" i="21"/>
  <c r="U324" i="21"/>
  <c r="U326" i="21"/>
  <c r="U335" i="21" s="1"/>
  <c r="U319" i="21"/>
  <c r="AA255" i="21"/>
  <c r="AA258" i="21"/>
  <c r="AA261" i="21" s="1"/>
  <c r="AA284" i="21"/>
  <c r="S258" i="21"/>
  <c r="S261" i="21" s="1"/>
  <c r="S255" i="21"/>
  <c r="S284" i="21"/>
  <c r="R167" i="21"/>
  <c r="R176" i="21"/>
  <c r="R173" i="21"/>
  <c r="R170" i="21"/>
  <c r="P29" i="23"/>
  <c r="P31" i="23"/>
  <c r="P30" i="23" s="1"/>
  <c r="J310" i="21"/>
  <c r="J312" i="21"/>
  <c r="O314" i="21" s="1"/>
  <c r="J298" i="21"/>
  <c r="O300" i="21" s="1"/>
  <c r="I298" i="21"/>
  <c r="N300" i="21" s="1"/>
  <c r="I312" i="21"/>
  <c r="N314" i="21" s="1"/>
  <c r="I310" i="21"/>
  <c r="R165" i="21"/>
  <c r="R163" i="21"/>
  <c r="L34" i="23"/>
  <c r="L33" i="23"/>
  <c r="Z34" i="23"/>
  <c r="Z33" i="23"/>
  <c r="AA33" i="23"/>
  <c r="AA34" i="23"/>
  <c r="AA44" i="23"/>
  <c r="AA45" i="23"/>
  <c r="Z45" i="23"/>
  <c r="Z44" i="23"/>
  <c r="X30" i="23"/>
  <c r="X45" i="23"/>
  <c r="X44" i="23"/>
  <c r="AE31" i="23"/>
  <c r="Y161" i="21" s="1"/>
  <c r="AE32" i="23"/>
  <c r="Z36" i="23"/>
  <c r="Z35" i="23"/>
  <c r="T303" i="21" s="1"/>
  <c r="T305" i="21" s="1"/>
  <c r="T307" i="21" s="1"/>
  <c r="AF40" i="23"/>
  <c r="Z317" i="21" s="1"/>
  <c r="AC39" i="23"/>
  <c r="W228" i="21" s="1"/>
  <c r="AE40" i="23"/>
  <c r="Y317" i="21" s="1"/>
  <c r="AF39" i="23"/>
  <c r="Z228" i="21" s="1"/>
  <c r="O36" i="23"/>
  <c r="O35" i="23"/>
  <c r="J303" i="21" s="1"/>
  <c r="J305" i="21" s="1"/>
  <c r="O307" i="21" s="1"/>
  <c r="AF32" i="23"/>
  <c r="AA36" i="23"/>
  <c r="AA35" i="23"/>
  <c r="U303" i="21" s="1"/>
  <c r="U305" i="21" s="1"/>
  <c r="U307" i="21" s="1"/>
  <c r="AE39" i="23"/>
  <c r="Y228" i="21" s="1"/>
  <c r="K31" i="23"/>
  <c r="F161" i="21" s="1"/>
  <c r="N36" i="23"/>
  <c r="N35" i="23"/>
  <c r="I303" i="21" s="1"/>
  <c r="I305" i="21" s="1"/>
  <c r="N307" i="21" s="1"/>
  <c r="AC40" i="23"/>
  <c r="W317" i="21" s="1"/>
  <c r="AC32" i="23"/>
  <c r="X35" i="23"/>
  <c r="R303" i="21" s="1"/>
  <c r="R305" i="21" s="1"/>
  <c r="R307" i="21" s="1"/>
  <c r="X36" i="23"/>
  <c r="T180" i="21"/>
  <c r="AE38" i="23"/>
  <c r="AE43" i="23" s="1"/>
  <c r="Z43" i="23"/>
  <c r="W36" i="23"/>
  <c r="W35" i="23"/>
  <c r="Q303" i="21" s="1"/>
  <c r="Q305" i="21" s="1"/>
  <c r="Q307" i="21" s="1"/>
  <c r="AA43" i="23"/>
  <c r="AF38" i="23"/>
  <c r="AF43" i="23" s="1"/>
  <c r="K32" i="23"/>
  <c r="F296" i="21" s="1"/>
  <c r="L35" i="23"/>
  <c r="L36" i="23"/>
  <c r="AE29" i="23"/>
  <c r="AF29" i="23"/>
  <c r="AE30" i="23"/>
  <c r="AC31" i="23"/>
  <c r="Q161" i="21"/>
  <c r="AF30" i="23"/>
  <c r="K30" i="23"/>
  <c r="F99" i="21" s="1"/>
  <c r="T75" i="21"/>
  <c r="U75" i="21"/>
  <c r="U180" i="21"/>
  <c r="U99" i="21"/>
  <c r="T161" i="21"/>
  <c r="U161" i="21"/>
  <c r="O30" i="23"/>
  <c r="J99" i="21" s="1"/>
  <c r="N30" i="23"/>
  <c r="I99" i="21" s="1"/>
  <c r="T99" i="21"/>
  <c r="W30" i="23"/>
  <c r="W34" i="23" s="1"/>
  <c r="AF31" i="23"/>
  <c r="Z161" i="21" s="1"/>
  <c r="G152" i="32"/>
  <c r="G151" i="32"/>
  <c r="T150" i="32"/>
  <c r="M150" i="32"/>
  <c r="G150" i="32"/>
  <c r="G148" i="32"/>
  <c r="G147" i="32"/>
  <c r="T146" i="32"/>
  <c r="M146" i="32"/>
  <c r="G146" i="32"/>
  <c r="G143" i="32"/>
  <c r="T142" i="32"/>
  <c r="M142" i="32"/>
  <c r="G142" i="32"/>
  <c r="G139" i="32"/>
  <c r="T138" i="32"/>
  <c r="M138" i="32"/>
  <c r="J138" i="32"/>
  <c r="G138" i="32"/>
  <c r="G135" i="32"/>
  <c r="G134" i="32"/>
  <c r="G132" i="32"/>
  <c r="G136" i="32" s="1"/>
  <c r="G131" i="32"/>
  <c r="M130" i="32"/>
  <c r="M134" i="32" s="1"/>
  <c r="G130" i="32"/>
  <c r="G127" i="32"/>
  <c r="G126" i="32"/>
  <c r="G124" i="32"/>
  <c r="G128" i="32" s="1"/>
  <c r="G123" i="32"/>
  <c r="M122" i="32"/>
  <c r="M126" i="32" s="1"/>
  <c r="G122" i="32"/>
  <c r="G119" i="32"/>
  <c r="G118" i="32"/>
  <c r="G115" i="32"/>
  <c r="M114" i="32"/>
  <c r="M118" i="32" s="1"/>
  <c r="G114" i="32"/>
  <c r="T110" i="32"/>
  <c r="M110" i="32"/>
  <c r="I110" i="32"/>
  <c r="G107" i="32"/>
  <c r="G111" i="32" s="1"/>
  <c r="T106" i="32"/>
  <c r="M106" i="32"/>
  <c r="J106" i="32"/>
  <c r="J110" i="32" s="1"/>
  <c r="I106" i="32"/>
  <c r="G106" i="32"/>
  <c r="G110" i="32" s="1"/>
  <c r="G104" i="32"/>
  <c r="G103" i="32"/>
  <c r="T102" i="32"/>
  <c r="M102" i="32"/>
  <c r="G102" i="32"/>
  <c r="G100" i="32"/>
  <c r="G99" i="32"/>
  <c r="T98" i="32"/>
  <c r="M98" i="32"/>
  <c r="G98" i="32"/>
  <c r="G95" i="32"/>
  <c r="T94" i="32"/>
  <c r="M94" i="32"/>
  <c r="G94" i="32"/>
  <c r="G91" i="32"/>
  <c r="T90" i="32"/>
  <c r="M90" i="32"/>
  <c r="J90" i="32"/>
  <c r="G90" i="32"/>
  <c r="G87" i="32"/>
  <c r="G86" i="32"/>
  <c r="G84" i="32"/>
  <c r="G88" i="32" s="1"/>
  <c r="G83" i="32"/>
  <c r="M82" i="32"/>
  <c r="M86" i="32" s="1"/>
  <c r="G82" i="32"/>
  <c r="G79" i="32"/>
  <c r="G78" i="32"/>
  <c r="G76" i="32"/>
  <c r="G80" i="32" s="1"/>
  <c r="G75" i="32"/>
  <c r="M74" i="32"/>
  <c r="M78" i="32" s="1"/>
  <c r="G74" i="32"/>
  <c r="G71" i="32"/>
  <c r="G70" i="32"/>
  <c r="G67" i="32"/>
  <c r="M66" i="32"/>
  <c r="M70" i="32" s="1"/>
  <c r="G66" i="32"/>
  <c r="T62" i="32"/>
  <c r="M62" i="32"/>
  <c r="I62" i="32"/>
  <c r="G60" i="32"/>
  <c r="G64" i="32" s="1"/>
  <c r="T58" i="32"/>
  <c r="M58" i="32"/>
  <c r="J58" i="32"/>
  <c r="J62" i="32" s="1"/>
  <c r="I58" i="32"/>
  <c r="G58" i="32"/>
  <c r="G62" i="32" s="1"/>
  <c r="M50" i="32"/>
  <c r="M46" i="32"/>
  <c r="M54" i="32"/>
  <c r="G55" i="32"/>
  <c r="G54" i="32"/>
  <c r="G40" i="32"/>
  <c r="G39" i="32"/>
  <c r="G36" i="32"/>
  <c r="G35" i="32"/>
  <c r="G51" i="32"/>
  <c r="G50" i="32"/>
  <c r="G32" i="32"/>
  <c r="G31" i="32"/>
  <c r="G28" i="32"/>
  <c r="G27" i="32"/>
  <c r="G24" i="32"/>
  <c r="G23" i="32"/>
  <c r="G47" i="32"/>
  <c r="G46" i="32"/>
  <c r="G20" i="32"/>
  <c r="G19" i="32"/>
  <c r="G52" i="32"/>
  <c r="G56" i="32"/>
  <c r="M43" i="32"/>
  <c r="J43" i="32"/>
  <c r="T54" i="32"/>
  <c r="T50" i="32"/>
  <c r="T46" i="32"/>
  <c r="G44" i="32"/>
  <c r="T43" i="32"/>
  <c r="G43" i="32"/>
  <c r="G37" i="32"/>
  <c r="G41" i="32" s="1"/>
  <c r="G29" i="32"/>
  <c r="G33" i="32" s="1"/>
  <c r="G14" i="32"/>
  <c r="G17" i="32" s="1"/>
  <c r="G13" i="32"/>
  <c r="G16" i="32" s="1"/>
  <c r="M13" i="32"/>
  <c r="M16" i="32" s="1"/>
  <c r="J13" i="32"/>
  <c r="J16" i="32" s="1"/>
  <c r="M35" i="32"/>
  <c r="M39" i="32" s="1"/>
  <c r="M27" i="32"/>
  <c r="M31" i="32" s="1"/>
  <c r="M19" i="32"/>
  <c r="M23" i="32" s="1"/>
  <c r="H18" i="32"/>
  <c r="T16" i="32"/>
  <c r="I16" i="32"/>
  <c r="J11" i="27"/>
  <c r="J9" i="27"/>
  <c r="K9" i="27" s="1"/>
  <c r="J8" i="27"/>
  <c r="J6" i="27"/>
  <c r="M13" i="27" s="1"/>
  <c r="K178" i="32"/>
  <c r="K184" i="32" s="1"/>
  <c r="K177" i="32"/>
  <c r="K183" i="32" s="1"/>
  <c r="K171" i="32"/>
  <c r="K163" i="32" s="1"/>
  <c r="K170" i="32"/>
  <c r="K162" i="32" s="1"/>
  <c r="K169" i="32"/>
  <c r="K173" i="32" s="1"/>
  <c r="K168" i="32"/>
  <c r="K172" i="32" s="1"/>
  <c r="H15" i="32"/>
  <c r="T13" i="32"/>
  <c r="I13" i="32"/>
  <c r="K8" i="27"/>
  <c r="F12" i="27"/>
  <c r="F13" i="27" s="1"/>
  <c r="G12" i="27"/>
  <c r="G13" i="27" s="1"/>
  <c r="A8" i="27"/>
  <c r="A9" i="27"/>
  <c r="A10" i="27"/>
  <c r="A11" i="27"/>
  <c r="A12" i="27"/>
  <c r="A13" i="27"/>
  <c r="W319" i="21" l="1"/>
  <c r="W326" i="21"/>
  <c r="W335" i="21" s="1"/>
  <c r="W324" i="21"/>
  <c r="AE36" i="23"/>
  <c r="Y296" i="21"/>
  <c r="AE35" i="23"/>
  <c r="U300" i="21"/>
  <c r="U314" i="21"/>
  <c r="T321" i="21"/>
  <c r="T328" i="21"/>
  <c r="T333" i="21"/>
  <c r="T276" i="21" s="1"/>
  <c r="T278" i="21" s="1"/>
  <c r="T331" i="21"/>
  <c r="T274" i="21" s="1"/>
  <c r="R321" i="21"/>
  <c r="R328" i="21"/>
  <c r="R314" i="21"/>
  <c r="R300" i="21"/>
  <c r="F165" i="21"/>
  <c r="F163" i="21"/>
  <c r="Y326" i="21"/>
  <c r="Y335" i="21" s="1"/>
  <c r="Y319" i="21"/>
  <c r="Y324" i="21"/>
  <c r="U321" i="21"/>
  <c r="U328" i="21"/>
  <c r="T300" i="21"/>
  <c r="T314" i="21"/>
  <c r="N105" i="21"/>
  <c r="N108" i="21"/>
  <c r="N111" i="21" s="1"/>
  <c r="N114" i="21" s="1"/>
  <c r="I146" i="21"/>
  <c r="N154" i="21" s="1"/>
  <c r="I144" i="21"/>
  <c r="N151" i="21" s="1"/>
  <c r="N157" i="21" s="1"/>
  <c r="I142" i="21"/>
  <c r="N148" i="21" s="1"/>
  <c r="O148" i="21" s="1"/>
  <c r="F101" i="21"/>
  <c r="F144" i="21"/>
  <c r="F103" i="21"/>
  <c r="F146" i="21"/>
  <c r="F142" i="21"/>
  <c r="L148" i="21" s="1"/>
  <c r="R333" i="21"/>
  <c r="R276" i="21" s="1"/>
  <c r="R278" i="21" s="1"/>
  <c r="R331" i="21"/>
  <c r="R274" i="21" s="1"/>
  <c r="G296" i="21"/>
  <c r="F312" i="21"/>
  <c r="F298" i="21"/>
  <c r="F310" i="21"/>
  <c r="Z324" i="21"/>
  <c r="Z326" i="21"/>
  <c r="Z335" i="21" s="1"/>
  <c r="Z319" i="21"/>
  <c r="U333" i="21"/>
  <c r="U276" i="21" s="1"/>
  <c r="U278" i="21" s="1"/>
  <c r="U331" i="21"/>
  <c r="U274" i="21" s="1"/>
  <c r="V261" i="21"/>
  <c r="W258" i="21"/>
  <c r="W261" i="21" s="1"/>
  <c r="G324" i="21"/>
  <c r="G326" i="21"/>
  <c r="L328" i="21" s="1"/>
  <c r="G319" i="21"/>
  <c r="L321" i="21" s="1"/>
  <c r="O105" i="21"/>
  <c r="O108" i="21"/>
  <c r="O111" i="21" s="1"/>
  <c r="O114" i="21" s="1"/>
  <c r="J146" i="21"/>
  <c r="O154" i="21" s="1"/>
  <c r="J144" i="21"/>
  <c r="O151" i="21" s="1"/>
  <c r="O157" i="21" s="1"/>
  <c r="J142" i="21"/>
  <c r="AC36" i="23"/>
  <c r="AC35" i="23"/>
  <c r="W296" i="21"/>
  <c r="AF36" i="23"/>
  <c r="Z296" i="21"/>
  <c r="AF35" i="23"/>
  <c r="Q300" i="21"/>
  <c r="Q314" i="21"/>
  <c r="F331" i="21"/>
  <c r="F333" i="21"/>
  <c r="U224" i="21"/>
  <c r="U221" i="21"/>
  <c r="U218" i="21"/>
  <c r="U215" i="21"/>
  <c r="T215" i="21"/>
  <c r="T218" i="21"/>
  <c r="T224" i="21"/>
  <c r="T221" i="21"/>
  <c r="U212" i="21"/>
  <c r="U200" i="21"/>
  <c r="U197" i="21"/>
  <c r="U194" i="21"/>
  <c r="U191" i="21"/>
  <c r="T212" i="21"/>
  <c r="T200" i="21"/>
  <c r="T197" i="21"/>
  <c r="T194" i="21"/>
  <c r="T191" i="21"/>
  <c r="U167" i="21"/>
  <c r="U170" i="21"/>
  <c r="U176" i="21"/>
  <c r="U173" i="21"/>
  <c r="T167" i="21"/>
  <c r="T170" i="21"/>
  <c r="T176" i="21"/>
  <c r="T173" i="21"/>
  <c r="Q167" i="21"/>
  <c r="Q176" i="21"/>
  <c r="Q173" i="21"/>
  <c r="Q170" i="21"/>
  <c r="Z167" i="21"/>
  <c r="Z173" i="21"/>
  <c r="Z176" i="21"/>
  <c r="Z170" i="21"/>
  <c r="Y167" i="21"/>
  <c r="Y176" i="21"/>
  <c r="Y173" i="21"/>
  <c r="Y170" i="21"/>
  <c r="T157" i="21"/>
  <c r="T154" i="21"/>
  <c r="T151" i="21"/>
  <c r="U157" i="21"/>
  <c r="U154" i="21"/>
  <c r="U151" i="21"/>
  <c r="U138" i="21"/>
  <c r="U135" i="21"/>
  <c r="U132" i="21"/>
  <c r="U129" i="21"/>
  <c r="T129" i="21"/>
  <c r="T138" i="21"/>
  <c r="T135" i="21"/>
  <c r="T132" i="21"/>
  <c r="T148" i="21"/>
  <c r="T111" i="21"/>
  <c r="T108" i="21"/>
  <c r="T114" i="21"/>
  <c r="U148" i="21"/>
  <c r="U114" i="21"/>
  <c r="U111" i="21"/>
  <c r="U108" i="21"/>
  <c r="T126" i="21"/>
  <c r="U126" i="21"/>
  <c r="U142" i="21"/>
  <c r="U105" i="21"/>
  <c r="T142" i="21"/>
  <c r="T105" i="21"/>
  <c r="T118" i="21"/>
  <c r="T83" i="21"/>
  <c r="T95" i="21" s="1"/>
  <c r="U118" i="21"/>
  <c r="U83" i="21"/>
  <c r="U95" i="21" s="1"/>
  <c r="U186" i="21"/>
  <c r="U188" i="21"/>
  <c r="T186" i="21"/>
  <c r="T188" i="21"/>
  <c r="F274" i="21"/>
  <c r="F276" i="21"/>
  <c r="T206" i="21"/>
  <c r="T210" i="21"/>
  <c r="T204" i="21"/>
  <c r="T208" i="21"/>
  <c r="U210" i="21"/>
  <c r="U204" i="21"/>
  <c r="U206" i="21"/>
  <c r="U208" i="21"/>
  <c r="U182" i="21"/>
  <c r="U184" i="21"/>
  <c r="T182" i="21"/>
  <c r="T184" i="21"/>
  <c r="T163" i="21"/>
  <c r="T165" i="21"/>
  <c r="J165" i="21"/>
  <c r="O173" i="21" s="1"/>
  <c r="O176" i="21" s="1"/>
  <c r="J163" i="21"/>
  <c r="O170" i="21" s="1"/>
  <c r="Q165" i="21"/>
  <c r="Q163" i="21"/>
  <c r="W165" i="21"/>
  <c r="U165" i="21"/>
  <c r="U163" i="21"/>
  <c r="Z165" i="21"/>
  <c r="Z163" i="21"/>
  <c r="Y165" i="21"/>
  <c r="Y163" i="21"/>
  <c r="T146" i="21"/>
  <c r="T144" i="21"/>
  <c r="U146" i="21"/>
  <c r="U144" i="21"/>
  <c r="U77" i="21"/>
  <c r="U86" i="21" s="1"/>
  <c r="U124" i="21"/>
  <c r="U81" i="21"/>
  <c r="U92" i="21" s="1"/>
  <c r="U122" i="21"/>
  <c r="U120" i="21"/>
  <c r="U79" i="21"/>
  <c r="U89" i="21" s="1"/>
  <c r="G101" i="21"/>
  <c r="G103" i="21"/>
  <c r="T120" i="21"/>
  <c r="T124" i="21"/>
  <c r="T122" i="21"/>
  <c r="T77" i="21"/>
  <c r="T86" i="21" s="1"/>
  <c r="T79" i="21"/>
  <c r="T89" i="21" s="1"/>
  <c r="T81" i="21"/>
  <c r="T92" i="21" s="1"/>
  <c r="J79" i="21"/>
  <c r="O89" i="21" s="1"/>
  <c r="J81" i="21"/>
  <c r="O92" i="21" s="1"/>
  <c r="O95" i="21" s="1"/>
  <c r="J77" i="21"/>
  <c r="U101" i="21"/>
  <c r="U103" i="21"/>
  <c r="T101" i="21"/>
  <c r="T103" i="21"/>
  <c r="AF34" i="23"/>
  <c r="AF33" i="23"/>
  <c r="O34" i="23"/>
  <c r="O33" i="23"/>
  <c r="AE34" i="23"/>
  <c r="AE33" i="23"/>
  <c r="N33" i="23"/>
  <c r="N34" i="23"/>
  <c r="AC30" i="23"/>
  <c r="W99" i="21" s="1"/>
  <c r="X33" i="23"/>
  <c r="X34" i="23"/>
  <c r="R99" i="21"/>
  <c r="Y180" i="21"/>
  <c r="AE45" i="23"/>
  <c r="AE44" i="23"/>
  <c r="AC45" i="23"/>
  <c r="AC44" i="23"/>
  <c r="Z180" i="21"/>
  <c r="AF45" i="23"/>
  <c r="AF44" i="23"/>
  <c r="K35" i="23"/>
  <c r="F303" i="21" s="1"/>
  <c r="K36" i="23"/>
  <c r="Z99" i="21"/>
  <c r="Y99" i="21"/>
  <c r="Z75" i="21"/>
  <c r="Q99" i="21"/>
  <c r="W33" i="23"/>
  <c r="Y75" i="21"/>
  <c r="K33" i="23"/>
  <c r="J15" i="27"/>
  <c r="J14" i="27"/>
  <c r="J16" i="27"/>
  <c r="K11" i="27"/>
  <c r="J12" i="27"/>
  <c r="J13" i="27" s="1"/>
  <c r="K6" i="27"/>
  <c r="K181" i="32"/>
  <c r="K186" i="32"/>
  <c r="K187" i="32"/>
  <c r="K185" i="32"/>
  <c r="K179" i="32"/>
  <c r="G84" i="25"/>
  <c r="G78" i="25"/>
  <c r="G75" i="25"/>
  <c r="Z303" i="21" l="1"/>
  <c r="Z305" i="21"/>
  <c r="G312" i="21"/>
  <c r="L314" i="21" s="1"/>
  <c r="G298" i="21"/>
  <c r="L300" i="21" s="1"/>
  <c r="G310" i="21"/>
  <c r="Y305" i="21"/>
  <c r="Y303" i="21"/>
  <c r="Z298" i="21"/>
  <c r="Z310" i="21"/>
  <c r="Z312" i="21"/>
  <c r="Y333" i="21"/>
  <c r="Y276" i="21" s="1"/>
  <c r="Y278" i="21" s="1"/>
  <c r="Y331" i="21"/>
  <c r="Y274" i="21" s="1"/>
  <c r="Y298" i="21"/>
  <c r="Y310" i="21"/>
  <c r="Y312" i="21"/>
  <c r="Z321" i="21"/>
  <c r="Z328" i="21"/>
  <c r="Y321" i="21"/>
  <c r="Y328" i="21"/>
  <c r="F305" i="21"/>
  <c r="G303" i="21"/>
  <c r="G305" i="21" s="1"/>
  <c r="L307" i="21" s="1"/>
  <c r="W298" i="21"/>
  <c r="W310" i="21"/>
  <c r="W312" i="21"/>
  <c r="W331" i="21"/>
  <c r="W274" i="21" s="1"/>
  <c r="W333" i="21"/>
  <c r="W276" i="21" s="1"/>
  <c r="W278" i="21" s="1"/>
  <c r="Z333" i="21"/>
  <c r="Z276" i="21" s="1"/>
  <c r="Z278" i="21" s="1"/>
  <c r="Z331" i="21"/>
  <c r="Z274" i="21" s="1"/>
  <c r="G331" i="21"/>
  <c r="G274" i="21" s="1"/>
  <c r="G333" i="21"/>
  <c r="L335" i="21" s="1"/>
  <c r="W321" i="21"/>
  <c r="W328" i="21"/>
  <c r="O83" i="21"/>
  <c r="O86" i="21"/>
  <c r="Y218" i="21"/>
  <c r="Y215" i="21"/>
  <c r="Y224" i="21"/>
  <c r="Y221" i="21"/>
  <c r="Z218" i="21"/>
  <c r="Z215" i="21"/>
  <c r="Z224" i="21"/>
  <c r="Z221" i="21"/>
  <c r="Y212" i="21"/>
  <c r="Y194" i="21"/>
  <c r="Y191" i="21"/>
  <c r="Y200" i="21"/>
  <c r="Y197" i="21"/>
  <c r="Z212" i="21"/>
  <c r="Z191" i="21"/>
  <c r="Z200" i="21"/>
  <c r="Z194" i="21"/>
  <c r="Z197" i="21"/>
  <c r="R154" i="21"/>
  <c r="R151" i="21"/>
  <c r="R157" i="21"/>
  <c r="Q157" i="21"/>
  <c r="Q154" i="21"/>
  <c r="Q151" i="21"/>
  <c r="Y157" i="21"/>
  <c r="Y154" i="21"/>
  <c r="Y151" i="21"/>
  <c r="W157" i="21"/>
  <c r="W154" i="21"/>
  <c r="W151" i="21"/>
  <c r="Z151" i="21"/>
  <c r="Z157" i="21"/>
  <c r="Z154" i="21"/>
  <c r="Z132" i="21"/>
  <c r="Z129" i="21"/>
  <c r="Z138" i="21"/>
  <c r="Z135" i="21"/>
  <c r="Y132" i="21"/>
  <c r="Y129" i="21"/>
  <c r="Y138" i="21"/>
  <c r="Y135" i="21"/>
  <c r="R148" i="21"/>
  <c r="R111" i="21"/>
  <c r="R114" i="21"/>
  <c r="R108" i="21"/>
  <c r="W148" i="21"/>
  <c r="W114" i="21"/>
  <c r="W111" i="21"/>
  <c r="W108" i="21"/>
  <c r="Y148" i="21"/>
  <c r="Y114" i="21"/>
  <c r="Y111" i="21"/>
  <c r="Y108" i="21"/>
  <c r="Q148" i="21"/>
  <c r="Q114" i="21"/>
  <c r="Q111" i="21"/>
  <c r="Q108" i="21"/>
  <c r="Z148" i="21"/>
  <c r="Z111" i="21"/>
  <c r="Z114" i="21"/>
  <c r="Z108" i="21"/>
  <c r="Y126" i="21"/>
  <c r="Z126" i="21"/>
  <c r="Z142" i="21"/>
  <c r="Z105" i="21"/>
  <c r="Q142" i="21"/>
  <c r="Q105" i="21"/>
  <c r="Y142" i="21"/>
  <c r="Y105" i="21"/>
  <c r="R142" i="21"/>
  <c r="R105" i="21"/>
  <c r="W142" i="21"/>
  <c r="W105" i="21"/>
  <c r="Z118" i="21"/>
  <c r="Z83" i="21"/>
  <c r="Z95" i="21" s="1"/>
  <c r="Y118" i="21"/>
  <c r="Y83" i="21"/>
  <c r="Y95" i="21" s="1"/>
  <c r="Z186" i="21"/>
  <c r="Z188" i="21"/>
  <c r="Y186" i="21"/>
  <c r="Y188" i="21"/>
  <c r="Y208" i="21"/>
  <c r="Y206" i="21"/>
  <c r="Y210" i="21"/>
  <c r="Y204" i="21"/>
  <c r="Z208" i="21"/>
  <c r="Z206" i="21"/>
  <c r="Z210" i="21"/>
  <c r="Z204" i="21"/>
  <c r="Z184" i="21"/>
  <c r="Z182" i="21"/>
  <c r="Y182" i="21"/>
  <c r="Y184" i="21"/>
  <c r="Z146" i="21"/>
  <c r="Z144" i="21"/>
  <c r="Y146" i="21"/>
  <c r="Y144" i="21"/>
  <c r="R146" i="21"/>
  <c r="R144" i="21"/>
  <c r="W146" i="21"/>
  <c r="W144" i="21"/>
  <c r="Q146" i="21"/>
  <c r="Q144" i="21"/>
  <c r="Y120" i="21"/>
  <c r="Y77" i="21"/>
  <c r="Y86" i="21" s="1"/>
  <c r="Y79" i="21"/>
  <c r="Y89" i="21" s="1"/>
  <c r="Y81" i="21"/>
  <c r="Y92" i="21" s="1"/>
  <c r="Y122" i="21"/>
  <c r="Y124" i="21"/>
  <c r="W103" i="21"/>
  <c r="W101" i="21"/>
  <c r="Q103" i="21"/>
  <c r="Q101" i="21"/>
  <c r="Z120" i="21"/>
  <c r="Z77" i="21"/>
  <c r="Z86" i="21" s="1"/>
  <c r="Z79" i="21"/>
  <c r="Z89" i="21" s="1"/>
  <c r="Z81" i="21"/>
  <c r="Z92" i="21" s="1"/>
  <c r="Z122" i="21"/>
  <c r="Z124" i="21"/>
  <c r="Y101" i="21"/>
  <c r="Y103" i="21"/>
  <c r="J103" i="21"/>
  <c r="J101" i="21"/>
  <c r="Z103" i="21"/>
  <c r="Z101" i="21"/>
  <c r="R101" i="21"/>
  <c r="R103" i="21"/>
  <c r="AC33" i="23"/>
  <c r="AC34" i="23"/>
  <c r="K12" i="27"/>
  <c r="K13" i="27" s="1"/>
  <c r="K14" i="27"/>
  <c r="K15" i="27"/>
  <c r="K16" i="27"/>
  <c r="K182" i="32"/>
  <c r="K188" i="32"/>
  <c r="G276" i="21" l="1"/>
  <c r="L278" i="21" s="1"/>
  <c r="Z314" i="21"/>
  <c r="Z300" i="21"/>
  <c r="W314" i="21"/>
  <c r="W303" i="21"/>
  <c r="W305" i="21" s="1"/>
  <c r="W307" i="21" s="1"/>
  <c r="W300" i="21"/>
  <c r="Y300" i="21"/>
  <c r="Y314" i="21"/>
  <c r="J86" i="25"/>
  <c r="K86" i="25"/>
  <c r="L86" i="25"/>
  <c r="M86" i="25"/>
  <c r="N86" i="25"/>
  <c r="O86" i="25"/>
  <c r="P86" i="25"/>
  <c r="Q86" i="25"/>
  <c r="R86" i="25"/>
  <c r="S86" i="25"/>
  <c r="T86" i="25"/>
  <c r="U86" i="25"/>
  <c r="I86" i="25"/>
  <c r="H88" i="25"/>
  <c r="G87" i="25"/>
  <c r="G86" i="25"/>
  <c r="C86" i="25"/>
  <c r="C183" i="31" l="1"/>
  <c r="C184" i="31"/>
  <c r="C189" i="31"/>
  <c r="C190" i="31"/>
  <c r="C191" i="31"/>
  <c r="C160" i="31"/>
  <c r="C161" i="31"/>
  <c r="C166" i="31"/>
  <c r="C167" i="31"/>
  <c r="C168" i="31"/>
  <c r="C173" i="31"/>
  <c r="C159" i="31"/>
  <c r="B50" i="25" l="1"/>
  <c r="B54" i="25"/>
  <c r="C54" i="25"/>
  <c r="I54" i="25"/>
  <c r="J54" i="25"/>
  <c r="L54" i="25"/>
  <c r="M54" i="25"/>
  <c r="O54" i="25"/>
  <c r="P54" i="25"/>
  <c r="R54" i="25"/>
  <c r="S54" i="25"/>
  <c r="T54" i="25"/>
  <c r="G56" i="25"/>
  <c r="B58" i="25"/>
  <c r="C58" i="25"/>
  <c r="I58" i="25"/>
  <c r="J58" i="25"/>
  <c r="L58" i="25"/>
  <c r="M58" i="25"/>
  <c r="O58" i="25"/>
  <c r="P58" i="25"/>
  <c r="R58" i="25"/>
  <c r="S58" i="25"/>
  <c r="T58" i="25"/>
  <c r="G60" i="25"/>
  <c r="G96" i="32" l="1"/>
  <c r="G21" i="32"/>
  <c r="G25" i="32" s="1"/>
  <c r="G68" i="32"/>
  <c r="G72" i="32" s="1"/>
  <c r="G144" i="32"/>
  <c r="G116" i="32"/>
  <c r="G120" i="32" s="1"/>
  <c r="G48" i="32"/>
  <c r="Q58" i="25"/>
  <c r="Q54" i="25"/>
  <c r="N58" i="25"/>
  <c r="N54" i="25"/>
  <c r="K58" i="25"/>
  <c r="K54" i="25"/>
  <c r="U8" i="30"/>
  <c r="T8" i="30"/>
  <c r="S8" i="30"/>
  <c r="R8" i="30"/>
  <c r="Q8" i="30"/>
  <c r="P8" i="30"/>
  <c r="O8" i="30"/>
  <c r="N8" i="30"/>
  <c r="M8" i="30"/>
  <c r="L8" i="30"/>
  <c r="R92" i="25"/>
  <c r="P92" i="25"/>
  <c r="O92" i="25"/>
  <c r="M92" i="25"/>
  <c r="L92" i="25"/>
  <c r="J92" i="25"/>
  <c r="R89" i="25"/>
  <c r="P89" i="25"/>
  <c r="O89" i="25"/>
  <c r="M89" i="25"/>
  <c r="L89" i="25"/>
  <c r="J89" i="25"/>
  <c r="R83" i="25"/>
  <c r="P83" i="25"/>
  <c r="O83" i="25"/>
  <c r="M83" i="25"/>
  <c r="L83" i="25"/>
  <c r="J83" i="25"/>
  <c r="R80" i="25"/>
  <c r="P80" i="25"/>
  <c r="O80" i="25"/>
  <c r="M80" i="25"/>
  <c r="L80" i="25"/>
  <c r="J80" i="25"/>
  <c r="R77" i="25"/>
  <c r="P77" i="25"/>
  <c r="O77" i="25"/>
  <c r="M77" i="25"/>
  <c r="L77" i="25"/>
  <c r="J77" i="25"/>
  <c r="R74" i="25"/>
  <c r="P74" i="25"/>
  <c r="O74" i="25"/>
  <c r="M74" i="25"/>
  <c r="L74" i="25"/>
  <c r="J74" i="25"/>
  <c r="R70" i="25"/>
  <c r="P70" i="25"/>
  <c r="O70" i="25"/>
  <c r="M70" i="25"/>
  <c r="L70" i="25"/>
  <c r="J70" i="25"/>
  <c r="R66" i="25"/>
  <c r="P66" i="25"/>
  <c r="O66" i="25"/>
  <c r="M66" i="25"/>
  <c r="L66" i="25"/>
  <c r="J66" i="25"/>
  <c r="R62" i="25"/>
  <c r="P62" i="25"/>
  <c r="O62" i="25"/>
  <c r="M62" i="25"/>
  <c r="L62" i="25"/>
  <c r="J62" i="25"/>
  <c r="R50" i="25"/>
  <c r="P50" i="25"/>
  <c r="O50" i="25"/>
  <c r="M50" i="25"/>
  <c r="L50" i="25"/>
  <c r="J50" i="25"/>
  <c r="R46" i="25"/>
  <c r="P46" i="25"/>
  <c r="O46" i="25"/>
  <c r="M46" i="25"/>
  <c r="L46" i="25"/>
  <c r="J46" i="25"/>
  <c r="R42" i="25"/>
  <c r="P42" i="25"/>
  <c r="O42" i="25"/>
  <c r="M42" i="25"/>
  <c r="L42" i="25"/>
  <c r="J42" i="25"/>
  <c r="R39" i="25"/>
  <c r="P39" i="25"/>
  <c r="O39" i="25"/>
  <c r="M39" i="25"/>
  <c r="L39" i="25"/>
  <c r="J39" i="25"/>
  <c r="P36" i="25"/>
  <c r="O36" i="25"/>
  <c r="M36" i="25"/>
  <c r="L36" i="25"/>
  <c r="J36" i="25"/>
  <c r="P32" i="25"/>
  <c r="O32" i="25"/>
  <c r="M32" i="25"/>
  <c r="L32" i="25"/>
  <c r="J32" i="25"/>
  <c r="P29" i="25"/>
  <c r="O29" i="25"/>
  <c r="M29" i="25"/>
  <c r="L29" i="25"/>
  <c r="J29" i="25"/>
  <c r="P26" i="25"/>
  <c r="O26" i="25"/>
  <c r="M26" i="25"/>
  <c r="L26" i="25"/>
  <c r="J26" i="25"/>
  <c r="R23" i="25"/>
  <c r="P23" i="25"/>
  <c r="O23" i="25"/>
  <c r="M23" i="25"/>
  <c r="L23" i="25"/>
  <c r="J23" i="25"/>
  <c r="R19" i="25"/>
  <c r="P19" i="25"/>
  <c r="O19" i="25"/>
  <c r="M19" i="25"/>
  <c r="L19" i="25"/>
  <c r="J19" i="25"/>
  <c r="R15" i="25"/>
  <c r="P15" i="25"/>
  <c r="O15" i="25"/>
  <c r="M15" i="25"/>
  <c r="L15" i="25"/>
  <c r="J15" i="25"/>
  <c r="R11" i="25"/>
  <c r="P11" i="25"/>
  <c r="O11" i="25"/>
  <c r="M11" i="25"/>
  <c r="L11" i="25"/>
  <c r="J11" i="25"/>
  <c r="R7" i="25"/>
  <c r="P7" i="25"/>
  <c r="O7" i="25"/>
  <c r="M7" i="25"/>
  <c r="L7" i="25"/>
  <c r="J7" i="25"/>
  <c r="AA45" i="21"/>
  <c r="AA42" i="21"/>
  <c r="AD39" i="21"/>
  <c r="AC39" i="21"/>
  <c r="AA39" i="21"/>
  <c r="AD36" i="21"/>
  <c r="AC36" i="21"/>
  <c r="AA36" i="21"/>
  <c r="AD33" i="21"/>
  <c r="AC33" i="21"/>
  <c r="AA33" i="21"/>
  <c r="AD30" i="21"/>
  <c r="AC30" i="21"/>
  <c r="AA30" i="21"/>
  <c r="AA27" i="21"/>
  <c r="AA24" i="21"/>
  <c r="AB21" i="21"/>
  <c r="AA21" i="21"/>
  <c r="AB18" i="21"/>
  <c r="AA18" i="21"/>
  <c r="AA15" i="21"/>
  <c r="AD12" i="21"/>
  <c r="AC12" i="21"/>
  <c r="AA12" i="21"/>
  <c r="AA9" i="21"/>
  <c r="AD6" i="21"/>
  <c r="AC6" i="21"/>
  <c r="AA6" i="21"/>
  <c r="X39" i="21"/>
  <c r="Y36" i="21"/>
  <c r="X36" i="21"/>
  <c r="X33" i="21"/>
  <c r="Y30" i="21"/>
  <c r="X30" i="21"/>
  <c r="Y12" i="21"/>
  <c r="X12" i="21"/>
  <c r="Y6" i="21"/>
  <c r="X6" i="21"/>
  <c r="V45" i="21"/>
  <c r="V42" i="21"/>
  <c r="V39" i="21"/>
  <c r="V36" i="21"/>
  <c r="V33" i="21"/>
  <c r="V30" i="21"/>
  <c r="V27" i="21"/>
  <c r="V24" i="21"/>
  <c r="W21" i="21"/>
  <c r="V21" i="21"/>
  <c r="W18" i="21"/>
  <c r="V18" i="21"/>
  <c r="V15" i="21"/>
  <c r="V12" i="21"/>
  <c r="V9" i="21"/>
  <c r="V6" i="21"/>
  <c r="S9" i="21"/>
  <c r="Q45" i="21"/>
  <c r="Q42" i="21"/>
  <c r="S39" i="21"/>
  <c r="R39" i="21"/>
  <c r="Q39" i="21"/>
  <c r="T36" i="21"/>
  <c r="S36" i="21"/>
  <c r="R36" i="21"/>
  <c r="Q36" i="21"/>
  <c r="T33" i="21"/>
  <c r="S33" i="21"/>
  <c r="R33" i="21"/>
  <c r="Q33" i="21"/>
  <c r="T30" i="21"/>
  <c r="S30" i="21"/>
  <c r="R30" i="21"/>
  <c r="Q30" i="21"/>
  <c r="Q27" i="21"/>
  <c r="Q24" i="21"/>
  <c r="R21" i="21"/>
  <c r="Q21" i="21"/>
  <c r="R18" i="21"/>
  <c r="Q18" i="21"/>
  <c r="R15" i="21"/>
  <c r="Q15" i="21"/>
  <c r="T12" i="21"/>
  <c r="S12" i="21"/>
  <c r="R12" i="21"/>
  <c r="Q12" i="21"/>
  <c r="R9" i="21"/>
  <c r="Q9" i="21"/>
  <c r="T6" i="21"/>
  <c r="S6" i="21"/>
  <c r="Q6" i="21"/>
  <c r="X264" i="21" l="1"/>
  <c r="AA264" i="21"/>
  <c r="AC264" i="21"/>
  <c r="R264" i="21"/>
  <c r="S264" i="21"/>
  <c r="Q264" i="21"/>
  <c r="V264" i="21"/>
  <c r="J15" i="26"/>
  <c r="J16" i="26"/>
  <c r="J17" i="26"/>
  <c r="J18" i="26"/>
  <c r="J19" i="26"/>
  <c r="J20" i="26"/>
  <c r="J14" i="26"/>
  <c r="T92" i="25" l="1"/>
  <c r="S92" i="25"/>
  <c r="I92" i="25"/>
  <c r="H95" i="25"/>
  <c r="G94" i="25"/>
  <c r="G93" i="25"/>
  <c r="G92" i="25"/>
  <c r="G34" i="25"/>
  <c r="T42" i="25"/>
  <c r="S42" i="25"/>
  <c r="I42" i="25"/>
  <c r="T32" i="25"/>
  <c r="S32" i="25"/>
  <c r="I32" i="25"/>
  <c r="C92" i="25"/>
  <c r="B92" i="25"/>
  <c r="C32" i="25"/>
  <c r="B32" i="25"/>
  <c r="H35" i="25"/>
  <c r="G33" i="25"/>
  <c r="G32" i="25"/>
  <c r="C29" i="25"/>
  <c r="B29" i="25"/>
  <c r="B103" i="25"/>
  <c r="C103" i="25"/>
  <c r="B104" i="25"/>
  <c r="C104" i="25"/>
  <c r="B105" i="25"/>
  <c r="C105" i="25"/>
  <c r="B106" i="25"/>
  <c r="C106" i="25"/>
  <c r="B107" i="25"/>
  <c r="C107" i="25"/>
  <c r="B108" i="25"/>
  <c r="C108" i="25"/>
  <c r="B109" i="25"/>
  <c r="C109" i="25"/>
  <c r="B110" i="25"/>
  <c r="C110" i="25"/>
  <c r="B111" i="25"/>
  <c r="C111" i="25"/>
  <c r="B112" i="25"/>
  <c r="C112" i="25"/>
  <c r="B113" i="25"/>
  <c r="C113" i="25"/>
  <c r="B114" i="25"/>
  <c r="C114" i="25"/>
  <c r="B115" i="25"/>
  <c r="C115" i="25"/>
  <c r="B116" i="25"/>
  <c r="C116" i="25"/>
  <c r="B117" i="25"/>
  <c r="C117" i="25"/>
  <c r="B118" i="25"/>
  <c r="C118" i="25"/>
  <c r="B119" i="25"/>
  <c r="C119" i="25"/>
  <c r="B120" i="25"/>
  <c r="C120" i="25"/>
  <c r="B121" i="25"/>
  <c r="C121" i="25"/>
  <c r="B122" i="25"/>
  <c r="C122" i="25"/>
  <c r="B123" i="25"/>
  <c r="C123" i="25"/>
  <c r="B124" i="25"/>
  <c r="C124" i="25"/>
  <c r="Q24" i="26"/>
  <c r="R24" i="26"/>
  <c r="S24" i="26"/>
  <c r="T24" i="26"/>
  <c r="Q25" i="26"/>
  <c r="R25" i="26"/>
  <c r="S25" i="26"/>
  <c r="T25" i="26"/>
  <c r="S26" i="26"/>
  <c r="T26" i="26"/>
  <c r="P24" i="26"/>
  <c r="P25" i="26"/>
  <c r="O25" i="26"/>
  <c r="O21" i="26"/>
  <c r="O24" i="26"/>
  <c r="P22" i="26"/>
  <c r="Q22" i="26"/>
  <c r="R22" i="26"/>
  <c r="S22" i="26"/>
  <c r="T22" i="26"/>
  <c r="P23" i="26"/>
  <c r="Q23" i="26"/>
  <c r="R23" i="26"/>
  <c r="S23" i="26"/>
  <c r="T23" i="26"/>
  <c r="O23" i="26"/>
  <c r="O22" i="26"/>
  <c r="O14" i="26"/>
  <c r="P12" i="26"/>
  <c r="Q12" i="26"/>
  <c r="R12" i="26"/>
  <c r="S12" i="26"/>
  <c r="T12" i="26"/>
  <c r="S13" i="26"/>
  <c r="T13" i="26"/>
  <c r="O12" i="26"/>
  <c r="O9" i="26"/>
  <c r="O10" i="26"/>
  <c r="S11" i="26"/>
  <c r="T11" i="26"/>
  <c r="R36" i="25" s="1"/>
  <c r="P10" i="26"/>
  <c r="Q10" i="26"/>
  <c r="R10" i="26"/>
  <c r="S10" i="26"/>
  <c r="T10" i="26"/>
  <c r="P8" i="26"/>
  <c r="Q8" i="26"/>
  <c r="R8" i="26"/>
  <c r="S8" i="26"/>
  <c r="T8" i="26"/>
  <c r="R26" i="25" s="1"/>
  <c r="P9" i="26"/>
  <c r="Q9" i="26"/>
  <c r="R9" i="26"/>
  <c r="S9" i="26"/>
  <c r="T9" i="26"/>
  <c r="O7" i="26"/>
  <c r="O8" i="26"/>
  <c r="L53" i="26"/>
  <c r="L52" i="26"/>
  <c r="L51" i="26"/>
  <c r="O3" i="26"/>
  <c r="R29" i="25" l="1"/>
  <c r="R32" i="25"/>
  <c r="Q32" i="25" s="1"/>
  <c r="Q92" i="25"/>
  <c r="Q42" i="25"/>
  <c r="N32" i="25"/>
  <c r="K32" i="25"/>
  <c r="O29" i="26"/>
  <c r="G71" i="25" l="1"/>
  <c r="T50" i="25"/>
  <c r="S50" i="25"/>
  <c r="I50" i="25"/>
  <c r="H91" i="25"/>
  <c r="G90" i="25"/>
  <c r="T89" i="25"/>
  <c r="S89" i="25"/>
  <c r="I89" i="25"/>
  <c r="G89" i="25"/>
  <c r="H85" i="25"/>
  <c r="T83" i="25"/>
  <c r="S83" i="25"/>
  <c r="I83" i="25"/>
  <c r="G83" i="25"/>
  <c r="H82" i="25"/>
  <c r="G81" i="25"/>
  <c r="T80" i="25"/>
  <c r="S80" i="25"/>
  <c r="I80" i="25"/>
  <c r="G80" i="25"/>
  <c r="H79" i="25"/>
  <c r="T77" i="25"/>
  <c r="S77" i="25"/>
  <c r="I77" i="25"/>
  <c r="G77" i="25"/>
  <c r="C89" i="25"/>
  <c r="B89" i="25"/>
  <c r="C83" i="25"/>
  <c r="B83" i="25"/>
  <c r="C80" i="25"/>
  <c r="B80" i="25"/>
  <c r="C77" i="25"/>
  <c r="B77" i="25"/>
  <c r="H76" i="25"/>
  <c r="T74" i="25"/>
  <c r="S74" i="25"/>
  <c r="I74" i="25"/>
  <c r="G74" i="25"/>
  <c r="H73" i="25"/>
  <c r="G72" i="25"/>
  <c r="T70" i="25"/>
  <c r="S70" i="25"/>
  <c r="I70" i="25"/>
  <c r="G70" i="25"/>
  <c r="H69" i="25"/>
  <c r="G67" i="25"/>
  <c r="T66" i="25"/>
  <c r="S66" i="25"/>
  <c r="I66" i="25"/>
  <c r="G66" i="25"/>
  <c r="T62" i="25"/>
  <c r="S62" i="25"/>
  <c r="I62" i="25"/>
  <c r="G47" i="25"/>
  <c r="G51" i="25" s="1"/>
  <c r="T46" i="25"/>
  <c r="S46" i="25"/>
  <c r="I46" i="25"/>
  <c r="G46" i="25"/>
  <c r="H45" i="25"/>
  <c r="G43" i="25"/>
  <c r="G42" i="25"/>
  <c r="H41" i="25"/>
  <c r="G40" i="25"/>
  <c r="T39" i="25"/>
  <c r="S39" i="25"/>
  <c r="I39" i="25"/>
  <c r="G39" i="25"/>
  <c r="H38" i="25"/>
  <c r="G37" i="25"/>
  <c r="T36" i="25"/>
  <c r="S36" i="25"/>
  <c r="I36" i="25"/>
  <c r="G36" i="25"/>
  <c r="B74" i="25"/>
  <c r="C74" i="25"/>
  <c r="B70" i="25"/>
  <c r="C70" i="25"/>
  <c r="B66" i="25"/>
  <c r="C66" i="25"/>
  <c r="B62" i="25"/>
  <c r="C62" i="25"/>
  <c r="C50" i="25"/>
  <c r="B46" i="25"/>
  <c r="C46" i="25"/>
  <c r="B42" i="25"/>
  <c r="C42" i="25"/>
  <c r="B39" i="25"/>
  <c r="C39" i="25"/>
  <c r="C36" i="25"/>
  <c r="B36" i="25"/>
  <c r="B7" i="25"/>
  <c r="B11" i="25"/>
  <c r="B102" i="25"/>
  <c r="C102" i="25"/>
  <c r="C101" i="25"/>
  <c r="B101" i="25"/>
  <c r="M57" i="26"/>
  <c r="M54" i="26"/>
  <c r="R54" i="26"/>
  <c r="R26" i="26" s="1"/>
  <c r="P54" i="26"/>
  <c r="P26" i="26" s="1"/>
  <c r="K92" i="25" s="1"/>
  <c r="Q54" i="26"/>
  <c r="Q26" i="26" s="1"/>
  <c r="O54" i="26"/>
  <c r="O26" i="26" s="1"/>
  <c r="N92" i="25" l="1"/>
  <c r="Q11" i="26"/>
  <c r="Q13" i="26"/>
  <c r="P13" i="26"/>
  <c r="P11" i="26"/>
  <c r="R11" i="26"/>
  <c r="R13" i="26"/>
  <c r="O11" i="26"/>
  <c r="O13" i="26"/>
  <c r="N77" i="25"/>
  <c r="K77" i="25"/>
  <c r="Q77" i="25"/>
  <c r="K80" i="25"/>
  <c r="Q80" i="25"/>
  <c r="N80" i="25"/>
  <c r="Q36" i="25"/>
  <c r="K42" i="25" l="1"/>
  <c r="N42" i="25"/>
  <c r="N36" i="25"/>
  <c r="K36" i="25"/>
  <c r="K83" i="25" l="1"/>
  <c r="N83" i="25"/>
  <c r="Q83" i="25"/>
  <c r="C281" i="21" l="1"/>
  <c r="D414" i="21" s="1"/>
  <c r="C284" i="21"/>
  <c r="D415" i="21" s="1"/>
  <c r="C287" i="21"/>
  <c r="D416" i="21" s="1"/>
  <c r="AI180" i="21"/>
  <c r="AE180" i="21"/>
  <c r="X180" i="21"/>
  <c r="H180" i="21"/>
  <c r="AI161" i="21"/>
  <c r="AE161" i="21"/>
  <c r="AI99" i="21"/>
  <c r="AE99" i="21"/>
  <c r="H99" i="21"/>
  <c r="AI75" i="21"/>
  <c r="AE75" i="21"/>
  <c r="H75" i="21"/>
  <c r="F75" i="21"/>
  <c r="K47" i="21"/>
  <c r="I46" i="21"/>
  <c r="H46" i="21"/>
  <c r="F46" i="21"/>
  <c r="AI45" i="21"/>
  <c r="AE45" i="21"/>
  <c r="X45" i="21"/>
  <c r="W45" i="21"/>
  <c r="R45" i="21"/>
  <c r="P45" i="21"/>
  <c r="I45" i="21"/>
  <c r="H45" i="21"/>
  <c r="F45" i="21"/>
  <c r="F6" i="21"/>
  <c r="X221" i="21" l="1"/>
  <c r="X224" i="21"/>
  <c r="X218" i="21"/>
  <c r="X215" i="21"/>
  <c r="AE221" i="21"/>
  <c r="AE218" i="21"/>
  <c r="AE215" i="21"/>
  <c r="AE224" i="21"/>
  <c r="AI215" i="21"/>
  <c r="AI224" i="21"/>
  <c r="AI218" i="21"/>
  <c r="AI221" i="21"/>
  <c r="X212" i="21"/>
  <c r="X194" i="21"/>
  <c r="X191" i="21"/>
  <c r="X200" i="21"/>
  <c r="X197" i="21"/>
  <c r="AI212" i="21"/>
  <c r="AI191" i="21"/>
  <c r="AI200" i="21"/>
  <c r="AI197" i="21"/>
  <c r="AI194" i="21"/>
  <c r="AE212" i="21"/>
  <c r="AE197" i="21"/>
  <c r="AE194" i="21"/>
  <c r="AE191" i="21"/>
  <c r="AE200" i="21"/>
  <c r="AE167" i="21"/>
  <c r="AE170" i="21"/>
  <c r="AE176" i="21"/>
  <c r="AE173" i="21"/>
  <c r="AI167" i="21"/>
  <c r="AI170" i="21"/>
  <c r="AI176" i="21"/>
  <c r="AI173" i="21"/>
  <c r="AI151" i="21"/>
  <c r="AI157" i="21"/>
  <c r="AI154" i="21"/>
  <c r="AE157" i="21"/>
  <c r="AE154" i="21"/>
  <c r="AE151" i="21"/>
  <c r="AI129" i="21"/>
  <c r="AI138" i="21"/>
  <c r="AI135" i="21"/>
  <c r="AI132" i="21"/>
  <c r="AE135" i="21"/>
  <c r="AE132" i="21"/>
  <c r="AE129" i="21"/>
  <c r="AE138" i="21"/>
  <c r="AE148" i="21"/>
  <c r="AE114" i="21"/>
  <c r="AE111" i="21"/>
  <c r="AE108" i="21"/>
  <c r="AI148" i="21"/>
  <c r="AI114" i="21"/>
  <c r="AI111" i="21"/>
  <c r="AI108" i="21"/>
  <c r="AE126" i="21"/>
  <c r="AE92" i="21"/>
  <c r="AE89" i="21"/>
  <c r="AE86" i="21"/>
  <c r="AE95" i="21"/>
  <c r="AI126" i="21"/>
  <c r="AI86" i="21"/>
  <c r="AI95" i="21"/>
  <c r="AI89" i="21"/>
  <c r="AI92" i="21"/>
  <c r="H142" i="21"/>
  <c r="AE142" i="21"/>
  <c r="AE105" i="21"/>
  <c r="AI142" i="21"/>
  <c r="AI105" i="21"/>
  <c r="AE118" i="21"/>
  <c r="AE83" i="21"/>
  <c r="AI118" i="21"/>
  <c r="AI83" i="21"/>
  <c r="X186" i="21"/>
  <c r="X188" i="21"/>
  <c r="AE186" i="21"/>
  <c r="AE188" i="21"/>
  <c r="AI186" i="21"/>
  <c r="AI188" i="21"/>
  <c r="I186" i="21"/>
  <c r="N197" i="21" s="1"/>
  <c r="AI206" i="21"/>
  <c r="AI208" i="21"/>
  <c r="AI210" i="21"/>
  <c r="AI204" i="21"/>
  <c r="AI228" i="21"/>
  <c r="AE210" i="21"/>
  <c r="AE204" i="21"/>
  <c r="AE228" i="21"/>
  <c r="AE208" i="21"/>
  <c r="AE206" i="21"/>
  <c r="I210" i="21"/>
  <c r="I204" i="21"/>
  <c r="I206" i="21"/>
  <c r="N215" i="21" s="1"/>
  <c r="I208" i="21"/>
  <c r="N218" i="21" s="1"/>
  <c r="X228" i="21"/>
  <c r="X208" i="21"/>
  <c r="X206" i="21"/>
  <c r="X210" i="21"/>
  <c r="X204" i="21"/>
  <c r="AI182" i="21"/>
  <c r="AI184" i="21"/>
  <c r="I184" i="21"/>
  <c r="N194" i="21" s="1"/>
  <c r="I182" i="21"/>
  <c r="N191" i="21" s="1"/>
  <c r="N200" i="21" s="1"/>
  <c r="X182" i="21"/>
  <c r="X184" i="21"/>
  <c r="AE182" i="21"/>
  <c r="AE184" i="21"/>
  <c r="I165" i="21"/>
  <c r="N173" i="21" s="1"/>
  <c r="N176" i="21" s="1"/>
  <c r="I163" i="21"/>
  <c r="N170" i="21" s="1"/>
  <c r="AE165" i="21"/>
  <c r="AE163" i="21"/>
  <c r="AI163" i="21"/>
  <c r="AI165" i="21"/>
  <c r="AI146" i="21"/>
  <c r="AI144" i="21"/>
  <c r="H144" i="21"/>
  <c r="H146" i="21"/>
  <c r="AE146" i="21"/>
  <c r="AE144" i="21"/>
  <c r="AE103" i="21"/>
  <c r="AE101" i="21"/>
  <c r="I81" i="21"/>
  <c r="N92" i="21" s="1"/>
  <c r="N95" i="21" s="1"/>
  <c r="I79" i="21"/>
  <c r="N89" i="21" s="1"/>
  <c r="I77" i="21"/>
  <c r="AI120" i="21"/>
  <c r="AI124" i="21"/>
  <c r="AI77" i="21"/>
  <c r="AI79" i="21"/>
  <c r="AI81" i="21"/>
  <c r="AI122" i="21"/>
  <c r="AI101" i="21"/>
  <c r="AI103" i="21"/>
  <c r="H101" i="21"/>
  <c r="H103" i="21"/>
  <c r="AE77" i="21"/>
  <c r="AE79" i="21"/>
  <c r="AE81" i="21"/>
  <c r="AE122" i="21"/>
  <c r="AE120" i="21"/>
  <c r="AE124" i="21"/>
  <c r="I101" i="21"/>
  <c r="I103" i="21"/>
  <c r="G161" i="21"/>
  <c r="L167" i="21" s="1"/>
  <c r="G180" i="21"/>
  <c r="G45" i="21"/>
  <c r="G75" i="21"/>
  <c r="G46" i="21"/>
  <c r="C347" i="21"/>
  <c r="C348" i="21"/>
  <c r="C349" i="21"/>
  <c r="N221" i="21" l="1"/>
  <c r="N224" i="21" s="1"/>
  <c r="N212" i="21"/>
  <c r="N86" i="21"/>
  <c r="N83" i="21"/>
  <c r="G163" i="21"/>
  <c r="L170" i="21" s="1"/>
  <c r="G165" i="21"/>
  <c r="L173" i="21" s="1"/>
  <c r="L176" i="21" s="1"/>
  <c r="K34" i="23" l="1"/>
  <c r="K117" i="25"/>
  <c r="K122" i="25" s="1"/>
  <c r="K116" i="25"/>
  <c r="K121" i="25" s="1"/>
  <c r="K110" i="25"/>
  <c r="K102" i="25" s="1"/>
  <c r="K109" i="25"/>
  <c r="K101" i="25" s="1"/>
  <c r="K108" i="25"/>
  <c r="K112" i="25" s="1"/>
  <c r="K107" i="25"/>
  <c r="K111" i="25" s="1"/>
  <c r="R17" i="28"/>
  <c r="W39" i="21"/>
  <c r="M40" i="30"/>
  <c r="L40" i="30"/>
  <c r="K40" i="30"/>
  <c r="J40" i="30"/>
  <c r="I40" i="30"/>
  <c r="J8" i="30"/>
  <c r="I8" i="30"/>
  <c r="H8" i="30"/>
  <c r="G8" i="30"/>
  <c r="F8" i="30"/>
  <c r="C8" i="30"/>
  <c r="B8" i="30"/>
  <c r="P21" i="26"/>
  <c r="Q21" i="26"/>
  <c r="R21" i="26"/>
  <c r="S21" i="26"/>
  <c r="T21" i="26"/>
  <c r="Q4" i="26"/>
  <c r="R4" i="26"/>
  <c r="S4" i="26"/>
  <c r="T4" i="26"/>
  <c r="T6" i="26" s="1"/>
  <c r="O4" i="26"/>
  <c r="O6" i="26" s="1"/>
  <c r="P3" i="26"/>
  <c r="Q3" i="26"/>
  <c r="R3" i="26"/>
  <c r="R5" i="26" s="1"/>
  <c r="S3" i="26"/>
  <c r="T3" i="26"/>
  <c r="P14" i="26"/>
  <c r="O5" i="26"/>
  <c r="Q7" i="26"/>
  <c r="R7" i="26"/>
  <c r="S7" i="26"/>
  <c r="T7" i="26"/>
  <c r="Q14" i="26"/>
  <c r="R14" i="26"/>
  <c r="S14" i="26"/>
  <c r="T14" i="26"/>
  <c r="P7" i="26"/>
  <c r="T23" i="25"/>
  <c r="S23" i="25"/>
  <c r="I23" i="25"/>
  <c r="G24" i="25"/>
  <c r="G23" i="25"/>
  <c r="C23" i="25"/>
  <c r="B23" i="25"/>
  <c r="H25" i="25"/>
  <c r="K4" i="26"/>
  <c r="G12" i="25" s="1"/>
  <c r="N4" i="26"/>
  <c r="I11" i="25" s="1"/>
  <c r="L14" i="26"/>
  <c r="G48" i="25" s="1"/>
  <c r="K26" i="23"/>
  <c r="C37" i="28"/>
  <c r="C38" i="28" s="1"/>
  <c r="C39" i="28" s="1"/>
  <c r="F34" i="28"/>
  <c r="L4" i="26"/>
  <c r="G13" i="25" s="1"/>
  <c r="N3" i="26"/>
  <c r="I7" i="25" s="1"/>
  <c r="L3" i="26"/>
  <c r="G9" i="25" s="1"/>
  <c r="K3" i="26"/>
  <c r="G8" i="25" s="1"/>
  <c r="C43" i="28"/>
  <c r="E8" i="28"/>
  <c r="D8" i="28"/>
  <c r="C8" i="28" s="1"/>
  <c r="E7" i="28"/>
  <c r="D7" i="28"/>
  <c r="C7" i="28" s="1"/>
  <c r="E6" i="28"/>
  <c r="D6" i="28"/>
  <c r="C6" i="28" s="1"/>
  <c r="E5" i="28"/>
  <c r="D5" i="28"/>
  <c r="C5" i="28" s="1"/>
  <c r="T29" i="25"/>
  <c r="T26" i="25"/>
  <c r="T19" i="25"/>
  <c r="T15" i="25"/>
  <c r="T11" i="25"/>
  <c r="T7" i="25"/>
  <c r="S29" i="25"/>
  <c r="S26" i="25"/>
  <c r="S19" i="25"/>
  <c r="S15" i="25"/>
  <c r="S11" i="25"/>
  <c r="S7" i="25"/>
  <c r="G17" i="25"/>
  <c r="G21" i="25"/>
  <c r="I29" i="25"/>
  <c r="H31" i="25"/>
  <c r="G30" i="25"/>
  <c r="I26" i="25"/>
  <c r="H28" i="25"/>
  <c r="G27" i="25"/>
  <c r="I19" i="25"/>
  <c r="H22" i="25"/>
  <c r="G20" i="25"/>
  <c r="I15" i="25"/>
  <c r="H18" i="25"/>
  <c r="G16" i="25"/>
  <c r="H14" i="25"/>
  <c r="H10" i="25"/>
  <c r="G29" i="25"/>
  <c r="G26" i="25"/>
  <c r="G19" i="25"/>
  <c r="G15" i="25"/>
  <c r="G11" i="25"/>
  <c r="G7" i="25"/>
  <c r="C26" i="25"/>
  <c r="B26" i="25"/>
  <c r="B19" i="25"/>
  <c r="C15" i="25"/>
  <c r="B15" i="25"/>
  <c r="C11" i="25"/>
  <c r="C7" i="25"/>
  <c r="I43" i="21"/>
  <c r="H43" i="21"/>
  <c r="F43" i="21"/>
  <c r="I40" i="21"/>
  <c r="H40" i="21"/>
  <c r="F40" i="21"/>
  <c r="I37" i="21"/>
  <c r="H37" i="21"/>
  <c r="F37" i="21"/>
  <c r="I42" i="21"/>
  <c r="H42" i="21"/>
  <c r="F42" i="21"/>
  <c r="I39" i="21"/>
  <c r="H39" i="21"/>
  <c r="F39" i="21"/>
  <c r="I36" i="21"/>
  <c r="H36" i="21"/>
  <c r="F36" i="21"/>
  <c r="F33" i="21"/>
  <c r="I34" i="21"/>
  <c r="H34" i="21"/>
  <c r="F34" i="21"/>
  <c r="I33" i="21"/>
  <c r="H33" i="21"/>
  <c r="F30" i="21"/>
  <c r="I31" i="21"/>
  <c r="H31" i="21"/>
  <c r="F31" i="21"/>
  <c r="I30" i="21"/>
  <c r="H30" i="21"/>
  <c r="F27" i="21"/>
  <c r="K44" i="21"/>
  <c r="K41" i="21"/>
  <c r="K38" i="21"/>
  <c r="K35" i="21"/>
  <c r="K32" i="21"/>
  <c r="K29" i="21"/>
  <c r="I28" i="21"/>
  <c r="H28" i="21"/>
  <c r="F28" i="21"/>
  <c r="I27" i="21"/>
  <c r="H27" i="21"/>
  <c r="F24" i="21"/>
  <c r="K26" i="21"/>
  <c r="F21" i="21"/>
  <c r="I25" i="21"/>
  <c r="H25" i="21"/>
  <c r="F25" i="21"/>
  <c r="K23" i="21"/>
  <c r="I22" i="21"/>
  <c r="H22" i="21"/>
  <c r="G22" i="21"/>
  <c r="F22" i="21"/>
  <c r="I21" i="21"/>
  <c r="H21" i="21"/>
  <c r="G21" i="21"/>
  <c r="F18" i="21"/>
  <c r="K20" i="21"/>
  <c r="I19" i="21"/>
  <c r="G19" i="21"/>
  <c r="F19" i="21"/>
  <c r="I18" i="21"/>
  <c r="H18" i="21"/>
  <c r="G18" i="21"/>
  <c r="F13" i="21"/>
  <c r="G13" i="21" s="1"/>
  <c r="K17" i="21"/>
  <c r="K16" i="21"/>
  <c r="I15" i="21"/>
  <c r="H15" i="21"/>
  <c r="F15" i="21"/>
  <c r="F12" i="21"/>
  <c r="G12" i="21" s="1"/>
  <c r="K14" i="21"/>
  <c r="I13" i="21"/>
  <c r="H13" i="21"/>
  <c r="F7" i="21"/>
  <c r="I12" i="21"/>
  <c r="H12" i="21"/>
  <c r="K11" i="21"/>
  <c r="K10" i="21"/>
  <c r="I9" i="21"/>
  <c r="H9" i="21"/>
  <c r="F9" i="21"/>
  <c r="G6" i="21"/>
  <c r="AE42" i="21"/>
  <c r="X42" i="21"/>
  <c r="W42" i="21"/>
  <c r="R42" i="21"/>
  <c r="AI39" i="21"/>
  <c r="AE39" i="21"/>
  <c r="P39" i="21"/>
  <c r="AI36" i="21"/>
  <c r="AE36" i="21"/>
  <c r="W36" i="21"/>
  <c r="P36" i="21"/>
  <c r="AI33" i="21"/>
  <c r="AE33" i="21"/>
  <c r="W33" i="21"/>
  <c r="P33" i="21"/>
  <c r="AI30" i="21"/>
  <c r="AE30" i="21"/>
  <c r="W30" i="21"/>
  <c r="P30" i="21"/>
  <c r="AI27" i="21"/>
  <c r="AE27" i="21"/>
  <c r="X27" i="21"/>
  <c r="W27" i="21"/>
  <c r="R27" i="21"/>
  <c r="P27" i="21"/>
  <c r="AI24" i="21"/>
  <c r="AE24" i="21"/>
  <c r="X24" i="21"/>
  <c r="W24" i="21"/>
  <c r="R24" i="21"/>
  <c r="P24" i="21"/>
  <c r="AI21" i="21"/>
  <c r="AE21" i="21"/>
  <c r="X21" i="21"/>
  <c r="P21" i="21"/>
  <c r="AI18" i="21"/>
  <c r="AE18" i="21"/>
  <c r="X18" i="21"/>
  <c r="P18" i="21"/>
  <c r="AI15" i="21"/>
  <c r="AE15" i="21"/>
  <c r="X15" i="21"/>
  <c r="W15" i="21"/>
  <c r="P15" i="21"/>
  <c r="AI12" i="21"/>
  <c r="AE12" i="21"/>
  <c r="W12" i="21"/>
  <c r="P12" i="21"/>
  <c r="AI9" i="21"/>
  <c r="AE9" i="21"/>
  <c r="X9" i="21"/>
  <c r="W9" i="21"/>
  <c r="P9" i="21"/>
  <c r="AI6" i="21"/>
  <c r="AE6" i="21"/>
  <c r="W6" i="21"/>
  <c r="R6" i="21"/>
  <c r="P6" i="21"/>
  <c r="K8" i="21"/>
  <c r="I7" i="21"/>
  <c r="H7" i="21"/>
  <c r="I6" i="21"/>
  <c r="H6" i="21"/>
  <c r="D359" i="21"/>
  <c r="D355" i="21" s="1"/>
  <c r="D351" i="21" s="1"/>
  <c r="D358" i="21"/>
  <c r="D354" i="21" s="1"/>
  <c r="D350" i="21" s="1"/>
  <c r="D357" i="21"/>
  <c r="D353" i="21" s="1"/>
  <c r="D356" i="21"/>
  <c r="D352" i="21" s="1"/>
  <c r="B15" i="21"/>
  <c r="B12" i="21"/>
  <c r="B9" i="21"/>
  <c r="B6" i="21"/>
  <c r="C15" i="21"/>
  <c r="C12" i="21"/>
  <c r="C9" i="21"/>
  <c r="C6" i="21"/>
  <c r="F264" i="21" l="1"/>
  <c r="H264" i="21"/>
  <c r="F265" i="21"/>
  <c r="W264" i="21"/>
  <c r="H265" i="21"/>
  <c r="P264" i="21"/>
  <c r="AE264" i="21"/>
  <c r="G30" i="21"/>
  <c r="G40" i="21"/>
  <c r="G25" i="21"/>
  <c r="G31" i="21"/>
  <c r="G42" i="21"/>
  <c r="G37" i="21"/>
  <c r="G24" i="21"/>
  <c r="G43" i="21"/>
  <c r="G39" i="21"/>
  <c r="G36" i="21"/>
  <c r="G9" i="21"/>
  <c r="G28" i="21"/>
  <c r="G33" i="21"/>
  <c r="G15" i="21"/>
  <c r="G27" i="21"/>
  <c r="G7" i="21"/>
  <c r="G34" i="21"/>
  <c r="G55" i="25"/>
  <c r="G59" i="25" s="1"/>
  <c r="G63" i="25" s="1"/>
  <c r="G50" i="25"/>
  <c r="J25" i="28"/>
  <c r="H25" i="28" s="1"/>
  <c r="F9" i="28" s="1"/>
  <c r="E9" i="28" s="1"/>
  <c r="K89" i="25"/>
  <c r="Q11" i="25"/>
  <c r="K46" i="25"/>
  <c r="N89" i="25"/>
  <c r="Q5" i="26"/>
  <c r="N15" i="25" s="1"/>
  <c r="L15" i="26"/>
  <c r="Q15" i="26"/>
  <c r="T5" i="26"/>
  <c r="S15" i="26"/>
  <c r="Q46" i="25"/>
  <c r="T15" i="26"/>
  <c r="R15" i="26"/>
  <c r="Q89" i="25"/>
  <c r="K119" i="25"/>
  <c r="O15" i="26"/>
  <c r="P5" i="26"/>
  <c r="K15" i="25" s="1"/>
  <c r="R6" i="26"/>
  <c r="Q23" i="25"/>
  <c r="P6" i="26"/>
  <c r="K19" i="25" s="1"/>
  <c r="K11" i="25"/>
  <c r="Q29" i="25"/>
  <c r="K23" i="25"/>
  <c r="N23" i="25"/>
  <c r="Q74" i="25"/>
  <c r="N74" i="25"/>
  <c r="T39" i="21"/>
  <c r="Y33" i="21"/>
  <c r="Q26" i="25"/>
  <c r="P15" i="26"/>
  <c r="K74" i="25"/>
  <c r="Q6" i="26"/>
  <c r="N11" i="25"/>
  <c r="Y39" i="21"/>
  <c r="K7" i="25"/>
  <c r="S5" i="26"/>
  <c r="Q7" i="25"/>
  <c r="N29" i="25"/>
  <c r="S6" i="26"/>
  <c r="Q19" i="25" s="1"/>
  <c r="N7" i="25"/>
  <c r="K124" i="25"/>
  <c r="K125" i="25"/>
  <c r="K123" i="25"/>
  <c r="K29" i="25"/>
  <c r="K118" i="25"/>
  <c r="G265" i="21" l="1"/>
  <c r="G264" i="21"/>
  <c r="G54" i="25"/>
  <c r="G58" i="25" s="1"/>
  <c r="G62" i="25" s="1"/>
  <c r="D9" i="28"/>
  <c r="C9" i="28" s="1"/>
  <c r="R16" i="26"/>
  <c r="Q15" i="25"/>
  <c r="N46" i="25"/>
  <c r="T16" i="26"/>
  <c r="Q16" i="26"/>
  <c r="O16" i="26"/>
  <c r="S16" i="26"/>
  <c r="L16" i="26"/>
  <c r="G52" i="25"/>
  <c r="K26" i="25"/>
  <c r="K120" i="25"/>
  <c r="N19" i="25"/>
  <c r="N26" i="25"/>
  <c r="P16" i="26"/>
  <c r="K39" i="25"/>
  <c r="K126" i="25"/>
  <c r="R17" i="26" l="1"/>
  <c r="Q50" i="25"/>
  <c r="Q17" i="26"/>
  <c r="S17" i="26"/>
  <c r="L17" i="26"/>
  <c r="O17" i="26"/>
  <c r="T17" i="26"/>
  <c r="Q39" i="25"/>
  <c r="N50" i="25"/>
  <c r="P17" i="26"/>
  <c r="N39" i="25"/>
  <c r="R18" i="26" l="1"/>
  <c r="L18" i="26"/>
  <c r="O18" i="26"/>
  <c r="S18" i="26"/>
  <c r="T18" i="26"/>
  <c r="Q18" i="26"/>
  <c r="P18" i="26"/>
  <c r="K50" i="25"/>
  <c r="R19" i="26" l="1"/>
  <c r="T19" i="26"/>
  <c r="O19" i="26"/>
  <c r="Q19" i="26"/>
  <c r="S19" i="26"/>
  <c r="G64" i="25"/>
  <c r="L19" i="26"/>
  <c r="R20" i="26"/>
  <c r="P19" i="26"/>
  <c r="S20" i="26" l="1"/>
  <c r="K66" i="25"/>
  <c r="O20" i="26"/>
  <c r="G68" i="25"/>
  <c r="L20" i="26"/>
  <c r="N66" i="25"/>
  <c r="Q20" i="26"/>
  <c r="T20" i="26"/>
  <c r="N62" i="25"/>
  <c r="P20" i="26"/>
  <c r="Q62" i="25" l="1"/>
  <c r="Q70" i="25"/>
  <c r="K62" i="25"/>
  <c r="K70" i="25"/>
  <c r="Q66" i="25"/>
  <c r="N70" i="25"/>
  <c r="A6" i="27"/>
  <c r="J7" i="35"/>
  <c r="K40" i="35"/>
  <c r="L7" i="35"/>
  <c r="M13" i="35"/>
  <c r="O13" i="35"/>
  <c r="N7" i="35"/>
  <c r="M16" i="35"/>
  <c r="O16" i="35"/>
  <c r="K61" i="35"/>
  <c r="K118" i="35"/>
  <c r="G46" i="35"/>
  <c r="J112" i="35"/>
  <c r="K73" i="35"/>
  <c r="N28" i="35"/>
  <c r="K16" i="35"/>
  <c r="M46" i="35"/>
  <c r="K64" i="35"/>
  <c r="M112" i="35"/>
  <c r="M61" i="35"/>
  <c r="M52" i="35"/>
  <c r="M25" i="35"/>
  <c r="O25" i="35"/>
  <c r="J52" i="35"/>
  <c r="M55" i="35"/>
  <c r="K70" i="35"/>
  <c r="J76" i="35"/>
  <c r="L25" i="35"/>
  <c r="G38" i="35"/>
  <c r="L28" i="36"/>
  <c r="M28" i="35"/>
  <c r="O28" i="35"/>
  <c r="K46" i="35"/>
  <c r="G76" i="35"/>
  <c r="J7" i="36"/>
  <c r="K49" i="35"/>
  <c r="G40" i="35"/>
  <c r="J37" i="35"/>
  <c r="J19" i="35"/>
  <c r="J67" i="35"/>
  <c r="L28" i="35"/>
  <c r="K55" i="35"/>
  <c r="M67" i="35"/>
  <c r="K22" i="35"/>
  <c r="L49" i="35"/>
  <c r="G28" i="35"/>
  <c r="G22" i="35"/>
  <c r="G37" i="35"/>
  <c r="G73" i="35"/>
  <c r="G25" i="35"/>
  <c r="L43" i="35"/>
  <c r="K10" i="35"/>
  <c r="G13" i="35"/>
  <c r="M31" i="35"/>
  <c r="J28" i="35"/>
  <c r="M76" i="35"/>
  <c r="G41" i="35"/>
  <c r="N22" i="35"/>
  <c r="K51" i="36"/>
  <c r="G49" i="35"/>
  <c r="K67" i="35"/>
  <c r="K34" i="35"/>
  <c r="G10" i="35"/>
  <c r="L10" i="35"/>
  <c r="K115" i="35"/>
  <c r="M49" i="35"/>
  <c r="J22" i="35"/>
  <c r="L52" i="35"/>
  <c r="L46" i="35"/>
  <c r="L55" i="35"/>
  <c r="L70" i="35"/>
  <c r="J32" i="36"/>
  <c r="M51" i="36"/>
  <c r="L19" i="35"/>
  <c r="L61" i="35"/>
  <c r="J73" i="35"/>
  <c r="G19" i="35"/>
  <c r="G8" i="35"/>
  <c r="M7" i="35"/>
  <c r="O10" i="35"/>
  <c r="M10" i="35"/>
  <c r="J55" i="35"/>
  <c r="M73" i="35"/>
  <c r="G109" i="35"/>
  <c r="M109" i="35"/>
  <c r="M66" i="36"/>
  <c r="K47" i="36"/>
  <c r="K43" i="35"/>
  <c r="G55" i="35"/>
  <c r="K25" i="35"/>
  <c r="G7" i="35"/>
  <c r="G61" i="35"/>
  <c r="K7" i="35"/>
  <c r="M34" i="35"/>
  <c r="K37" i="35"/>
  <c r="L112" i="35"/>
  <c r="J61" i="35"/>
  <c r="G11" i="35"/>
  <c r="J118" i="35"/>
  <c r="J58" i="35"/>
  <c r="G47" i="35"/>
  <c r="M81" i="36"/>
  <c r="M22" i="35"/>
  <c r="O22" i="35"/>
  <c r="L22" i="35"/>
  <c r="G31" i="35"/>
  <c r="J49" i="35"/>
  <c r="K112" i="35"/>
  <c r="G16" i="35"/>
  <c r="K109" i="35"/>
  <c r="M40" i="35"/>
  <c r="M64" i="35"/>
  <c r="M70" i="35"/>
  <c r="L73" i="35"/>
  <c r="L118" i="35"/>
  <c r="O7" i="35"/>
  <c r="L58" i="35"/>
  <c r="K28" i="35"/>
  <c r="M58" i="35"/>
  <c r="J81" i="37"/>
  <c r="L109" i="35"/>
  <c r="G58" i="35"/>
  <c r="G70" i="35"/>
  <c r="K13" i="35"/>
  <c r="K58" i="35"/>
  <c r="M43" i="35"/>
  <c r="O19" i="35"/>
  <c r="M19" i="35"/>
  <c r="G34" i="35"/>
  <c r="G115" i="35"/>
  <c r="J46" i="35"/>
  <c r="G59" i="35"/>
  <c r="G53" i="35"/>
  <c r="G64" i="35"/>
  <c r="G74" i="35"/>
  <c r="K66" i="36"/>
  <c r="L55" i="37"/>
  <c r="J70" i="37"/>
  <c r="K70" i="36"/>
  <c r="K19" i="35"/>
  <c r="G119" i="35"/>
  <c r="J34" i="35"/>
  <c r="J13" i="36"/>
  <c r="J62" i="36"/>
  <c r="K52" i="35"/>
  <c r="L81" i="37"/>
  <c r="K31" i="35"/>
  <c r="M70" i="37"/>
  <c r="M59" i="37"/>
  <c r="J55" i="37"/>
  <c r="K66" i="37"/>
  <c r="L31" i="35"/>
  <c r="L25" i="36"/>
  <c r="J10" i="35"/>
  <c r="M118" i="35"/>
  <c r="K13" i="36"/>
  <c r="L66" i="36"/>
  <c r="K81" i="37"/>
  <c r="J55" i="36"/>
  <c r="M28" i="36"/>
  <c r="G68" i="35"/>
  <c r="K28" i="36"/>
  <c r="M36" i="36"/>
  <c r="L16" i="35"/>
  <c r="G77" i="35"/>
  <c r="J115" i="35"/>
  <c r="J51" i="36"/>
  <c r="J73" i="36"/>
  <c r="L76" i="35"/>
  <c r="G14" i="35"/>
  <c r="L85" i="36"/>
  <c r="J13" i="35"/>
  <c r="G32" i="35"/>
  <c r="K51" i="37"/>
  <c r="M13" i="36"/>
  <c r="K14" i="37"/>
  <c r="J16" i="35"/>
  <c r="J70" i="35"/>
  <c r="M73" i="36"/>
  <c r="L85" i="37"/>
  <c r="J40" i="35"/>
  <c r="G17" i="35"/>
  <c r="J66" i="36"/>
  <c r="J43" i="36"/>
  <c r="G23" i="35"/>
  <c r="L36" i="36"/>
  <c r="J28" i="36"/>
  <c r="K25" i="36"/>
  <c r="N25" i="35"/>
  <c r="L66" i="37"/>
  <c r="M55" i="36"/>
  <c r="N10" i="35"/>
  <c r="L10" i="36"/>
  <c r="K73" i="36"/>
  <c r="J51" i="37"/>
  <c r="M44" i="37"/>
  <c r="G67" i="35"/>
  <c r="K89" i="37"/>
  <c r="M81" i="37"/>
  <c r="K70" i="37"/>
  <c r="L59" i="37"/>
  <c r="K36" i="36"/>
  <c r="J25" i="35"/>
  <c r="J77" i="37"/>
  <c r="G116" i="35"/>
  <c r="L43" i="36"/>
  <c r="G52" i="35"/>
  <c r="G20" i="35"/>
  <c r="M58" i="36"/>
  <c r="J85" i="36"/>
  <c r="L67" i="35"/>
  <c r="K36" i="37"/>
  <c r="J31" i="35"/>
  <c r="M17" i="37"/>
  <c r="J21" i="36"/>
  <c r="J109" i="35"/>
  <c r="L13" i="35"/>
  <c r="G26" i="35"/>
  <c r="J40" i="36"/>
  <c r="L34" i="35"/>
  <c r="G65" i="35"/>
  <c r="L70" i="37"/>
  <c r="J40" i="37"/>
  <c r="L40" i="35"/>
  <c r="G56" i="35"/>
  <c r="M40" i="37"/>
  <c r="M21" i="36"/>
  <c r="K40" i="36"/>
  <c r="G110" i="35"/>
  <c r="G62" i="35"/>
  <c r="L21" i="36"/>
  <c r="K40" i="37"/>
  <c r="K17" i="36"/>
  <c r="J43" i="35"/>
  <c r="K77" i="37"/>
  <c r="L64" i="35"/>
  <c r="G35" i="35"/>
  <c r="J47" i="37"/>
  <c r="L77" i="37"/>
  <c r="J70" i="36"/>
  <c r="K76" i="35"/>
  <c r="L7" i="36"/>
  <c r="J10" i="36"/>
  <c r="J17" i="36"/>
  <c r="G112" i="35"/>
  <c r="N13" i="35"/>
  <c r="L58" i="36"/>
  <c r="J25" i="36"/>
  <c r="L37" i="35"/>
  <c r="M37" i="35"/>
  <c r="L81" i="36"/>
  <c r="J89" i="37"/>
  <c r="N19" i="35"/>
  <c r="K43" i="36"/>
  <c r="M43" i="36"/>
  <c r="J64" i="35"/>
  <c r="G29" i="35"/>
  <c r="M89" i="37"/>
  <c r="K44" i="37"/>
  <c r="K62" i="37"/>
  <c r="G118" i="35"/>
  <c r="J47" i="36"/>
  <c r="J85" i="37"/>
  <c r="M25" i="37"/>
  <c r="K85" i="36"/>
  <c r="J21" i="37"/>
  <c r="L89" i="37"/>
  <c r="J36" i="36"/>
  <c r="M77" i="36"/>
  <c r="L44" i="37"/>
  <c r="J59" i="37"/>
  <c r="L25" i="37"/>
  <c r="M62" i="37"/>
  <c r="M32" i="36"/>
  <c r="L29" i="37"/>
  <c r="K58" i="36"/>
  <c r="J74" i="37"/>
  <c r="L14" i="37"/>
  <c r="M47" i="36"/>
  <c r="J14" i="37"/>
  <c r="G44" i="35"/>
  <c r="K10" i="36"/>
  <c r="L13" i="36"/>
  <c r="K77" i="36"/>
  <c r="K7" i="36"/>
  <c r="K25" i="37"/>
  <c r="M7" i="36"/>
  <c r="M70" i="36"/>
  <c r="M14" i="37"/>
  <c r="L47" i="36"/>
  <c r="M36" i="37"/>
  <c r="L115" i="35"/>
  <c r="L74" i="37"/>
  <c r="M25" i="36"/>
  <c r="M32" i="37"/>
  <c r="M77" i="37"/>
  <c r="J29" i="37"/>
  <c r="K55" i="37"/>
  <c r="L70" i="36"/>
  <c r="L17" i="37"/>
  <c r="G50" i="35"/>
  <c r="M55" i="37"/>
  <c r="K55" i="36"/>
  <c r="L17" i="36"/>
  <c r="K21" i="36"/>
  <c r="L73" i="36"/>
  <c r="K62" i="36"/>
  <c r="L51" i="37"/>
  <c r="M29" i="37"/>
  <c r="M10" i="36"/>
  <c r="J32" i="37"/>
  <c r="M62" i="36"/>
  <c r="K29" i="37"/>
  <c r="J66" i="37"/>
  <c r="L40" i="36"/>
  <c r="K47" i="37"/>
  <c r="N16" i="35"/>
  <c r="M74" i="37"/>
  <c r="L62" i="37"/>
  <c r="K17" i="37"/>
  <c r="J62" i="37"/>
  <c r="M85" i="36"/>
  <c r="K32" i="37"/>
  <c r="M85" i="37"/>
  <c r="L62" i="36"/>
  <c r="M21" i="37"/>
  <c r="G113" i="35"/>
  <c r="K32" i="36"/>
  <c r="J44" i="37"/>
  <c r="J17" i="37"/>
  <c r="J58" i="36"/>
  <c r="M66" i="37"/>
  <c r="G11" i="37"/>
  <c r="G71" i="35"/>
  <c r="K81" i="36"/>
  <c r="L40" i="37"/>
  <c r="L32" i="37"/>
  <c r="L51" i="36"/>
  <c r="L32" i="36"/>
  <c r="M51" i="37"/>
  <c r="G43" i="35"/>
  <c r="J77" i="36"/>
  <c r="K74" i="37"/>
  <c r="L21" i="37"/>
  <c r="K85" i="37"/>
  <c r="M17" i="36"/>
  <c r="L55" i="36"/>
  <c r="J36" i="37"/>
  <c r="M115" i="35"/>
  <c r="L36" i="37"/>
  <c r="L47" i="37"/>
  <c r="K21" i="37"/>
  <c r="K59" i="37"/>
  <c r="M40" i="36"/>
  <c r="J25" i="37"/>
  <c r="J81" i="36"/>
  <c r="M47" i="37"/>
  <c r="L7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Rocco2</author>
    <author>tc={86E7EEE3-6666-4091-94B4-E7C28EFEE40E}</author>
    <author>TIMES Portugal</author>
    <author>tc={65C17E70-0262-46E2-9C63-A680FFEB0C44}</author>
    <author>tc={174DA295-633A-47ED-9170-4B6AA76A8E3D}</author>
    <author>tc={C71348BF-1DB3-4770-A648-59323924D460}</author>
    <author>tc={9FB27F18-C0C4-49AC-B29C-0AA7953B0C9F}</author>
  </authors>
  <commentList>
    <comment ref="K26" authorId="0" shapeId="0" xr:uid="{00000000-0006-0000-0000-000001000000}">
      <text>
        <r>
          <rPr>
            <b/>
            <sz val="9"/>
            <color indexed="81"/>
            <rFont val="Tahoma"/>
            <family val="2"/>
          </rPr>
          <t>Rocco2:</t>
        </r>
        <r>
          <rPr>
            <sz val="9"/>
            <color indexed="81"/>
            <rFont val="Tahoma"/>
            <family val="2"/>
          </rPr>
          <t xml:space="preserve">
kt (input)
PJ (output)</t>
        </r>
      </text>
    </comment>
    <comment ref="L30" authorId="1" shapeId="0" xr:uid="{86E7EEE3-6666-4091-94B4-E7C28EFEE40E}">
      <text>
        <t>[Threaded comment]
Your version of Excel allows you to read this threaded comment; however, any edits to it will get removed if the file is opened in a newer version of Excel. Learn more: https://go.microsoft.com/fwlink/?linkid=870924
Comment:
    Source: Development of Water Electrolysis in the European
Union, Final Report
eff
2020: 64%
2030: 69%
2050: 74%</t>
      </text>
    </comment>
    <comment ref="W30" authorId="2" shapeId="0" xr:uid="{53EEE815-9598-4798-A579-5E0E089642CE}">
      <text>
        <r>
          <rPr>
            <b/>
            <sz val="9"/>
            <color indexed="81"/>
            <rFont val="Tahoma"/>
            <charset val="1"/>
          </rPr>
          <t>TIMES Portugal:</t>
        </r>
        <r>
          <rPr>
            <sz val="9"/>
            <color indexed="81"/>
            <rFont val="Tahoma"/>
            <charset val="1"/>
          </rPr>
          <t xml:space="preserve">
Large size é 10% mais barato que medium</t>
        </r>
      </text>
    </comment>
    <comment ref="E33" authorId="3" shapeId="0" xr:uid="{65C17E70-0262-46E2-9C63-A680FFEB0C44}">
      <text>
        <t>[Threaded comment]
Your version of Excel allows you to read this threaded comment; however, any edits to it will get removed if the file is opened in a newer version of Excel. Learn more: https://go.microsoft.com/fwlink/?linkid=870924
Comment:
    =median of onshore fields is 20MW</t>
      </text>
    </comment>
    <comment ref="X37" authorId="4" shapeId="0" xr:uid="{174DA295-633A-47ED-9170-4B6AA76A8E3D}">
      <text>
        <t>[Threaded comment]
Your version of Excel allows you to read this threaded comment; however, any edits to it will get removed if the file is opened in a newer version of Excel. Learn more: https://go.microsoft.com/fwlink/?linkid=870924
Comment:
    IEA, doláres de 2017 para Euros 2000</t>
      </text>
    </comment>
    <comment ref="Z37" authorId="5" shapeId="0" xr:uid="{C71348BF-1DB3-4770-A648-59323924D460}">
      <text>
        <t>[Threaded comment]
Your version of Excel allows you to read this threaded comment; however, any edits to it will get removed if the file is opened in a newer version of Excel. Learn more: https://go.microsoft.com/fwlink/?linkid=870924
Comment:
    IEA, doláres de 2017 para Euros 2000</t>
      </text>
    </comment>
    <comment ref="AA37" authorId="6" shapeId="0" xr:uid="{9FB27F18-C0C4-49AC-B29C-0AA7953B0C9F}">
      <text>
        <t>[Threaded comment]
Your version of Excel allows you to read this threaded comment; however, any edits to it will get removed if the file is opened in a newer version of Excel. Learn more: https://go.microsoft.com/fwlink/?linkid=870924
Comment:
    IEA, doláres de 2017 para Euros 2000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I14" authorId="0" shapeId="0" xr:uid="{00000000-0006-0000-0200-000001000000}">
      <text>
        <r>
          <rPr>
            <b/>
            <sz val="9"/>
            <color indexed="81"/>
            <rFont val="Tahoma"/>
            <family val="2"/>
          </rPr>
          <t>Alessandro Chiodi:</t>
        </r>
        <r>
          <rPr>
            <sz val="9"/>
            <color indexed="81"/>
            <rFont val="Tahoma"/>
            <family val="2"/>
          </rPr>
          <t xml:space="preserve">
For Blending with Natural Gas</t>
        </r>
      </text>
    </comment>
    <comment ref="I15" authorId="0" shapeId="0" xr:uid="{00000000-0006-0000-0200-000002000000}">
      <text>
        <r>
          <rPr>
            <b/>
            <sz val="9"/>
            <color indexed="81"/>
            <rFont val="Tahoma"/>
            <family val="2"/>
          </rPr>
          <t>Alessandro Chiodi:</t>
        </r>
        <r>
          <rPr>
            <sz val="9"/>
            <color indexed="81"/>
            <rFont val="Tahoma"/>
            <family val="2"/>
          </rPr>
          <t xml:space="preserve">
For Blending with Natural Gas</t>
        </r>
      </text>
    </comment>
    <comment ref="I16" authorId="0" shapeId="0" xr:uid="{00000000-0006-0000-0200-000003000000}">
      <text>
        <r>
          <rPr>
            <b/>
            <sz val="9"/>
            <color indexed="81"/>
            <rFont val="Tahoma"/>
            <family val="2"/>
          </rPr>
          <t>Alessandro Chiodi:</t>
        </r>
        <r>
          <rPr>
            <sz val="9"/>
            <color indexed="81"/>
            <rFont val="Tahoma"/>
            <family val="2"/>
          </rPr>
          <t xml:space="preserve">
For Blending with Natural Gas</t>
        </r>
      </text>
    </comment>
    <comment ref="I17" authorId="0" shapeId="0" xr:uid="{00000000-0006-0000-0200-000004000000}">
      <text>
        <r>
          <rPr>
            <b/>
            <sz val="9"/>
            <color indexed="81"/>
            <rFont val="Tahoma"/>
            <family val="2"/>
          </rPr>
          <t>Alessandro Chiodi:</t>
        </r>
        <r>
          <rPr>
            <sz val="9"/>
            <color indexed="81"/>
            <rFont val="Tahoma"/>
            <family val="2"/>
          </rPr>
          <t xml:space="preserve">
For Blending with Natural Gas</t>
        </r>
      </text>
    </comment>
    <comment ref="I18" authorId="0" shapeId="0" xr:uid="{00000000-0006-0000-0200-000005000000}">
      <text>
        <r>
          <rPr>
            <b/>
            <sz val="9"/>
            <color indexed="81"/>
            <rFont val="Tahoma"/>
            <family val="2"/>
          </rPr>
          <t>Alessandro Chiodi:</t>
        </r>
        <r>
          <rPr>
            <sz val="9"/>
            <color indexed="81"/>
            <rFont val="Tahoma"/>
            <family val="2"/>
          </rPr>
          <t xml:space="preserve">
For Blending with Natural Gas</t>
        </r>
      </text>
    </comment>
    <comment ref="I19" authorId="0" shapeId="0" xr:uid="{00000000-0006-0000-0200-000006000000}">
      <text>
        <r>
          <rPr>
            <b/>
            <sz val="9"/>
            <color indexed="81"/>
            <rFont val="Tahoma"/>
            <family val="2"/>
          </rPr>
          <t>Alessandro Chiodi:</t>
        </r>
        <r>
          <rPr>
            <sz val="9"/>
            <color indexed="81"/>
            <rFont val="Tahoma"/>
            <family val="2"/>
          </rPr>
          <t xml:space="preserve">
For Blending with Natural Gas</t>
        </r>
      </text>
    </comment>
    <comment ref="I20" authorId="0" shapeId="0" xr:uid="{00000000-0006-0000-0200-000007000000}">
      <text>
        <r>
          <rPr>
            <b/>
            <sz val="9"/>
            <color indexed="81"/>
            <rFont val="Tahoma"/>
            <family val="2"/>
          </rPr>
          <t>Alessandro Chiodi:</t>
        </r>
        <r>
          <rPr>
            <sz val="9"/>
            <color indexed="81"/>
            <rFont val="Tahoma"/>
            <family val="2"/>
          </rPr>
          <t xml:space="preserve">
For Blending with Natural Gas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tc={B7304B05-C2EF-4FA7-860E-E0C2EE3B2E3A}</author>
    <author>tc={712A7DA5-E7AA-4CE0-8F0F-738685F94261}</author>
    <author>Maurizio Gargiulo</author>
  </authors>
  <commentList>
    <comment ref="I75" authorId="0" shapeId="0" xr:uid="{B7304B05-C2EF-4FA7-860E-E0C2EE3B2E3A}">
      <text>
        <t>[Threaded comment]
Your version of Excel allows you to read this threaded comment; however, any edits to it will get removed if the file is opened in a newer version of Excel. Learn more: https://go.microsoft.com/fwlink/?linkid=870924
Comment:
    De 30 para 80 bar: 0,018 PJ/PJ</t>
      </text>
    </comment>
    <comment ref="F296" authorId="1" shapeId="0" xr:uid="{712A7DA5-E7AA-4CE0-8F0F-738685F94261}">
      <text>
        <t>[Threaded comment]
Your version of Excel allows you to read this threaded comment; however, any edits to it will get removed if the file is opened in a newer version of Excel. Learn more: https://go.microsoft.com/fwlink/?linkid=870924
Comment:
    0.018 está associado à compressão de 30 para 80bar</t>
      </text>
    </comment>
    <comment ref="G344" authorId="2" shapeId="0" xr:uid="{00000000-0006-0000-0300-00000100000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344" authorId="2" shapeId="0" xr:uid="{00000000-0006-0000-0300-00000200000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345" authorId="2" shapeId="0" xr:uid="{00000000-0006-0000-0300-00000300000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F37" authorId="0" shapeId="0" xr:uid="{85788060-D8D6-4FB1-B6EE-074D86AD2541}">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38" authorId="0" shapeId="0" xr:uid="{70B28CC3-8A46-40AB-8586-4C56B60A671B}">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F32" authorId="0" shapeId="0" xr:uid="{00000000-0006-0000-0400-00000100000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H32" authorId="0" shapeId="0" xr:uid="{00000000-0006-0000-0400-00000200000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33" authorId="0" shapeId="0" xr:uid="{00000000-0006-0000-0400-00000300000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tc={F09D59D2-BDC0-4880-91FE-4D6DB1006BF3}</author>
    <author>tc={3D480A48-99BA-4AEC-AF9B-DE5550B297BA}</author>
    <author>tc={5F7F2FBA-8138-4D6F-BFDF-989A926822FB}</author>
    <author>tc={F9E27CC6-A02C-4747-8C90-5C11D60817A7}</author>
    <author>Maurizio Gargiulo</author>
    <author>Herib Blanco</author>
  </authors>
  <commentList>
    <comment ref="V39" authorId="0" shapeId="0" xr:uid="{F09D59D2-BDC0-4880-91FE-4D6DB1006BF3}">
      <text>
        <t>[Threaded comment]
Your version of Excel allows you to read this threaded comment; however, any edits to it will get removed if the file is opened in a newer version of Excel. Learn more: https://go.microsoft.com/fwlink/?linkid=870924
Comment:
    Foi considerado 50 porque 30 e 35 anos parece muito pouco</t>
      </text>
    </comment>
    <comment ref="O51" authorId="1" shapeId="0" xr:uid="{3D480A48-99BA-4AEC-AF9B-DE5550B297BA}">
      <text>
        <t>[Threaded comment]
Your version of Excel allows you to read this threaded comment; however, any edits to it will get removed if the file is opened in a newer version of Excel. Learn more: https://go.microsoft.com/fwlink/?linkid=870924
Comment:
    12% do truck + 2% do trailer assumindo que o truck tem um capex 185 e o trailer 650. IEA the future of H2, 2019</t>
      </text>
    </comment>
    <comment ref="S51" authorId="2" shapeId="0" xr:uid="{5F7F2FBA-8138-4D6F-BFDF-989A926822FB}">
      <text>
        <t>[Threaded comment]
Your version of Excel allows you to read this threaded comment; however, any edits to it will get removed if the file is opened in a newer version of Excel. Learn more: https://go.microsoft.com/fwlink/?linkid=870924
Comment:
    45% como o Paul Dodds</t>
      </text>
    </comment>
    <comment ref="S128" authorId="3" shapeId="0" xr:uid="{F9E27CC6-A02C-4747-8C90-5C11D60817A7}">
      <text>
        <t>[Threaded comment]
Your version of Excel allows you to read this threaded comment; however, any edits to it will get removed if the file is opened in a newer version of Excel. Learn more: https://go.microsoft.com/fwlink/?linkid=870924
Comment:
    86% distribution costs, 0.022 €/GJ I6 and 0.69 deflator pib</t>
      </text>
    </comment>
    <comment ref="G156" authorId="4" shapeId="0" xr:uid="{7C1F9160-67A4-4811-AC03-F9D2AFE6A546}">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B157" authorId="4" shapeId="0" xr:uid="{141F2632-9BB1-4774-8343-1FDE05CD9715}">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 ref="O160" authorId="5" shapeId="0" xr:uid="{C89BF2F0-BE52-44C5-9FAE-87A6987D77D6}">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 ref="O164" authorId="5" shapeId="0" xr:uid="{AA80C3A9-ACA7-4904-92BD-C6273D9494B2}">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 ref="O171" authorId="5" shapeId="0" xr:uid="{A5676B13-673C-46C7-9490-9164587D6024}">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 ref="O179" authorId="5" shapeId="0" xr:uid="{C3FC0371-B251-4CB5-95D4-4B2CA7A10D00}">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 ref="O187" authorId="5" shapeId="0" xr:uid="{EF050758-3CB3-418A-A09F-367CCB8A530C}">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Herib Blanco</author>
  </authors>
  <commentList>
    <comment ref="G125" authorId="0" shapeId="0" xr:uid="{7666E2FA-121F-4D8E-BDA3-D86A1DD5E3DE}">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B126" authorId="0" shapeId="0" xr:uid="{47EE38F5-82A6-460D-B17A-DD702285A31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 ref="M135" authorId="1" shapeId="0" xr:uid="{E278024A-F14C-4444-BDC3-B2EE1528E9C8}">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Herib Blanco</author>
  </authors>
  <commentList>
    <comment ref="F95" authorId="0" shapeId="0" xr:uid="{F4D2B110-BEE0-4EDA-B114-373090E526BA}">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96" authorId="0" shapeId="0" xr:uid="{242D30A0-B605-4FBA-BD9C-12F360E03144}">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 ref="M105" authorId="1" shapeId="0" xr:uid="{B9E0240A-5A71-4BB3-8BD6-376022DF2E6D}">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Maurizio Gargiulo</author>
    <author>Herib Blanco</author>
  </authors>
  <commentList>
    <comment ref="F91" authorId="0" shapeId="0" xr:uid="{E074C689-8985-4410-B562-488C4CD787CB}">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92" authorId="0" shapeId="0" xr:uid="{5BD685C6-0B7B-4073-A32A-3339A9D9FC6D}">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 ref="M101" authorId="1" shapeId="0" xr:uid="{4B930560-A7C6-4A22-B4BF-6815BF9CD178}">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Maurizio Gargiulo</author>
    <author>Herib Blanco</author>
  </authors>
  <commentList>
    <comment ref="F103" authorId="0" shapeId="0" xr:uid="{45260BFC-7F68-4602-B917-3EE5131ED9AE}">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104" authorId="0" shapeId="0" xr:uid="{AEBCD461-8861-4B7A-84D7-5675D9F85FC7}">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 ref="M113" authorId="1" shapeId="0" xr:uid="{1FAC7AB7-702C-43A8-9022-F8D122262FD3}">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tc={2CECA4F9-FD69-4F00-9346-0B4F6CA63499}</author>
    <author>tc={A800C78D-52AC-4D61-8F61-B64A6BF8A18B}</author>
    <author>tc={CAD12870-3ED2-4C0F-AC42-F535AE66B39F}</author>
    <author>tc={9554EEFC-F05D-422A-8B80-B348B1369DD1}</author>
    <author>tc={5DD6A267-69DD-44A6-ADBE-E05FAB2A86EE}</author>
    <author>tc={817DA234-89EB-4B65-8E92-E37B19DFF936}</author>
    <author>tc={E628DEAD-13D5-4268-A593-E5F74543B8E2}</author>
    <author>tc={75673069-4C2C-4FB3-B6C6-F8410BFB06C5}</author>
    <author>tc={FC4A0060-99EC-4AFC-957E-A484F7B97143}</author>
    <author>tc={92940441-EAAB-46B0-9EC0-8F70AF55B4ED}</author>
    <author>tc={8F91DCB0-87A9-4E56-B61F-94C5BC764BD1}</author>
    <author>tc={CCBBA962-A988-485A-A9D6-8A3CCBABD9BD}</author>
    <author>tc={4993D1DF-166A-48AB-82AF-181F97493D26}</author>
    <author>tc={58FC8645-5E50-4FA8-A451-BDDBC964434D}</author>
    <author>tc={708C469A-3ED4-42A7-89FF-CB8CF019F544}</author>
    <author>tc={A2AB81DF-24F0-4B8E-B628-90D0768AD235}</author>
    <author>tc={91BA8727-B2A8-474A-A5FA-A17101593278}</author>
    <author>tc={9CFC0EC4-2334-4543-A718-AF6F1C784106}</author>
    <author>tc={F11C05FC-1F82-44A7-A52C-4FB1B60682AA}</author>
    <author>Hugo Tente</author>
    <author>tc={F6ECE7DD-C6D8-4D4E-B24C-999669470874}</author>
  </authors>
  <commentList>
    <comment ref="D3" authorId="0" shapeId="0" xr:uid="{2CECA4F9-FD69-4F00-9346-0B4F6CA63499}">
      <text>
        <t>[Threaded comment]
Your version of Excel allows you to read this threaded comment; however, any edits to it will get removed if the file is opened in a newer version of Excel. Learn more: https://go.microsoft.com/fwlink/?linkid=870924
Comment:
    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
      </text>
    </comment>
    <comment ref="L3" authorId="1" shapeId="0" xr:uid="{A800C78D-52AC-4D61-8F61-B64A6BF8A18B}">
      <text>
        <t>[Threaded comment]
Your version of Excel allows you to read this threaded comment; however, any edits to it will get removed if the file is opened in a newer version of Excel. Learn more: https://go.microsoft.com/fwlink/?linkid=870924
Comment:
    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
      </text>
    </comment>
    <comment ref="T3" authorId="2" shapeId="0" xr:uid="{CAD12870-3ED2-4C0F-AC42-F535AE66B39F}">
      <text>
        <t>[Threaded comment]
Your version of Excel allows you to read this threaded comment; however, any edits to it will get removed if the file is opened in a newer version of Excel. Learn more: https://go.microsoft.com/fwlink/?linkid=870924
Comment:
    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
      </text>
    </comment>
    <comment ref="X3" authorId="3" shapeId="0" xr:uid="{9554EEFC-F05D-422A-8B80-B348B1369DD1}">
      <text>
        <t>[Threaded comment]
Your version of Excel allows you to read this threaded comment; however, any edits to it will get removed if the file is opened in a newer version of Excel. Learn more: https://go.microsoft.com/fwlink/?linkid=870924
Comment:
    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
      </text>
    </comment>
    <comment ref="AH3" authorId="4" shapeId="0" xr:uid="{5DD6A267-69DD-44A6-ADBE-E05FAB2A86EE}">
      <text>
        <t>[Threaded comment]
Your version of Excel allows you to read this threaded comment; however, any edits to it will get removed if the file is opened in a newer version of Excel. Learn more: https://go.microsoft.com/fwlink/?linkid=870924
Comment:
    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
      </text>
    </comment>
    <comment ref="BJ3" authorId="5" shapeId="0" xr:uid="{817DA234-89EB-4B65-8E92-E37B19DFF936}">
      <text>
        <t>[Threaded comment]
Your version of Excel allows you to read this threaded comment; however, any edits to it will get removed if the file is opened in a newer version of Excel. Learn more: https://go.microsoft.com/fwlink/?linkid=870924
Comment:
    pipeline to transport H2 to storage place and then, pipeline to transport H2 for the distribution.
And about UAG?
We need to see how much is consumed only by pipeline, without road transport</t>
      </text>
    </comment>
    <comment ref="CF3" authorId="6" shapeId="0" xr:uid="{E628DEAD-13D5-4268-A593-E5F74543B8E2}">
      <text>
        <t>[Threaded comment]
Your version of Excel allows you to read this threaded comment; however, any edits to it will get removed if the file is opened in a newer version of Excel. Learn more: https://go.microsoft.com/fwlink/?linkid=870924
Comment:
    pipeline to transport H2 to storage place and then, pipeline to transport H2 for the distribution.
And about UAG?
We need to see how much is consumed only by pipeline, without road transport</t>
      </text>
    </comment>
    <comment ref="EA18" authorId="7" shapeId="0" xr:uid="{75673069-4C2C-4FB3-B6C6-F8410BFB06C5}">
      <text>
        <t>[Threaded comment]
Your version of Excel allows you to read this threaded comment; however, any edits to it will get removed if the file is opened in a newer version of Excel. Learn more: https://go.microsoft.com/fwlink/?linkid=870924
Comment:
    O JRC tem este valor mas parece-nos que uma pipeline estar 30% do tempo em manutenção muito elevado</t>
      </text>
    </comment>
    <comment ref="EW18" authorId="8" shapeId="0" xr:uid="{FC4A0060-99EC-4AFC-957E-A484F7B97143}">
      <text>
        <t>[Threaded comment]
Your version of Excel allows you to read this threaded comment; however, any edits to it will get removed if the file is opened in a newer version of Excel. Learn more: https://go.microsoft.com/fwlink/?linkid=870924
Comment:
    O JRC tem este valor mas parece-nos que uma pipeline estar 30% do tempo em manutenção muito elevado</t>
      </text>
    </comment>
    <comment ref="DS21" authorId="9" shapeId="0" xr:uid="{92940441-EAAB-46B0-9EC0-8F70AF55B4ED}">
      <text>
        <t>[Threaded comment]
Your version of Excel allows you to read this threaded comment; however, any edits to it will get removed if the file is opened in a newer version of Excel. Learn more: https://go.microsoft.com/fwlink/?linkid=870924
Comment:
    Porque é que a rede de H2 tem uma duração maior?</t>
      </text>
    </comment>
    <comment ref="DX21" authorId="10" shapeId="0" xr:uid="{8F91DCB0-87A9-4E56-B61F-94C5BC764BD1}">
      <text>
        <t>[Threaded comment]
Your version of Excel allows you to read this threaded comment; however, any edits to it will get removed if the file is opened in a newer version of Excel. Learn more: https://go.microsoft.com/fwlink/?linkid=870924
Comment:
    Includes compression. Value from JRC model for: compression, distribution and distribution</t>
      </text>
    </comment>
    <comment ref="EO21" authorId="11" shapeId="0" xr:uid="{CCBBA962-A988-485A-A9D6-8A3CCBABD9BD}">
      <text>
        <t>[Threaded comment]
Your version of Excel allows you to read this threaded comment; however, any edits to it will get removed if the file is opened in a newer version of Excel. Learn more: https://go.microsoft.com/fwlink/?linkid=870924
Comment:
    Porque é que a rede de H2 tem uma duração maior?</t>
      </text>
    </comment>
    <comment ref="ET21" authorId="12" shapeId="0" xr:uid="{4993D1DF-166A-48AB-82AF-181F97493D26}">
      <text>
        <t>[Threaded comment]
Your version of Excel allows you to read this threaded comment; however, any edits to it will get removed if the file is opened in a newer version of Excel. Learn more: https://go.microsoft.com/fwlink/?linkid=870924
Comment:
    Includes compression. Value from JRC model for: compression, distribution and distribution</t>
      </text>
    </comment>
    <comment ref="ER22" authorId="13" shapeId="0" xr:uid="{58FC8645-5E50-4FA8-A451-BDDBC964434D}">
      <text>
        <t>[Threaded comment]
Your version of Excel allows you to read this threaded comment; however, any edits to it will get removed if the file is opened in a newer version of Excel. Learn more: https://go.microsoft.com/fwlink/?linkid=870924
Comment:
    O valor a considerar para a compressão da pressão do gasoduto, 80 bar, para um volume fechado (trailer) e que ficará à pressão final de 350 bar é
0,016 PJ/PJ</t>
      </text>
    </comment>
    <comment ref="DX29" authorId="14" shapeId="0" xr:uid="{708C469A-3ED4-42A7-89FF-CB8CF019F544}">
      <text>
        <t>[Threaded comment]
Your version of Excel allows you to read this threaded comment; however, any edits to it will get removed if the file is opened in a newer version of Excel. Learn more: https://go.microsoft.com/fwlink/?linkid=870924
Comment:
    Includes compression. Value from JRC model for: compression, distribution and distribution</t>
      </text>
    </comment>
    <comment ref="DF36" authorId="15" shapeId="0" xr:uid="{A2AB81DF-24F0-4B8E-B628-90D0768AD235}">
      <text>
        <t>[Threaded comment]
Your version of Excel allows you to read this threaded comment; however, any edits to it will get removed if the file is opened in a newer version of Excel. Learn more: https://go.microsoft.com/fwlink/?linkid=870924
Comment:
    multiplicação pelo deflator</t>
      </text>
    </comment>
    <comment ref="DX36" authorId="16" shapeId="0" xr:uid="{91BA8727-B2A8-474A-A5FA-A17101593278}">
      <text>
        <t>[Threaded comment]
Your version of Excel allows you to read this threaded comment; however, any edits to it will get removed if the file is opened in a newer version of Excel. Learn more: https://go.microsoft.com/fwlink/?linkid=870924
Comment:
    Liquefaction: A significant amount of electricity is required to liquefy hydrogen via the
liquefaction process, which currently leads to losses of 20% to 45% of the hydrogen energy
content only (Berstad et al., 2013; Cardella et al., 2017; H21 NoE, 2018, p. 21).</t>
      </text>
    </comment>
    <comment ref="ET36" authorId="17" shapeId="0" xr:uid="{9CFC0EC4-2334-4543-A718-AF6F1C784106}">
      <text>
        <t>[Threaded comment]
Your version of Excel allows you to read this threaded comment; however, any edits to it will get removed if the file is opened in a newer version of Excel. Learn more: https://go.microsoft.com/fwlink/?linkid=870924
Comment:
    Liquefaction: A significant amount of electricity is required to liquefy hydrogen via the
liquefaction process, which currently leads to losses of 20% to 45% of the hydrogen energy
content only (Berstad et al., 2013; Cardella et al., 2017; H21 NoE, 2018, p. 21).</t>
      </text>
    </comment>
    <comment ref="DF37" authorId="18" shapeId="0" xr:uid="{F11C05FC-1F82-44A7-A52C-4FB1B60682AA}">
      <text>
        <t>[Threaded comment]
Your version of Excel allows you to read this threaded comment; however, any edits to it will get removed if the file is opened in a newer version of Excel. Learn more: https://go.microsoft.com/fwlink/?linkid=870924
Comment:
    multiplicação pelo deflator</t>
      </text>
    </comment>
    <comment ref="DS38" authorId="19" shapeId="0" xr:uid="{D5492FBE-A830-4B85-8E96-23DD0F084A42}">
      <text>
        <r>
          <rPr>
            <b/>
            <sz val="9"/>
            <color indexed="81"/>
            <rFont val="Tahoma"/>
            <family val="2"/>
          </rPr>
          <t>Hugo Tente:</t>
        </r>
        <r>
          <rPr>
            <sz val="9"/>
            <color indexed="81"/>
            <rFont val="Tahoma"/>
            <family val="2"/>
          </rPr>
          <t xml:space="preserve">
IEA, 2019
The Future of Hydrogen - Assumptions Annex</t>
        </r>
      </text>
    </comment>
    <comment ref="DT38" authorId="19" shapeId="0" xr:uid="{5E5B649A-87AF-44E3-9397-3DE94588E5C7}">
      <text>
        <r>
          <rPr>
            <b/>
            <sz val="9"/>
            <color indexed="81"/>
            <rFont val="Tahoma"/>
            <family val="2"/>
          </rPr>
          <t>Hugo Tente:</t>
        </r>
        <r>
          <rPr>
            <sz val="9"/>
            <color indexed="81"/>
            <rFont val="Tahoma"/>
            <family val="2"/>
          </rPr>
          <t xml:space="preserve">
IEA, 2019
The Future of Hydrogen - Assumptions Annex
0,5% boil-off (perdas por diferenças térmicas)</t>
        </r>
      </text>
    </comment>
    <comment ref="EA38" authorId="19" shapeId="0" xr:uid="{DA5A7061-43D7-4EB9-9ABC-ADF4B51CF1E8}">
      <text>
        <r>
          <rPr>
            <b/>
            <sz val="9"/>
            <color indexed="81"/>
            <rFont val="Tahoma"/>
            <family val="2"/>
          </rPr>
          <t>Hugo Tente:</t>
        </r>
        <r>
          <rPr>
            <sz val="9"/>
            <color indexed="81"/>
            <rFont val="Tahoma"/>
            <family val="2"/>
          </rPr>
          <t xml:space="preserve">
apesar de ter Loading/Unloading times de LH2 3 horas e GH2 1.5 horas, o posto opera sendo abastecido
em simultâneo… Por isso com 1 carregamento diário esta não é uma restrição (posto sempre disponível para abastecer). Depois 99% serão possíveis na Europa já em 2020 (Fuel  Cells  and  Hydrogen 2  Joint  Undertaking, 2020; JIVE D3.24 / JIVE 2 D3.7 Best Practice Report January 2020)</t>
        </r>
      </text>
    </comment>
    <comment ref="EO38" authorId="19" shapeId="0" xr:uid="{FCCFACCB-078F-4EA3-81CD-29085FC69D71}">
      <text>
        <r>
          <rPr>
            <b/>
            <sz val="9"/>
            <color indexed="81"/>
            <rFont val="Tahoma"/>
            <family val="2"/>
          </rPr>
          <t>Hugo Tente:</t>
        </r>
        <r>
          <rPr>
            <sz val="9"/>
            <color indexed="81"/>
            <rFont val="Tahoma"/>
            <family val="2"/>
          </rPr>
          <t xml:space="preserve">
IEA, 2019
The Future of Hydrogen - Assumptions Annex</t>
        </r>
      </text>
    </comment>
    <comment ref="EP38" authorId="19" shapeId="0" xr:uid="{B02D3844-9D4D-4F0A-8952-8A91B8DE5D23}">
      <text>
        <r>
          <rPr>
            <b/>
            <sz val="9"/>
            <color indexed="81"/>
            <rFont val="Tahoma"/>
            <family val="2"/>
          </rPr>
          <t>Hugo Tente:</t>
        </r>
        <r>
          <rPr>
            <sz val="9"/>
            <color indexed="81"/>
            <rFont val="Tahoma"/>
            <family val="2"/>
          </rPr>
          <t xml:space="preserve">
IEA, 2019
The Future of Hydrogen - Assumptions Annex
0,5% boil-off (perdas por diferenças térmicas)</t>
        </r>
      </text>
    </comment>
    <comment ref="EW38" authorId="19" shapeId="0" xr:uid="{0C5CE548-3B83-49A4-9C09-1A41DB133D9B}">
      <text>
        <r>
          <rPr>
            <b/>
            <sz val="9"/>
            <color indexed="81"/>
            <rFont val="Tahoma"/>
            <family val="2"/>
          </rPr>
          <t>Hugo Tente:</t>
        </r>
        <r>
          <rPr>
            <sz val="9"/>
            <color indexed="81"/>
            <rFont val="Tahoma"/>
            <family val="2"/>
          </rPr>
          <t xml:space="preserve">
apesar de ter Loading/Unloading times de LH2 3 horas e GH2 1.5 horas, o posto opera sendo abastecido
em simultâneo… Por isso com 1 carregamento diário esta não é uma restrição (posto sempre disponível para abastecer). Depois 99% serão possíveis na Europa já em 2020 (Fuel  Cells  and  Hydrogen 2  Joint  Undertaking, 2020; JIVE D3.24 / JIVE 2 D3.7 Best Practice Report January 2020)</t>
        </r>
      </text>
    </comment>
    <comment ref="DI39" authorId="19" shapeId="0" xr:uid="{8DE33D6B-B999-4C46-828F-62B59D698D26}">
      <text>
        <r>
          <rPr>
            <b/>
            <sz val="9"/>
            <color indexed="81"/>
            <rFont val="Tahoma"/>
            <family val="2"/>
          </rPr>
          <t>Hugo Tente:</t>
        </r>
        <r>
          <rPr>
            <sz val="9"/>
            <color indexed="81"/>
            <rFont val="Tahoma"/>
            <family val="2"/>
          </rPr>
          <t xml:space="preserve">
IEA, 2019
The Future of Hydrogen - Assumptions Annex</t>
        </r>
      </text>
    </comment>
    <comment ref="DS39" authorId="19" shapeId="0" xr:uid="{006B361E-400B-46AF-881D-03A609C6E84D}">
      <text>
        <r>
          <rPr>
            <b/>
            <sz val="9"/>
            <color indexed="81"/>
            <rFont val="Tahoma"/>
            <family val="2"/>
          </rPr>
          <t>Hugo Tente:</t>
        </r>
        <r>
          <rPr>
            <sz val="9"/>
            <color indexed="81"/>
            <rFont val="Tahoma"/>
            <family val="2"/>
          </rPr>
          <t xml:space="preserve">
IEA, 2019
The Future of Hydrogen - Assumptions Annex dizem 12 mas assume-se 15 (facilidade calculo)</t>
        </r>
      </text>
    </comment>
    <comment ref="DT39" authorId="19" shapeId="0" xr:uid="{13396372-0209-41BA-8100-C655CFCB1445}">
      <text>
        <r>
          <rPr>
            <b/>
            <sz val="9"/>
            <color indexed="81"/>
            <rFont val="Tahoma"/>
            <family val="2"/>
          </rPr>
          <t>Hugo Tente:</t>
        </r>
        <r>
          <rPr>
            <sz val="9"/>
            <color indexed="81"/>
            <rFont val="Tahoma"/>
            <family val="2"/>
          </rPr>
          <t xml:space="preserve">
IEA, 2019
The Future of Hydrogen - Assumptions Annex
0,5% boil-off (perdas por diferenças térmicas)</t>
        </r>
      </text>
    </comment>
    <comment ref="EA39" authorId="19" shapeId="0" xr:uid="{3D831DC3-3249-4367-B114-FB1A38849A35}">
      <text>
        <r>
          <rPr>
            <b/>
            <sz val="9"/>
            <color indexed="81"/>
            <rFont val="Tahoma"/>
            <family val="2"/>
          </rPr>
          <t>Hugo Tente:</t>
        </r>
        <r>
          <rPr>
            <sz val="9"/>
            <color indexed="81"/>
            <rFont val="Tahoma"/>
            <family val="2"/>
          </rPr>
          <t xml:space="preserve">
apesar de ter Loading/Unloading times de LH2 3 horas e GH2 1.5 horas, o posto opera sendo abastecido
em simultâneo… Por isso com 1 carregamento diário esta não é uma restrição (posto sempre disponível para abastecer). Depois 99% serão possíveis na Europa já em 2020 (Fuel  Cells  and  Hydrogen 2  Joint  Undertaking, 2020; JIVE D3.24 / JIVE 2 D3.7 Best Practice Report January 2020)</t>
        </r>
      </text>
    </comment>
    <comment ref="EJ39" authorId="19" shapeId="0" xr:uid="{D3D39119-9F65-4FB1-AD36-E19F6E37225B}">
      <text>
        <r>
          <rPr>
            <b/>
            <sz val="9"/>
            <color indexed="81"/>
            <rFont val="Tahoma"/>
            <family val="2"/>
          </rPr>
          <t>Hugo Tente:</t>
        </r>
        <r>
          <rPr>
            <sz val="9"/>
            <color indexed="81"/>
            <rFont val="Tahoma"/>
            <family val="2"/>
          </rPr>
          <t xml:space="preserve">
IEA, 2019
The Future of Hydrogen - Assumptions Annex</t>
        </r>
      </text>
    </comment>
    <comment ref="EO39" authorId="19" shapeId="0" xr:uid="{1DC910BA-2B25-49A1-B449-3E8DB363C6C8}">
      <text>
        <r>
          <rPr>
            <b/>
            <sz val="9"/>
            <color indexed="81"/>
            <rFont val="Tahoma"/>
            <family val="2"/>
          </rPr>
          <t>Hugo Tente:</t>
        </r>
        <r>
          <rPr>
            <sz val="9"/>
            <color indexed="81"/>
            <rFont val="Tahoma"/>
            <family val="2"/>
          </rPr>
          <t xml:space="preserve">
IEA, 2019
The Future of Hydrogen - Assumptions Annex dizem 12 mas assume-se 15 (facilidade calculo)</t>
        </r>
      </text>
    </comment>
    <comment ref="EP39" authorId="19" shapeId="0" xr:uid="{85D73CF6-DDA6-47BE-ADA1-EE8A3795FF12}">
      <text>
        <r>
          <rPr>
            <b/>
            <sz val="9"/>
            <color indexed="81"/>
            <rFont val="Tahoma"/>
            <family val="2"/>
          </rPr>
          <t>Hugo Tente:</t>
        </r>
        <r>
          <rPr>
            <sz val="9"/>
            <color indexed="81"/>
            <rFont val="Tahoma"/>
            <family val="2"/>
          </rPr>
          <t xml:space="preserve">
IEA, 2019
The Future of Hydrogen - Assumptions Annex
0,5% boil-off (perdas por diferenças térmicas)</t>
        </r>
      </text>
    </comment>
    <comment ref="EW39" authorId="19" shapeId="0" xr:uid="{BA4B9590-F9B3-46E0-B15D-1547B9106294}">
      <text>
        <r>
          <rPr>
            <b/>
            <sz val="9"/>
            <color indexed="81"/>
            <rFont val="Tahoma"/>
            <family val="2"/>
          </rPr>
          <t>Hugo Tente:</t>
        </r>
        <r>
          <rPr>
            <sz val="9"/>
            <color indexed="81"/>
            <rFont val="Tahoma"/>
            <family val="2"/>
          </rPr>
          <t xml:space="preserve">
apesar de ter Loading/Unloading times de LH2 3 horas e GH2 1.5 horas, o posto opera sendo abastecido
em simultâneo… Por isso com 1 carregamento diário esta não é uma restrição (posto sempre disponível para abastecer). Depois 99% serão possíveis na Europa já em 2020 (Fuel  Cells  and  Hydrogen 2  Joint  Undertaking, 2020; JIVE D3.24 / JIVE 2 D3.7 Best Practice Report January 2020)</t>
        </r>
      </text>
    </comment>
    <comment ref="DF40" authorId="19" shapeId="0" xr:uid="{ACA4AD43-9E35-4E12-A6A5-56554616D177}">
      <text>
        <r>
          <rPr>
            <b/>
            <sz val="9"/>
            <color indexed="81"/>
            <rFont val="Tahoma"/>
            <family val="2"/>
          </rPr>
          <t>Hugo Tente:</t>
        </r>
        <r>
          <rPr>
            <sz val="9"/>
            <color indexed="81"/>
            <rFont val="Tahoma"/>
            <family val="2"/>
          </rPr>
          <t xml:space="preserve">
DNV GL, 2019
 "DNV GL (2019) HYDROGEN IN THE  ELECTRICITY VALUE CHAIN". pag 14 PDF e doc. Fala em 50% menos mas tem de se ponderar perdas, passa para 40%</t>
        </r>
      </text>
    </comment>
    <comment ref="DI40" authorId="19" shapeId="0" xr:uid="{A7749B7B-9C66-4CD6-936F-0742B41EE4D1}">
      <text>
        <r>
          <rPr>
            <b/>
            <sz val="9"/>
            <color indexed="81"/>
            <rFont val="Tahoma"/>
            <family val="2"/>
          </rPr>
          <t>Hugo Tente:</t>
        </r>
        <r>
          <rPr>
            <sz val="9"/>
            <color indexed="81"/>
            <rFont val="Tahoma"/>
            <family val="2"/>
          </rPr>
          <t xml:space="preserve">
DNV GL, 2019
o dobro</t>
        </r>
      </text>
    </comment>
    <comment ref="DS40" authorId="19" shapeId="0" xr:uid="{307C0F98-251B-46D6-B223-AB53059C1F9A}">
      <text>
        <r>
          <rPr>
            <b/>
            <sz val="9"/>
            <color indexed="81"/>
            <rFont val="Tahoma"/>
            <family val="2"/>
          </rPr>
          <t>Hugo Tente:</t>
        </r>
        <r>
          <rPr>
            <sz val="9"/>
            <color indexed="81"/>
            <rFont val="Tahoma"/>
            <family val="2"/>
          </rPr>
          <t xml:space="preserve">
IEA, 2019
The Future of Hydrogen - Assumptions Annex</t>
        </r>
      </text>
    </comment>
    <comment ref="DT40" authorId="19" shapeId="0" xr:uid="{94868779-4559-4552-B6A8-EB09061E108B}">
      <text>
        <r>
          <rPr>
            <b/>
            <sz val="9"/>
            <color indexed="81"/>
            <rFont val="Tahoma"/>
            <family val="2"/>
          </rPr>
          <t>Hugo Tente:</t>
        </r>
        <r>
          <rPr>
            <sz val="9"/>
            <color indexed="81"/>
            <rFont val="Tahoma"/>
            <family val="2"/>
          </rPr>
          <t xml:space="preserve">
IEA, 2019
The Future of Hydrogen - Assumptions Annex
3% boil-off LH2 (perdas por diferenças térmicas)</t>
        </r>
      </text>
    </comment>
    <comment ref="EA40" authorId="19" shapeId="0" xr:uid="{B4BFB5FC-1787-472D-9571-8A381FAB062A}">
      <text>
        <r>
          <rPr>
            <b/>
            <sz val="9"/>
            <color indexed="81"/>
            <rFont val="Tahoma"/>
            <family val="2"/>
          </rPr>
          <t>Hugo Tente:</t>
        </r>
        <r>
          <rPr>
            <sz val="9"/>
            <color indexed="81"/>
            <rFont val="Tahoma"/>
            <family val="2"/>
          </rPr>
          <t xml:space="preserve">
apesar de ter Loading/Unloading times de LH2 3 horas e GH2 1.5 horas, o posto opera sendo abastecido
em simultâneo… Por isso com 1 carregamento diário esta não é uma restrição (posto sempre disponível para abastecer). Depois 99% serão possíveis na Europa já em 2020 (Fuel  Cells  and  Hydrogen 2  Joint  Undertaking, 2020; JIVE D3.24 / JIVE 2 D3.7 Best Practice Report January 2020)</t>
        </r>
      </text>
    </comment>
    <comment ref="EG40" authorId="19" shapeId="0" xr:uid="{F6A23760-A8D7-4803-A097-C38F56624C20}">
      <text>
        <r>
          <rPr>
            <b/>
            <sz val="9"/>
            <color indexed="81"/>
            <rFont val="Tahoma"/>
            <family val="2"/>
          </rPr>
          <t>Hugo Tente:</t>
        </r>
        <r>
          <rPr>
            <sz val="9"/>
            <color indexed="81"/>
            <rFont val="Tahoma"/>
            <family val="2"/>
          </rPr>
          <t xml:space="preserve">
DNV GL, 2019
 "DNV GL (2019) HYDROGEN IN THE  ELECTRICITY VALUE CHAIN". pag 14 PDF e doc. Fala em 50% menos mas tem de se ponderar perdas, passa para 40%</t>
        </r>
      </text>
    </comment>
    <comment ref="EJ40" authorId="19" shapeId="0" xr:uid="{C5754BAF-CC53-4EBC-88E8-87660E5A1C97}">
      <text>
        <r>
          <rPr>
            <b/>
            <sz val="9"/>
            <color indexed="81"/>
            <rFont val="Tahoma"/>
            <family val="2"/>
          </rPr>
          <t>Hugo Tente:</t>
        </r>
        <r>
          <rPr>
            <sz val="9"/>
            <color indexed="81"/>
            <rFont val="Tahoma"/>
            <family val="2"/>
          </rPr>
          <t xml:space="preserve">
DNV GL, 2019
o dobro</t>
        </r>
      </text>
    </comment>
    <comment ref="EO40" authorId="19" shapeId="0" xr:uid="{11804C6D-5313-4117-9BC5-74F6830884D7}">
      <text>
        <r>
          <rPr>
            <b/>
            <sz val="9"/>
            <color indexed="81"/>
            <rFont val="Tahoma"/>
            <family val="2"/>
          </rPr>
          <t>Hugo Tente:</t>
        </r>
        <r>
          <rPr>
            <sz val="9"/>
            <color indexed="81"/>
            <rFont val="Tahoma"/>
            <family val="2"/>
          </rPr>
          <t xml:space="preserve">
IEA, 2019
The Future of Hydrogen - Assumptions Annex</t>
        </r>
      </text>
    </comment>
    <comment ref="EP40" authorId="19" shapeId="0" xr:uid="{5A1B8D88-6C51-48D6-8ECE-390B1414A5D6}">
      <text>
        <r>
          <rPr>
            <b/>
            <sz val="9"/>
            <color indexed="81"/>
            <rFont val="Tahoma"/>
            <family val="2"/>
          </rPr>
          <t>Hugo Tente:</t>
        </r>
        <r>
          <rPr>
            <sz val="9"/>
            <color indexed="81"/>
            <rFont val="Tahoma"/>
            <family val="2"/>
          </rPr>
          <t xml:space="preserve">
IEA, 2019
The Future of Hydrogen - Assumptions Annex
3% boil-off LH2 (perdas por diferenças térmicas)</t>
        </r>
      </text>
    </comment>
    <comment ref="EW40" authorId="19" shapeId="0" xr:uid="{A438FC1F-ED3F-4127-860A-AD7D217315DD}">
      <text>
        <r>
          <rPr>
            <b/>
            <sz val="9"/>
            <color indexed="81"/>
            <rFont val="Tahoma"/>
            <family val="2"/>
          </rPr>
          <t>Hugo Tente:</t>
        </r>
        <r>
          <rPr>
            <sz val="9"/>
            <color indexed="81"/>
            <rFont val="Tahoma"/>
            <family val="2"/>
          </rPr>
          <t xml:space="preserve">
apesar de ter Loading/Unloading times de LH2 3 horas e GH2 1.5 horas, o posto opera sendo abastecido
em simultâneo… Por isso com 1 carregamento diário esta não é uma restrição (posto sempre disponível para abastecer). Depois 99% serão possíveis na Europa já em 2020 (Fuel  Cells  and  Hydrogen 2  Joint  Undertaking, 2020; JIVE D3.24 / JIVE 2 D3.7 Best Practice Report January 2020)</t>
        </r>
      </text>
    </comment>
    <comment ref="C41" authorId="19" shapeId="0" xr:uid="{589288CB-CF5E-48AD-B67C-6E383E9888D3}">
      <text>
        <r>
          <rPr>
            <b/>
            <sz val="9"/>
            <color indexed="81"/>
            <rFont val="Tahoma"/>
            <family val="2"/>
          </rPr>
          <t>Hugo Tente:</t>
        </r>
        <r>
          <rPr>
            <sz val="9"/>
            <color indexed="81"/>
            <rFont val="Tahoma"/>
            <family val="2"/>
          </rPr>
          <t xml:space="preserve">
Hoje praticamente todos os veículos usam GH2, donde ter-se-á de vaporizar o LH2 pré-abastecimento
CONSIDERA-SE APENAS HRS (H2 REFUELLING STATIONS) de Liquid to GAS</t>
        </r>
      </text>
    </comment>
    <comment ref="DG41" authorId="19" shapeId="0" xr:uid="{0F91D328-D6CC-4661-A8D6-227F4A8C96C4}">
      <text>
        <r>
          <rPr>
            <b/>
            <sz val="9"/>
            <color indexed="81"/>
            <rFont val="Tahoma"/>
            <family val="2"/>
          </rPr>
          <t>Hugo Tente:</t>
        </r>
        <r>
          <rPr>
            <sz val="9"/>
            <color indexed="81"/>
            <rFont val="Tahoma"/>
            <family val="2"/>
          </rPr>
          <t xml:space="preserve">
Hydrogen Council &amp; McKinsey (2020) "Path to Hydrogen Competitiveness". 20 Jan 2020
considera-se apenas metade do que consideram o cenário + otimista. E o resto até 2050</t>
        </r>
      </text>
    </comment>
    <comment ref="DH41" authorId="19" shapeId="0" xr:uid="{6F65DE76-354F-415E-9A63-869FD646382C}">
      <text>
        <r>
          <rPr>
            <b/>
            <sz val="9"/>
            <color indexed="81"/>
            <rFont val="Tahoma"/>
            <family val="2"/>
          </rPr>
          <t>Hugo Tente:</t>
        </r>
        <r>
          <rPr>
            <sz val="9"/>
            <color indexed="81"/>
            <rFont val="Tahoma"/>
            <family val="2"/>
          </rPr>
          <t xml:space="preserve">
Hydrogen Council &amp; McKinsey (2020) "Path to Hydrogen Competitiveness". 20 Jan 2020
considera-se a outra metade do que consideram no cenário + otimista até 2030</t>
        </r>
      </text>
    </comment>
    <comment ref="DI41" authorId="20" shapeId="0" xr:uid="{F6ECE7DD-C6D8-4D4E-B24C-999669470874}">
      <text>
        <t>[Threaded comment]
Your version of Excel allows you to read this threaded comment; however, any edits to it will get removed if the file is opened in a newer version of Excel. Learn more: https://go.microsoft.com/fwlink/?linkid=870924
Comment:
    OPEX = 5% CAPEX
Mail Hugo Tente 3/5/2020 subject: Re: sobre as nossas premissas para o transporte rodoviário de H2 para o OTGEN EDP</t>
      </text>
    </comment>
    <comment ref="DS41" authorId="19" shapeId="0" xr:uid="{4E583B3F-237F-4463-B250-A1BEC12E2617}">
      <text>
        <r>
          <rPr>
            <b/>
            <sz val="9"/>
            <color indexed="81"/>
            <rFont val="Tahoma"/>
            <family val="2"/>
          </rPr>
          <t>Hugo Tente:</t>
        </r>
        <r>
          <rPr>
            <sz val="9"/>
            <color indexed="81"/>
            <rFont val="Tahoma"/>
            <family val="2"/>
          </rPr>
          <t xml:space="preserve">
IEA, 2019
The Future of Hydrogen - Assumptions Annex (p. 11)</t>
        </r>
      </text>
    </comment>
    <comment ref="DX41" authorId="19" shapeId="0" xr:uid="{3052679D-D0E4-463A-84E1-3B69FE0A90DB}">
      <text>
        <r>
          <rPr>
            <b/>
            <sz val="9"/>
            <color indexed="81"/>
            <rFont val="Tahoma"/>
            <family val="2"/>
          </rPr>
          <t>Hugo Tente:</t>
        </r>
        <r>
          <rPr>
            <sz val="9"/>
            <color indexed="81"/>
            <rFont val="Tahoma"/>
            <family val="2"/>
          </rPr>
          <t xml:space="preserve">
IEA, 2019 The Future of Hydrogen - Assumptions Annex
ELECTRICITY DEMAND kWh/kg H2 LH2: 0,6 | GH2: 1,6 --&gt; 0,000007776 PJ de eletricidade POR CADA 1 Kg H2</t>
        </r>
      </text>
    </comment>
    <comment ref="EA41" authorId="19" shapeId="0" xr:uid="{5C0DBA87-5476-4F27-ABBC-1D496DC20EF6}">
      <text>
        <r>
          <rPr>
            <b/>
            <sz val="9"/>
            <color indexed="81"/>
            <rFont val="Tahoma"/>
            <family val="2"/>
          </rPr>
          <t>Hugo Tente:</t>
        </r>
        <r>
          <rPr>
            <sz val="9"/>
            <color indexed="81"/>
            <rFont val="Tahoma"/>
            <family val="2"/>
          </rPr>
          <t xml:space="preserve">
90% já hoje
98% de 2030 em diante (5 dias/ano) para manutenção compressores, mangueiras, dispensadores,...</t>
        </r>
      </text>
    </comment>
    <comment ref="EB41" authorId="19" shapeId="0" xr:uid="{64F2C1FA-0180-4028-B3ED-2878CA2D6935}">
      <text>
        <r>
          <rPr>
            <b/>
            <sz val="9"/>
            <color indexed="81"/>
            <rFont val="Tahoma"/>
            <family val="2"/>
          </rPr>
          <t>Hugo Tente:</t>
        </r>
        <r>
          <rPr>
            <sz val="9"/>
            <color indexed="81"/>
            <rFont val="Tahoma"/>
            <family val="2"/>
          </rPr>
          <t xml:space="preserve">
antes de 2030 não existirá escala</t>
        </r>
      </text>
    </comment>
    <comment ref="EH41" authorId="19" shapeId="0" xr:uid="{25BEB285-A828-439F-B6F7-AB129831DC58}">
      <text>
        <r>
          <rPr>
            <b/>
            <sz val="9"/>
            <color indexed="81"/>
            <rFont val="Tahoma"/>
            <family val="2"/>
          </rPr>
          <t>Hugo Tente:</t>
        </r>
        <r>
          <rPr>
            <sz val="9"/>
            <color indexed="81"/>
            <rFont val="Tahoma"/>
            <family val="2"/>
          </rPr>
          <t xml:space="preserve">
Hydrogen Council &amp; McKinsey (2020) "Path to Hydrogen Competitiveness". 20 Jan 2020
considera-se apenas metade do que consideram o cenário + otimista. E o resto até 2050</t>
        </r>
      </text>
    </comment>
    <comment ref="EI41" authorId="19" shapeId="0" xr:uid="{44836D00-E125-4056-996D-1CC477704C0B}">
      <text>
        <r>
          <rPr>
            <b/>
            <sz val="9"/>
            <color indexed="81"/>
            <rFont val="Tahoma"/>
            <family val="2"/>
          </rPr>
          <t>Hugo Tente:</t>
        </r>
        <r>
          <rPr>
            <sz val="9"/>
            <color indexed="81"/>
            <rFont val="Tahoma"/>
            <family val="2"/>
          </rPr>
          <t xml:space="preserve">
Hydrogen Council &amp; McKinsey (2020) "Path to Hydrogen Competitiveness". 20 Jan 2020
considera-se a outra metade do que consideram no cenário + otimista até 2030</t>
        </r>
      </text>
    </comment>
    <comment ref="EO41" authorId="19" shapeId="0" xr:uid="{321A2DBD-2BD0-447E-956F-541BCC824252}">
      <text>
        <r>
          <rPr>
            <b/>
            <sz val="9"/>
            <color indexed="81"/>
            <rFont val="Tahoma"/>
            <family val="2"/>
          </rPr>
          <t>Hugo Tente:</t>
        </r>
        <r>
          <rPr>
            <sz val="9"/>
            <color indexed="81"/>
            <rFont val="Tahoma"/>
            <family val="2"/>
          </rPr>
          <t xml:space="preserve">
IEA, 2019
The Future of Hydrogen - Assumptions Annex (p. 11)</t>
        </r>
      </text>
    </comment>
    <comment ref="ET41" authorId="19" shapeId="0" xr:uid="{B1D6F41C-9EAA-43FA-A784-C9CEF7705FEE}">
      <text>
        <r>
          <rPr>
            <b/>
            <sz val="9"/>
            <color indexed="81"/>
            <rFont val="Tahoma"/>
            <family val="2"/>
          </rPr>
          <t>Hugo Tente:</t>
        </r>
        <r>
          <rPr>
            <sz val="9"/>
            <color indexed="81"/>
            <rFont val="Tahoma"/>
            <family val="2"/>
          </rPr>
          <t xml:space="preserve">
IEA, 2019 The Future of Hydrogen - Assumptions Annex
ELECTRICITY DEMAND kWh/kg H2 LH2: 0,6 | GH2: 1,6 --&gt; 0,000007776 PJ de eletricidade POR CADA 1 Kg H2</t>
        </r>
      </text>
    </comment>
    <comment ref="EW41" authorId="19" shapeId="0" xr:uid="{4CCA0FD7-8681-4002-B2F2-7DAF3DACED70}">
      <text>
        <r>
          <rPr>
            <b/>
            <sz val="9"/>
            <color indexed="81"/>
            <rFont val="Tahoma"/>
            <family val="2"/>
          </rPr>
          <t>Hugo Tente:</t>
        </r>
        <r>
          <rPr>
            <sz val="9"/>
            <color indexed="81"/>
            <rFont val="Tahoma"/>
            <family val="2"/>
          </rPr>
          <t xml:space="preserve">
90% já hoje
98% de 2030 em diante (5 dias/ano) para manutenção compressores, mangueiras, dispensadores,...</t>
        </r>
      </text>
    </comment>
    <comment ref="EX41" authorId="19" shapeId="0" xr:uid="{E1405AF5-154A-4289-A849-EE872288BD2E}">
      <text>
        <r>
          <rPr>
            <b/>
            <sz val="9"/>
            <color indexed="81"/>
            <rFont val="Tahoma"/>
            <family val="2"/>
          </rPr>
          <t>Hugo Tente:</t>
        </r>
        <r>
          <rPr>
            <sz val="9"/>
            <color indexed="81"/>
            <rFont val="Tahoma"/>
            <family val="2"/>
          </rPr>
          <t xml:space="preserve">
antes de 2030 não existirá escala</t>
        </r>
      </text>
    </comment>
    <comment ref="DF42" authorId="19" shapeId="0" xr:uid="{7A1B4843-AC50-4019-87B6-F3C0F27411C5}">
      <text>
        <r>
          <rPr>
            <b/>
            <sz val="9"/>
            <color indexed="81"/>
            <rFont val="Tahoma"/>
            <family val="2"/>
          </rPr>
          <t>Hugo Tente:</t>
        </r>
        <r>
          <rPr>
            <sz val="9"/>
            <color indexed="81"/>
            <rFont val="Tahoma"/>
            <family val="2"/>
          </rPr>
          <t xml:space="preserve">
A referência IEA, 2019 não refere conversões e dá os seus valores de postos de abastecimento de H2 LIQ contemplando já a conversão. São muito + baratos pela dimensão que só faz sentido em postos grandes --&gt; utilizações elevadas
neste caso como o cálculo é para 2020, em 2015 acresce 20%</t>
        </r>
      </text>
    </comment>
    <comment ref="DG42" authorId="19" shapeId="0" xr:uid="{29A2F021-5827-49CA-B057-0CFA8354A28E}">
      <text>
        <r>
          <rPr>
            <b/>
            <sz val="9"/>
            <color indexed="81"/>
            <rFont val="Tahoma"/>
            <family val="2"/>
          </rPr>
          <t>Hugo Tente:</t>
        </r>
        <r>
          <rPr>
            <sz val="9"/>
            <color indexed="81"/>
            <rFont val="Tahoma"/>
            <family val="2"/>
          </rPr>
          <t xml:space="preserve">
Hydrogen Council &amp; McKinsey (2020) "Path to Hydrogen Competitiveness". 20 Jan 2020
considera-se apenas metade do que consideram o cenário + otimista. E o resto até 2050</t>
        </r>
      </text>
    </comment>
    <comment ref="DH42" authorId="19" shapeId="0" xr:uid="{6F587A95-4B51-4A8D-BC1B-902FC89BAD71}">
      <text>
        <r>
          <rPr>
            <b/>
            <sz val="9"/>
            <color indexed="81"/>
            <rFont val="Tahoma"/>
            <family val="2"/>
          </rPr>
          <t>Hugo Tente:</t>
        </r>
        <r>
          <rPr>
            <sz val="9"/>
            <color indexed="81"/>
            <rFont val="Tahoma"/>
            <family val="2"/>
          </rPr>
          <t xml:space="preserve">
Hydrogen Council &amp; McKinsey (2020) "Path to Hydrogen Competitiveness". 20 Jan 2020
considera-se a outra metade do que consideram no cenário + otimista até 2030</t>
        </r>
      </text>
    </comment>
    <comment ref="DS42" authorId="19" shapeId="0" xr:uid="{3296AF99-0F86-45C7-ACB5-495659FDA0C5}">
      <text>
        <r>
          <rPr>
            <b/>
            <sz val="9"/>
            <color indexed="81"/>
            <rFont val="Tahoma"/>
            <family val="2"/>
          </rPr>
          <t>Hugo Tente:</t>
        </r>
        <r>
          <rPr>
            <sz val="9"/>
            <color indexed="81"/>
            <rFont val="Tahoma"/>
            <family val="2"/>
          </rPr>
          <t xml:space="preserve">
IEA, 2019
The Future of Hydrogen - Assumptions Annex (p. 11)</t>
        </r>
      </text>
    </comment>
    <comment ref="DX42" authorId="19" shapeId="0" xr:uid="{76FD39DC-0ECB-4989-928E-B3F1C4336A7D}">
      <text>
        <r>
          <rPr>
            <b/>
            <sz val="9"/>
            <color indexed="81"/>
            <rFont val="Tahoma"/>
            <family val="2"/>
          </rPr>
          <t>Hugo Tente:</t>
        </r>
        <r>
          <rPr>
            <sz val="9"/>
            <color indexed="81"/>
            <rFont val="Tahoma"/>
            <family val="2"/>
          </rPr>
          <t xml:space="preserve">
IEA, 2019 The Future of Hydrogen - Assumptions Annex
ELECTRICITY DEMAND kWh/kg H2 LH2: 0,6 | GH2: 1,6 --&gt; 0,000007776 PJ de eletricidade POR CADA 1 Kg H2</t>
        </r>
      </text>
    </comment>
    <comment ref="EA42" authorId="19" shapeId="0" xr:uid="{3E49D457-6B9F-44A1-9C4A-19C51F3FEC7E}">
      <text>
        <r>
          <rPr>
            <b/>
            <sz val="9"/>
            <color indexed="81"/>
            <rFont val="Tahoma"/>
            <family val="2"/>
          </rPr>
          <t>Hugo Tente:</t>
        </r>
        <r>
          <rPr>
            <sz val="9"/>
            <color indexed="81"/>
            <rFont val="Tahoma"/>
            <family val="2"/>
          </rPr>
          <t xml:space="preserve">
90% já hoje
98% de 2030 em diante (5 dias/ano) para manutenção compressores, mangueiras, dispensadores,...</t>
        </r>
      </text>
    </comment>
    <comment ref="EB42" authorId="19" shapeId="0" xr:uid="{9614F9C9-AD8F-427A-9EB7-57E217204BC3}">
      <text>
        <r>
          <rPr>
            <b/>
            <sz val="9"/>
            <color indexed="81"/>
            <rFont val="Tahoma"/>
            <family val="2"/>
          </rPr>
          <t>Hugo Tente:</t>
        </r>
        <r>
          <rPr>
            <sz val="9"/>
            <color indexed="81"/>
            <rFont val="Tahoma"/>
            <family val="2"/>
          </rPr>
          <t xml:space="preserve">
antes de 2030 não existirá escala</t>
        </r>
      </text>
    </comment>
    <comment ref="EG42" authorId="19" shapeId="0" xr:uid="{6E23CF70-C541-4213-8818-38E4701E475C}">
      <text>
        <r>
          <rPr>
            <b/>
            <sz val="9"/>
            <color indexed="81"/>
            <rFont val="Tahoma"/>
            <family val="2"/>
          </rPr>
          <t>Hugo Tente:</t>
        </r>
        <r>
          <rPr>
            <sz val="9"/>
            <color indexed="81"/>
            <rFont val="Tahoma"/>
            <family val="2"/>
          </rPr>
          <t xml:space="preserve">
A referência IEA, 2019 não refere conversões e dá os seus valores de postos de abastecimento de H2 LIQ contemplando já a conversão. São muito + baratos pela dimensão que só faz sentido em postos grandes --&gt; utilizações elevadas
neste caso como o cálculo é para 2020, em 2015 acresce 20%</t>
        </r>
      </text>
    </comment>
    <comment ref="EH42" authorId="19" shapeId="0" xr:uid="{71768265-2E44-4CE5-A782-6C7C22105644}">
      <text>
        <r>
          <rPr>
            <b/>
            <sz val="9"/>
            <color indexed="81"/>
            <rFont val="Tahoma"/>
            <family val="2"/>
          </rPr>
          <t>Hugo Tente:</t>
        </r>
        <r>
          <rPr>
            <sz val="9"/>
            <color indexed="81"/>
            <rFont val="Tahoma"/>
            <family val="2"/>
          </rPr>
          <t xml:space="preserve">
Hydrogen Council &amp; McKinsey (2020) "Path to Hydrogen Competitiveness". 20 Jan 2020
considera-se apenas metade do que consideram o cenário + otimista. E o resto até 2050</t>
        </r>
      </text>
    </comment>
    <comment ref="EI42" authorId="19" shapeId="0" xr:uid="{91FE1AEC-A672-4114-8266-AB3BDA673CDA}">
      <text>
        <r>
          <rPr>
            <b/>
            <sz val="9"/>
            <color indexed="81"/>
            <rFont val="Tahoma"/>
            <family val="2"/>
          </rPr>
          <t>Hugo Tente:</t>
        </r>
        <r>
          <rPr>
            <sz val="9"/>
            <color indexed="81"/>
            <rFont val="Tahoma"/>
            <family val="2"/>
          </rPr>
          <t xml:space="preserve">
Hydrogen Council &amp; McKinsey (2020) "Path to Hydrogen Competitiveness". 20 Jan 2020
considera-se a outra metade do que consideram no cenário + otimista até 2030</t>
        </r>
      </text>
    </comment>
    <comment ref="EO42" authorId="19" shapeId="0" xr:uid="{F81DC44A-5060-419C-BB59-43C9BA1DEF17}">
      <text>
        <r>
          <rPr>
            <b/>
            <sz val="9"/>
            <color indexed="81"/>
            <rFont val="Tahoma"/>
            <family val="2"/>
          </rPr>
          <t>Hugo Tente:</t>
        </r>
        <r>
          <rPr>
            <sz val="9"/>
            <color indexed="81"/>
            <rFont val="Tahoma"/>
            <family val="2"/>
          </rPr>
          <t xml:space="preserve">
IEA, 2019
The Future of Hydrogen - Assumptions Annex (p. 11)</t>
        </r>
      </text>
    </comment>
    <comment ref="ET42" authorId="19" shapeId="0" xr:uid="{8A0033AF-511B-42E1-BA0E-FE4B218BEB17}">
      <text>
        <r>
          <rPr>
            <b/>
            <sz val="9"/>
            <color indexed="81"/>
            <rFont val="Tahoma"/>
            <family val="2"/>
          </rPr>
          <t>Hugo Tente:</t>
        </r>
        <r>
          <rPr>
            <sz val="9"/>
            <color indexed="81"/>
            <rFont val="Tahoma"/>
            <family val="2"/>
          </rPr>
          <t xml:space="preserve">
IEA, 2019 The Future of Hydrogen - Assumptions Annex
ELECTRICITY DEMAND kWh/kg H2 LH2: 0,6 | GH2: 1,6 --&gt; 0,000007776 PJ de eletricidade POR CADA 1 Kg H2</t>
        </r>
      </text>
    </comment>
    <comment ref="EW42" authorId="19" shapeId="0" xr:uid="{BC04775C-6376-41F3-A814-80BB4DC52CCF}">
      <text>
        <r>
          <rPr>
            <b/>
            <sz val="9"/>
            <color indexed="81"/>
            <rFont val="Tahoma"/>
            <family val="2"/>
          </rPr>
          <t>Hugo Tente:</t>
        </r>
        <r>
          <rPr>
            <sz val="9"/>
            <color indexed="81"/>
            <rFont val="Tahoma"/>
            <family val="2"/>
          </rPr>
          <t xml:space="preserve">
90% já hoje
98% de 2030 em diante (5 dias/ano) para manutenção compressores, mangueiras, dispensadores,...</t>
        </r>
      </text>
    </comment>
    <comment ref="EX42" authorId="19" shapeId="0" xr:uid="{79151326-B38E-4307-B1E5-434E9765B3B7}">
      <text>
        <r>
          <rPr>
            <b/>
            <sz val="9"/>
            <color indexed="81"/>
            <rFont val="Tahoma"/>
            <family val="2"/>
          </rPr>
          <t>Hugo Tente:</t>
        </r>
        <r>
          <rPr>
            <sz val="9"/>
            <color indexed="81"/>
            <rFont val="Tahoma"/>
            <family val="2"/>
          </rPr>
          <t xml:space="preserve">
antes de 2030 não existirá escala</t>
        </r>
      </text>
    </comment>
    <comment ref="DF43" authorId="19" shapeId="0" xr:uid="{9FBF3955-165A-4074-A5D8-C587C24F4814}">
      <text>
        <r>
          <rPr>
            <b/>
            <sz val="9"/>
            <color indexed="81"/>
            <rFont val="Tahoma"/>
            <family val="2"/>
          </rPr>
          <t>Hugo Tente:</t>
        </r>
        <r>
          <rPr>
            <sz val="9"/>
            <color indexed="81"/>
            <rFont val="Tahoma"/>
            <family val="2"/>
          </rPr>
          <t xml:space="preserve">
IEA, 2019 como base de cálculos próprios. Capacidade instalada: 1300 kgs, 260 FCEV/dia </t>
        </r>
      </text>
    </comment>
    <comment ref="DG43" authorId="19" shapeId="0" xr:uid="{CCD35893-4573-4A13-91E1-A7F465C7D99D}">
      <text>
        <r>
          <rPr>
            <b/>
            <sz val="9"/>
            <color indexed="81"/>
            <rFont val="Tahoma"/>
            <family val="2"/>
          </rPr>
          <t>Hugo Tente:</t>
        </r>
        <r>
          <rPr>
            <sz val="9"/>
            <color indexed="81"/>
            <rFont val="Tahoma"/>
            <family val="2"/>
          </rPr>
          <t xml:space="preserve">
Hydrogen Council &amp; McKinsey (2020) "Path to Hydrogen Competitiveness". 20 Jan 2020
considera-se apenas metade do que consideram para o cenário + otimista. E o resto até 2050</t>
        </r>
      </text>
    </comment>
    <comment ref="DH43" authorId="19" shapeId="0" xr:uid="{3B6C1800-242C-4087-912C-1285A92A91DD}">
      <text>
        <r>
          <rPr>
            <b/>
            <sz val="9"/>
            <color indexed="81"/>
            <rFont val="Tahoma"/>
            <family val="2"/>
          </rPr>
          <t>Hugo Tente:</t>
        </r>
        <r>
          <rPr>
            <sz val="9"/>
            <color indexed="81"/>
            <rFont val="Tahoma"/>
            <family val="2"/>
          </rPr>
          <t xml:space="preserve">
Hydrogen Council &amp; McKinsey (2020) "Path to Hydrogen Competitiveness". 20 Jan 2020
considera-se a outra metade do que consideram no cenário + otimista até 2030</t>
        </r>
      </text>
    </comment>
    <comment ref="DS43" authorId="19" shapeId="0" xr:uid="{0B9C3A91-4718-4AB4-9A96-7E2A5B0FEB0F}">
      <text>
        <r>
          <rPr>
            <b/>
            <sz val="9"/>
            <color indexed="81"/>
            <rFont val="Tahoma"/>
            <family val="2"/>
          </rPr>
          <t>Hugo Tente:</t>
        </r>
        <r>
          <rPr>
            <sz val="9"/>
            <color indexed="81"/>
            <rFont val="Tahoma"/>
            <family val="2"/>
          </rPr>
          <t xml:space="preserve">
IEA, 2019
The Future of Hydrogen - Assumptions Annex (p. 11)</t>
        </r>
      </text>
    </comment>
    <comment ref="DX43" authorId="19" shapeId="0" xr:uid="{92D2619D-21D0-4E7B-8AF9-880D2DE14BC0}">
      <text>
        <r>
          <rPr>
            <b/>
            <sz val="9"/>
            <color indexed="81"/>
            <rFont val="Tahoma"/>
            <family val="2"/>
          </rPr>
          <t>Hugo Tente:</t>
        </r>
        <r>
          <rPr>
            <sz val="9"/>
            <color indexed="81"/>
            <rFont val="Tahoma"/>
            <family val="2"/>
          </rPr>
          <t xml:space="preserve">
IEA, 2019 The Future of Hydrogen - Assumptions Annex
ELECTRICITY DEMAND kWh/kg H2 LH2: 0,6 | GH2: 1,6 --&gt; 0,000020736 PJ de eletricidade POR CADA 1 Kg H2</t>
        </r>
      </text>
    </comment>
    <comment ref="EA43" authorId="19" shapeId="0" xr:uid="{E134C244-32BF-4D46-8E07-8005A74DCD2D}">
      <text>
        <r>
          <rPr>
            <b/>
            <sz val="9"/>
            <color indexed="81"/>
            <rFont val="Tahoma"/>
            <family val="2"/>
          </rPr>
          <t>Hugo Tente:</t>
        </r>
        <r>
          <rPr>
            <sz val="9"/>
            <color indexed="81"/>
            <rFont val="Tahoma"/>
            <family val="2"/>
          </rPr>
          <t xml:space="preserve">
90% já hoje
98% de 2030 em diante (5 dias/ano) para manutenção compressores, mangueiras, dispensadores,...</t>
        </r>
      </text>
    </comment>
    <comment ref="EH43" authorId="19" shapeId="0" xr:uid="{56F430D1-3A25-4DBD-92EB-7A9CDFC766DE}">
      <text>
        <r>
          <rPr>
            <b/>
            <sz val="9"/>
            <color indexed="81"/>
            <rFont val="Tahoma"/>
            <family val="2"/>
          </rPr>
          <t>Hugo Tente:</t>
        </r>
        <r>
          <rPr>
            <sz val="9"/>
            <color indexed="81"/>
            <rFont val="Tahoma"/>
            <family val="2"/>
          </rPr>
          <t xml:space="preserve">
Hydrogen Council &amp; McKinsey (2020) "Path to Hydrogen Competitiveness". 20 Jan 2020
considera-se apenas metade do que consideram para o cenário + otimista. E o resto até 2050</t>
        </r>
      </text>
    </comment>
    <comment ref="EI43" authorId="19" shapeId="0" xr:uid="{7E9BC039-ACFB-44D1-A312-B583532912CB}">
      <text>
        <r>
          <rPr>
            <b/>
            <sz val="9"/>
            <color indexed="81"/>
            <rFont val="Tahoma"/>
            <family val="2"/>
          </rPr>
          <t>Hugo Tente:</t>
        </r>
        <r>
          <rPr>
            <sz val="9"/>
            <color indexed="81"/>
            <rFont val="Tahoma"/>
            <family val="2"/>
          </rPr>
          <t xml:space="preserve">
Hydrogen Council &amp; McKinsey (2020) "Path to Hydrogen Competitiveness". 20 Jan 2020
considera-se a outra metade do que consideram no cenário + otimista até 2030</t>
        </r>
      </text>
    </comment>
    <comment ref="EO43" authorId="19" shapeId="0" xr:uid="{AAC0A0A8-CD4A-40EE-98C9-2444FD0F8D85}">
      <text>
        <r>
          <rPr>
            <b/>
            <sz val="9"/>
            <color indexed="81"/>
            <rFont val="Tahoma"/>
            <family val="2"/>
          </rPr>
          <t>Hugo Tente:</t>
        </r>
        <r>
          <rPr>
            <sz val="9"/>
            <color indexed="81"/>
            <rFont val="Tahoma"/>
            <family val="2"/>
          </rPr>
          <t xml:space="preserve">
IEA, 2019
The Future of Hydrogen - Assumptions Annex (p. 11)</t>
        </r>
      </text>
    </comment>
    <comment ref="ET43" authorId="19" shapeId="0" xr:uid="{9B632B95-082F-4F92-9D9B-B24A886C19C1}">
      <text>
        <r>
          <rPr>
            <b/>
            <sz val="9"/>
            <color indexed="81"/>
            <rFont val="Tahoma"/>
            <family val="2"/>
          </rPr>
          <t>Hugo Tente:</t>
        </r>
        <r>
          <rPr>
            <sz val="9"/>
            <color indexed="81"/>
            <rFont val="Tahoma"/>
            <family val="2"/>
          </rPr>
          <t xml:space="preserve">
IEA, 2019 The Future of Hydrogen - Assumptions Annex
ELECTRICITY DEMAND kWh/kg H2 LH2: 0,6 | GH2: 1,6 --&gt; 0,000020736 PJ de eletricidade POR CADA 1 Kg H2</t>
        </r>
      </text>
    </comment>
    <comment ref="EW43" authorId="19" shapeId="0" xr:uid="{AA703488-120B-4F27-89B3-4820DE9406B6}">
      <text>
        <r>
          <rPr>
            <b/>
            <sz val="9"/>
            <color indexed="81"/>
            <rFont val="Tahoma"/>
            <family val="2"/>
          </rPr>
          <t>Hugo Tente:</t>
        </r>
        <r>
          <rPr>
            <sz val="9"/>
            <color indexed="81"/>
            <rFont val="Tahoma"/>
            <family val="2"/>
          </rPr>
          <t xml:space="preserve">
90% já hoje
98% de 2030 em diante (5 dias/ano) para manutenção compressores, mangueiras, dispensadores,...</t>
        </r>
      </text>
    </comment>
    <comment ref="DG44" authorId="19" shapeId="0" xr:uid="{EE895C3B-9ECE-417B-A777-81274EC758E1}">
      <text>
        <r>
          <rPr>
            <b/>
            <sz val="9"/>
            <color indexed="81"/>
            <rFont val="Tahoma"/>
            <family val="2"/>
          </rPr>
          <t>Hugo Tente:</t>
        </r>
        <r>
          <rPr>
            <sz val="9"/>
            <color indexed="81"/>
            <rFont val="Tahoma"/>
            <family val="2"/>
          </rPr>
          <t xml:space="preserve">
Hydrogen Council &amp; McKinsey (2020) "Path to Hydrogen Competitiveness". 20 Jan 2020
considera-se apenas metade do que consideram para o cenário + otimista. E o resto até 2050</t>
        </r>
      </text>
    </comment>
    <comment ref="DH44" authorId="19" shapeId="0" xr:uid="{B90F2A8F-2EDE-4988-844F-7A2631A97920}">
      <text>
        <r>
          <rPr>
            <b/>
            <sz val="9"/>
            <color indexed="81"/>
            <rFont val="Tahoma"/>
            <family val="2"/>
          </rPr>
          <t>Hugo Tente:</t>
        </r>
        <r>
          <rPr>
            <sz val="9"/>
            <color indexed="81"/>
            <rFont val="Tahoma"/>
            <family val="2"/>
          </rPr>
          <t xml:space="preserve">
Hydrogen Council &amp; McKinsey (2020) "Path to Hydrogen Competitiveness". 20 Jan 2020
considera-se a outra metade do que consideram no cenário + otimista até 2030</t>
        </r>
      </text>
    </comment>
    <comment ref="DS44" authorId="19" shapeId="0" xr:uid="{CE197B51-77E9-41B3-B3DB-58EE921EB982}">
      <text>
        <r>
          <rPr>
            <b/>
            <sz val="9"/>
            <color indexed="81"/>
            <rFont val="Tahoma"/>
            <family val="2"/>
          </rPr>
          <t>Hugo Tente:</t>
        </r>
        <r>
          <rPr>
            <sz val="9"/>
            <color indexed="81"/>
            <rFont val="Tahoma"/>
            <family val="2"/>
          </rPr>
          <t xml:space="preserve">
IEA, 2019
The Future of Hydrogen - Assumptions Annex (p. 11)</t>
        </r>
      </text>
    </comment>
    <comment ref="DX44" authorId="19" shapeId="0" xr:uid="{E63485D7-CD95-4864-AFF0-DA50D4BE9E1F}">
      <text>
        <r>
          <rPr>
            <b/>
            <sz val="9"/>
            <color indexed="81"/>
            <rFont val="Tahoma"/>
            <family val="2"/>
          </rPr>
          <t>Hugo Tente:</t>
        </r>
        <r>
          <rPr>
            <sz val="9"/>
            <color indexed="81"/>
            <rFont val="Tahoma"/>
            <family val="2"/>
          </rPr>
          <t xml:space="preserve">
IEA, 2019 The Future of Hydrogen - Assumptions Annex
ELECTRICITY DEMAND kWh/kg H2 LH2: 0,6 | GH2: 1,6 --&gt; 0,000020736 PJ de eletricidade POR CADA 1 Kg H2</t>
        </r>
      </text>
    </comment>
    <comment ref="EA44" authorId="19" shapeId="0" xr:uid="{3CE523BF-1455-459D-886D-1D10085BA4F1}">
      <text>
        <r>
          <rPr>
            <b/>
            <sz val="9"/>
            <color indexed="81"/>
            <rFont val="Tahoma"/>
            <family val="2"/>
          </rPr>
          <t>Hugo Tente:</t>
        </r>
        <r>
          <rPr>
            <sz val="9"/>
            <color indexed="81"/>
            <rFont val="Tahoma"/>
            <family val="2"/>
          </rPr>
          <t xml:space="preserve">
90% já hoje
98% de 2030 em diante (5 dias/ano) para manutenção compressores, mangueiras, dispensadores,...</t>
        </r>
      </text>
    </comment>
    <comment ref="EH44" authorId="19" shapeId="0" xr:uid="{D8AB0835-C4C5-4DDA-9F1F-30A6DB3F221F}">
      <text>
        <r>
          <rPr>
            <b/>
            <sz val="9"/>
            <color indexed="81"/>
            <rFont val="Tahoma"/>
            <family val="2"/>
          </rPr>
          <t>Hugo Tente:</t>
        </r>
        <r>
          <rPr>
            <sz val="9"/>
            <color indexed="81"/>
            <rFont val="Tahoma"/>
            <family val="2"/>
          </rPr>
          <t xml:space="preserve">
Hydrogen Council &amp; McKinsey (2020) "Path to Hydrogen Competitiveness". 20 Jan 2020
considera-se apenas metade do que consideram para o cenário + otimista. E o resto até 2050</t>
        </r>
      </text>
    </comment>
    <comment ref="EI44" authorId="19" shapeId="0" xr:uid="{2155A4C1-27B1-44A1-B80D-1D55054FDBB4}">
      <text>
        <r>
          <rPr>
            <b/>
            <sz val="9"/>
            <color indexed="81"/>
            <rFont val="Tahoma"/>
            <family val="2"/>
          </rPr>
          <t>Hugo Tente:</t>
        </r>
        <r>
          <rPr>
            <sz val="9"/>
            <color indexed="81"/>
            <rFont val="Tahoma"/>
            <family val="2"/>
          </rPr>
          <t xml:space="preserve">
Hydrogen Council &amp; McKinsey (2020) "Path to Hydrogen Competitiveness". 20 Jan 2020
considera-se a outra metade do que consideram no cenário + otimista até 2030</t>
        </r>
      </text>
    </comment>
    <comment ref="EO44" authorId="19" shapeId="0" xr:uid="{754AF08E-95FC-4863-A9DF-C0765EDEC747}">
      <text>
        <r>
          <rPr>
            <b/>
            <sz val="9"/>
            <color indexed="81"/>
            <rFont val="Tahoma"/>
            <family val="2"/>
          </rPr>
          <t>Hugo Tente:</t>
        </r>
        <r>
          <rPr>
            <sz val="9"/>
            <color indexed="81"/>
            <rFont val="Tahoma"/>
            <family val="2"/>
          </rPr>
          <t xml:space="preserve">
IEA, 2019
The Future of Hydrogen - Assumptions Annex (p. 11)</t>
        </r>
      </text>
    </comment>
    <comment ref="ET44" authorId="19" shapeId="0" xr:uid="{47761E2C-7E75-44A5-9B26-030CE42EBF6C}">
      <text>
        <r>
          <rPr>
            <b/>
            <sz val="9"/>
            <color indexed="81"/>
            <rFont val="Tahoma"/>
            <family val="2"/>
          </rPr>
          <t>Hugo Tente:</t>
        </r>
        <r>
          <rPr>
            <sz val="9"/>
            <color indexed="81"/>
            <rFont val="Tahoma"/>
            <family val="2"/>
          </rPr>
          <t xml:space="preserve">
IEA, 2019 The Future of Hydrogen - Assumptions Annex
ELECTRICITY DEMAND kWh/kg H2 LH2: 0,6 | GH2: 1,6 --&gt; 0,000020736 PJ de eletricidade POR CADA 1 Kg H2</t>
        </r>
      </text>
    </comment>
    <comment ref="EW44" authorId="19" shapeId="0" xr:uid="{1A173B55-E03B-400F-A13B-B96EA3FF86CE}">
      <text>
        <r>
          <rPr>
            <b/>
            <sz val="9"/>
            <color indexed="81"/>
            <rFont val="Tahoma"/>
            <family val="2"/>
          </rPr>
          <t>Hugo Tente:</t>
        </r>
        <r>
          <rPr>
            <sz val="9"/>
            <color indexed="81"/>
            <rFont val="Tahoma"/>
            <family val="2"/>
          </rPr>
          <t xml:space="preserve">
90% já hoje
98% de 2030 em diante (5 dias/ano) para manutenção compressores, mangueiras, dispensadores,...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TIMES Portugal</author>
    <author>Maurizio Gargiulo</author>
    <author>Herib Blanco</author>
  </authors>
  <commentList>
    <comment ref="J58" authorId="0" shapeId="0" xr:uid="{5FA66301-F11D-4E2C-AB03-A52D4ED3395F}">
      <text>
        <r>
          <rPr>
            <b/>
            <sz val="9"/>
            <color indexed="81"/>
            <rFont val="Tahoma"/>
            <family val="2"/>
          </rPr>
          <t>TIMES Portugal:</t>
        </r>
        <r>
          <rPr>
            <sz val="9"/>
            <color indexed="81"/>
            <rFont val="Tahoma"/>
            <family val="2"/>
          </rPr>
          <t xml:space="preserve">
+50€/GJ pq é o ncap_cost dp tragas01</t>
        </r>
      </text>
    </comment>
    <comment ref="F99" authorId="1" shapeId="0" xr:uid="{00000000-0006-0000-0500-00000100000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100" authorId="1" shapeId="0" xr:uid="{00000000-0006-0000-0500-00000200000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 ref="M107" authorId="2" shapeId="0" xr:uid="{00000000-0006-0000-0500-000003000000}">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Maurizio Gargiulo</author>
    <author>Herib Blanco</author>
  </authors>
  <commentList>
    <comment ref="F158" authorId="0" shapeId="0" xr:uid="{5D4D9332-ACA1-4B46-B7C2-8D4697EC2C17}">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159" authorId="0" shapeId="0" xr:uid="{58456824-B77D-4EEB-B992-05CEA208CA5C}">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 ref="M168" authorId="1" shapeId="0" xr:uid="{ED625725-7F6C-4E62-BE2A-69EA1558F04D}">
      <text>
        <r>
          <rPr>
            <b/>
            <sz val="9"/>
            <color indexed="81"/>
            <rFont val="Tahoma"/>
            <family val="2"/>
          </rPr>
          <t>Herib Blanco:</t>
        </r>
        <r>
          <rPr>
            <sz val="9"/>
            <color indexed="81"/>
            <rFont val="Tahoma"/>
            <family val="2"/>
          </rPr>
          <t xml:space="preserve">
These conditions are chosen to account for the higher volumetric energy of the gas at the pressure being transported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G13" authorId="0" shapeId="0" xr:uid="{00000000-0006-0000-0600-000001000000}">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13" authorId="0" shapeId="0" xr:uid="{00000000-0006-0000-0600-000002000000}">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14" authorId="0" shapeId="0" xr:uid="{00000000-0006-0000-0600-000003000000}">
      <text>
        <r>
          <rPr>
            <sz val="8"/>
            <color indexed="81"/>
            <rFont val="Tahoma"/>
            <family val="2"/>
          </rPr>
          <t xml:space="preserve">Sets declarations are </t>
        </r>
        <r>
          <rPr>
            <b/>
            <sz val="8"/>
            <color indexed="81"/>
            <rFont val="Tahoma"/>
            <family val="2"/>
          </rPr>
          <t>NOT</t>
        </r>
        <r>
          <rPr>
            <sz val="8"/>
            <color indexed="81"/>
            <rFont val="Tahoma"/>
            <family val="2"/>
          </rPr>
          <t xml:space="preserve"> inherited. Possible Process Sets</t>
        </r>
        <r>
          <rPr>
            <b/>
            <sz val="8"/>
            <color indexed="81"/>
            <rFont val="Tahoma"/>
            <family val="2"/>
          </rPr>
          <t xml:space="preserve">
ELE</t>
        </r>
        <r>
          <rPr>
            <sz val="8"/>
            <color indexed="81"/>
            <rFont val="Tahoma"/>
            <family val="2"/>
          </rPr>
          <t xml:space="preserve"> (Thermal Electric Power Plant)</t>
        </r>
        <r>
          <rPr>
            <b/>
            <sz val="8"/>
            <color indexed="81"/>
            <rFont val="Tahoma"/>
            <family val="2"/>
          </rPr>
          <t xml:space="preserve">
CHP</t>
        </r>
        <r>
          <rPr>
            <sz val="8"/>
            <color indexed="81"/>
            <rFont val="Tahoma"/>
            <family val="2"/>
          </rPr>
          <t xml:space="preserve"> (Combined Heat and Power)
</t>
        </r>
        <r>
          <rPr>
            <b/>
            <sz val="8"/>
            <color indexed="81"/>
            <rFont val="Tahoma"/>
            <family val="2"/>
          </rPr>
          <t>STGTSS</t>
        </r>
        <r>
          <rPr>
            <sz val="8"/>
            <color indexed="81"/>
            <rFont val="Tahoma"/>
            <family val="2"/>
          </rPr>
          <t xml:space="preserve"> (Pump Storage)</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t>
        </r>
        <r>
          <rPr>
            <sz val="8"/>
            <color indexed="81"/>
            <rFont val="Tahoma"/>
            <family val="2"/>
          </rPr>
          <t xml:space="preserve"> (Import)</t>
        </r>
        <r>
          <rPr>
            <b/>
            <sz val="8"/>
            <color indexed="81"/>
            <rFont val="Tahoma"/>
            <family val="2"/>
          </rPr>
          <t xml:space="preserve">
EXP</t>
        </r>
        <r>
          <rPr>
            <sz val="8"/>
            <color indexed="81"/>
            <rFont val="Tahoma"/>
            <family val="2"/>
          </rPr>
          <t xml:space="preserve"> (Export)</t>
        </r>
        <r>
          <rPr>
            <b/>
            <sz val="8"/>
            <color indexed="81"/>
            <rFont val="Tahoma"/>
            <family val="2"/>
          </rPr>
          <t xml:space="preserve">
MIN</t>
        </r>
        <r>
          <rPr>
            <sz val="8"/>
            <color indexed="81"/>
            <rFont val="Tahoma"/>
            <family val="2"/>
          </rPr>
          <t xml:space="preserve"> (Mining Process)</t>
        </r>
        <r>
          <rPr>
            <b/>
            <sz val="8"/>
            <color indexed="81"/>
            <rFont val="Tahoma"/>
            <family val="2"/>
          </rPr>
          <t xml:space="preserve">
RNW</t>
        </r>
        <r>
          <rPr>
            <sz val="8"/>
            <color indexed="81"/>
            <rFont val="Tahoma"/>
            <family val="2"/>
          </rPr>
          <t xml:space="preserve"> (Renewable Technology)
</t>
        </r>
        <r>
          <rPr>
            <b/>
            <sz val="8"/>
            <color indexed="81"/>
            <rFont val="Tahoma"/>
            <family val="2"/>
          </rPr>
          <t>HPL</t>
        </r>
        <r>
          <rPr>
            <sz val="8"/>
            <color indexed="81"/>
            <rFont val="Tahoma"/>
            <family val="2"/>
          </rPr>
          <t xml:space="preserve"> (Heating Plant)</t>
        </r>
      </text>
    </comment>
  </commentList>
</comments>
</file>

<file path=xl/sharedStrings.xml><?xml version="1.0" encoding="utf-8"?>
<sst xmlns="http://schemas.openxmlformats.org/spreadsheetml/2006/main" count="6160" uniqueCount="1326">
  <si>
    <t>TechName</t>
  </si>
  <si>
    <t>TechDesc</t>
  </si>
  <si>
    <t>Comm-IN</t>
  </si>
  <si>
    <t>Comm-OUT</t>
  </si>
  <si>
    <t>FIXOM</t>
  </si>
  <si>
    <t>Unit</t>
  </si>
  <si>
    <t>START</t>
  </si>
  <si>
    <t>Sets</t>
  </si>
  <si>
    <t>~FI_Process</t>
  </si>
  <si>
    <t>Tact</t>
  </si>
  <si>
    <t>Tcap</t>
  </si>
  <si>
    <t>Tslvl</t>
  </si>
  <si>
    <t>PrimaryCG</t>
  </si>
  <si>
    <t>Vintage</t>
  </si>
  <si>
    <t>Technology Name</t>
  </si>
  <si>
    <t>Technology Description</t>
  </si>
  <si>
    <t>Activity Unit</t>
  </si>
  <si>
    <t>Capacity Unit</t>
  </si>
  <si>
    <t>Vintage Tracking</t>
  </si>
  <si>
    <t>Input Commodity</t>
  </si>
  <si>
    <t>Output Commodity</t>
  </si>
  <si>
    <t>VAROM</t>
  </si>
  <si>
    <t>INVCOST</t>
  </si>
  <si>
    <t>PJ</t>
  </si>
  <si>
    <t>DAYNITE</t>
  </si>
  <si>
    <t>*Technology Name</t>
  </si>
  <si>
    <t>Primary CommGrp</t>
  </si>
  <si>
    <t>TimeSlice Level of oprn</t>
  </si>
  <si>
    <t>Input</t>
  </si>
  <si>
    <t>-</t>
  </si>
  <si>
    <t>GW</t>
  </si>
  <si>
    <t>Cap2Act</t>
  </si>
  <si>
    <t>LIFE</t>
  </si>
  <si>
    <t>€/kW</t>
  </si>
  <si>
    <t>Years</t>
  </si>
  <si>
    <t>€/GJ</t>
  </si>
  <si>
    <t>Output</t>
  </si>
  <si>
    <t>PRE</t>
  </si>
  <si>
    <t>AF</t>
  </si>
  <si>
    <t>*Process Set Membership</t>
  </si>
  <si>
    <t>(a)</t>
  </si>
  <si>
    <t>(b)</t>
  </si>
  <si>
    <t>(c)</t>
  </si>
  <si>
    <t>(d)</t>
  </si>
  <si>
    <t>INVCOST~2020</t>
  </si>
  <si>
    <t>List of references</t>
  </si>
  <si>
    <t>YES</t>
  </si>
  <si>
    <t>Type</t>
  </si>
  <si>
    <t>Code</t>
  </si>
  <si>
    <t>Description</t>
  </si>
  <si>
    <t>JRC Code</t>
  </si>
  <si>
    <t>Centralized/ Decantralized</t>
  </si>
  <si>
    <t>Input Commodity 1</t>
  </si>
  <si>
    <t>Input Commodity 2</t>
  </si>
  <si>
    <t>Output commodity 1</t>
  </si>
  <si>
    <t>Output commodity 2</t>
  </si>
  <si>
    <t>INPUT 1</t>
  </si>
  <si>
    <t>INPUT 2</t>
  </si>
  <si>
    <t>OUTPUT 1</t>
  </si>
  <si>
    <t>OUTPUT 2</t>
  </si>
  <si>
    <t>Reference Capacity</t>
  </si>
  <si>
    <t>(C/D)</t>
  </si>
  <si>
    <t>(MW)</t>
  </si>
  <si>
    <t>(Years)</t>
  </si>
  <si>
    <t>(Year)</t>
  </si>
  <si>
    <t>HP-G</t>
  </si>
  <si>
    <t>C</t>
  </si>
  <si>
    <t>D</t>
  </si>
  <si>
    <t>HP-R</t>
  </si>
  <si>
    <t>CPO3</t>
  </si>
  <si>
    <t>CG2+CG-F2</t>
  </si>
  <si>
    <t>CG3</t>
  </si>
  <si>
    <t>CGC5+CG-F3</t>
  </si>
  <si>
    <t>CGC6</t>
  </si>
  <si>
    <t>BG2</t>
  </si>
  <si>
    <t>BG3+BG-F3</t>
  </si>
  <si>
    <t>BGC1+BGC-F1</t>
  </si>
  <si>
    <t>KP1</t>
  </si>
  <si>
    <t>CSRB2</t>
  </si>
  <si>
    <t>CSMR3+CSMR-F3</t>
  </si>
  <si>
    <t>CSMR4+CSMR-F4</t>
  </si>
  <si>
    <t>CSMRC2+CSMRC-F2</t>
  </si>
  <si>
    <t>CSMRC3+CSMRC-F3</t>
  </si>
  <si>
    <t>CSMRS1</t>
  </si>
  <si>
    <t>DSMR1+DSMR-F1</t>
  </si>
  <si>
    <t>DSMR3+DSMR-F3</t>
  </si>
  <si>
    <t>DARE1</t>
  </si>
  <si>
    <t>DSMRS1</t>
  </si>
  <si>
    <t>CAE2+CAE-F2</t>
  </si>
  <si>
    <t>CAE4+CAE-F3</t>
  </si>
  <si>
    <t>DAE3+DAE-F3</t>
  </si>
  <si>
    <t>Input~2020</t>
  </si>
  <si>
    <t>Input~2025</t>
  </si>
  <si>
    <t>Input~2030</t>
  </si>
  <si>
    <t>INVCOST~2030</t>
  </si>
  <si>
    <t>INVCOST~2025</t>
  </si>
  <si>
    <t>FIXOM~2020</t>
  </si>
  <si>
    <t>FIXOM~2025</t>
  </si>
  <si>
    <t>FIXOM~2030</t>
  </si>
  <si>
    <t>VAROM~2020</t>
  </si>
  <si>
    <t>VAROM~2025</t>
  </si>
  <si>
    <t>VAROM~2030</t>
  </si>
  <si>
    <t>Start</t>
  </si>
  <si>
    <t>*TechDesc</t>
  </si>
  <si>
    <t>SCOAH2GC01</t>
  </si>
  <si>
    <t>SCOAH2GC02</t>
  </si>
  <si>
    <t>SBIOH2GC01</t>
  </si>
  <si>
    <t>SGASH2KC01</t>
  </si>
  <si>
    <t>SBIOH2RC01</t>
  </si>
  <si>
    <t>SGASH2RC01</t>
  </si>
  <si>
    <t>SGASH2RC02</t>
  </si>
  <si>
    <t>SGASSH2RC01</t>
  </si>
  <si>
    <t>SGASH2RD01</t>
  </si>
  <si>
    <t>SGASSH2RD01</t>
  </si>
  <si>
    <t>SHFOH2POC01</t>
  </si>
  <si>
    <t>SELCH2EC01</t>
  </si>
  <si>
    <t>SELCH2EC02</t>
  </si>
  <si>
    <t xml:space="preserve">Hydrogen Supply Chain Architecture for Bottom-Up Energy Systems Models. Part 1: Developing Pathways. Pelin Bolat, Christian Thiel. European Commission, Directorate-General Joint Research Centre, Institute for Energy and Transport, Westerduinweg 3, NL-1755 LE Petten, The Netherlands </t>
  </si>
  <si>
    <t xml:space="preserve">Hydrogen Supply Chain Architecture for Bottom-Up Energy Systems Models. Part 2: Techno-Economic Inputs for Hydrogen Production Pathways. Pelin Bolat, Christian Thiel. European Commission, Directorate-General Joint Research Centre, Institute for Energy and Transport, Westerduinweg 3, NL-1755 LE Petten, The Netherlands </t>
  </si>
  <si>
    <t>SubRes_Hydrogen_ECN (SUP sheet), NRC 2004: Hydrogen Economy Appendix E</t>
  </si>
  <si>
    <t>SubRes_B-NewTechs_Pelin* (SUP sheet) - JRC</t>
  </si>
  <si>
    <t>Source</t>
  </si>
  <si>
    <t>NRC [12]  / (b)</t>
  </si>
  <si>
    <t>Parsons Group [109]  / (b)</t>
  </si>
  <si>
    <t>Dowaki et al. [111]  / (b)</t>
  </si>
  <si>
    <t>NRC [12] / (b)</t>
  </si>
  <si>
    <t>Krewitt and Schmid [56]  / (b)</t>
  </si>
  <si>
    <t>Martin and Grossmann [186] / (b)</t>
  </si>
  <si>
    <t>DOE-H2A [113] / (b)</t>
  </si>
  <si>
    <t>Lopes et al. [189] / (b)</t>
  </si>
  <si>
    <t>Luk et al. [187] / (b)</t>
  </si>
  <si>
    <t>Hydrogen Production (HP)</t>
  </si>
  <si>
    <t>Hydrogen Delivery (HD)</t>
  </si>
  <si>
    <t>PJ-a</t>
  </si>
  <si>
    <t>VAROM (M€2010/PJ)</t>
  </si>
  <si>
    <t>H2 Production-Coal Gasification, medium size, centralized</t>
  </si>
  <si>
    <t>H2 Production-Coal Gasification + Carbon Capture, big size, centralized</t>
  </si>
  <si>
    <t>H2 Production-Coal Gasification + Carbon Capture, medium size, centralized</t>
  </si>
  <si>
    <t>H2 Production-Biomass Gasification, medium size, centralized</t>
  </si>
  <si>
    <t>H2 Production-Biomass Gasification + Carbon Capture, medium size, centralized</t>
  </si>
  <si>
    <t>H2 Production-Kvaerner Process, centralized</t>
  </si>
  <si>
    <t>H2 Production-Biomass Steam Reforming, centralized</t>
  </si>
  <si>
    <t>H2 Production-Methane Steam Reforming, large size, centralized</t>
  </si>
  <si>
    <t>H2 Production-Methane Steam Reforming, small size, centralized</t>
  </si>
  <si>
    <t>H2 Production-Methane Steam Reforming + Carbon Capture, large size, centralized</t>
  </si>
  <si>
    <t>H2 Production-Methane Steam Reforming + Carbon Capture, small size, centralized</t>
  </si>
  <si>
    <t>H2 Production-Methane Steam Reforming, medium size, decentralized</t>
  </si>
  <si>
    <t>H2 Production-Ethanol Steam Reforming, decentralized</t>
  </si>
  <si>
    <t>H2 Production-Solar Steam Reforming of Methane, decentralized</t>
  </si>
  <si>
    <t>H2 Production-Central PO of Heavy Oil (CPO3)</t>
  </si>
  <si>
    <t>H2 Production-Alkaline Electrolyser, large size, centralized</t>
  </si>
  <si>
    <t>H2 Production-Alkaline Electrolyser, medium size, centralized</t>
  </si>
  <si>
    <t>JRC Pathway</t>
  </si>
  <si>
    <t>Input Commodity 3</t>
  </si>
  <si>
    <t>Output commodity</t>
  </si>
  <si>
    <t>INPUT 3</t>
  </si>
  <si>
    <t>OUTPUT</t>
  </si>
  <si>
    <t>Notes</t>
  </si>
  <si>
    <t xml:space="preserve"> (M€2010/PJ)</t>
  </si>
  <si>
    <t>TRALH2C01</t>
  </si>
  <si>
    <t>2b</t>
  </si>
  <si>
    <t>TRALH2</t>
  </si>
  <si>
    <t>TRAGH2C01</t>
  </si>
  <si>
    <t>2d</t>
  </si>
  <si>
    <t>TRAGH2</t>
  </si>
  <si>
    <t>TRALH2C02</t>
  </si>
  <si>
    <t>3b</t>
  </si>
  <si>
    <t>TRAGH2C02</t>
  </si>
  <si>
    <t>3d</t>
  </si>
  <si>
    <t>RSDGH2C01</t>
  </si>
  <si>
    <t>14a</t>
  </si>
  <si>
    <t>RSDHH2</t>
  </si>
  <si>
    <t>TRAGH2C03</t>
  </si>
  <si>
    <t>14c</t>
  </si>
  <si>
    <t>TRAGH2C04</t>
  </si>
  <si>
    <t>TRAGH2C05</t>
  </si>
  <si>
    <t>RSDGASH2C01</t>
  </si>
  <si>
    <t>16a</t>
  </si>
  <si>
    <t>COMGASH2C01</t>
  </si>
  <si>
    <t>AGRGASH2C01</t>
  </si>
  <si>
    <t>TRAGASH2C01</t>
  </si>
  <si>
    <t>INDGASH2C01</t>
  </si>
  <si>
    <t>ELCGASH2C01</t>
  </si>
  <si>
    <t>SUPGASH2C01</t>
  </si>
  <si>
    <t>RSDGH2D01</t>
  </si>
  <si>
    <t>17c</t>
  </si>
  <si>
    <t>TRAGH2D01</t>
  </si>
  <si>
    <t>19a</t>
  </si>
  <si>
    <t>Abbreviation</t>
  </si>
  <si>
    <t>COMP</t>
  </si>
  <si>
    <t>Compression</t>
  </si>
  <si>
    <t>TR</t>
  </si>
  <si>
    <t>Transmission pipeline</t>
  </si>
  <si>
    <t>LIQ</t>
  </si>
  <si>
    <t>Liquefaction</t>
  </si>
  <si>
    <t>ONSITELIQ</t>
  </si>
  <si>
    <t>On site liquefaction</t>
  </si>
  <si>
    <t>LSTORB</t>
  </si>
  <si>
    <t>Liquid Storage Bulk</t>
  </si>
  <si>
    <t>LSTORS</t>
  </si>
  <si>
    <t>Liquid Storage Small</t>
  </si>
  <si>
    <t>GSTORB</t>
  </si>
  <si>
    <t>Gas Storage Bulk</t>
  </si>
  <si>
    <t>LOCGSTORB</t>
  </si>
  <si>
    <t>Local Gas Storage Bulk</t>
  </si>
  <si>
    <t>GSTORS</t>
  </si>
  <si>
    <t>Gas Storage Small (Compressed)</t>
  </si>
  <si>
    <t>USTOR</t>
  </si>
  <si>
    <t>Underground Storage</t>
  </si>
  <si>
    <t>RTS</t>
  </si>
  <si>
    <t>Road Transportation Short</t>
  </si>
  <si>
    <t>RTL</t>
  </si>
  <si>
    <t>Road Transportation Long</t>
  </si>
  <si>
    <t>ST</t>
  </si>
  <si>
    <t>Ship Transportation</t>
  </si>
  <si>
    <t>DP</t>
  </si>
  <si>
    <t>Distribution pipeline</t>
  </si>
  <si>
    <t>HD-L-C</t>
  </si>
  <si>
    <t>NO USTOR</t>
  </si>
  <si>
    <t>HD-G-C</t>
  </si>
  <si>
    <t>HD-D</t>
  </si>
  <si>
    <t>INVCOST (M€2010/GW)</t>
  </si>
  <si>
    <t>FIXOM (M€2010/GW)</t>
  </si>
  <si>
    <t>Comm-IN-A</t>
  </si>
  <si>
    <t>S_EFF</t>
  </si>
  <si>
    <t>FLO_COST</t>
  </si>
  <si>
    <t>FLO_DELIV</t>
  </si>
  <si>
    <t>%</t>
  </si>
  <si>
    <t>Charging Cost</t>
  </si>
  <si>
    <t>Discharging Cost</t>
  </si>
  <si>
    <t>Daynite</t>
  </si>
  <si>
    <t>SYNH2CU</t>
  </si>
  <si>
    <t>SYNH2DT</t>
  </si>
  <si>
    <t>SYNH2CT</t>
  </si>
  <si>
    <t>Hydrogen storage</t>
  </si>
  <si>
    <t>EFF</t>
  </si>
  <si>
    <t>INVCOST~2050</t>
  </si>
  <si>
    <t>FIXOM~2050</t>
  </si>
  <si>
    <t>VAROM~2050</t>
  </si>
  <si>
    <t>Investment costs</t>
  </si>
  <si>
    <t>Power specific</t>
  </si>
  <si>
    <t>Energy specific</t>
  </si>
  <si>
    <t>€/(GJ/a)</t>
  </si>
  <si>
    <t>€/kWh</t>
  </si>
  <si>
    <t>Liquid storage local</t>
  </si>
  <si>
    <t>None in source</t>
  </si>
  <si>
    <t>Liquid storage bulk</t>
  </si>
  <si>
    <t>Gaseous storage small</t>
  </si>
  <si>
    <t>Gaseous storage medium</t>
  </si>
  <si>
    <t>Underground storage</t>
  </si>
  <si>
    <t>Technologie for storing liquid H2</t>
  </si>
  <si>
    <t>CAPACITY (kg/h)</t>
  </si>
  <si>
    <t>CAPACITY (MWh)</t>
  </si>
  <si>
    <t>FIXOM  (MILLION€/PJ)</t>
  </si>
  <si>
    <t>INVCOST (M€/(PJ/a))</t>
  </si>
  <si>
    <t>LIFE (year)</t>
  </si>
  <si>
    <t>Liquid Hydrogen Storage Vessels-Local storage</t>
  </si>
  <si>
    <t xml:space="preserve">Cascade Mints </t>
  </si>
  <si>
    <t>n.a</t>
  </si>
  <si>
    <t>For local storage</t>
  </si>
  <si>
    <t>Bulk  Storage</t>
  </si>
  <si>
    <t>Cascade Mints</t>
  </si>
  <si>
    <t>For bulk storage</t>
  </si>
  <si>
    <t>Technologie for storing gaseous H2 in tanks</t>
  </si>
  <si>
    <t>Gas High Pressure,Steel</t>
  </si>
  <si>
    <t>na</t>
  </si>
  <si>
    <t>For small sized</t>
  </si>
  <si>
    <t>Cylindirical Vessels</t>
  </si>
  <si>
    <t>For medium sized</t>
  </si>
  <si>
    <t>Spherical Vessels</t>
  </si>
  <si>
    <t>Not to be used</t>
  </si>
  <si>
    <t>Technologie for storing gaseous H2 underground</t>
  </si>
  <si>
    <t>INPUT</t>
  </si>
  <si>
    <t>Underground storage of H2G</t>
  </si>
  <si>
    <t>A LIFE CYCLE COST ANALYSIS
FRAMEWORK FOR GEOLOGIC
STORAGE OF HYDROGEN:
A USER’S TOOL
Anna S. Lord, Peter H. Kobos, Geoffrey T. Klise and
David J. Borns</t>
  </si>
  <si>
    <t>To be used</t>
  </si>
  <si>
    <t>CASCADE MINTS 2006</t>
  </si>
  <si>
    <t>SYNH2G</t>
  </si>
  <si>
    <t>STRH2G</t>
  </si>
  <si>
    <t>SUPELC</t>
  </si>
  <si>
    <t>&gt;50</t>
  </si>
  <si>
    <t>Specific calculation for underground storage:</t>
  </si>
  <si>
    <t>New source: A LIFE CYCLE COST ANALYSIS
FRAMEWORK FOR GEOLOGIC
STORAGE OF HYDROGEN:
A USER’S TOOL
Anna S. Lord, Peter H. Kobos, Geoffrey T. Klise and
David J. Borns</t>
  </si>
  <si>
    <t>kg/hr</t>
  </si>
  <si>
    <t>Conversion to €2010</t>
  </si>
  <si>
    <t>$2007</t>
  </si>
  <si>
    <t>MJ/kg</t>
  </si>
  <si>
    <t>Hydrogen energy content</t>
  </si>
  <si>
    <t>MJ/hr</t>
  </si>
  <si>
    <t>GJ/a</t>
  </si>
  <si>
    <t>$/(GJ/a)</t>
  </si>
  <si>
    <t>Old data:</t>
  </si>
  <si>
    <t>p 76 Cascade Mints report</t>
  </si>
  <si>
    <t>M€/(PJ/a)</t>
  </si>
  <si>
    <t xml:space="preserve">After inflation correction, this would give a value of </t>
  </si>
  <si>
    <t>Input Commodity (Aux)</t>
  </si>
  <si>
    <r>
      <t>REFLL(</t>
    </r>
    <r>
      <rPr>
        <i/>
        <sz val="11"/>
        <color theme="1"/>
        <rFont val="Calibri"/>
        <family val="2"/>
        <scheme val="minor"/>
      </rPr>
      <t>size</t>
    </r>
    <r>
      <rPr>
        <sz val="11"/>
        <rFont val="Arial"/>
        <family val="2"/>
      </rPr>
      <t>)</t>
    </r>
  </si>
  <si>
    <r>
      <t>Refueling Liquid to Liquid (</t>
    </r>
    <r>
      <rPr>
        <i/>
        <sz val="11"/>
        <color theme="1"/>
        <rFont val="Calibri"/>
        <family val="2"/>
        <scheme val="minor"/>
      </rPr>
      <t>size</t>
    </r>
    <r>
      <rPr>
        <sz val="11"/>
        <rFont val="Arial"/>
        <family val="2"/>
      </rPr>
      <t>)</t>
    </r>
  </si>
  <si>
    <r>
      <t>REFLG(</t>
    </r>
    <r>
      <rPr>
        <i/>
        <sz val="11"/>
        <color theme="1"/>
        <rFont val="Calibri"/>
        <family val="2"/>
        <scheme val="minor"/>
      </rPr>
      <t>size</t>
    </r>
    <r>
      <rPr>
        <sz val="11"/>
        <rFont val="Arial"/>
        <family val="2"/>
      </rPr>
      <t>)</t>
    </r>
  </si>
  <si>
    <r>
      <t>Refueling Liquid to Gas (</t>
    </r>
    <r>
      <rPr>
        <i/>
        <sz val="11"/>
        <color theme="1"/>
        <rFont val="Calibri"/>
        <family val="2"/>
        <scheme val="minor"/>
      </rPr>
      <t>size</t>
    </r>
    <r>
      <rPr>
        <sz val="11"/>
        <rFont val="Arial"/>
        <family val="2"/>
      </rPr>
      <t>)</t>
    </r>
  </si>
  <si>
    <r>
      <t>REFGG(</t>
    </r>
    <r>
      <rPr>
        <i/>
        <sz val="11"/>
        <color theme="1"/>
        <rFont val="Calibri"/>
        <family val="2"/>
        <scheme val="minor"/>
      </rPr>
      <t>size</t>
    </r>
    <r>
      <rPr>
        <sz val="11"/>
        <rFont val="Arial"/>
        <family val="2"/>
      </rPr>
      <t>)</t>
    </r>
  </si>
  <si>
    <r>
      <t>Refueling Gas to Gas (</t>
    </r>
    <r>
      <rPr>
        <i/>
        <sz val="11"/>
        <color theme="1"/>
        <rFont val="Calibri"/>
        <family val="2"/>
        <scheme val="minor"/>
      </rPr>
      <t>size</t>
    </r>
    <r>
      <rPr>
        <sz val="11"/>
        <rFont val="Arial"/>
        <family val="2"/>
      </rPr>
      <t>)</t>
    </r>
  </si>
  <si>
    <t>(e)</t>
  </si>
  <si>
    <t>Nuclear: Very High Temperature Reactor CHP for hydrogen production</t>
  </si>
  <si>
    <t>H2 Production-Coal Gasification, large size, centralized</t>
  </si>
  <si>
    <t>NREL/CASCADEMINTS/TIAMUCL2012/UKMARKAL / (d)</t>
  </si>
  <si>
    <t>COMP+USTOR+TR+LIQ+LSTORB+RTS+REFLL(large) (Pathway 2b)</t>
  </si>
  <si>
    <t>COMP+USTOR+TR+LIQ+LSTORB+RTS+REFLG(large) (Pathway 2d)</t>
  </si>
  <si>
    <t>COMP+TR+LIQ+LSTORB+RTS+REFLL(large)(Pathway3b)</t>
  </si>
  <si>
    <t>NREL 2004+CASCADE MINTS+TIAM UCL 2012 / (d)</t>
  </si>
  <si>
    <t>COMP+TR+LIQ+LSTORB+RTS+REFLG(large)(Pathway 3d)</t>
  </si>
  <si>
    <t>COMP+TR+DP - Residential  (Pathway 14a)</t>
  </si>
  <si>
    <t>COMP+TR+DP+REFGG(large) (Pathway 14c)</t>
  </si>
  <si>
    <t>COMP+USTOR+TR+BLENDING+(nocosNATGASINF) - Residential  (Pathway 16a)</t>
  </si>
  <si>
    <t>LOCGSTORB+DP+Residential  (Pathway 17c)</t>
  </si>
  <si>
    <t>LOCGSTORB + REFGG (Small) (Pathway 19a)</t>
  </si>
  <si>
    <t>Coal</t>
  </si>
  <si>
    <t>Electricity</t>
  </si>
  <si>
    <t>H2 Gaseous</t>
  </si>
  <si>
    <t>Biomass</t>
  </si>
  <si>
    <t>Natural Gas</t>
  </si>
  <si>
    <t>Solar Electricity</t>
  </si>
  <si>
    <t>Ethanol</t>
  </si>
  <si>
    <t>Heavy Fuel Oil</t>
  </si>
  <si>
    <t>Diesel</t>
  </si>
  <si>
    <t>H2 Liquid (TRA)</t>
  </si>
  <si>
    <t>H2 Gaseous (TRA)</t>
  </si>
  <si>
    <t>H2 Gaseous (RSD)</t>
  </si>
  <si>
    <t>Blended Natural Gas (RSD)</t>
  </si>
  <si>
    <t>Blended Natural Gas (COM)</t>
  </si>
  <si>
    <t>Blended Natural Gas (AGR)</t>
  </si>
  <si>
    <t>Blended Natural Gas (TRA)</t>
  </si>
  <si>
    <t>Blended Natural Gas (IND)</t>
  </si>
  <si>
    <t>Blended Natural Gas (ELC)</t>
  </si>
  <si>
    <t>Blended Natural Gas (SUP)</t>
  </si>
  <si>
    <t>Fuel Tech - H2 Delivery from centralized production (COMP+USTOR+TR+LIQ+LSTORB+RTS+REFLL(large))</t>
  </si>
  <si>
    <t>Fuel Tech - H2 Delivery from centralized production (COMP+USTOR+TR+LIQ+LSTORB+RTS+REFLG(large))</t>
  </si>
  <si>
    <t>Fuel Tech - H2 Delivery from centralized production (COMP+TR+LIQ+LSTORB+RTS+REFLL(large))</t>
  </si>
  <si>
    <t>Fuel Tech - H2 Delivery from centralized production (COMP+TR+LIQ+LSTORB+RTS+REFLG(large))</t>
  </si>
  <si>
    <t>ELCHIG</t>
  </si>
  <si>
    <t>GASNAT</t>
  </si>
  <si>
    <t>ELCSOL</t>
  </si>
  <si>
    <t>RSDGAS</t>
  </si>
  <si>
    <t>COMGAS</t>
  </si>
  <si>
    <t>TRAGAS</t>
  </si>
  <si>
    <t>INDGAS</t>
  </si>
  <si>
    <t>ELCGAS</t>
  </si>
  <si>
    <t>SUPGAS</t>
  </si>
  <si>
    <t>SETHH2RD01</t>
  </si>
  <si>
    <t>Taken from ETRI currency conversion</t>
  </si>
  <si>
    <t>CURRENCY/TIME</t>
  </si>
  <si>
    <t>2001</t>
  </si>
  <si>
    <t>2002</t>
  </si>
  <si>
    <t>2003</t>
  </si>
  <si>
    <t>2004</t>
  </si>
  <si>
    <t>2005</t>
  </si>
  <si>
    <t>2006</t>
  </si>
  <si>
    <t>2007</t>
  </si>
  <si>
    <t>2008</t>
  </si>
  <si>
    <t>2009</t>
  </si>
  <si>
    <t>2010</t>
  </si>
  <si>
    <t>2011</t>
  </si>
  <si>
    <t>2012</t>
  </si>
  <si>
    <t>Euro</t>
  </si>
  <si>
    <t>INDGH2C01</t>
  </si>
  <si>
    <t>Fuel Tech - H2 Delivery from centralized production (COMP+TR+DP - Industrial)</t>
  </si>
  <si>
    <t>H2 Gaseous (IND)</t>
  </si>
  <si>
    <t>INDHH2</t>
  </si>
  <si>
    <t>input to TIMES</t>
  </si>
  <si>
    <t>Values from file TABLESOFARTICLELAST06062014.xlsx</t>
  </si>
  <si>
    <t>Investment</t>
  </si>
  <si>
    <t>FOM</t>
  </si>
  <si>
    <t>VOM</t>
  </si>
  <si>
    <t>LC2</t>
  </si>
  <si>
    <t>TP1</t>
  </si>
  <si>
    <t>LHL4</t>
  </si>
  <si>
    <t>SHL2</t>
  </si>
  <si>
    <t>SDLR1</t>
  </si>
  <si>
    <t>DP2</t>
  </si>
  <si>
    <t>REFLL(large)</t>
  </si>
  <si>
    <t>LLRF5</t>
  </si>
  <si>
    <t>REFLG(large)</t>
  </si>
  <si>
    <t>LGRF3</t>
  </si>
  <si>
    <t>REFGG(large)</t>
  </si>
  <si>
    <t>GGRF4</t>
  </si>
  <si>
    <t>REFGG(small)</t>
  </si>
  <si>
    <t>SGGRF5</t>
  </si>
  <si>
    <t>UHSsc3</t>
  </si>
  <si>
    <t>GHST10</t>
  </si>
  <si>
    <t>GHST6</t>
  </si>
  <si>
    <t>LHST18</t>
  </si>
  <si>
    <t>INVCOST 2010</t>
  </si>
  <si>
    <t>INVCOST 2025</t>
  </si>
  <si>
    <t>FIXOM 2010</t>
  </si>
  <si>
    <t>FIXOM 2025</t>
  </si>
  <si>
    <t>VAROM 2010</t>
  </si>
  <si>
    <t>VAROM 2025</t>
  </si>
  <si>
    <t>€/GJ/a</t>
  </si>
  <si>
    <t>All costs for underground storage have been excluded from the delivery processes</t>
  </si>
  <si>
    <t>ELCMED</t>
  </si>
  <si>
    <t>Hydrogen Fuel Cell</t>
  </si>
  <si>
    <t>Eff~2010</t>
  </si>
  <si>
    <t>Eff~2020</t>
  </si>
  <si>
    <t>Eff~2030</t>
  </si>
  <si>
    <t>Eff~2040</t>
  </si>
  <si>
    <t>Eff~2050</t>
  </si>
  <si>
    <t>INVCOST~2010</t>
  </si>
  <si>
    <t>INVCOST~2040</t>
  </si>
  <si>
    <t>VAROM~2010</t>
  </si>
  <si>
    <t>VAROM~2040</t>
  </si>
  <si>
    <t>ELE</t>
  </si>
  <si>
    <t>EUH2FCPEM</t>
  </si>
  <si>
    <t>PEM fuel cell system running on hydrogen 100 kW based</t>
  </si>
  <si>
    <t xml:space="preserve">It concerns a 100 kW PEM fuel cell system running on hydrogen. </t>
  </si>
  <si>
    <t>Technical</t>
  </si>
  <si>
    <t xml:space="preserve">Net electrical power </t>
  </si>
  <si>
    <t>MW</t>
  </si>
  <si>
    <t>Gross capacity</t>
  </si>
  <si>
    <t>Electrical efficiency @peak electrical load</t>
  </si>
  <si>
    <t xml:space="preserve">Electrical efficiency </t>
  </si>
  <si>
    <t xml:space="preserve">Thermal efficiency </t>
  </si>
  <si>
    <t>Heat to power ratio</t>
  </si>
  <si>
    <t>Max. capacity factor</t>
  </si>
  <si>
    <t>Avg. capacity factor</t>
  </si>
  <si>
    <t>Technical lifetime</t>
  </si>
  <si>
    <t>years</t>
  </si>
  <si>
    <t>Economic lifetime</t>
  </si>
  <si>
    <t>Costs</t>
  </si>
  <si>
    <t xml:space="preserve">CAPEX ref </t>
  </si>
  <si>
    <r>
      <t>€</t>
    </r>
    <r>
      <rPr>
        <i/>
        <vertAlign val="subscript"/>
        <sz val="10"/>
        <rFont val="Calibri"/>
        <family val="2"/>
      </rPr>
      <t>2013</t>
    </r>
    <r>
      <rPr>
        <i/>
        <sz val="10"/>
        <rFont val="Calibri"/>
        <family val="2"/>
      </rPr>
      <t>/kWe</t>
    </r>
  </si>
  <si>
    <t xml:space="preserve">CAPEX low </t>
  </si>
  <si>
    <t xml:space="preserve">CAPEX high </t>
  </si>
  <si>
    <t>Quality of CAPEX estimate</t>
  </si>
  <si>
    <t>low</t>
  </si>
  <si>
    <t>CAPEX learning rate</t>
  </si>
  <si>
    <t>VOM (Euro/GJ)</t>
  </si>
  <si>
    <t xml:space="preserve">FOM </t>
  </si>
  <si>
    <t>% of CAPEX ref.</t>
  </si>
  <si>
    <t>includes annual O&amp;M as well as fuel cell stack replacements to enable extension of the technical lifetime to the economic lifetime.</t>
  </si>
  <si>
    <t>VOM*</t>
  </si>
  <si>
    <r>
      <t>€</t>
    </r>
    <r>
      <rPr>
        <i/>
        <vertAlign val="subscript"/>
        <sz val="10"/>
        <rFont val="Calibri"/>
        <family val="2"/>
      </rPr>
      <t>2013</t>
    </r>
    <r>
      <rPr>
        <i/>
        <sz val="10"/>
        <rFont val="Calibri"/>
        <family val="2"/>
      </rPr>
      <t>/MWh</t>
    </r>
  </si>
  <si>
    <t>Environmental</t>
  </si>
  <si>
    <t xml:space="preserve">Direct GHG emissions </t>
  </si>
  <si>
    <r>
      <t>tCO</t>
    </r>
    <r>
      <rPr>
        <i/>
        <vertAlign val="subscript"/>
        <sz val="10"/>
        <rFont val="Calibri"/>
        <family val="2"/>
      </rPr>
      <t>2</t>
    </r>
    <r>
      <rPr>
        <i/>
        <sz val="10"/>
        <rFont val="Calibri"/>
        <family val="2"/>
      </rPr>
      <t>(eq)/GWh</t>
    </r>
  </si>
  <si>
    <t xml:space="preserve">Indirect GHG emissions </t>
  </si>
  <si>
    <t>Water consumed</t>
  </si>
  <si>
    <t>l/kWh</t>
  </si>
  <si>
    <t>Water withdrawn</t>
  </si>
  <si>
    <t>GHST9</t>
  </si>
  <si>
    <t>GHST5</t>
  </si>
  <si>
    <t>(1998)$ --&gt; (2010)$</t>
  </si>
  <si>
    <t>http://www.eia.gov/totalenergy/data/annual/showtext.cfm?t=ptb1501</t>
  </si>
  <si>
    <t>(2010) $ --&gt; (2013) EUR</t>
  </si>
  <si>
    <t>ETRI</t>
  </si>
  <si>
    <t xml:space="preserve"> (2013) EUR --&gt;  (2012) EUR</t>
  </si>
  <si>
    <t>Input~2050</t>
  </si>
  <si>
    <t>LHV</t>
  </si>
  <si>
    <t>CH4</t>
  </si>
  <si>
    <t>kJ/mol</t>
  </si>
  <si>
    <t>H2</t>
  </si>
  <si>
    <t>Mass</t>
  </si>
  <si>
    <t>PM</t>
  </si>
  <si>
    <t>g/mol</t>
  </si>
  <si>
    <t>Z</t>
  </si>
  <si>
    <t>10 MPa and 365 K</t>
  </si>
  <si>
    <t>Density</t>
  </si>
  <si>
    <t>kg/m3</t>
  </si>
  <si>
    <t>1 atm and 25 C</t>
  </si>
  <si>
    <t>mol/m3</t>
  </si>
  <si>
    <t>H2 limit</t>
  </si>
  <si>
    <t>m3</t>
  </si>
  <si>
    <t>Volume</t>
  </si>
  <si>
    <t>Energy</t>
  </si>
  <si>
    <t>MJ</t>
  </si>
  <si>
    <t>H2 fraction</t>
  </si>
  <si>
    <t>kg</t>
  </si>
  <si>
    <t>Calculation for converting a volume fraction to an energy fraction at different conditions</t>
  </si>
  <si>
    <t>LIFE~2020</t>
  </si>
  <si>
    <t>LIFE~2030</t>
  </si>
  <si>
    <t>LIFE~2050</t>
  </si>
  <si>
    <t>Validated with Portuguese Report</t>
  </si>
  <si>
    <t>Left was was from JRC - not considered important for Portuguese TMES_PT</t>
  </si>
  <si>
    <t>Pure H2</t>
  </si>
  <si>
    <t>yes</t>
  </si>
  <si>
    <t>no</t>
  </si>
  <si>
    <t>SGASH2RCCS01</t>
  </si>
  <si>
    <t>SGASH2RCCS02</t>
  </si>
  <si>
    <t>SCOAH2GCCS01</t>
  </si>
  <si>
    <t>SCOAH2GCCS02</t>
  </si>
  <si>
    <t>SBIOH2GCCS01</t>
  </si>
  <si>
    <t>H2 Production-CSP Solar Steam Reforming of Methane, centralized</t>
  </si>
  <si>
    <t>H2 Production-Alkaline Electrolyser, extra large size, centralized</t>
  </si>
  <si>
    <t>Fuel Cells &amp; H2 Joint Undertaking</t>
  </si>
  <si>
    <t>(f)</t>
  </si>
  <si>
    <t>New techn introduced from PT Report</t>
  </si>
  <si>
    <t>SELCH2EC03</t>
  </si>
  <si>
    <t>SELCH2EC04</t>
  </si>
  <si>
    <t>Max hours of use</t>
  </si>
  <si>
    <t>SELCH2EC05</t>
  </si>
  <si>
    <t>SELCH2EC06</t>
  </si>
  <si>
    <t>SELCH2EC07</t>
  </si>
  <si>
    <t>H2 Production-PEM Electrolyser, large size, centralized</t>
  </si>
  <si>
    <t>H2 Production-PEM Electrolyser, medium size, centralized</t>
  </si>
  <si>
    <t>HP-EA</t>
  </si>
  <si>
    <t>HP-EP</t>
  </si>
  <si>
    <t>DOE, NRC (g)</t>
  </si>
  <si>
    <t>(g)</t>
  </si>
  <si>
    <t>SELCH2EC08</t>
  </si>
  <si>
    <t>SELCH2EC09</t>
  </si>
  <si>
    <t>H2 Production-Alkaline Electrolyser, wind offgrid, centralized</t>
  </si>
  <si>
    <t>H2 Production-Alkaline Electrolyser, PV offgrid, centralized</t>
  </si>
  <si>
    <t>NRC (h)</t>
  </si>
  <si>
    <t>SELCH2EC091</t>
  </si>
  <si>
    <t>H2 Production-PEM Electrolyser, offshore, centralized</t>
  </si>
  <si>
    <t>Meier 2014 and Shell 2017 (i)</t>
  </si>
  <si>
    <t>(i)</t>
  </si>
  <si>
    <t>(h)</t>
  </si>
  <si>
    <t>HP-ES</t>
  </si>
  <si>
    <t>H2 Production-SOE Electrolyser, offshore, centralized</t>
  </si>
  <si>
    <t>SELCH2EC092</t>
  </si>
  <si>
    <t>SELCH2EC093</t>
  </si>
  <si>
    <t>Wind Electricity</t>
  </si>
  <si>
    <t>Wind Offshore Electricity</t>
  </si>
  <si>
    <t>PV Electricity</t>
  </si>
  <si>
    <t>(j)</t>
  </si>
  <si>
    <t>SYNH2DTP</t>
  </si>
  <si>
    <t>SYNH2DTR</t>
  </si>
  <si>
    <t>SYNH2DI</t>
  </si>
  <si>
    <t>H2 Production-Methane Steam Reforming, medium size, IND decentralized</t>
  </si>
  <si>
    <t>SGASH2RDIND01</t>
  </si>
  <si>
    <t>SGASH2RDCOM01</t>
  </si>
  <si>
    <t>SGASH2RDRSD01</t>
  </si>
  <si>
    <t>H2 Production-Methane Steam Reforming, small size, RSD decentralized</t>
  </si>
  <si>
    <t>H2 Production-Methane Steam Reforming, small size, COM decentralized</t>
  </si>
  <si>
    <t>COMELC</t>
  </si>
  <si>
    <t>RSDELC</t>
  </si>
  <si>
    <t>SYNH2DC</t>
  </si>
  <si>
    <t>SYNH2DR</t>
  </si>
  <si>
    <t>H2 Production-Biomass Gasification, small size, COM decentralized</t>
  </si>
  <si>
    <t>H2 Production-Biomass Gasification, small size, RSD decentralized</t>
  </si>
  <si>
    <t>SBIOH2GDCOM01</t>
  </si>
  <si>
    <t>SBIOH2GDRSD01</t>
  </si>
  <si>
    <t>H2 Production-Biomass Gasification, small size, TRA truck decentralized</t>
  </si>
  <si>
    <t>H2 Production-Biomass Gasification, small size, TRA tank decentralized</t>
  </si>
  <si>
    <t>SBIOH2GDTRA01</t>
  </si>
  <si>
    <t>SBIOH2GDTRA02</t>
  </si>
  <si>
    <t>ELCPV</t>
  </si>
  <si>
    <t>H2 Production-Methane Steam Reforming, small size TRA tank, decentralized</t>
  </si>
  <si>
    <t>H2 Production-Methane Steam Reforming, small size, TRA truck decentralized</t>
  </si>
  <si>
    <t>SGASH2RDTRA02</t>
  </si>
  <si>
    <t>SGASH2RDTRA03</t>
  </si>
  <si>
    <t>H2 Production-Alkaline Electrolyser, off grid TRA tank, decentralized</t>
  </si>
  <si>
    <t>H2 Production-Alkaline Electrolyser, off grid TRAs truck, decentralized</t>
  </si>
  <si>
    <t>SELCH2EDTRA04</t>
  </si>
  <si>
    <t>SELCH2EDTRA05</t>
  </si>
  <si>
    <t>INDELC</t>
  </si>
  <si>
    <t xml:space="preserve">~FI_T: </t>
  </si>
  <si>
    <t>Liberatore, R., Lanchi, M., Giaconia, A., Tarquini, P., 2012. Energy and economic assessment of an industrial plant for the hydrogen production by water-splitting through the sulfur-iodine thermochemical cycle powered by concentrated solar energy. International Journal of Hydrogen Energy 37, 9550–9565. https://doi.org/10.1016/j.ijhydene.2012.03.088</t>
  </si>
  <si>
    <t>Meier, K., 2014. Hydrogen production with sea water electrolysis using Norwegian offshore wind energy potentials: Techno-economic assessment for an offshore-based hydrogen production approach with state-of-the-art technology. Int. J. Energy Environ. Eng. 5. https://doi.org/10.1007/s40095-014-0104-6 AND Shell, 2017. Energy for the future? Sustainable Mobility through Fuel Cells and H2.</t>
  </si>
  <si>
    <t>NRC (2004) The hydrogen economy – opportunities, costs, barriers, and R&amp;D needs, National Academy Press, Washington</t>
  </si>
  <si>
    <t xml:space="preserve">DOE/NREL (2017) Comparison of conventional vs. modular hydrogen refueling stations, and on-site production  vs. delivery. </t>
  </si>
  <si>
    <t>Fuel Cell and Hydrogen Joint Undertaking, 2017. Development of Business Cases for Fuel Cells and Hydrogen Applications for Regions and Cities.</t>
  </si>
  <si>
    <t>RSDGH2D02</t>
  </si>
  <si>
    <t>COMGH2D02</t>
  </si>
  <si>
    <t>Fuel Tech - H2 Delivery from local production (No need for storage COM)</t>
  </si>
  <si>
    <t>Fuel Tech - H2 Delivery from local production (No need for storage RSD)</t>
  </si>
  <si>
    <t>Fuel Tech - H2 Delivery from local production (LOCGSTORB+DP - RSD)</t>
  </si>
  <si>
    <t>INDGH2D02</t>
  </si>
  <si>
    <t>H2 Gaseous (COM)</t>
  </si>
  <si>
    <t>Fuel Tech - H2 Delivery from local production (COMP+LOCGSTORB IND)</t>
  </si>
  <si>
    <t>Storage in petrol station in truck</t>
  </si>
  <si>
    <t>TRAGH2C06</t>
  </si>
  <si>
    <t>storage in petrol station in trucks sizes p1 to p6</t>
  </si>
  <si>
    <t>storage in petrol station in tank</t>
  </si>
  <si>
    <t>LOCGSTORTR</t>
  </si>
  <si>
    <t>LOCGSTORTK</t>
  </si>
  <si>
    <t>Storage in petrol station in tank</t>
  </si>
  <si>
    <t>Fuel Tech - H2 Delivery from centralized production to blending (COMP+GSTORB+TR+BLENDING+(nocosNATGASINF))-RSD</t>
  </si>
  <si>
    <t>Fuel Tech - H2 Delivery from centralized production to blending (COMP+GSTORB+TR+BLENDING+(nocosNATGASINF))-COM</t>
  </si>
  <si>
    <t>Fuel Tech - H2 Delivery from centralized production to blending (COMP+GSTORB+TR+BLENDING+(nocosNATGASINF))-AGR</t>
  </si>
  <si>
    <t>Fuel Tech - H2 Delivery from centralized production to blending (COMP+GSTORB+TR+BLENDING+(nocosNATGASINF))-TRA</t>
  </si>
  <si>
    <t>Fuel Tech - H2 Delivery from centralized production to blending (COMP+GSTORB+TR+BLENDING+(nocosNATGASINF))-IND</t>
  </si>
  <si>
    <t>Fuel Tech - H2 Delivery from centralized production to blending (COMP+GSTORB+TR+BLENDING+(nocosNATGASINF))-ELC</t>
  </si>
  <si>
    <t>Fuel Tech - H2 Delivery from centralized production to blending (COMP+GSTORB+TR+BLENDING+(nocosNATGASINF))-SUP</t>
  </si>
  <si>
    <t>COMHH2</t>
  </si>
  <si>
    <t>COMGH2C01</t>
  </si>
  <si>
    <t>Fuel Tech - H2 Delivery from centralized production (COMP+GSTORB+TR+DP - COM)</t>
  </si>
  <si>
    <t>Fuel Tech - H2 Delivery from centralized production (COMP+GSTORB+TR+DP - RSD)</t>
  </si>
  <si>
    <t>Fuel Tech - H2 Delivery from centralized production (COMP+GSTORB +RTS+REFGG(average) with storage in tanks)</t>
  </si>
  <si>
    <t>Fuel Tech - H2 Delivery from centralized production (COMP+GSTORB +RTS+REFGG(average) with storage in trucks)</t>
  </si>
  <si>
    <t>Fuel Tech - H2 Delivery from centralized production (COMP+TR+TD+REFGG(average) with storage in tanks)</t>
  </si>
  <si>
    <t>Fuel Tech - H2 Delivery from centralized production (COMP+TR+TD+REFGG(average) with storage in trucks)</t>
  </si>
  <si>
    <t>Fuel Tech - H2 Delivery from local production (REFGG (average)+storage in tank)</t>
  </si>
  <si>
    <t>TRAGH2D02</t>
  </si>
  <si>
    <t>Fuel Tech - H2 Delivery from local production (REFGG (average)+storage in truck)</t>
  </si>
  <si>
    <t>TRADSTB30</t>
  </si>
  <si>
    <t>ELCWOF</t>
  </si>
  <si>
    <t>ELCCSP</t>
  </si>
  <si>
    <t>ELCWON</t>
  </si>
  <si>
    <t xml:space="preserve">\I: </t>
  </si>
  <si>
    <t>SUPCOA</t>
  </si>
  <si>
    <t>SUPBIO</t>
  </si>
  <si>
    <t>SUPHFO</t>
  </si>
  <si>
    <t>BIOETH</t>
  </si>
  <si>
    <t>AGRGAS</t>
  </si>
  <si>
    <t>\I:</t>
  </si>
  <si>
    <t>Campos Rodrigues mail de 24 de Setembro</t>
  </si>
  <si>
    <t>H2 Production-PEM Electrolyser, small-medium size , centralized</t>
  </si>
  <si>
    <t>H2 Production-PEM Electrolyser, medium-large size, centralized</t>
  </si>
  <si>
    <t>SELCH2EC094</t>
  </si>
  <si>
    <t>SELCH2EC095</t>
  </si>
  <si>
    <t>Fuel Cells &amp; H2 Joint Undertaking changed by Campos Rodrigues</t>
  </si>
  <si>
    <t>conversor 2013 to 2000</t>
  </si>
  <si>
    <t>Meier 2014 and Shell 2017 (i) alterado pelo Campos Rodrigues</t>
  </si>
  <si>
    <t>SPIPGASB20100</t>
  </si>
  <si>
    <t>GASNAT10</t>
  </si>
  <si>
    <t>GASNAT20</t>
  </si>
  <si>
    <t>Gas Pipelines Blending 10%</t>
  </si>
  <si>
    <t>Gas Pipelines Blending 20%</t>
  </si>
  <si>
    <t>Fuel Tech New - Natural Gas (COM)</t>
  </si>
  <si>
    <t>COMGAS20</t>
  </si>
  <si>
    <t>NATGAS</t>
  </si>
  <si>
    <t>Fuel Tech New - Natural Gas (RSD)</t>
  </si>
  <si>
    <t>RSDGAS20</t>
  </si>
  <si>
    <t>Fuel Tech New - Natural Gas (IND)</t>
  </si>
  <si>
    <t>INDGAS20</t>
  </si>
  <si>
    <t>Fuel Tech New - Natural Gas (ELC)</t>
  </si>
  <si>
    <t>ELCGAS20</t>
  </si>
  <si>
    <t>SUPGH2D02</t>
  </si>
  <si>
    <t>SUPHH2</t>
  </si>
  <si>
    <t>SYNH2DS</t>
  </si>
  <si>
    <t>Gas Pipelines Blending 6%</t>
  </si>
  <si>
    <t>SPIPGASB6100</t>
  </si>
  <si>
    <t>GASNAT6</t>
  </si>
  <si>
    <t>COMGAS06</t>
  </si>
  <si>
    <t>RSDGAS06</t>
  </si>
  <si>
    <t>INDGAS06</t>
  </si>
  <si>
    <t>ELCGAS06</t>
  </si>
  <si>
    <t>COMGAS6</t>
  </si>
  <si>
    <t>RSDGAS6</t>
  </si>
  <si>
    <t>INDGAS6</t>
  </si>
  <si>
    <t>ELCGAS6</t>
  </si>
  <si>
    <t>SPIPGASB10100</t>
  </si>
  <si>
    <t>COMGAS10</t>
  </si>
  <si>
    <t>RSDGAS10</t>
  </si>
  <si>
    <t>INDGAS10</t>
  </si>
  <si>
    <t>ELCGAS10</t>
  </si>
  <si>
    <t>Centralised Hydrogen Underground Storage (cavernas de sal)</t>
  </si>
  <si>
    <r>
      <t xml:space="preserve">Centralised Hydrogen Gas Tank Storage (centralized)  - </t>
    </r>
    <r>
      <rPr>
        <b/>
        <sz val="10"/>
        <color theme="9" tint="-0.249977111117893"/>
        <rFont val="Arial"/>
        <family val="2"/>
      </rPr>
      <t>compressed</t>
    </r>
  </si>
  <si>
    <r>
      <t xml:space="preserve">Centralised Hydrogen Gas Tank Storage (centralized) - </t>
    </r>
    <r>
      <rPr>
        <b/>
        <sz val="10"/>
        <rFont val="Arial"/>
        <family val="2"/>
      </rPr>
      <t>cryogenic</t>
    </r>
  </si>
  <si>
    <r>
      <t xml:space="preserve">NH3 production + Tank with </t>
    </r>
    <r>
      <rPr>
        <b/>
        <sz val="10"/>
        <rFont val="Arial"/>
        <family val="2"/>
      </rPr>
      <t>NH3 liquid</t>
    </r>
    <r>
      <rPr>
        <sz val="10"/>
        <rFont val="Arial"/>
        <family val="2"/>
      </rPr>
      <t xml:space="preserve"> </t>
    </r>
    <r>
      <rPr>
        <b/>
        <sz val="10"/>
        <color theme="9" tint="-0.249977111117893"/>
        <rFont val="Arial"/>
        <family val="2"/>
      </rPr>
      <t>cryogenic</t>
    </r>
    <r>
      <rPr>
        <sz val="10"/>
        <rFont val="Arial"/>
        <family val="2"/>
      </rPr>
      <t xml:space="preserve"> + conversion to H2</t>
    </r>
  </si>
  <si>
    <t>Distributed Hydrogen Gas Tank Storage</t>
  </si>
  <si>
    <t>Distributed Hydrogen Gas Tank Storage (small storage in petrol stations)</t>
  </si>
  <si>
    <t>Distributed Hydrogen Gas (storage in trucks in petrol stations)</t>
  </si>
  <si>
    <t>ESTH2S101</t>
  </si>
  <si>
    <t>ESTH2S102</t>
  </si>
  <si>
    <t>ESTH2S103</t>
  </si>
  <si>
    <t>ESTH2S104</t>
  </si>
  <si>
    <t>ESTH2S105</t>
  </si>
  <si>
    <t>ESTH2S106</t>
  </si>
  <si>
    <t>ESTH2S107</t>
  </si>
  <si>
    <t>EUR/GJ</t>
  </si>
  <si>
    <t>SPIPH2100</t>
  </si>
  <si>
    <t>SYNH2UG</t>
  </si>
  <si>
    <t>COMGH2C02</t>
  </si>
  <si>
    <t>COMGH2C03</t>
  </si>
  <si>
    <t>COMGH2C04</t>
  </si>
  <si>
    <t>RSDGH2C02</t>
  </si>
  <si>
    <t>RSDGH2C03</t>
  </si>
  <si>
    <t>RSDGH2C04</t>
  </si>
  <si>
    <t>INDGH2C02</t>
  </si>
  <si>
    <t>INDGH2C03</t>
  </si>
  <si>
    <t>INDGH2C04</t>
  </si>
  <si>
    <t>COMGH2C05</t>
  </si>
  <si>
    <t>COMGH2C06</t>
  </si>
  <si>
    <t>COMGH2C07</t>
  </si>
  <si>
    <t>COMGH2C08</t>
  </si>
  <si>
    <t>COMGH2D01</t>
  </si>
  <si>
    <t>COMGH2D03</t>
  </si>
  <si>
    <t>COMGH2D04</t>
  </si>
  <si>
    <t>RSDGH2C05</t>
  </si>
  <si>
    <t>RSDGH2C06</t>
  </si>
  <si>
    <t>RSDGH2C07</t>
  </si>
  <si>
    <t>RSDGH2C08</t>
  </si>
  <si>
    <t>RSDGH2D03</t>
  </si>
  <si>
    <t>RSDGH2D04</t>
  </si>
  <si>
    <t>INDGH2C05</t>
  </si>
  <si>
    <t>INDGH2C06</t>
  </si>
  <si>
    <t>INDGH2C07</t>
  </si>
  <si>
    <t>INDGH2C08</t>
  </si>
  <si>
    <t>INDGH2D01</t>
  </si>
  <si>
    <t>INDGH2D03</t>
  </si>
  <si>
    <t>INDGH2D04</t>
  </si>
  <si>
    <t>COM H2 delivery + Cprod + US + H2pipeline</t>
  </si>
  <si>
    <t>COM H2 delivery + Cprod + CT+ H2pipeline</t>
  </si>
  <si>
    <t>COM H2 delivery + Cprod + US + 6%blending</t>
  </si>
  <si>
    <t>COM H2 delivery + Cprod + CT + 6%blending</t>
  </si>
  <si>
    <t>COM H2 delivery + Cprod + US + 10%blending</t>
  </si>
  <si>
    <t>COM H2 delivery + Cprod + CT + 10%blending</t>
  </si>
  <si>
    <t>COM H2 delivery + Cprod + US + 20%blending</t>
  </si>
  <si>
    <t>COM H2 delivery + Cprod + CT + 20%blending</t>
  </si>
  <si>
    <t>COM H2 delivery + Dprod + H2pipeline</t>
  </si>
  <si>
    <t>COM H2 delivery +Dprod + 6%blending</t>
  </si>
  <si>
    <t>COM H2 delivery + Dprod + 10%blending</t>
  </si>
  <si>
    <t>COM H2 delivery + Dprod + 20%blending</t>
  </si>
  <si>
    <t>RSD H2 delivery + Cprod + US + H2pipeline</t>
  </si>
  <si>
    <t>RSD H2 delivery + Cprod + CT+ H2pipeline</t>
  </si>
  <si>
    <t>RSD H2 delivery + Cprod + US + 6%blending</t>
  </si>
  <si>
    <t>RSD H2 delivery + Cprod + CT + 6%blending</t>
  </si>
  <si>
    <t>RSD H2 delivery + Cprod + US + 10%blending</t>
  </si>
  <si>
    <t>RSD H2 delivery + Cprod + CT + 10%blending</t>
  </si>
  <si>
    <t>RSD H2 delivery + Cprod + US + 20%blending</t>
  </si>
  <si>
    <t>RSD H2 delivery + Cprod + CT + 20%blending</t>
  </si>
  <si>
    <t>RSD H2 delivery + Dprod + H2pipeline</t>
  </si>
  <si>
    <t>RSD H2 delivery +Dprod + 6%blending</t>
  </si>
  <si>
    <t>RSD H2 delivery + Dprod + 10%blending</t>
  </si>
  <si>
    <t>RSD H2 delivery + Dprod + 20%blending</t>
  </si>
  <si>
    <t>IND H2 delivery + Cprod + US + H2pipeline</t>
  </si>
  <si>
    <t>IND H2 delivery + Cprod + CT+ H2pipeline</t>
  </si>
  <si>
    <t>IND H2 delivery + Cprod + US + 6%blending</t>
  </si>
  <si>
    <t>IND H2 delivery + Cprod + CT + 6%blending</t>
  </si>
  <si>
    <t>IND H2 delivery + Cprod + US + 10%blending</t>
  </si>
  <si>
    <t>IND H2 delivery + Cprod + CT + 10%blending</t>
  </si>
  <si>
    <t>IND H2 delivery + Cprod + US + 20%blending</t>
  </si>
  <si>
    <t>IND H2 delivery + Cprod + CT + 20%blending</t>
  </si>
  <si>
    <t>IND H2 delivery + Dprod + H2pipeline</t>
  </si>
  <si>
    <t>IND H2 delivery +Dprod + 6%blending</t>
  </si>
  <si>
    <t>IND H2 delivery + Dprod + 10%blending</t>
  </si>
  <si>
    <t>IND H2 delivery + Dprod + 20%blending</t>
  </si>
  <si>
    <t/>
  </si>
  <si>
    <t>SBIOH2GUG01</t>
  </si>
  <si>
    <t>SGASH2KUG01</t>
  </si>
  <si>
    <t>SBIOH2RUG01</t>
  </si>
  <si>
    <t>SGASH2RUG02</t>
  </si>
  <si>
    <t>SGASSH2RUG01</t>
  </si>
  <si>
    <t>SHFOH2POUG01</t>
  </si>
  <si>
    <t>CAPEX</t>
  </si>
  <si>
    <t>Fonte: IEA (https://www.iea.org/reports/the-future-of-hydrogen)</t>
  </si>
  <si>
    <t>Fonte: EDP (compilação de fontes externas)</t>
  </si>
  <si>
    <t>Lifetime</t>
  </si>
  <si>
    <t>Efficiency</t>
  </si>
  <si>
    <t>Electrólise Alcalina</t>
  </si>
  <si>
    <t xml:space="preserve">Centralizada </t>
  </si>
  <si>
    <t xml:space="preserve">€16/kW </t>
  </si>
  <si>
    <t>% CAPEX/year</t>
  </si>
  <si>
    <t>operating hours</t>
  </si>
  <si>
    <t>kWh(LHV-H2)/kWhe(input)</t>
  </si>
  <si>
    <t>Posto de abastecimento</t>
  </si>
  <si>
    <t>1MW, @P atm</t>
  </si>
  <si>
    <t>5MW, @P atm</t>
  </si>
  <si>
    <t>100MW, @P atm</t>
  </si>
  <si>
    <t>Eólica, offgrid</t>
  </si>
  <si>
    <t>Solar, offgrid</t>
  </si>
  <si>
    <t>Off site 1 MW (30 bar)</t>
  </si>
  <si>
    <t>Electrólise PEM</t>
  </si>
  <si>
    <t>1MW, @30 bar</t>
  </si>
  <si>
    <t>1 MW (30 bar)</t>
  </si>
  <si>
    <t>4 MW (30 bar)</t>
  </si>
  <si>
    <t>5MW, @30 bar</t>
  </si>
  <si>
    <t>15 MW@30bar</t>
  </si>
  <si>
    <t>100MW, @30 bar</t>
  </si>
  <si>
    <t>Offshore</t>
  </si>
  <si>
    <t>INVCOST (M€2000/GW)</t>
  </si>
  <si>
    <t>EDP</t>
  </si>
  <si>
    <t>Ajusted data according to relation with EDP dat</t>
  </si>
  <si>
    <t>Original data from H2 roadmap</t>
  </si>
  <si>
    <t>FIXOM (M€2000/GW)</t>
  </si>
  <si>
    <t>VAROM (M€2000/PJ)</t>
  </si>
  <si>
    <t>H2 Production-Alkaline Electrolyser, small size, decentralized</t>
  </si>
  <si>
    <t>H2 Production-PEM Electrolyser, small size, decentralized</t>
  </si>
  <si>
    <t>TRA H2 delivery + Cprod + US + H2pipeline</t>
  </si>
  <si>
    <t>TRA H2 delivery + Cprod + CT+ H2pipeline</t>
  </si>
  <si>
    <t xml:space="preserve">Transportes </t>
  </si>
  <si>
    <t>Residencial</t>
  </si>
  <si>
    <t>Comercial</t>
  </si>
  <si>
    <t>Industry</t>
  </si>
  <si>
    <t>TRALH2C03</t>
  </si>
  <si>
    <t>TRALH2C04</t>
  </si>
  <si>
    <t>TRALH2C05</t>
  </si>
  <si>
    <t>TRAGH2C07</t>
  </si>
  <si>
    <t>TRAGH2C08</t>
  </si>
  <si>
    <t>TRAGH2C10</t>
  </si>
  <si>
    <t>TRAGH2C11</t>
  </si>
  <si>
    <t>TRAGH2C12</t>
  </si>
  <si>
    <t>TRALH2D01</t>
  </si>
  <si>
    <t>TRALH2D02</t>
  </si>
  <si>
    <t>TRALH2M01</t>
  </si>
  <si>
    <t>TRALH2M02</t>
  </si>
  <si>
    <t>TRAGH2M01</t>
  </si>
  <si>
    <t>TRAGH2M02</t>
  </si>
  <si>
    <t>RSDGH2C09</t>
  </si>
  <si>
    <t>RSDGH2C10</t>
  </si>
  <si>
    <t>RSDGH2C11</t>
  </si>
  <si>
    <t>RSDGH2C12</t>
  </si>
  <si>
    <t>RSDGH2C13</t>
  </si>
  <si>
    <t>RSDGH2C14</t>
  </si>
  <si>
    <t>RSDGH2C15</t>
  </si>
  <si>
    <t>RSDGH2C16</t>
  </si>
  <si>
    <t>RSDGH2C17</t>
  </si>
  <si>
    <t>RSDGH2M01</t>
  </si>
  <si>
    <t>COMGH2C09</t>
  </si>
  <si>
    <t>COMGH2C10</t>
  </si>
  <si>
    <t>COMGH2C11</t>
  </si>
  <si>
    <t>COMGH2C12</t>
  </si>
  <si>
    <t>COMGH2C13</t>
  </si>
  <si>
    <t>COMGH2C14</t>
  </si>
  <si>
    <t>COMGH2C15</t>
  </si>
  <si>
    <t>COMGH2C16</t>
  </si>
  <si>
    <t>COMGH2C17</t>
  </si>
  <si>
    <t>COMGH2M01</t>
  </si>
  <si>
    <t>INDGH2C09</t>
  </si>
  <si>
    <t>INDGH2C10</t>
  </si>
  <si>
    <t>INDGH2C11</t>
  </si>
  <si>
    <t>INDGH2C12</t>
  </si>
  <si>
    <t>INDGH2C13</t>
  </si>
  <si>
    <t>INDGH2C14</t>
  </si>
  <si>
    <t>INDGH2C15</t>
  </si>
  <si>
    <t>INDGH2C16</t>
  </si>
  <si>
    <t>INDGH2C17</t>
  </si>
  <si>
    <t>INDGH2M01</t>
  </si>
  <si>
    <t>INDGH2M02</t>
  </si>
  <si>
    <t>INDGH2M03</t>
  </si>
  <si>
    <t>INDGH2M04</t>
  </si>
  <si>
    <t>OPEX</t>
  </si>
  <si>
    <t>Life Time</t>
  </si>
  <si>
    <t>Input commodity</t>
  </si>
  <si>
    <t>Input Commoditie value</t>
  </si>
  <si>
    <t>produção</t>
  </si>
  <si>
    <t>Centraliz. Prod</t>
  </si>
  <si>
    <t>Decentraliz. Prod.</t>
  </si>
  <si>
    <t>Micro Prod.</t>
  </si>
  <si>
    <t>Storage</t>
  </si>
  <si>
    <t>USTOR + COMP</t>
  </si>
  <si>
    <t>o armazenamento pode ser feito junto à produção e não é preciso pipeline para levar o sitio de produção às cavernas</t>
  </si>
  <si>
    <t xml:space="preserve"> custos em €2018</t>
  </si>
  <si>
    <t>&amp; Compression</t>
  </si>
  <si>
    <t>Natural Gás Grid</t>
  </si>
  <si>
    <t>GN</t>
  </si>
  <si>
    <t>Transport</t>
  </si>
  <si>
    <t>Transmission pipeline6%</t>
  </si>
  <si>
    <t>Transmission pipeline10%</t>
  </si>
  <si>
    <t>&amp; Other</t>
  </si>
  <si>
    <t>Transmission pipeline20%</t>
  </si>
  <si>
    <t>Transmission pipeline100%</t>
  </si>
  <si>
    <t>04</t>
  </si>
  <si>
    <t>Road Transportation - Compressed</t>
  </si>
  <si>
    <t>02</t>
  </si>
  <si>
    <t>DP6</t>
  </si>
  <si>
    <t>Distribution pipeline 6%H5</t>
  </si>
  <si>
    <t>DP10</t>
  </si>
  <si>
    <t>Distribution pipeline 10%H4</t>
  </si>
  <si>
    <t>DP20</t>
  </si>
  <si>
    <t>Distribution pipeline 20%H3</t>
  </si>
  <si>
    <t>Distribution</t>
  </si>
  <si>
    <t>DP100</t>
  </si>
  <si>
    <t>Distribution pipeline 100%H2</t>
  </si>
  <si>
    <t>Micro distribution</t>
  </si>
  <si>
    <t>Fuel Stations</t>
  </si>
  <si>
    <t>custos de 2015</t>
  </si>
  <si>
    <t>&amp;</t>
  </si>
  <si>
    <t>Microdistribution</t>
  </si>
  <si>
    <r>
      <t>Distributed Hydrogen Gas (</t>
    </r>
    <r>
      <rPr>
        <b/>
        <sz val="9"/>
        <color theme="1"/>
        <rFont val="Calibri"/>
        <family val="2"/>
        <scheme val="minor"/>
      </rPr>
      <t>liquid storage in petrol stations</t>
    </r>
    <r>
      <rPr>
        <sz val="9"/>
        <color theme="1"/>
        <rFont val="Calibri"/>
        <family val="2"/>
        <scheme val="minor"/>
      </rPr>
      <t>)</t>
    </r>
  </si>
  <si>
    <t>Liquid to Liquid (50% utilisation)</t>
  </si>
  <si>
    <t>Local storage</t>
  </si>
  <si>
    <r>
      <t>Refueling Liquid to Gas (</t>
    </r>
    <r>
      <rPr>
        <i/>
        <sz val="9"/>
        <color theme="1"/>
        <rFont val="Calibri"/>
        <family val="2"/>
        <scheme val="minor"/>
      </rPr>
      <t>size</t>
    </r>
    <r>
      <rPr>
        <sz val="9"/>
        <rFont val="Arial"/>
        <family val="2"/>
      </rPr>
      <t>)</t>
    </r>
  </si>
  <si>
    <t>Input H2</t>
  </si>
  <si>
    <t>Input Elec</t>
  </si>
  <si>
    <t>Input Gas</t>
  </si>
  <si>
    <t>€/GJ (€2000)</t>
  </si>
  <si>
    <t>€/GJ (€2019)</t>
  </si>
  <si>
    <t>CAPEX 2020</t>
  </si>
  <si>
    <t>CAPEX 2030</t>
  </si>
  <si>
    <t>CAPEX 2050</t>
  </si>
  <si>
    <t>OPEX 2020</t>
  </si>
  <si>
    <t>OPEX 2030</t>
  </si>
  <si>
    <t>OPEX 2050</t>
  </si>
  <si>
    <t>large</t>
  </si>
  <si>
    <t>small</t>
  </si>
  <si>
    <t>%FOM</t>
  </si>
  <si>
    <t>Liquefaction on stations</t>
  </si>
  <si>
    <t>sem storage</t>
  </si>
  <si>
    <t>2</t>
  </si>
  <si>
    <t>Input INDmodity</t>
  </si>
  <si>
    <t>Output INDmodity</t>
  </si>
  <si>
    <t>Primary INDmGrp</t>
  </si>
  <si>
    <t>ESTH2S108</t>
  </si>
  <si>
    <t>ESTH2S109</t>
  </si>
  <si>
    <t>ESTH2S110</t>
  </si>
  <si>
    <t>Distributed Hydrogen Gas Tank Storage RSD</t>
  </si>
  <si>
    <t>Distributed Hydrogen Gas Tank Storage IND</t>
  </si>
  <si>
    <t>Distributed Hydrogen Gas Tank Storage COM</t>
  </si>
  <si>
    <t>TRALH2C06</t>
  </si>
  <si>
    <t>TRALH2C07</t>
  </si>
  <si>
    <t>TRALH2C08</t>
  </si>
  <si>
    <t>TRALH2D03</t>
  </si>
  <si>
    <t>Fuel Tech - H2 Delivery from centralized production (COMP+TR100+USTOR+RTS+LIQ+LL)</t>
  </si>
  <si>
    <t>Fuel Tech - H2 Delivery from centralized production (COMP+TR100+USTOR+RTS+LIQ+LG)</t>
  </si>
  <si>
    <t>Fuel Tech - H2 Delivery from centralized production (COMP+RTS+TS+RTS+LIQ+LL)</t>
  </si>
  <si>
    <t>Fuel Tech - H2 Delivery from centralized production (COMP+RTS+TS+RTS+LIQ+LG)</t>
  </si>
  <si>
    <t>Fuel Tech - H2 Delivery from centralized production (COMP+RTS+CRY+RTS+LIQ+LG)</t>
  </si>
  <si>
    <t>Fuel Tech - H2 Delivery from centralized production (COMP+RTS+CRY+RTS+LIQ+LL)</t>
  </si>
  <si>
    <t>Fuel Tech - H2 Delivery from centralized production (COMP+RTS+NH3+RTS+LIQ+LL)</t>
  </si>
  <si>
    <t>Fuel Tech - H2 Delivery from centralized production (COMP+RTS+NH3+RTS+LIQ+LG)</t>
  </si>
  <si>
    <t>Fuel Tech - H2 Delivery from centralized production (COMP+TR100+USTOR+RTS+TS+GG)</t>
  </si>
  <si>
    <t>Fuel Tech - H2 Delivery from centralized production (COMP+TR100+USTOR+RTS+TRUCK+GG)</t>
  </si>
  <si>
    <t>Fuel Tech - H2 Delivery from centralized production (COMP+TR100+COMP+RTS+TS+GG)</t>
  </si>
  <si>
    <t>Fuel Tech - H2 Delivery from centralized production (COMP+TR100+COMP+RTS+TRUCK+GG)</t>
  </si>
  <si>
    <t>Fuel Tech - H2 Delivery from centralized production (COMP+TR100+CRY+RTS+TS+GG)</t>
  </si>
  <si>
    <t>Fuel Tech - H2 Delivery from centralized production (COMP+TR100+CRY+RTS+TRUCK+GG)</t>
  </si>
  <si>
    <t>Fuel Tech - H2 Delivery from centralized production (COMP+TR100+NH3+RTS+TS+GG)</t>
  </si>
  <si>
    <t>Fuel Tech - H2 Delivery from centralized production (COMP+TR100+NH3+RTS+TRUCK+GG)</t>
  </si>
  <si>
    <t>Fuel Tech - H2 Delivery from decentralized production (COMP+RTS+LIQ+LIQST+LL)</t>
  </si>
  <si>
    <t>Fuel Tech - H2 Delivery from decentralized production (COMP+RTS+LIQ+LIQST+LG)</t>
  </si>
  <si>
    <t>Fuel Tech - H2 Delivery from decentralized production (COMP+RTS+LIQ+TS+GG)</t>
  </si>
  <si>
    <t>Fuel Tech - H2 Delivery from decentralized production (COMP+RTS+LIQ+TRUC+GG)</t>
  </si>
  <si>
    <t>Fuel Tech - H2 Delivery from centralized production (COMP+TR100+USTOR+RCRY+LIQ+LL)</t>
  </si>
  <si>
    <t>Fuel Tech - H2 Delivery from centralized production (COMP+TR100+USTOR+RCRY+LIQ+LG)</t>
  </si>
  <si>
    <t>Fuel Tech - H2 Delivery from centralized production (COMP+TR+COMP+RCRY+LIQ+LL)</t>
  </si>
  <si>
    <t>Fuel Tech - H2 Delivery from centralized production (COMP++TR+COMP+RCRY+LIQ+LG)</t>
  </si>
  <si>
    <t>Fuel Tech - H2 Delivery from centralized production (COMP+TR+CRY+RCRY+LIQ+LL)</t>
  </si>
  <si>
    <t>Fuel Tech - H2 Delivery from centralized production (COMP+TR+CRY+RCRY+LIQ+LG)</t>
  </si>
  <si>
    <t>Fuel Tech - H2 Delivery from centralized production (COMP+TR+NH3+RCRY+LIQ+LL)</t>
  </si>
  <si>
    <t>Fuel Tech - H2 Delivery from centralized production (COMP+TR+NH3+RCRY+LIQ+LG)</t>
  </si>
  <si>
    <t>Fuel Tech - H2 Delivery from centralized production (COMP+TR+DIST+RCRY+LIQ+LL)</t>
  </si>
  <si>
    <t>Fuel Tech - H2 Delivery from centralized production (COMP+TR+DIST+RCRY+LIQ+LG)</t>
  </si>
  <si>
    <t>Fuel Tech - H2 Delivery from decentralized production (COMP+LIQ+RCRY+LG)</t>
  </si>
  <si>
    <t>Fuel Tech - H2 Delivery from decentralized production (COMP+LIQ+RCRY+LL)</t>
  </si>
  <si>
    <t>Fuel Tech - H2 Delivery from Microdecentralized production (COMP+LIQ+LL)</t>
  </si>
  <si>
    <t>Fuel Tech - H2 Delivery from Microdecentralized production (COMP+LIQ+LG)</t>
  </si>
  <si>
    <t>Fuel Tech - H2 Delivery from Microdecentralized production (COMP+CRY+ST+GG)</t>
  </si>
  <si>
    <t>Fuel Tech - H2 Delivery from Microdecentralized production (COMP+CRY+TRUCK+GG)</t>
  </si>
  <si>
    <t>TRAGH2C9</t>
  </si>
  <si>
    <t>TRAGH2C013</t>
  </si>
  <si>
    <t>TRAGH2C014</t>
  </si>
  <si>
    <t>TRAGH2C015</t>
  </si>
  <si>
    <t>TRAGH2C16</t>
  </si>
  <si>
    <t>TRALH2C9</t>
  </si>
  <si>
    <t>TRAGH2C17</t>
  </si>
  <si>
    <t>TRAGH2D04</t>
  </si>
  <si>
    <t>Fuel Tech - H2 Delivery from centralized production (COMP+T100+RTS)</t>
  </si>
  <si>
    <t>Fuel Tech - H2 Delivery from centralized production (COMP+T20+RTS)</t>
  </si>
  <si>
    <t>Fuel Tech - H2 Delivery from centralized production (COMP+T10+RTS)</t>
  </si>
  <si>
    <t>Fuel Tech - H2 Delivery from centralized production (COMP+T6+RTS)</t>
  </si>
  <si>
    <t>Fuel Tech - H2 Delivery from centralized production (USTOR+T100)</t>
  </si>
  <si>
    <t>Fuel Tech - H2 Delivery from centralized production (USTOR+T100+RTS)</t>
  </si>
  <si>
    <t>Fuel Tech - H2 Delivery from centralized production (USTOR+T20+RTS)</t>
  </si>
  <si>
    <t>Fuel Tech - H2 Delivery from centralized production (USTOR+T10+RTS)</t>
  </si>
  <si>
    <t>Fuel Tech - H2 Delivery from centralized production (USTOR+T6+RTS)</t>
  </si>
  <si>
    <t>Fuel Tech - H2 Delivery from centralized production (CRY+T6+RTS)</t>
  </si>
  <si>
    <t>Fuel Tech - H2 Delivery from centralized production (NH3+T6+RTS)</t>
  </si>
  <si>
    <t>Fuel Tech - H2 Delivery from decentralized production (ST+T100+RTS)</t>
  </si>
  <si>
    <t>Fuel Tech - H2 Delivery from decentralized production (ST+T20+RTS)</t>
  </si>
  <si>
    <t>Fuel Tech - H2 Delivery from decentralized production (ST+T10+RTS)</t>
  </si>
  <si>
    <t>Fuel Tech - H2 Delivery from decentralized production (ST+T6+RTS)</t>
  </si>
  <si>
    <t>Fuel Tech - H2 Delivery from micrpdecentralized production</t>
  </si>
  <si>
    <t>Fuel Tech - H2 Delivery from micrpdecentralized production T20</t>
  </si>
  <si>
    <t>Fuel Tech - H2 Delivery from micrpdecentralized production T10</t>
  </si>
  <si>
    <t>Fuel Tech - H2 Delivery from micrpdecentralized production T6</t>
  </si>
  <si>
    <t>Fuel Tech - H2 Delivery from centralized production (CRY+T10+RTS)</t>
  </si>
  <si>
    <t>Fuel Tech - H2 Delivery from centralized production (CRY+T100+RTS)</t>
  </si>
  <si>
    <t>Fuel Tech - H2 Delivery from centralized production (CRY+T20+RTS)</t>
  </si>
  <si>
    <t>Fuel Tech - H2 Delivery from centralized production (NH3+T100+RTS)</t>
  </si>
  <si>
    <t>Fuel Tech - H2 Delivery from centralized production (NH3+T20+RTS)</t>
  </si>
  <si>
    <t>Fuel Tech - H2 Delivery from centralized production (NH3+T10+RTS)</t>
  </si>
  <si>
    <t>Fuel Tech - H2 Delivery from microdecentralized production T100</t>
  </si>
  <si>
    <t>cryogenic</t>
  </si>
  <si>
    <t>SYNH2CY</t>
  </si>
  <si>
    <t>Fuel tech GN delivery</t>
  </si>
  <si>
    <t>EMISSIONS~SUPCO2P</t>
  </si>
  <si>
    <r>
      <t> </t>
    </r>
    <r>
      <rPr>
        <b/>
        <sz val="12"/>
        <color rgb="FF000000"/>
        <rFont val="Arial"/>
        <family val="2"/>
      </rPr>
      <t>75.0 g CO2/MJ H2</t>
    </r>
  </si>
  <si>
    <r>
      <t>0.08 mg CH</t>
    </r>
    <r>
      <rPr>
        <sz val="3"/>
        <color rgb="FF000000"/>
        <rFont val="Arial"/>
        <family val="2"/>
      </rPr>
      <t>4</t>
    </r>
    <r>
      <rPr>
        <sz val="4"/>
        <color rgb="FF000000"/>
        <rFont val="Arial"/>
        <family val="2"/>
      </rPr>
      <t>/MJ H</t>
    </r>
    <r>
      <rPr>
        <sz val="3"/>
        <color rgb="FF000000"/>
        <rFont val="Arial"/>
        <family val="2"/>
      </rPr>
      <t>2</t>
    </r>
  </si>
  <si>
    <r>
      <t>0.008 mg N</t>
    </r>
    <r>
      <rPr>
        <sz val="3"/>
        <color rgb="FF000000"/>
        <rFont val="Arial"/>
        <family val="2"/>
      </rPr>
      <t>2</t>
    </r>
    <r>
      <rPr>
        <sz val="4"/>
        <color rgb="FF000000"/>
        <rFont val="Arial"/>
        <family val="2"/>
      </rPr>
      <t>O/MJ H</t>
    </r>
  </si>
  <si>
    <t>KG/GJ</t>
  </si>
  <si>
    <t>kt/PJ</t>
  </si>
  <si>
    <t>eff</t>
  </si>
  <si>
    <t>lifetime</t>
  </si>
  <si>
    <t>H2 Production-PEM Electrolyser, medium size, centralized Onshore</t>
  </si>
  <si>
    <t>H2 Production-PEM Electrolyser, medium size, centralized Solar PV</t>
  </si>
  <si>
    <t>SELCH2PEMC01</t>
  </si>
  <si>
    <t>SELCH2SOEC01</t>
  </si>
  <si>
    <t>SELCH2PEMC02</t>
  </si>
  <si>
    <t>SELCH2PEMC03</t>
  </si>
  <si>
    <t>SELCH2PEMC04</t>
  </si>
  <si>
    <t>SELCH2PEMC05</t>
  </si>
  <si>
    <t>SELCH2ED01</t>
  </si>
  <si>
    <t>SELCH2PEMD01</t>
  </si>
  <si>
    <t>SELCH2EDTRA02</t>
  </si>
  <si>
    <t>SELCH2EDTRA01</t>
  </si>
  <si>
    <t>H2 Production-Alkaline Electrolyser, on grid TRA, decentralized</t>
  </si>
  <si>
    <t>H2 Production-Alkaline Electrolyser, off grid TRA, decentralized</t>
  </si>
  <si>
    <t>SELCH2PEMD02</t>
  </si>
  <si>
    <t>H2 Production-PEM Electrolyser,PV offgrid, decentralized</t>
  </si>
  <si>
    <t>SELCH2PEMTRA01</t>
  </si>
  <si>
    <t>H2 Production-PEM Electrolyser, on grid TRA, decentralized</t>
  </si>
  <si>
    <t>H2 Production-PEM Electrolyser, off grid TRA, decentralized</t>
  </si>
  <si>
    <r>
      <t xml:space="preserve">H2 Production-Alkaline Electrolyser, extra large size </t>
    </r>
    <r>
      <rPr>
        <b/>
        <sz val="10"/>
        <rFont val="Arial"/>
        <family val="2"/>
      </rPr>
      <t>WIND</t>
    </r>
    <r>
      <rPr>
        <sz val="10"/>
        <rFont val="Arial"/>
      </rPr>
      <t>, centralized</t>
    </r>
  </si>
  <si>
    <r>
      <t xml:space="preserve">H2 Production-Alkaline Electrolyser, extra large size </t>
    </r>
    <r>
      <rPr>
        <b/>
        <sz val="10"/>
        <rFont val="Arial"/>
        <family val="2"/>
      </rPr>
      <t>PV</t>
    </r>
    <r>
      <rPr>
        <sz val="10"/>
        <rFont val="Arial"/>
      </rPr>
      <t>, centralized</t>
    </r>
  </si>
  <si>
    <r>
      <t xml:space="preserve">H2 Production-Alkaline Electrolyser, extra large size </t>
    </r>
    <r>
      <rPr>
        <b/>
        <sz val="10"/>
        <rFont val="Arial"/>
        <family val="2"/>
      </rPr>
      <t>Offshore</t>
    </r>
    <r>
      <rPr>
        <sz val="10"/>
        <rFont val="Arial"/>
      </rPr>
      <t>, centralized</t>
    </r>
  </si>
  <si>
    <r>
      <t xml:space="preserve">H2 Production-Alkaline Electrolyser </t>
    </r>
    <r>
      <rPr>
        <b/>
        <sz val="10"/>
        <rFont val="Arial"/>
        <family val="2"/>
      </rPr>
      <t>WIND</t>
    </r>
    <r>
      <rPr>
        <sz val="10"/>
        <rFont val="Arial"/>
      </rPr>
      <t>, large size, centralized</t>
    </r>
  </si>
  <si>
    <r>
      <t xml:space="preserve">H2 Production-Alkaline Electrolyser, </t>
    </r>
    <r>
      <rPr>
        <b/>
        <sz val="10"/>
        <rFont val="Arial"/>
        <family val="2"/>
      </rPr>
      <t>PV</t>
    </r>
    <r>
      <rPr>
        <sz val="10"/>
        <rFont val="Arial"/>
      </rPr>
      <t xml:space="preserve"> large size, centralized</t>
    </r>
  </si>
  <si>
    <r>
      <t xml:space="preserve">H2 Production-Alkaline Electrolyser </t>
    </r>
    <r>
      <rPr>
        <b/>
        <sz val="10"/>
        <rFont val="Arial"/>
        <family val="2"/>
      </rPr>
      <t>WIND</t>
    </r>
    <r>
      <rPr>
        <sz val="10"/>
        <rFont val="Arial"/>
        <family val="2"/>
      </rPr>
      <t>, large size, centralized</t>
    </r>
  </si>
  <si>
    <r>
      <t xml:space="preserve">H2 Production-Alkaline Electrolyser, </t>
    </r>
    <r>
      <rPr>
        <b/>
        <sz val="10"/>
        <rFont val="Arial"/>
        <family val="2"/>
      </rPr>
      <t>PV</t>
    </r>
    <r>
      <rPr>
        <sz val="10"/>
        <rFont val="Arial"/>
        <family val="2"/>
      </rPr>
      <t xml:space="preserve"> large size, centralized</t>
    </r>
  </si>
  <si>
    <r>
      <t xml:space="preserve">H2 Production-PEM Electrolyser, large size </t>
    </r>
    <r>
      <rPr>
        <b/>
        <sz val="10"/>
        <rFont val="Arial"/>
        <family val="2"/>
      </rPr>
      <t>WIND</t>
    </r>
    <r>
      <rPr>
        <sz val="10"/>
        <rFont val="Arial"/>
        <family val="2"/>
      </rPr>
      <t>, centralized</t>
    </r>
  </si>
  <si>
    <r>
      <t>H2 Production-PEM Electrolyser, large size</t>
    </r>
    <r>
      <rPr>
        <b/>
        <sz val="10"/>
        <rFont val="Arial"/>
        <family val="2"/>
      </rPr>
      <t xml:space="preserve"> PV</t>
    </r>
    <r>
      <rPr>
        <sz val="10"/>
        <rFont val="Arial"/>
        <family val="2"/>
      </rPr>
      <t>, centralized</t>
    </r>
  </si>
  <si>
    <r>
      <t>H2 Production-PEM Electrolyser, large size</t>
    </r>
    <r>
      <rPr>
        <b/>
        <sz val="10"/>
        <rFont val="Arial"/>
        <family val="2"/>
      </rPr>
      <t xml:space="preserve"> OFFSHORE</t>
    </r>
    <r>
      <rPr>
        <sz val="10"/>
        <rFont val="Arial"/>
        <family val="2"/>
      </rPr>
      <t>, centralized</t>
    </r>
  </si>
  <si>
    <r>
      <t xml:space="preserve">H2 Production-PEM Electrolyser, large size </t>
    </r>
    <r>
      <rPr>
        <b/>
        <sz val="10"/>
        <rFont val="Arial"/>
        <family val="2"/>
      </rPr>
      <t>OFFSHORE</t>
    </r>
    <r>
      <rPr>
        <sz val="10"/>
        <rFont val="Arial"/>
        <family val="2"/>
      </rPr>
      <t>, centralized</t>
    </r>
  </si>
  <si>
    <t>TRAELC</t>
  </si>
  <si>
    <t>H2 Production-PEM Electrolyser, on grid IND, decentralized</t>
  </si>
  <si>
    <t>H2 Production-PEM Electrolyser, off grid IND, decentralized</t>
  </si>
  <si>
    <t>ELCPVR</t>
  </si>
  <si>
    <t>H2 Production-Methane Steam Reforming, small size CCS SUP tank, decentralized</t>
  </si>
  <si>
    <t>SBIOH2GUGCS01</t>
  </si>
  <si>
    <t>SGASH2RUG01</t>
  </si>
  <si>
    <t>SGASH2RUGCS01</t>
  </si>
  <si>
    <t>SGASH2RUGCS02</t>
  </si>
  <si>
    <t>SELCH2PEMUG01</t>
  </si>
  <si>
    <t>SELCH2PEMUG02</t>
  </si>
  <si>
    <t>SELCH2PEMUG03</t>
  </si>
  <si>
    <t>SELCH2PEMUG04</t>
  </si>
  <si>
    <t>SELCH2PEMD03</t>
  </si>
  <si>
    <t>SBIOH2GD01</t>
  </si>
  <si>
    <t>H2 Production-Alkaline Electrolyser, small size IND, decentralized</t>
  </si>
  <si>
    <t>H2 Production-Alkaline Electrolyser, PV offgrid IND, centralized</t>
  </si>
  <si>
    <t>SELCH2PEMM01</t>
  </si>
  <si>
    <t>SELCH2PEMM02</t>
  </si>
  <si>
    <t>SELCH2PEMTRA02</t>
  </si>
  <si>
    <t>SELCH2PEMIND01</t>
  </si>
  <si>
    <t>SELCH2PEMIND02</t>
  </si>
  <si>
    <t>SHARE~FX~NATGAS</t>
  </si>
  <si>
    <t>COMGAS061</t>
  </si>
  <si>
    <t>SHARE~FX~GASNAT</t>
  </si>
  <si>
    <t>COMGAS011</t>
  </si>
  <si>
    <t>COMGAS021</t>
  </si>
  <si>
    <t>AGRGAS06</t>
  </si>
  <si>
    <t>Fuel Tech New - Natural Gas (AGR)</t>
  </si>
  <si>
    <t>AGRGAS6</t>
  </si>
  <si>
    <t>AGRGAS10</t>
  </si>
  <si>
    <t>AGRGAS20</t>
  </si>
  <si>
    <t>RSDGAS061</t>
  </si>
  <si>
    <t>RSDGAS011</t>
  </si>
  <si>
    <t>AGRGAS011</t>
  </si>
  <si>
    <t>ELCGAS011</t>
  </si>
  <si>
    <t>RSDGAS021</t>
  </si>
  <si>
    <t>INDGAS061</t>
  </si>
  <si>
    <t>INDGAS021</t>
  </si>
  <si>
    <t>ELCGAS061</t>
  </si>
  <si>
    <t>ELCGAS021</t>
  </si>
  <si>
    <t>AGRGAS061</t>
  </si>
  <si>
    <t>AGRGAS021</t>
  </si>
  <si>
    <t>STRANSPH200</t>
  </si>
  <si>
    <t>H2 road transport</t>
  </si>
  <si>
    <t>TRAH2</t>
  </si>
  <si>
    <t>kwh elc</t>
  </si>
  <si>
    <t>1 kg h2</t>
  </si>
  <si>
    <t>MJ elc</t>
  </si>
  <si>
    <t>Mj H2</t>
  </si>
  <si>
    <t>Liquid to Gas</t>
  </si>
  <si>
    <t>gas</t>
  </si>
  <si>
    <t>liquid</t>
  </si>
  <si>
    <t>TRAGH202</t>
  </si>
  <si>
    <t>TRAGH203</t>
  </si>
  <si>
    <t>CO2</t>
  </si>
  <si>
    <t>SMR GN</t>
  </si>
  <si>
    <t>Tco2</t>
  </si>
  <si>
    <t>t H2</t>
  </si>
  <si>
    <t>mj</t>
  </si>
  <si>
    <t>TJ</t>
  </si>
  <si>
    <t>EMISSIONS~SUPCO2N</t>
  </si>
  <si>
    <t>EMISSIONS~SUPTCO2N</t>
  </si>
  <si>
    <t>EMISSIONS~SUPTCO2P</t>
  </si>
  <si>
    <t>EFF~2020</t>
  </si>
  <si>
    <t>EFF~2025</t>
  </si>
  <si>
    <t>EFF~2030</t>
  </si>
  <si>
    <t>EFF~2035</t>
  </si>
  <si>
    <t>EFF~2040</t>
  </si>
  <si>
    <t>EFF~2045</t>
  </si>
  <si>
    <t>EFF~2050</t>
  </si>
  <si>
    <t>Life</t>
  </si>
  <si>
    <t>CAP2ACT</t>
  </si>
  <si>
    <t>INVCOST~2035</t>
  </si>
  <si>
    <t>INVCOST~2045</t>
  </si>
  <si>
    <t>FIXOM~2035</t>
  </si>
  <si>
    <t>FIXOM~2040</t>
  </si>
  <si>
    <t>FIXOM~2045</t>
  </si>
  <si>
    <t>VAROM~2035</t>
  </si>
  <si>
    <t>VAROM~2045</t>
  </si>
  <si>
    <t>CEH</t>
  </si>
  <si>
    <t>CHPR</t>
  </si>
  <si>
    <t>AFA~2020</t>
  </si>
  <si>
    <t>AFA~2030</t>
  </si>
  <si>
    <t>AFA~2040</t>
  </si>
  <si>
    <t>AFA~2050</t>
  </si>
  <si>
    <t>ENV_ACT~2015</t>
  </si>
  <si>
    <t>ENV_ACT~2025</t>
  </si>
  <si>
    <t>ENV_ACT~2035</t>
  </si>
  <si>
    <t>Peak~WP</t>
  </si>
  <si>
    <t>Auxiliary Input Commodity</t>
  </si>
  <si>
    <t>Starting Year</t>
  </si>
  <si>
    <t>Fuel input level</t>
  </si>
  <si>
    <t>Fuel Output level</t>
  </si>
  <si>
    <t>Lifetime of Process</t>
  </si>
  <si>
    <t>Capacity to Activity Factor</t>
  </si>
  <si>
    <t>Investment Cost</t>
  </si>
  <si>
    <t>Fixed O&amp;M Cost</t>
  </si>
  <si>
    <t>Variable O&amp;M Cost</t>
  </si>
  <si>
    <t>Ratio of electricity lost to output gained</t>
  </si>
  <si>
    <t>Output to Power Ratio</t>
  </si>
  <si>
    <t>Annual Availability Factor</t>
  </si>
  <si>
    <t>kton/PJ</t>
  </si>
  <si>
    <t>ELCCH4N</t>
  </si>
  <si>
    <t>ELCN2ON</t>
  </si>
  <si>
    <t>ELCTCO2N</t>
  </si>
  <si>
    <t>ELCCO2N</t>
  </si>
  <si>
    <t>Hydrogen in Power sector retrofitting</t>
  </si>
  <si>
    <t>EUCCGAS102</t>
  </si>
  <si>
    <t>EUCCGAS202</t>
  </si>
  <si>
    <t>EUCCGASS112</t>
  </si>
  <si>
    <t>ELCHH2</t>
  </si>
  <si>
    <t>H2 Production-Biomass Gasification, small size, decentralized</t>
  </si>
  <si>
    <t>H2 Production-Alkaline Electrolyser, small size, PV decentralized</t>
  </si>
  <si>
    <t>H2 Production-PEM Electrolyser,PV ongrid, decentralized</t>
  </si>
  <si>
    <t>INDHH200</t>
  </si>
  <si>
    <t>AGRHH2</t>
  </si>
  <si>
    <t>AGRHH200</t>
  </si>
  <si>
    <t>Fuel Tech - H2 (AGR)</t>
  </si>
  <si>
    <t>Fuel Tech New - H2 (ELC)</t>
  </si>
  <si>
    <t>Fuel Tech New - H2 (RSD)</t>
  </si>
  <si>
    <t>Fuel Tech New - H2 (IND)</t>
  </si>
  <si>
    <t>EPLT: Comb Cyc.GAS.BLEND.Conv.New</t>
  </si>
  <si>
    <t>EPLT: Comb Cyc.GAS.BLEND.Advance.New</t>
  </si>
  <si>
    <t>EPLT: Comb Cyc CO2Seq.BLEND.New</t>
  </si>
  <si>
    <t>.ELE.CEN.</t>
  </si>
  <si>
    <t>SGASH2RCT01</t>
  </si>
  <si>
    <t>SGASH2RCT02</t>
  </si>
  <si>
    <t>SGASH2RCTCS01</t>
  </si>
  <si>
    <t>SGASH2RCTCS02</t>
  </si>
  <si>
    <t>SGASSH2RCT01</t>
  </si>
  <si>
    <t>SBIOH2GCT01</t>
  </si>
  <si>
    <t>SBIOH2GCTCS01</t>
  </si>
  <si>
    <t>SGASH2KCT01</t>
  </si>
  <si>
    <t>SBIOH2RCT01</t>
  </si>
  <si>
    <t>PEM electrolyzers tend to have higher current densities (~5X of the alkaline electrolyzers) and higher efficiencies (up to 6% higher than alkaline electrolyzers (see Bertuccioli et al., 2014; Hamdan 2013; Ayers et al. 2012, Carmo et al., 2015).</t>
  </si>
  <si>
    <t>https://www.nrel.gov/docs/fy19osti/72740.pdf</t>
  </si>
  <si>
    <t>EMISSIONS~SUPSCO2P</t>
  </si>
  <si>
    <t>H2 Production-Methane Steam Reforming, small size, decentralized</t>
  </si>
  <si>
    <t>H2 Production-Methane Steam Reforming, small size IND, decentralized</t>
  </si>
  <si>
    <t>H2 Production-Methane Steam Reforming, small size SUP, decentralized</t>
  </si>
  <si>
    <t>ELCHH200</t>
  </si>
  <si>
    <r>
      <t xml:space="preserve">H2 Production-Alkaline Electrolyser, </t>
    </r>
    <r>
      <rPr>
        <b/>
        <sz val="10"/>
        <rFont val="Arial"/>
        <family val="2"/>
      </rPr>
      <t>WIND</t>
    </r>
    <r>
      <rPr>
        <sz val="10"/>
        <rFont val="Arial"/>
      </rPr>
      <t xml:space="preserve"> medium size, decentralized</t>
    </r>
  </si>
  <si>
    <r>
      <t xml:space="preserve">H2 Production-Alkaline Electrolyser, </t>
    </r>
    <r>
      <rPr>
        <b/>
        <sz val="10"/>
        <rFont val="Arial"/>
        <family val="2"/>
      </rPr>
      <t>PV</t>
    </r>
    <r>
      <rPr>
        <sz val="10"/>
        <rFont val="Arial"/>
      </rPr>
      <t xml:space="preserve"> medium size, decentralized</t>
    </r>
  </si>
  <si>
    <t>H2 Production-PEM Electrolyser, medium size, decentralized</t>
  </si>
  <si>
    <t>H2 Production-PEM Electrolyser, medium size WIND, decentralized</t>
  </si>
  <si>
    <t>H2 Production-PEM Electrolyser, medium size PV, decentralized</t>
  </si>
  <si>
    <t>SHARE~UP~SYNH2DI</t>
  </si>
  <si>
    <t>SHARE~UP~SYNH2DT</t>
  </si>
  <si>
    <t>INDGAS062</t>
  </si>
  <si>
    <t>INDGAS0102</t>
  </si>
  <si>
    <t>INDGAS0101</t>
  </si>
  <si>
    <t>EPLT: Simple Cyc.H2.Conv.New</t>
  </si>
  <si>
    <t>EUSCH2100</t>
  </si>
  <si>
    <t>FLO_EFF~GASNAT</t>
  </si>
  <si>
    <t>FLO_EFF~GASNAT6</t>
  </si>
  <si>
    <t>FLO_EFF~GASNAT10</t>
  </si>
  <si>
    <t>FLO_EFF~GASNAT20</t>
  </si>
  <si>
    <t>SPIPGAS101</t>
  </si>
  <si>
    <t>Gas Pipelines</t>
  </si>
  <si>
    <t>CommGrp</t>
  </si>
  <si>
    <t>Gas Pipelines Blending</t>
  </si>
  <si>
    <r>
      <t>H2 Production-PEM Electrolyser, large size</t>
    </r>
    <r>
      <rPr>
        <b/>
        <sz val="10"/>
        <rFont val="Arial"/>
        <family val="2"/>
      </rPr>
      <t xml:space="preserve"> PV_WIND</t>
    </r>
    <r>
      <rPr>
        <sz val="10"/>
        <rFont val="Arial"/>
        <family val="2"/>
      </rPr>
      <t>, centralized</t>
    </r>
  </si>
  <si>
    <t>SELCH2PEMUG05</t>
  </si>
  <si>
    <t>H2 Production-PEM Electrolyser, large size PV_WIND, centralized</t>
  </si>
  <si>
    <t>H2 Production-PEM Electrolyser, medium size PV_WIND, decentralized</t>
  </si>
  <si>
    <r>
      <t xml:space="preserve">H2 Production-Alkaline Electrolyser, extra large size </t>
    </r>
    <r>
      <rPr>
        <b/>
        <sz val="10"/>
        <rFont val="Arial"/>
        <family val="2"/>
      </rPr>
      <t>PV_WIND</t>
    </r>
    <r>
      <rPr>
        <sz val="10"/>
        <rFont val="Arial"/>
      </rPr>
      <t>, centralized</t>
    </r>
  </si>
  <si>
    <r>
      <t xml:space="preserve">H2 Production-Alkaline Electrolyser, </t>
    </r>
    <r>
      <rPr>
        <b/>
        <sz val="10"/>
        <rFont val="Arial"/>
        <family val="2"/>
      </rPr>
      <t>PV_WIND</t>
    </r>
    <r>
      <rPr>
        <sz val="10"/>
        <rFont val="Arial"/>
      </rPr>
      <t xml:space="preserve"> large size, centralized</t>
    </r>
  </si>
  <si>
    <r>
      <t xml:space="preserve">H2 Production-Alkaline Electrolyser, </t>
    </r>
    <r>
      <rPr>
        <b/>
        <sz val="10"/>
        <rFont val="Arial"/>
        <family val="2"/>
      </rPr>
      <t>PV_WIND</t>
    </r>
    <r>
      <rPr>
        <sz val="10"/>
        <rFont val="Arial"/>
        <family val="2"/>
      </rPr>
      <t xml:space="preserve"> large size, centralized</t>
    </r>
  </si>
  <si>
    <r>
      <t xml:space="preserve">H2 Production-Alkaline Electrolyser, </t>
    </r>
    <r>
      <rPr>
        <b/>
        <sz val="10"/>
        <rFont val="Arial"/>
        <family val="2"/>
      </rPr>
      <t>PV_WIN</t>
    </r>
    <r>
      <rPr>
        <sz val="10"/>
        <rFont val="Arial"/>
      </rPr>
      <t xml:space="preserve"> medium size, decentralized</t>
    </r>
  </si>
  <si>
    <t>SGASH2SUP01</t>
  </si>
  <si>
    <t>SGASH2SUPCCS01</t>
  </si>
  <si>
    <t>H2 Production-Alkaline Electrolyser, small size  SUP, decentralized</t>
  </si>
  <si>
    <t>H2 Production-Alkaline Electrolyser, PV offgrid SUP, centralized</t>
  </si>
  <si>
    <t>H2 Production-PEM Electrolyser, on grid SUP, decentralized</t>
  </si>
  <si>
    <t>H2 Production-PEM Electrolyser, off grid SUP, decentralized</t>
  </si>
  <si>
    <t>SELCH2PEMSUP01</t>
  </si>
  <si>
    <t>SELCH2PEMSUP02</t>
  </si>
  <si>
    <t>SELCH2AESUP01</t>
  </si>
  <si>
    <t>SELCH2AEM01</t>
  </si>
  <si>
    <t>SELCH2AEM02</t>
  </si>
  <si>
    <t>SELCH2AETRA01</t>
  </si>
  <si>
    <t>SELCH2AETRA02</t>
  </si>
  <si>
    <t>SELCH2AEIND01</t>
  </si>
  <si>
    <t>SELCH2AEIND02</t>
  </si>
  <si>
    <t>SELCH2AEUG01</t>
  </si>
  <si>
    <t>SELCH2AEUG02</t>
  </si>
  <si>
    <t>SELCH2AEUG03</t>
  </si>
  <si>
    <t>SELCH2AEUG04</t>
  </si>
  <si>
    <t>SELCH2AEUG05</t>
  </si>
  <si>
    <t>SELCH2AEC01</t>
  </si>
  <si>
    <t>SELCH2AEC02</t>
  </si>
  <si>
    <t>SELCH2AEC03</t>
  </si>
  <si>
    <t>SELCH2AEC04</t>
  </si>
  <si>
    <t>SELCH2AEC05</t>
  </si>
  <si>
    <t>SELCH2AEUG06</t>
  </si>
  <si>
    <t>SELCH2AEUG07</t>
  </si>
  <si>
    <t>SELCH2AEUG08</t>
  </si>
  <si>
    <t>SELCH2AEUG09</t>
  </si>
  <si>
    <t>SELCH2AEC06</t>
  </si>
  <si>
    <t>SELCH2AEC07</t>
  </si>
  <si>
    <t>SELCH2AEC08</t>
  </si>
  <si>
    <t>SELCH2AEC09</t>
  </si>
  <si>
    <t>SELCH2AED01</t>
  </si>
  <si>
    <t>SELCH2AED02</t>
  </si>
  <si>
    <t>SELCH2AED03</t>
  </si>
  <si>
    <t>SELCH2AED04</t>
  </si>
  <si>
    <t>H2 Production-Alkaline Electrolyser, medium size ongrid, decentralized</t>
  </si>
  <si>
    <t>H2 Production-Alkaline Electrolyser, large size ongrid, centralized</t>
  </si>
  <si>
    <t>H2 Production-Alkaline Electrolyser, extra large size ongrid, centralized</t>
  </si>
  <si>
    <t>H2 Production-Alkaline Electrolyser,  large size ongrid, centralized</t>
  </si>
  <si>
    <t>H2 Production-PEM Electrolyser, large size ongrid, centralized</t>
  </si>
  <si>
    <t>SELCH2PEMD04</t>
  </si>
  <si>
    <t>Compression Costs - 0.9 to 1.75kg H2 (Source: https://iea-etsap.org/E-TechDS/PDF/P12_H2_Feb2014_FINAL%203_CRES-2a-GS%20Mz%20GSOK.pdf)</t>
  </si>
  <si>
    <t>SELCH2AEUGH02</t>
  </si>
  <si>
    <t>SELCH2AEUGH03</t>
  </si>
  <si>
    <t>SELCH2AEUGH04</t>
  </si>
  <si>
    <t>SELCH2AEUGH05</t>
  </si>
  <si>
    <t>SELCH2AEUGH07</t>
  </si>
  <si>
    <t>SELCH2AEUGH08</t>
  </si>
  <si>
    <t>SELCH2AEUGH09</t>
  </si>
  <si>
    <t>SELCH2AECH02</t>
  </si>
  <si>
    <t>SELCH2AECH03</t>
  </si>
  <si>
    <t>SELCH2AECH04</t>
  </si>
  <si>
    <t>SELCH2AECH05</t>
  </si>
  <si>
    <t>SELCH2AECH07</t>
  </si>
  <si>
    <t>SELCH2AECH08</t>
  </si>
  <si>
    <t>SELCH2AECH09</t>
  </si>
  <si>
    <t>SELCH2AEDH02</t>
  </si>
  <si>
    <t>SELCH2AEDH03</t>
  </si>
  <si>
    <t>SELCH2AEDH04</t>
  </si>
  <si>
    <t>SELCH2PEMUGH02</t>
  </si>
  <si>
    <t>SELCH2PEMUGH03</t>
  </si>
  <si>
    <t>SELCH2PEMUGH04</t>
  </si>
  <si>
    <t>SELCH2PEMUGH05</t>
  </si>
  <si>
    <t>SELCH2PEMCH02</t>
  </si>
  <si>
    <t>SELCH2PEMCH03</t>
  </si>
  <si>
    <t>SELCH2PEMCH04</t>
  </si>
  <si>
    <t>SELCH2PEMCH05</t>
  </si>
  <si>
    <t>SELCH2PEMDH02</t>
  </si>
  <si>
    <t>SELCH2PEMDH03</t>
  </si>
  <si>
    <t>SELCH2PEMDH04</t>
  </si>
  <si>
    <t>SELCH2PEMSUPH02</t>
  </si>
  <si>
    <t>SELCH2AESUP02</t>
  </si>
  <si>
    <t>SELCH2AESUPH02</t>
  </si>
  <si>
    <t>SELCH2AEMH02</t>
  </si>
  <si>
    <t>SELCH2AETRAH02</t>
  </si>
  <si>
    <t>SELCH2AEINDH02</t>
  </si>
  <si>
    <t>SELCH2PEMMH02</t>
  </si>
  <si>
    <t>SELCH2PEMTRAH02</t>
  </si>
  <si>
    <t>SELCH2PEMINDH02</t>
  </si>
  <si>
    <t>H2 Production-PEM Electrolyser Hybrid, off grid IND, decentralized</t>
  </si>
  <si>
    <t>H2 Production-PEM Electrolyser Hybrid, off grid TRA, decentralized</t>
  </si>
  <si>
    <t>H2 Production-PEM Electrolyser Hybrid,PV offgrid, decentralized</t>
  </si>
  <si>
    <t>H2 Production-Alkaline Electrolyser Hybrid, PV offgrid IND, centralized</t>
  </si>
  <si>
    <t>H2 Production-Alkaline Electrolyser Hybrid, small size, PV decentralized</t>
  </si>
  <si>
    <t>H2 Production-Alkaline Electrolyser Hybrid, off grid TRA, decentralized</t>
  </si>
  <si>
    <t>H2 Production-Alkaline Electrolyser Hybrid, PV offgrid SUP, centralized</t>
  </si>
  <si>
    <t>H2 Production-PEM Electrolyser Hybrid, off grid SUP, decentralized</t>
  </si>
  <si>
    <t>H2 Production-PEM Electrolyser Hybrid, medium size WIND, decentralized</t>
  </si>
  <si>
    <t>H2 Production-PEM Electrolyser Hybrid, medium size PV, decentralized</t>
  </si>
  <si>
    <t>H2 Production-PEM Electrolyser Hybrid, medium size PV_WIND, decentralized</t>
  </si>
  <si>
    <t>H2 Production-PEM Electrolyser Hybrid, large size WIND, centralized</t>
  </si>
  <si>
    <t>H2 Production-PEM Electrolyser Hybrid, large size PV, centralized</t>
  </si>
  <si>
    <t>H2 Production-PEM Electrolyser Hybrid, large size OFFSHORE, centralized</t>
  </si>
  <si>
    <t>H2 Production-PEM Electrolyser Hybrid, large size PV_WIND, centralized</t>
  </si>
  <si>
    <t>H2 Production-Alkaline Electrolyser Hybrid, WIND medium size, decentralized</t>
  </si>
  <si>
    <t>H2 Production-Alkaline Electrolyser Hybrid, PV medium size, decentralized</t>
  </si>
  <si>
    <t>H2 Production-Alkaline Electrolyser Hybrid, PV_WIN medium size, decentralized</t>
  </si>
  <si>
    <t>H2 Production-Alkaline Electrolyser Hybrid WIND, large size, centralized</t>
  </si>
  <si>
    <t>H2 Production-Alkaline Electrolyser Hybrid, PV large size, centralized</t>
  </si>
  <si>
    <t>H2 Production-Alkaline Electrolyser Hybrid, PV_WIND large size, centralized</t>
  </si>
  <si>
    <t>H2 Production-Alkaline Electrolyser Hybrid, extra large size WIND, centralized</t>
  </si>
  <si>
    <t>H2 Production-Alkaline Electrolyser Hybrid, extra large size PV, centralized</t>
  </si>
  <si>
    <t>H2 Production-Alkaline Electrolyser Hybrid, extra large size Offshore, centralized</t>
  </si>
  <si>
    <t>H2 Production-Alkaline Electrolyser Hybrid, extra large size PV_WIND, centralized</t>
  </si>
  <si>
    <t>ESTH2S201</t>
  </si>
  <si>
    <t>ESTH2S202</t>
  </si>
  <si>
    <t>ESTH2S203</t>
  </si>
  <si>
    <t>ESTH2S204</t>
  </si>
  <si>
    <t>ESTH2S205</t>
  </si>
  <si>
    <t>ESTH2S206</t>
  </si>
  <si>
    <t>ESTH2S207</t>
  </si>
  <si>
    <t>ESTH2S208</t>
  </si>
  <si>
    <t>ESTH2S209</t>
  </si>
  <si>
    <t>ESTH2S210</t>
  </si>
  <si>
    <t>STG</t>
  </si>
  <si>
    <t>Centralised Hydrogen Underground Storage (cavernas de sal) daynite</t>
  </si>
  <si>
    <r>
      <t xml:space="preserve">Centralised Hydrogen Gas Tank Storage (centralized)  - </t>
    </r>
    <r>
      <rPr>
        <b/>
        <sz val="10"/>
        <color theme="9" tint="-0.249977111117893"/>
        <rFont val="Arial"/>
        <family val="2"/>
      </rPr>
      <t>compressed</t>
    </r>
    <r>
      <rPr>
        <sz val="10"/>
        <rFont val="Arial"/>
        <family val="2"/>
      </rPr>
      <t xml:space="preserve"> daynite</t>
    </r>
  </si>
  <si>
    <r>
      <t xml:space="preserve">Centralised Hydrogen Gas Tank Storage (centralized) - </t>
    </r>
    <r>
      <rPr>
        <b/>
        <sz val="10"/>
        <rFont val="Arial"/>
        <family val="2"/>
      </rPr>
      <t>cryogenic</t>
    </r>
    <r>
      <rPr>
        <sz val="10"/>
        <rFont val="Arial"/>
        <family val="2"/>
      </rPr>
      <t xml:space="preserve"> daynite</t>
    </r>
  </si>
  <si>
    <r>
      <t xml:space="preserve">NH3 production + Tank with </t>
    </r>
    <r>
      <rPr>
        <b/>
        <sz val="10"/>
        <rFont val="Arial"/>
        <family val="2"/>
      </rPr>
      <t>NH3 liquid</t>
    </r>
    <r>
      <rPr>
        <sz val="10"/>
        <rFont val="Arial"/>
        <family val="2"/>
      </rPr>
      <t xml:space="preserve"> </t>
    </r>
    <r>
      <rPr>
        <b/>
        <sz val="10"/>
        <color theme="9" tint="-0.249977111117893"/>
        <rFont val="Arial"/>
        <family val="2"/>
      </rPr>
      <t>cryogenic</t>
    </r>
    <r>
      <rPr>
        <sz val="10"/>
        <rFont val="Arial"/>
        <family val="2"/>
      </rPr>
      <t xml:space="preserve"> + conversion to H2 daynite</t>
    </r>
  </si>
  <si>
    <t>Distributed Hydrogen Gas Tank Storage daynite</t>
  </si>
  <si>
    <t>Distributed Hydrogen Gas Tank Storage (small storage in petrol stations) daynite</t>
  </si>
  <si>
    <t>Distributed Hydrogen Gas (storage in trucks in petrol stations) daynite</t>
  </si>
  <si>
    <t>Distributed Hydrogen Gas Tank Storage RSD daynite</t>
  </si>
  <si>
    <t>Distributed Hydrogen Gas Tank Storage COM daynite</t>
  </si>
  <si>
    <t>Distributed Hydrogen Gas Tank Storage IND daynite</t>
  </si>
  <si>
    <t>AFA</t>
  </si>
  <si>
    <t>ESTH2S111</t>
  </si>
  <si>
    <t>ESTH2S211</t>
  </si>
  <si>
    <t>STS</t>
  </si>
  <si>
    <r>
      <t>Refueling Gas to Gas (</t>
    </r>
    <r>
      <rPr>
        <i/>
        <sz val="9"/>
        <color theme="1"/>
        <rFont val="Calibri"/>
        <family val="2"/>
        <scheme val="minor"/>
      </rPr>
      <t>Large</t>
    </r>
    <r>
      <rPr>
        <sz val="9"/>
        <rFont val="Arial"/>
        <family val="2"/>
      </rPr>
      <t>)</t>
    </r>
    <r>
      <rPr>
        <sz val="9"/>
        <color theme="1"/>
        <rFont val="Calibri"/>
        <family val="2"/>
        <scheme val="minor"/>
      </rPr>
      <t xml:space="preserve"> inclui sotrage and compression</t>
    </r>
  </si>
  <si>
    <r>
      <t>Refueling Gas to Gas (</t>
    </r>
    <r>
      <rPr>
        <i/>
        <sz val="9"/>
        <color theme="1"/>
        <rFont val="Calibri"/>
        <family val="2"/>
        <scheme val="minor"/>
      </rPr>
      <t>Small</t>
    </r>
    <r>
      <rPr>
        <sz val="9"/>
        <rFont val="Arial"/>
        <family val="2"/>
      </rPr>
      <t>)</t>
    </r>
    <r>
      <rPr>
        <sz val="9"/>
        <color theme="1"/>
        <rFont val="Calibri"/>
        <family val="2"/>
        <scheme val="minor"/>
      </rPr>
      <t xml:space="preserve">  inclui sotrage and compression</t>
    </r>
  </si>
  <si>
    <t>COMHH200</t>
  </si>
  <si>
    <t>RSDHH200</t>
  </si>
  <si>
    <t>SYNH2GPIP</t>
  </si>
  <si>
    <t>STRANSPH201</t>
  </si>
  <si>
    <t>TRASTH2</t>
  </si>
  <si>
    <t>H2 Pipeline to storage</t>
  </si>
  <si>
    <t>H2 road transport to storage</t>
  </si>
  <si>
    <t>SPIPH2101</t>
  </si>
  <si>
    <t xml:space="preserve">H2 Pipeline </t>
  </si>
  <si>
    <t>1000units</t>
  </si>
  <si>
    <t>TRAGHS201</t>
  </si>
  <si>
    <t>TRAGHL201</t>
  </si>
  <si>
    <t>TRAGH201</t>
  </si>
  <si>
    <t>TRAGHXS201</t>
  </si>
  <si>
    <t>TRAGHM201</t>
  </si>
  <si>
    <t>TRAGHXL201</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</si>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</sst>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7">
    <numFmt numFmtId="41" formatCode="_-* #,##0_-;\-* #,##0_-;_-* &quot;-&quot;_-;_-@_-"/>
    <numFmt numFmtId="43" formatCode="_-* #,##0.00_-;\-* #,##0.00_-;_-* &quot;-&quot;??_-;_-@_-"/>
    <numFmt numFmtId="164" formatCode="&quot;$&quot;#,##0_);\(&quot;$&quot;#,##0\)"/>
    <numFmt numFmtId="165" formatCode="_(* #,##0_);_(* \(#,##0\);_(* &quot;-&quot;_);_(@_)"/>
    <numFmt numFmtId="166" formatCode="_(&quot;$&quot;* #,##0.00_);_(&quot;$&quot;* \(#,##0.00\);_(&quot;$&quot;* &quot;-&quot;??_);_(@_)"/>
    <numFmt numFmtId="167" formatCode="_(* #,##0.00_);_(* \(#,##0.00\);_(* &quot;-&quot;??_);_(@_)"/>
    <numFmt numFmtId="168" formatCode="0.0"/>
    <numFmt numFmtId="169" formatCode="0.0%"/>
    <numFmt numFmtId="170" formatCode="_([$€]* #,##0.00_);_([$€]* \(#,##0.00\);_([$€]* &quot;-&quot;??_);_(@_)"/>
    <numFmt numFmtId="171" formatCode="_([$€-2]* #,##0.00_);_([$€-2]* \(#,##0.00\);_([$€-2]* &quot;-&quot;??_)"/>
    <numFmt numFmtId="172" formatCode="_-[$€]* #,##0.00_-;\-[$€]* #,##0.00_-;_-[$€]* &quot;-&quot;??_-;_-@_-"/>
    <numFmt numFmtId="173" formatCode="_-[$€-2]\ * #,##0.00_-;\-[$€-2]\ * #,##0.00_-;_-[$€-2]\ * &quot;-&quot;??_-"/>
    <numFmt numFmtId="174" formatCode="#,##0;\-\ #,##0;_-\ &quot;- &quot;"/>
    <numFmt numFmtId="175" formatCode="_ * #,##0.00_ ;_ * \-#,##0.00_ ;_ * &quot;-&quot;??_ ;_ @_ "/>
    <numFmt numFmtId="176" formatCode="_ * #,##0_ ;_ * \-#,##0_ ;_ * &quot;-&quot;_ ;_ @_ "/>
    <numFmt numFmtId="177" formatCode="_ &quot;kr&quot;\ * #,##0_ ;_ &quot;kr&quot;\ * \-#,##0_ ;_ &quot;kr&quot;\ * &quot;-&quot;_ ;_ @_ "/>
    <numFmt numFmtId="178" formatCode="_ &quot;kr&quot;\ * #,##0.00_ ;_ &quot;kr&quot;\ * \-#,##0.00_ ;_ &quot;kr&quot;\ * &quot;-&quot;??_ ;_ @_ "/>
    <numFmt numFmtId="179" formatCode="\(##\);\(##\)"/>
    <numFmt numFmtId="180" formatCode="#,##0.0"/>
    <numFmt numFmtId="181" formatCode="_-* #,##0.00\ &quot;€&quot;_-;\-* #,##0.00\ &quot;€&quot;_-;_-* &quot;-&quot;??\ &quot;€&quot;_-;_-@_-"/>
    <numFmt numFmtId="182" formatCode="_-* #,##0.00\ _€_-;\-* #,##0.00\ _€_-;_-* &quot;-&quot;??\ _€_-;_-@_-"/>
    <numFmt numFmtId="183" formatCode="_-[$€-2]* #,##0.00_-;\-[$€-2]* #,##0.00_-;_-[$€-2]* &quot;-&quot;??_-"/>
    <numFmt numFmtId="184" formatCode="#,##0.0000"/>
    <numFmt numFmtId="185" formatCode="_-&quot;€&quot;\ * #,##0.00_-;\-&quot;€&quot;\ * #,##0.00_-;_-&quot;€&quot;\ * &quot;-&quot;??_-;_-@_-"/>
    <numFmt numFmtId="186" formatCode="_-&quot;$&quot;* #,##0.00_-;\-&quot;$&quot;* #,##0.00_-;_-&quot;$&quot;* &quot;-&quot;??_-;_-@_-"/>
    <numFmt numFmtId="187" formatCode="General_)"/>
    <numFmt numFmtId="188" formatCode="\Te\x\t"/>
    <numFmt numFmtId="189" formatCode="0.000"/>
    <numFmt numFmtId="190" formatCode="0.000000"/>
    <numFmt numFmtId="191" formatCode="0.0000"/>
    <numFmt numFmtId="192" formatCode="#,##0\ [$€-1];[Red]\-#,##0\ [$€-1]"/>
    <numFmt numFmtId="193" formatCode="[$€-2]\ #,##0;[Red]\-[$€-2]\ #,##0"/>
    <numFmt numFmtId="194" formatCode="#,##0.00000"/>
    <numFmt numFmtId="195" formatCode="0.00000"/>
    <numFmt numFmtId="196" formatCode="_-* #,##0.00\ _F_-;\-* #,##0.00\ _F_-;_-* &quot;-&quot;??\ _F_-;_-@_-"/>
    <numFmt numFmtId="197" formatCode="_-* #,##0.00\ [$€]_-;\-* #,##0.00\ [$€]_-;_-* &quot;-&quot;??\ [$€]_-;_-@_-"/>
    <numFmt numFmtId="198" formatCode="0.0000000"/>
  </numFmts>
  <fonts count="17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Courier"/>
      <family val="3"/>
    </font>
    <font>
      <b/>
      <sz val="10"/>
      <color indexed="12"/>
      <name val="Arial"/>
      <family val="2"/>
    </font>
    <font>
      <sz val="10"/>
      <name val="Arial"/>
      <family val="2"/>
    </font>
    <font>
      <sz val="8"/>
      <color indexed="81"/>
      <name val="Tahoma"/>
      <family val="2"/>
    </font>
    <font>
      <b/>
      <sz val="10"/>
      <name val="Arial"/>
      <family val="2"/>
    </font>
    <font>
      <b/>
      <sz val="8"/>
      <color indexed="81"/>
      <name val="Tahoma"/>
      <family val="2"/>
    </font>
    <font>
      <b/>
      <sz val="12"/>
      <color indexed="53"/>
      <name val="Arial"/>
      <family val="2"/>
    </font>
    <font>
      <i/>
      <sz val="10"/>
      <name val="Arial"/>
      <family val="2"/>
    </font>
    <font>
      <sz val="11"/>
      <color theme="1"/>
      <name val="Calibri"/>
      <family val="2"/>
      <scheme val="minor"/>
    </font>
    <font>
      <b/>
      <sz val="11"/>
      <color theme="0"/>
      <name val="Calibri"/>
      <family val="2"/>
      <scheme val="minor"/>
    </font>
    <font>
      <b/>
      <sz val="11"/>
      <color theme="1"/>
      <name val="Calibri"/>
      <family val="2"/>
      <scheme val="minor"/>
    </font>
    <font>
      <b/>
      <sz val="18"/>
      <color theme="3"/>
      <name val="Arial"/>
      <family val="2"/>
    </font>
    <font>
      <sz val="11"/>
      <color indexed="8"/>
      <name val="Calibri"/>
      <family val="2"/>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1"/>
      <color indexed="60"/>
      <name val="Calibri"/>
      <family val="2"/>
      <charset val="161"/>
    </font>
    <font>
      <b/>
      <sz val="11"/>
      <color indexed="63"/>
      <name val="Calibri"/>
      <family val="2"/>
    </font>
    <font>
      <sz val="10"/>
      <name val="Helvetica"/>
      <family val="2"/>
    </font>
    <font>
      <b/>
      <sz val="12"/>
      <name val="Arial"/>
      <family val="2"/>
    </font>
    <font>
      <sz val="8"/>
      <color indexed="9"/>
      <name val="Arial"/>
      <family val="2"/>
    </font>
    <font>
      <b/>
      <sz val="18"/>
      <color indexed="56"/>
      <name val="Cambria"/>
      <family val="2"/>
    </font>
    <font>
      <sz val="11"/>
      <color indexed="10"/>
      <name val="Calibri"/>
      <family val="2"/>
    </font>
    <font>
      <sz val="9"/>
      <color indexed="81"/>
      <name val="Tahoma"/>
      <family val="2"/>
    </font>
    <font>
      <sz val="11"/>
      <color rgb="FF9C0006"/>
      <name val="Calibri"/>
      <family val="2"/>
      <scheme val="minor"/>
    </font>
    <font>
      <b/>
      <sz val="9"/>
      <color indexed="81"/>
      <name val="Tahoma"/>
      <family val="2"/>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b/>
      <sz val="9"/>
      <name val="Arial"/>
      <family val="2"/>
    </font>
    <font>
      <sz val="10"/>
      <name val="Arial"/>
      <family val="2"/>
    </font>
    <font>
      <sz val="11"/>
      <color rgb="FF006100"/>
      <name val="Calibri"/>
      <family val="2"/>
      <scheme val="minor"/>
    </font>
    <font>
      <sz val="11"/>
      <color rgb="FF9C6500"/>
      <name val="Calibri"/>
      <family val="2"/>
      <scheme val="minor"/>
    </font>
    <font>
      <sz val="10"/>
      <name val="Arial"/>
      <family val="2"/>
      <charset val="161"/>
    </font>
    <font>
      <b/>
      <sz val="10"/>
      <name val="Arial"/>
      <family val="2"/>
      <charset val="161"/>
    </font>
    <font>
      <b/>
      <sz val="12"/>
      <name val="Arial"/>
      <family val="2"/>
      <charset val="161"/>
    </font>
    <font>
      <sz val="8"/>
      <color indexed="9"/>
      <name val="Arial"/>
      <family val="2"/>
      <charset val="161"/>
    </font>
    <font>
      <b/>
      <sz val="8"/>
      <name val="Arial"/>
      <family val="2"/>
      <charset val="161"/>
    </font>
    <font>
      <b/>
      <sz val="8"/>
      <name val="Arial"/>
      <family val="2"/>
    </font>
    <font>
      <sz val="10"/>
      <color indexed="8"/>
      <name val="Arial"/>
      <family val="2"/>
    </font>
    <font>
      <u/>
      <sz val="10"/>
      <color indexed="12"/>
      <name val="Arial"/>
      <family val="2"/>
    </font>
    <font>
      <sz val="9"/>
      <color indexed="8"/>
      <name val="Times New Roman"/>
      <family val="1"/>
    </font>
    <font>
      <sz val="9"/>
      <name val="Times New Roman"/>
      <family val="1"/>
    </font>
    <font>
      <b/>
      <sz val="9"/>
      <name val="Times New Roman"/>
      <family val="1"/>
    </font>
    <font>
      <sz val="12"/>
      <color indexed="8"/>
      <name val="Times New Roman"/>
      <family val="1"/>
    </font>
    <font>
      <sz val="11"/>
      <name val="Arial"/>
      <family val="2"/>
    </font>
    <font>
      <sz val="8"/>
      <name val="Arial"/>
      <family val="2"/>
    </font>
    <font>
      <sz val="10"/>
      <name val="Arial Cyr"/>
      <charset val="204"/>
    </font>
    <font>
      <b/>
      <sz val="12"/>
      <color indexed="8"/>
      <name val="Times New Roman"/>
      <family val="1"/>
    </font>
    <font>
      <sz val="10"/>
      <name val="MS Sans Serif"/>
      <family val="2"/>
    </font>
    <font>
      <sz val="10"/>
      <name val="Times New Roman"/>
      <family val="1"/>
    </font>
    <font>
      <u/>
      <sz val="10"/>
      <color indexed="12"/>
      <name val="Times New Roman"/>
      <family val="1"/>
    </font>
    <font>
      <u/>
      <sz val="12"/>
      <color indexed="20"/>
      <name val="??"/>
      <charset val="134"/>
    </font>
    <font>
      <sz val="10"/>
      <color indexed="8"/>
      <name val="MS Sans Serif"/>
      <family val="2"/>
    </font>
    <font>
      <sz val="10"/>
      <name val="Myriad Pro"/>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sz val="10"/>
      <name val="Arial"/>
      <family val="2"/>
    </font>
    <font>
      <b/>
      <sz val="11"/>
      <color indexed="10"/>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b/>
      <sz val="18"/>
      <color indexed="62"/>
      <name val="Cambria"/>
      <family val="2"/>
    </font>
    <font>
      <sz val="10"/>
      <name val="Calibri"/>
      <family val="2"/>
      <scheme val="minor"/>
    </font>
    <font>
      <sz val="11"/>
      <color theme="0"/>
      <name val="Calibri"/>
      <family val="2"/>
      <scheme val="minor"/>
    </font>
    <font>
      <sz val="11"/>
      <name val="Calibri"/>
      <family val="2"/>
      <scheme val="minor"/>
    </font>
    <font>
      <b/>
      <sz val="11"/>
      <color rgb="FFFF0000"/>
      <name val="Calibri"/>
      <family val="2"/>
      <scheme val="minor"/>
    </font>
    <font>
      <i/>
      <sz val="11"/>
      <color theme="1"/>
      <name val="Calibri"/>
      <family val="2"/>
      <scheme val="minor"/>
    </font>
    <font>
      <sz val="11"/>
      <color rgb="FFFF0000"/>
      <name val="Calibri"/>
      <family val="2"/>
      <scheme val="minor"/>
    </font>
    <font>
      <strike/>
      <sz val="11"/>
      <color theme="1"/>
      <name val="Calibri"/>
      <family val="2"/>
      <scheme val="minor"/>
    </font>
    <font>
      <sz val="11"/>
      <color theme="1"/>
      <name val="Calibri"/>
      <family val="2"/>
    </font>
    <font>
      <sz val="11"/>
      <color theme="8"/>
      <name val="Calibri"/>
      <family val="2"/>
      <scheme val="minor"/>
    </font>
    <font>
      <sz val="10"/>
      <name val="Arial"/>
      <family val="2"/>
    </font>
    <font>
      <u/>
      <sz val="11"/>
      <color theme="10"/>
      <name val="Calibri"/>
      <family val="2"/>
      <scheme val="minor"/>
    </font>
    <font>
      <b/>
      <sz val="10"/>
      <color rgb="FFFFFFFF"/>
      <name val="Calibri"/>
      <family val="2"/>
    </font>
    <font>
      <b/>
      <sz val="11"/>
      <color rgb="FFFFFFFF"/>
      <name val="Calibri"/>
      <family val="2"/>
    </font>
    <font>
      <b/>
      <i/>
      <u/>
      <sz val="11"/>
      <color rgb="FFFFFFFF"/>
      <name val="Calibri"/>
      <family val="2"/>
    </font>
    <font>
      <i/>
      <sz val="10"/>
      <name val="Calibri"/>
      <family val="2"/>
    </font>
    <font>
      <sz val="10"/>
      <name val="Calibri"/>
      <family val="2"/>
    </font>
    <font>
      <i/>
      <vertAlign val="subscript"/>
      <sz val="10"/>
      <name val="Calibri"/>
      <family val="2"/>
    </font>
    <font>
      <b/>
      <sz val="11"/>
      <name val="Calibri"/>
      <family val="2"/>
      <scheme val="minor"/>
    </font>
    <font>
      <sz val="11"/>
      <color indexed="58"/>
      <name val="Calibri"/>
      <family val="3"/>
      <charset val="128"/>
      <scheme val="minor"/>
    </font>
    <font>
      <sz val="11"/>
      <color rgb="FF9C6500"/>
      <name val="Calibri"/>
      <family val="2"/>
      <charset val="161"/>
      <scheme val="minor"/>
    </font>
    <font>
      <b/>
      <sz val="16"/>
      <color rgb="FFFFFF00"/>
      <name val="Arial"/>
      <family val="2"/>
    </font>
    <font>
      <sz val="10"/>
      <color rgb="FFFF0000"/>
      <name val="Arial"/>
      <family val="2"/>
    </font>
    <font>
      <b/>
      <sz val="16"/>
      <color theme="3" tint="-0.249977111117893"/>
      <name val="Arial"/>
      <family val="2"/>
    </font>
    <font>
      <sz val="10"/>
      <name val="Arial"/>
      <family val="2"/>
    </font>
    <font>
      <sz val="10"/>
      <name val="Arial"/>
    </font>
    <font>
      <b/>
      <sz val="10"/>
      <color theme="9" tint="-0.249977111117893"/>
      <name val="Arial"/>
      <family val="2"/>
    </font>
    <font>
      <sz val="8"/>
      <name val="Arial"/>
    </font>
    <font>
      <b/>
      <sz val="8"/>
      <color rgb="FF000000"/>
      <name val="Arial Narrow"/>
      <family val="2"/>
    </font>
    <font>
      <sz val="9"/>
      <color indexed="81"/>
      <name val="Tahoma"/>
      <charset val="1"/>
    </font>
    <font>
      <b/>
      <sz val="9"/>
      <color indexed="81"/>
      <name val="Tahoma"/>
      <charset val="1"/>
    </font>
    <font>
      <sz val="10"/>
      <color theme="0"/>
      <name val="Arial"/>
      <family val="2"/>
    </font>
    <font>
      <sz val="9"/>
      <color theme="1"/>
      <name val="Calibri"/>
      <family val="2"/>
      <scheme val="minor"/>
    </font>
    <font>
      <i/>
      <sz val="9"/>
      <color theme="1"/>
      <name val="Calibri"/>
      <family val="2"/>
      <scheme val="minor"/>
    </font>
    <font>
      <sz val="9"/>
      <name val="Arial"/>
      <family val="2"/>
    </font>
    <font>
      <sz val="9"/>
      <color theme="0"/>
      <name val="Calibri"/>
      <family val="2"/>
      <scheme val="minor"/>
    </font>
    <font>
      <sz val="9"/>
      <color rgb="FFFF0000"/>
      <name val="Calibri"/>
      <family val="2"/>
      <scheme val="minor"/>
    </font>
    <font>
      <b/>
      <sz val="9"/>
      <color theme="1"/>
      <name val="Calibri"/>
      <family val="2"/>
      <scheme val="minor"/>
    </font>
    <font>
      <b/>
      <sz val="9"/>
      <name val="Calibri"/>
      <family val="2"/>
      <scheme val="minor"/>
    </font>
    <font>
      <b/>
      <sz val="9"/>
      <color theme="9" tint="-0.249977111117893"/>
      <name val="Calibri"/>
      <family val="2"/>
      <scheme val="minor"/>
    </font>
    <font>
      <sz val="10"/>
      <color theme="3" tint="0.39997558519241921"/>
      <name val="Arial"/>
      <family val="2"/>
    </font>
    <font>
      <b/>
      <sz val="10"/>
      <color theme="3" tint="0.39997558519241921"/>
      <name val="Arial"/>
      <family val="2"/>
    </font>
    <font>
      <b/>
      <sz val="8"/>
      <name val="Calibri"/>
      <family val="2"/>
      <scheme val="minor"/>
    </font>
    <font>
      <sz val="12"/>
      <color rgb="FF000000"/>
      <name val="Arial"/>
      <family val="2"/>
    </font>
    <font>
      <b/>
      <sz val="12"/>
      <color rgb="FF000000"/>
      <name val="Arial"/>
      <family val="2"/>
    </font>
    <font>
      <sz val="4"/>
      <color rgb="FF000000"/>
      <name val="Arial"/>
      <family val="2"/>
    </font>
    <font>
      <sz val="3"/>
      <color rgb="FF000000"/>
      <name val="Arial"/>
      <family val="2"/>
    </font>
    <font>
      <sz val="11"/>
      <color rgb="FF3F3F76"/>
      <name val="Calibri"/>
      <family val="2"/>
      <scheme val="minor"/>
    </font>
    <font>
      <sz val="11"/>
      <color indexed="8"/>
      <name val="Calibri"/>
      <family val="2"/>
      <charset val="186"/>
    </font>
    <font>
      <sz val="11"/>
      <color indexed="9"/>
      <name val="Calibri"/>
      <family val="2"/>
      <charset val="186"/>
    </font>
    <font>
      <sz val="11"/>
      <color indexed="20"/>
      <name val="Calibri"/>
      <family val="2"/>
      <charset val="186"/>
    </font>
    <font>
      <b/>
      <sz val="11"/>
      <color indexed="52"/>
      <name val="Calibri"/>
      <family val="2"/>
      <charset val="186"/>
    </font>
    <font>
      <b/>
      <sz val="11"/>
      <color indexed="9"/>
      <name val="Calibri"/>
      <family val="2"/>
      <charset val="186"/>
    </font>
    <font>
      <sz val="8"/>
      <name val="Helvetica"/>
    </font>
    <font>
      <i/>
      <sz val="11"/>
      <color indexed="23"/>
      <name val="Calibri"/>
      <family val="2"/>
      <charset val="186"/>
    </font>
    <font>
      <sz val="11"/>
      <color indexed="17"/>
      <name val="Calibri"/>
      <family val="2"/>
      <charset val="186"/>
    </font>
    <font>
      <b/>
      <sz val="15"/>
      <color indexed="56"/>
      <name val="Calibri"/>
      <family val="2"/>
      <charset val="186"/>
    </font>
    <font>
      <sz val="11"/>
      <color indexed="62"/>
      <name val="Calibri"/>
      <family val="2"/>
      <charset val="186"/>
    </font>
    <font>
      <b/>
      <sz val="11"/>
      <color indexed="63"/>
      <name val="Calibri"/>
      <family val="2"/>
      <charset val="186"/>
    </font>
    <font>
      <b/>
      <sz val="11"/>
      <color indexed="8"/>
      <name val="Calibri"/>
      <family val="2"/>
      <charset val="186"/>
    </font>
    <font>
      <b/>
      <sz val="11"/>
      <color indexed="12"/>
      <name val="Arial"/>
      <family val="2"/>
      <charset val="204"/>
    </font>
    <font>
      <sz val="8"/>
      <name val="Helvetica"/>
      <family val="2"/>
    </font>
    <font>
      <u/>
      <sz val="10"/>
      <color theme="10"/>
      <name val="Arial"/>
    </font>
    <font>
      <sz val="11"/>
      <color theme="3" tint="0.39997558519241921"/>
      <name val="Calibri"/>
      <family val="2"/>
      <scheme val="minor"/>
    </font>
    <font>
      <sz val="9"/>
      <color theme="3"/>
      <name val="Calibri"/>
      <family val="2"/>
      <scheme val="minor"/>
    </font>
    <font>
      <u/>
      <sz val="8"/>
      <color indexed="12"/>
      <name val="Arial"/>
      <family val="2"/>
    </font>
  </fonts>
  <fills count="196">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4"/>
        <bgColor indexed="64"/>
      </patternFill>
    </fill>
    <fill>
      <patternFill patternType="solid">
        <fgColor theme="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63"/>
        <bgColor indexed="64"/>
      </patternFill>
    </fill>
    <fill>
      <patternFill patternType="solid">
        <fgColor indexed="62"/>
        <bgColor indexed="64"/>
      </patternFill>
    </fill>
    <fill>
      <patternFill patternType="solid">
        <fgColor rgb="FFFFC7CE"/>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indexed="47"/>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theme="9" tint="0.79998168889431442"/>
        <bgColor indexed="65"/>
      </patternFill>
    </fill>
    <fill>
      <patternFill patternType="solid">
        <fgColor indexed="55"/>
        <bgColor indexed="64"/>
      </patternFill>
    </fill>
    <fill>
      <patternFill patternType="darkTrellis"/>
    </fill>
    <fill>
      <patternFill patternType="solid">
        <fgColor indexed="6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rgb="FF9BBB59"/>
        <bgColor indexed="64"/>
      </patternFill>
    </fill>
    <fill>
      <patternFill patternType="solid">
        <fgColor rgb="FFE6EED5"/>
        <bgColor indexed="64"/>
      </patternFill>
    </fill>
    <fill>
      <patternFill patternType="solid">
        <fgColor rgb="FFCDDDAC"/>
        <bgColor indexed="64"/>
      </patternFill>
    </fill>
    <fill>
      <patternFill patternType="solid">
        <fgColor rgb="FFC2D69B"/>
        <bgColor indexed="64"/>
      </patternFill>
    </fill>
    <fill>
      <patternFill patternType="solid">
        <fgColor rgb="FF92D050"/>
        <bgColor indexed="64"/>
      </patternFill>
    </fill>
    <fill>
      <patternFill patternType="solid">
        <fgColor rgb="FFFF9797"/>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rgb="FFFF0000"/>
        <bgColor indexed="64"/>
      </patternFill>
    </fill>
    <fill>
      <patternFill patternType="solid">
        <fgColor theme="5" tint="0.79998168889431442"/>
        <bgColor indexed="64"/>
      </patternFill>
    </fill>
    <fill>
      <patternFill patternType="solid">
        <fgColor theme="5" tint="0.59999389629810485"/>
        <bgColor indexed="64"/>
      </patternFill>
    </fill>
    <fill>
      <patternFill patternType="lightUp">
        <fgColor theme="6" tint="0.39994506668294322"/>
        <bgColor indexed="65"/>
      </patternFill>
    </fill>
    <fill>
      <patternFill patternType="lightUp">
        <fgColor theme="6" tint="0.39994506668294322"/>
        <bgColor theme="9" tint="0.39997558519241921"/>
      </patternFill>
    </fill>
    <fill>
      <patternFill patternType="lightUp">
        <fgColor theme="6" tint="0.39994506668294322"/>
        <bgColor rgb="FF92D050"/>
      </patternFill>
    </fill>
    <fill>
      <patternFill patternType="lightUp">
        <fgColor theme="6" tint="0.39994506668294322"/>
        <bgColor theme="9" tint="0.59999389629810485"/>
      </patternFill>
    </fill>
    <fill>
      <patternFill patternType="lightUp">
        <fgColor theme="3" tint="0.59996337778862885"/>
        <bgColor theme="0" tint="-4.9989318521683403E-2"/>
      </patternFill>
    </fill>
    <fill>
      <patternFill patternType="solid">
        <fgColor theme="4" tint="0.79998168889431442"/>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8" tint="0.79998168889431442"/>
        <bgColor indexed="64"/>
      </patternFill>
    </fill>
    <fill>
      <patternFill patternType="lightUp">
        <fgColor theme="8" tint="0.39994506668294322"/>
        <bgColor indexed="65"/>
      </patternFill>
    </fill>
    <fill>
      <patternFill patternType="lightUp">
        <fgColor theme="8" tint="0.59996337778862885"/>
        <bgColor indexed="65"/>
      </patternFill>
    </fill>
    <fill>
      <patternFill patternType="lightUp">
        <fgColor theme="5" tint="0.39994506668294322"/>
        <bgColor indexed="65"/>
      </patternFill>
    </fill>
    <fill>
      <patternFill patternType="darkHorizontal">
        <fgColor theme="0" tint="-0.14996795556505021"/>
        <bgColor indexed="65"/>
      </patternFill>
    </fill>
    <fill>
      <patternFill patternType="solid">
        <fgColor theme="8" tint="0.79998168889431442"/>
        <bgColor theme="0"/>
      </patternFill>
    </fill>
    <fill>
      <patternFill patternType="lightUp">
        <fgColor theme="6" tint="0.59996337778862885"/>
        <bgColor indexed="65"/>
      </patternFill>
    </fill>
    <fill>
      <patternFill patternType="lightUp">
        <fgColor theme="5" tint="0.59996337778862885"/>
        <bgColor indexed="65"/>
      </patternFill>
    </fill>
    <fill>
      <patternFill patternType="lightUp">
        <fgColor theme="5" tint="0.59996337778862885"/>
        <bgColor theme="8" tint="0.79998168889431442"/>
      </patternFill>
    </fill>
    <fill>
      <patternFill patternType="lightUp">
        <fgColor theme="0" tint="-0.24994659260841701"/>
        <bgColor indexed="65"/>
      </patternFill>
    </fill>
    <fill>
      <patternFill patternType="lightUp">
        <fgColor theme="0" tint="-0.24994659260841701"/>
        <bgColor theme="6" tint="0.59999389629810485"/>
      </patternFill>
    </fill>
    <fill>
      <patternFill patternType="lightUp">
        <fgColor theme="0" tint="-0.24994659260841701"/>
        <bgColor theme="9" tint="0.59999389629810485"/>
      </patternFill>
    </fill>
    <fill>
      <patternFill patternType="lightUp">
        <fgColor theme="0" tint="-0.24994659260841701"/>
        <bgColor theme="5" tint="0.59999389629810485"/>
      </patternFill>
    </fill>
    <fill>
      <patternFill patternType="solid">
        <fgColor rgb="FF002060"/>
        <bgColor indexed="64"/>
      </patternFill>
    </fill>
    <fill>
      <patternFill patternType="solid">
        <fgColor theme="0" tint="-0.249977111117893"/>
        <bgColor indexed="64"/>
      </patternFill>
    </fill>
    <fill>
      <patternFill patternType="solid">
        <fgColor theme="5" tint="0.39997558519241921"/>
        <bgColor indexed="64"/>
      </patternFill>
    </fill>
    <fill>
      <patternFill patternType="lightUp">
        <fgColor theme="6" tint="0.39994506668294322"/>
        <bgColor rgb="FFFFFF00"/>
      </patternFill>
    </fill>
    <fill>
      <patternFill patternType="lightUp">
        <fgColor theme="0" tint="-0.24994659260841701"/>
        <bgColor rgb="FF92D050"/>
      </patternFill>
    </fill>
    <fill>
      <patternFill patternType="lightUp">
        <fgColor theme="0" tint="-0.24994659260841701"/>
        <bgColor rgb="FFFFFF00"/>
      </patternFill>
    </fill>
    <fill>
      <patternFill patternType="lightUp">
        <fgColor theme="0" tint="-0.24994659260841701"/>
        <bgColor theme="9" tint="0.39997558519241921"/>
      </patternFill>
    </fill>
    <fill>
      <patternFill patternType="lightUp">
        <fgColor theme="0" tint="-0.24994659260841701"/>
        <bgColor theme="5" tint="0.39997558519241921"/>
      </patternFill>
    </fill>
    <fill>
      <patternFill patternType="solid">
        <fgColor theme="8" tint="0.59999389629810485"/>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9" tint="-0.249977111117893"/>
        <bgColor indexed="64"/>
      </patternFill>
    </fill>
    <fill>
      <patternFill patternType="lightUp">
        <fgColor theme="7" tint="0.39994506668294322"/>
        <bgColor indexed="65"/>
      </patternFill>
    </fill>
    <fill>
      <patternFill patternType="lightUp">
        <fgColor theme="7" tint="0.39994506668294322"/>
        <bgColor theme="9" tint="-0.249977111117893"/>
      </patternFill>
    </fill>
    <fill>
      <patternFill patternType="lightUp">
        <fgColor theme="9" tint="0.39994506668294322"/>
        <bgColor indexed="65"/>
      </patternFill>
    </fill>
    <fill>
      <patternFill patternType="lightUp">
        <fgColor theme="3" tint="0.39994506668294322"/>
        <bgColor indexed="65"/>
      </patternFill>
    </fill>
    <fill>
      <patternFill patternType="lightUp">
        <fgColor theme="3" tint="0.39994506668294322"/>
        <bgColor theme="9" tint="-0.249977111117893"/>
      </patternFill>
    </fill>
    <fill>
      <patternFill patternType="lightUp">
        <fgColor theme="9" tint="0.39994506668294322"/>
        <bgColor theme="9" tint="-0.249977111117893"/>
      </patternFill>
    </fill>
    <fill>
      <patternFill patternType="lightUp">
        <fgColor theme="8" tint="0.39994506668294322"/>
        <bgColor theme="9" tint="-0.249977111117893"/>
      </patternFill>
    </fill>
    <fill>
      <patternFill patternType="lightUp">
        <fgColor theme="3" tint="0.39994506668294322"/>
        <bgColor theme="7" tint="-0.249977111117893"/>
      </patternFill>
    </fill>
    <fill>
      <patternFill patternType="lightUp">
        <fgColor theme="3" tint="0.39994506668294322"/>
        <bgColor rgb="FF596947"/>
      </patternFill>
    </fill>
    <fill>
      <patternFill patternType="lightUp">
        <fgColor theme="7" tint="0.39994506668294322"/>
        <bgColor theme="5" tint="-0.249977111117893"/>
      </patternFill>
    </fill>
    <fill>
      <patternFill patternType="lightUp">
        <fgColor theme="3" tint="0.39994506668294322"/>
        <bgColor theme="5" tint="-0.249977111117893"/>
      </patternFill>
    </fill>
    <fill>
      <patternFill patternType="lightUp">
        <fgColor theme="3" tint="0.39994506668294322"/>
        <bgColor theme="4"/>
      </patternFill>
    </fill>
    <fill>
      <patternFill patternType="lightUp">
        <fgColor theme="7" tint="0.39994506668294322"/>
        <bgColor theme="4"/>
      </patternFill>
    </fill>
    <fill>
      <patternFill patternType="solid">
        <fgColor theme="5"/>
        <bgColor indexed="64"/>
      </patternFill>
    </fill>
    <fill>
      <patternFill patternType="lightUp">
        <fgColor theme="9" tint="0.39994506668294322"/>
        <bgColor theme="4" tint="-0.249977111117893"/>
      </patternFill>
    </fill>
    <fill>
      <patternFill patternType="lightUp">
        <fgColor theme="3" tint="0.39994506668294322"/>
        <bgColor theme="0" tint="-0.14999847407452621"/>
      </patternFill>
    </fill>
    <fill>
      <patternFill patternType="lightUp">
        <fgColor theme="7" tint="0.39994506668294322"/>
        <bgColor theme="0" tint="-0.14999847407452621"/>
      </patternFill>
    </fill>
    <fill>
      <patternFill patternType="lightUp">
        <fgColor theme="8" tint="0.39994506668294322"/>
        <bgColor theme="0" tint="-0.14999847407452621"/>
      </patternFill>
    </fill>
    <fill>
      <patternFill patternType="lightUp">
        <fgColor theme="9" tint="0.39994506668294322"/>
        <bgColor theme="0" tint="-0.14999847407452621"/>
      </patternFill>
    </fill>
    <fill>
      <patternFill patternType="solid">
        <fgColor theme="8"/>
        <bgColor indexed="64"/>
      </patternFill>
    </fill>
    <fill>
      <patternFill patternType="lightUp">
        <fgColor theme="3" tint="0.39994506668294322"/>
        <bgColor theme="8"/>
      </patternFill>
    </fill>
    <fill>
      <patternFill patternType="lightUp">
        <fgColor theme="7" tint="0.39994506668294322"/>
        <bgColor theme="8"/>
      </patternFill>
    </fill>
    <fill>
      <patternFill patternType="lightUp">
        <fgColor theme="8" tint="0.39994506668294322"/>
        <bgColor theme="8"/>
      </patternFill>
    </fill>
    <fill>
      <patternFill patternType="lightUp">
        <fgColor theme="9" tint="0.39994506668294322"/>
        <bgColor theme="8"/>
      </patternFill>
    </fill>
    <fill>
      <patternFill patternType="lightUp">
        <fgColor theme="9" tint="0.39994506668294322"/>
        <bgColor rgb="FFFFC000"/>
      </patternFill>
    </fill>
    <fill>
      <patternFill patternType="lightUp">
        <fgColor theme="9" tint="0.39994506668294322"/>
        <bgColor rgb="FF00B050"/>
      </patternFill>
    </fill>
    <fill>
      <patternFill patternType="lightUp">
        <fgColor theme="9" tint="0.39994506668294322"/>
        <bgColor rgb="FF92D050"/>
      </patternFill>
    </fill>
    <fill>
      <patternFill patternType="lightUp">
        <fgColor theme="3" tint="0.39994506668294322"/>
        <bgColor rgb="FF00B050"/>
      </patternFill>
    </fill>
    <fill>
      <patternFill patternType="lightUp">
        <fgColor theme="3" tint="0.39994506668294322"/>
        <bgColor rgb="FFFF0000"/>
      </patternFill>
    </fill>
    <fill>
      <patternFill patternType="lightUp">
        <fgColor theme="7" tint="0.39994506668294322"/>
        <bgColor rgb="FFFF0000"/>
      </patternFill>
    </fill>
    <fill>
      <patternFill patternType="lightUp">
        <fgColor theme="7" tint="0.39994506668294322"/>
        <bgColor theme="8" tint="0.39997558519241921"/>
      </patternFill>
    </fill>
    <fill>
      <patternFill patternType="solid">
        <fgColor theme="4" tint="0.79998168889431442"/>
        <bgColor theme="0"/>
      </patternFill>
    </fill>
    <fill>
      <patternFill patternType="lightUp">
        <fgColor theme="3" tint="0.39994506668294322"/>
        <bgColor theme="8" tint="-0.249977111117893"/>
      </patternFill>
    </fill>
    <fill>
      <patternFill patternType="lightUp">
        <fgColor theme="7" tint="0.39994506668294322"/>
        <bgColor theme="8" tint="-0.249977111117893"/>
      </patternFill>
    </fill>
    <fill>
      <patternFill patternType="lightUp">
        <fgColor theme="8" tint="0.39994506668294322"/>
        <bgColor theme="8" tint="-0.249977111117893"/>
      </patternFill>
    </fill>
    <fill>
      <patternFill patternType="lightUp">
        <fgColor theme="9" tint="0.39994506668294322"/>
        <bgColor theme="8" tint="-0.249977111117893"/>
      </patternFill>
    </fill>
    <fill>
      <patternFill patternType="solid">
        <fgColor theme="6" tint="0.39997558519241921"/>
        <bgColor indexed="64"/>
      </patternFill>
    </fill>
    <fill>
      <patternFill patternType="solid">
        <fgColor rgb="FF00B050"/>
        <bgColor indexed="64"/>
      </patternFill>
    </fill>
    <fill>
      <patternFill patternType="lightUp">
        <fgColor theme="0" tint="-0.34998626667073579"/>
        <bgColor theme="0" tint="-4.9989318521683403E-2"/>
      </patternFill>
    </fill>
    <fill>
      <patternFill patternType="lightUp">
        <fgColor theme="0" tint="-0.34998626667073579"/>
        <bgColor theme="9" tint="0.79998168889431442"/>
      </patternFill>
    </fill>
    <fill>
      <patternFill patternType="lightUp">
        <fgColor theme="0" tint="-0.34998626667073579"/>
        <bgColor theme="6" tint="0.59999389629810485"/>
      </patternFill>
    </fill>
    <fill>
      <patternFill patternType="lightUp">
        <fgColor theme="0" tint="-0.34998626667073579"/>
        <bgColor theme="9" tint="-0.249977111117893"/>
      </patternFill>
    </fill>
    <fill>
      <patternFill patternType="lightUp">
        <fgColor theme="0" tint="-0.34998626667073579"/>
        <bgColor indexed="65"/>
      </patternFill>
    </fill>
    <fill>
      <patternFill patternType="lightUp">
        <fgColor theme="0" tint="-0.34998626667073579"/>
        <bgColor rgb="FFFF0000"/>
      </patternFill>
    </fill>
    <fill>
      <patternFill patternType="lightUp">
        <fgColor theme="0" tint="-0.34998626667073579"/>
        <bgColor theme="0" tint="-0.14999847407452621"/>
      </patternFill>
    </fill>
    <fill>
      <patternFill patternType="lightUp">
        <fgColor theme="0" tint="-0.34998626667073579"/>
        <bgColor theme="6" tint="0.39997558519241921"/>
      </patternFill>
    </fill>
    <fill>
      <patternFill patternType="solid">
        <fgColor rgb="FFFF0066"/>
        <bgColor indexed="64"/>
      </patternFill>
    </fill>
    <fill>
      <patternFill patternType="lightUp">
        <fgColor theme="5" tint="0.39994506668294322"/>
        <bgColor theme="9" tint="0.39997558519241921"/>
      </patternFill>
    </fill>
    <fill>
      <patternFill patternType="lightUp">
        <fgColor theme="5" tint="0.39994506668294322"/>
        <bgColor rgb="FF92D050"/>
      </patternFill>
    </fill>
    <fill>
      <patternFill patternType="lightUp">
        <fgColor theme="5" tint="0.39994506668294322"/>
        <bgColor rgb="FFFFFF00"/>
      </patternFill>
    </fill>
    <fill>
      <patternFill patternType="lightUp">
        <fgColor theme="5" tint="0.39994506668294322"/>
        <bgColor theme="9" tint="0.59999389629810485"/>
      </patternFill>
    </fill>
    <fill>
      <patternFill patternType="lightUp">
        <fgColor theme="3" tint="0.39994506668294322"/>
        <bgColor theme="9" tint="0.39997558519241921"/>
      </patternFill>
    </fill>
    <fill>
      <patternFill patternType="lightUp">
        <fgColor theme="3" tint="0.39994506668294322"/>
        <bgColor rgb="FFFF9797"/>
      </patternFill>
    </fill>
    <fill>
      <patternFill patternType="lightUp">
        <fgColor theme="3" tint="0.39994506668294322"/>
        <bgColor rgb="FF92D050"/>
      </patternFill>
    </fill>
    <fill>
      <patternFill patternType="lightUp">
        <fgColor theme="3" tint="0.39994506668294322"/>
        <bgColor theme="9" tint="0.59999389629810485"/>
      </patternFill>
    </fill>
    <fill>
      <patternFill patternType="lightUp">
        <fgColor rgb="FFFFC000"/>
      </patternFill>
    </fill>
    <fill>
      <patternFill patternType="lightUp">
        <fgColor rgb="FFFFC000"/>
        <bgColor theme="9" tint="0.39997558519241921"/>
      </patternFill>
    </fill>
    <fill>
      <patternFill patternType="lightUp">
        <fgColor rgb="FFFFC000"/>
        <bgColor rgb="FF92D050"/>
      </patternFill>
    </fill>
    <fill>
      <patternFill patternType="lightUp">
        <fgColor rgb="FFFFC000"/>
        <bgColor theme="9" tint="0.59999389629810485"/>
      </patternFill>
    </fill>
    <fill>
      <patternFill patternType="lightUp">
        <fgColor theme="3" tint="-0.24994659260841701"/>
        <bgColor indexed="65"/>
      </patternFill>
    </fill>
    <fill>
      <patternFill patternType="lightUp">
        <fgColor theme="3" tint="-0.24994659260841701"/>
        <bgColor theme="9" tint="0.39997558519241921"/>
      </patternFill>
    </fill>
    <fill>
      <patternFill patternType="lightUp">
        <fgColor theme="3" tint="-0.24994659260841701"/>
        <bgColor rgb="FF92D050"/>
      </patternFill>
    </fill>
    <fill>
      <patternFill patternType="lightUp">
        <fgColor theme="3" tint="-0.24994659260841701"/>
        <bgColor theme="9" tint="0.59999389629810485"/>
      </patternFill>
    </fill>
    <fill>
      <patternFill patternType="lightUp">
        <fgColor theme="8" tint="0.39994506668294322"/>
        <bgColor theme="9" tint="0.39997558519241921"/>
      </patternFill>
    </fill>
    <fill>
      <patternFill patternType="lightUp">
        <fgColor theme="8" tint="0.39994506668294322"/>
        <bgColor rgb="FFFFFF00"/>
      </patternFill>
    </fill>
    <fill>
      <patternFill patternType="lightUp">
        <fgColor theme="8" tint="0.39994506668294322"/>
        <bgColor rgb="FF92D050"/>
      </patternFill>
    </fill>
    <fill>
      <patternFill patternType="lightUp">
        <fgColor theme="8" tint="0.39994506668294322"/>
        <bgColor theme="9" tint="0.59999389629810485"/>
      </patternFill>
    </fill>
    <fill>
      <patternFill patternType="lightUp">
        <fgColor theme="9" tint="-0.24994659260841701"/>
        <bgColor indexed="65"/>
      </patternFill>
    </fill>
    <fill>
      <patternFill patternType="lightUp">
        <fgColor theme="9" tint="-0.24994659260841701"/>
        <bgColor theme="9" tint="0.39997558519241921"/>
      </patternFill>
    </fill>
    <fill>
      <patternFill patternType="lightUp">
        <fgColor theme="9" tint="-0.24994659260841701"/>
        <bgColor rgb="FFFFFF00"/>
      </patternFill>
    </fill>
    <fill>
      <patternFill patternType="lightUp">
        <fgColor theme="9" tint="-0.24994659260841701"/>
        <bgColor rgb="FF92D050"/>
      </patternFill>
    </fill>
    <fill>
      <patternFill patternType="lightUp">
        <fgColor theme="9" tint="-0.24994659260841701"/>
        <bgColor theme="9" tint="0.59999389629810485"/>
      </patternFill>
    </fill>
    <fill>
      <patternFill patternType="solid">
        <fgColor theme="2" tint="-0.249977111117893"/>
        <bgColor indexed="64"/>
      </patternFill>
    </fill>
    <fill>
      <patternFill patternType="solid">
        <fgColor theme="2" tint="-9.9978637043366805E-2"/>
        <bgColor indexed="64"/>
      </patternFill>
    </fill>
    <fill>
      <patternFill patternType="solid">
        <fgColor rgb="FFDFF1EC"/>
        <bgColor indexed="64"/>
      </patternFill>
    </fill>
    <fill>
      <patternFill patternType="lightUp">
        <fgColor theme="9" tint="0.39994506668294322"/>
        <bgColor rgb="FFDFF1EC"/>
      </patternFill>
    </fill>
    <fill>
      <patternFill patternType="lightUp">
        <fgColor theme="0" tint="-0.34998626667073579"/>
        <bgColor rgb="FFDFF1EC"/>
      </patternFill>
    </fill>
    <fill>
      <patternFill patternType="lightUp">
        <fgColor theme="3" tint="0.39994506668294322"/>
        <bgColor rgb="FFDFF1EC"/>
      </patternFill>
    </fill>
    <fill>
      <patternFill patternType="solid">
        <fgColor theme="7" tint="0.39997558519241921"/>
        <bgColor indexed="65"/>
      </patternFill>
    </fill>
    <fill>
      <patternFill patternType="solid">
        <fgColor theme="6" tint="0.79998168889431442"/>
        <bgColor indexed="64"/>
      </patternFill>
    </fill>
    <fill>
      <patternFill patternType="solid">
        <fgColor rgb="FFBCE2D7"/>
        <bgColor indexed="64"/>
      </patternFill>
    </fill>
    <fill>
      <patternFill patternType="darkHorizontal">
        <fgColor theme="0" tint="-0.14996795556505021"/>
        <bgColor theme="5" tint="0.79998168889431442"/>
      </patternFill>
    </fill>
    <fill>
      <patternFill patternType="lightUp">
        <fgColor theme="8" tint="0.59996337778862885"/>
        <bgColor theme="5" tint="0.79998168889431442"/>
      </patternFill>
    </fill>
    <fill>
      <patternFill patternType="lightUp">
        <fgColor theme="5" tint="0.39994506668294322"/>
        <bgColor theme="5" tint="0.79998168889431442"/>
      </patternFill>
    </fill>
    <fill>
      <patternFill patternType="solid">
        <fgColor theme="4"/>
      </patternFill>
    </fill>
    <fill>
      <patternFill patternType="solid">
        <fgColor indexed="22"/>
        <bgColor indexed="64"/>
      </patternFill>
    </fill>
    <fill>
      <patternFill patternType="solid">
        <fgColor indexed="50"/>
        <bgColor indexed="64"/>
      </patternFill>
    </fill>
    <fill>
      <patternFill patternType="solid">
        <fgColor theme="7" tint="0.79998168889431442"/>
        <bgColor indexed="64"/>
      </patternFill>
    </fill>
    <fill>
      <patternFill patternType="solid">
        <fgColor theme="7" tint="0.39997558519241921"/>
        <bgColor indexed="64"/>
      </patternFill>
    </fill>
    <fill>
      <patternFill patternType="lightUp">
        <fgColor theme="0" tint="-0.24994659260841701"/>
        <bgColor indexed="43"/>
      </patternFill>
    </fill>
    <fill>
      <patternFill patternType="lightUp">
        <fgColor theme="0" tint="-0.24994659260841701"/>
        <bgColor rgb="FFBCE2D7"/>
      </patternFill>
    </fill>
    <fill>
      <patternFill patternType="lightUp">
        <fgColor theme="0" tint="-0.34998626667073579"/>
        <bgColor theme="4" tint="0.79998168889431442"/>
      </patternFill>
    </fill>
    <fill>
      <patternFill patternType="lightUp">
        <fgColor theme="3" tint="0.39994506668294322"/>
        <bgColor rgb="FFFFFF00"/>
      </patternFill>
    </fill>
    <fill>
      <patternFill patternType="lightUp">
        <fgColor theme="7" tint="0.39994506668294322"/>
        <bgColor rgb="FFFFFF00"/>
      </patternFill>
    </fill>
    <fill>
      <patternFill patternType="lightUp">
        <fgColor theme="9" tint="0.39994506668294322"/>
        <bgColor rgb="FFFFFF00"/>
      </patternFill>
    </fill>
    <fill>
      <patternFill patternType="lightUp">
        <fgColor theme="0" tint="-0.34998626667073579"/>
        <bgColor theme="5" tint="0.59999389629810485"/>
      </patternFill>
    </fill>
  </fills>
  <borders count="60">
    <border>
      <left/>
      <right/>
      <top/>
      <bottom/>
      <diagonal/>
    </border>
    <border>
      <left/>
      <right/>
      <top style="thin">
        <color indexed="64"/>
      </top>
      <bottom style="thin">
        <color indexed="64"/>
      </bottom>
      <diagonal/>
    </border>
    <border>
      <left/>
      <right/>
      <top style="thin">
        <color indexed="64"/>
      </top>
      <bottom/>
      <diagonal/>
    </border>
    <border>
      <left/>
      <right/>
      <top/>
      <bottom style="medium">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rgb="FFFFFFFF"/>
      </left>
      <right style="medium">
        <color rgb="FFFFFFFF"/>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rgb="FFFFFFFF"/>
      </left>
      <right/>
      <top style="thick">
        <color rgb="FFFFFFFF"/>
      </top>
      <bottom style="medium">
        <color rgb="FFFFFFFF"/>
      </bottom>
      <diagonal/>
    </border>
    <border>
      <left/>
      <right/>
      <top style="thick">
        <color rgb="FFFFFFFF"/>
      </top>
      <bottom style="medium">
        <color rgb="FFFFFFFF"/>
      </bottom>
      <diagonal/>
    </border>
    <border>
      <left/>
      <right style="thick">
        <color rgb="FFFFFFFF"/>
      </right>
      <top style="thick">
        <color rgb="FFFFFFFF"/>
      </top>
      <bottom style="medium">
        <color rgb="FFFFFFFF"/>
      </bottom>
      <diagonal/>
    </border>
    <border>
      <left style="medium">
        <color rgb="FFFFFFFF"/>
      </left>
      <right style="thick">
        <color rgb="FFFFFFFF"/>
      </right>
      <top style="medium">
        <color rgb="FFFFFFFF"/>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right style="thick">
        <color rgb="FFFFFFFF"/>
      </right>
      <top style="medium">
        <color rgb="FFFFFFFF"/>
      </top>
      <bottom style="medium">
        <color rgb="FFFFFFFF"/>
      </bottom>
      <diagonal/>
    </border>
    <border>
      <left/>
      <right style="medium">
        <color rgb="FFFFFFFF"/>
      </right>
      <top/>
      <bottom/>
      <diagonal/>
    </border>
    <border>
      <left style="medium">
        <color rgb="FFFFFFFF"/>
      </left>
      <right style="thick">
        <color rgb="FFFFFFFF"/>
      </right>
      <top style="medium">
        <color rgb="FFFFFFFF"/>
      </top>
      <bottom style="medium">
        <color rgb="FFFFFFFF"/>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49882">
    <xf numFmtId="0" fontId="0" fillId="0" borderId="0"/>
    <xf numFmtId="0" fontId="32" fillId="0" borderId="0"/>
    <xf numFmtId="0" fontId="30" fillId="0" borderId="0"/>
    <xf numFmtId="9" fontId="29" fillId="0" borderId="0" applyFont="0" applyFill="0" applyBorder="0" applyAlignment="0" applyProtection="0"/>
    <xf numFmtId="0" fontId="38" fillId="0" borderId="0"/>
    <xf numFmtId="0" fontId="32" fillId="0" borderId="0"/>
    <xf numFmtId="9" fontId="32" fillId="0" borderId="0" applyFont="0" applyFill="0" applyBorder="0" applyAlignment="0" applyProtection="0"/>
    <xf numFmtId="0" fontId="28" fillId="0" borderId="0"/>
    <xf numFmtId="0" fontId="29" fillId="0" borderId="0"/>
    <xf numFmtId="0" fontId="42" fillId="6" borderId="0" applyNumberFormat="0" applyBorder="0" applyAlignment="0" applyProtection="0"/>
    <xf numFmtId="0" fontId="42" fillId="6"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6" fillId="24" borderId="5" applyNumberFormat="0" applyAlignment="0" applyProtection="0"/>
    <xf numFmtId="0" fontId="46" fillId="24" borderId="5" applyNumberFormat="0" applyAlignment="0" applyProtection="0"/>
    <xf numFmtId="0" fontId="47" fillId="25" borderId="6" applyNumberFormat="0" applyAlignment="0" applyProtection="0"/>
    <xf numFmtId="0" fontId="47" fillId="25" borderId="6" applyNumberFormat="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70" fontId="29" fillId="0" borderId="0" applyFont="0" applyFill="0" applyBorder="0" applyAlignment="0" applyProtection="0"/>
    <xf numFmtId="170" fontId="29" fillId="0" borderId="0" applyFont="0" applyFill="0" applyBorder="0" applyAlignment="0" applyProtection="0"/>
    <xf numFmtId="171" fontId="29" fillId="0" borderId="0" applyFont="0" applyFill="0" applyBorder="0" applyAlignment="0" applyProtection="0"/>
    <xf numFmtId="171" fontId="29" fillId="0" borderId="0" applyFont="0" applyFill="0" applyBorder="0" applyAlignment="0" applyProtection="0"/>
    <xf numFmtId="171" fontId="29" fillId="0" borderId="0" applyFont="0" applyFill="0" applyBorder="0" applyAlignment="0" applyProtection="0"/>
    <xf numFmtId="172" fontId="29" fillId="0" borderId="0" applyFont="0" applyFill="0" applyBorder="0" applyAlignment="0" applyProtection="0"/>
    <xf numFmtId="171" fontId="29" fillId="0" borderId="0" applyFont="0" applyFill="0" applyBorder="0" applyAlignment="0" applyProtection="0"/>
    <xf numFmtId="172" fontId="29" fillId="0" borderId="0" applyFont="0" applyFill="0" applyBorder="0" applyAlignment="0" applyProtection="0"/>
    <xf numFmtId="172" fontId="29" fillId="0" borderId="0" applyFont="0" applyFill="0" applyBorder="0" applyAlignment="0" applyProtection="0"/>
    <xf numFmtId="172" fontId="29" fillId="0" borderId="0" applyFont="0" applyFill="0" applyBorder="0" applyAlignment="0" applyProtection="0"/>
    <xf numFmtId="172" fontId="29" fillId="0" borderId="0" applyFont="0" applyFill="0" applyBorder="0" applyAlignment="0" applyProtection="0"/>
    <xf numFmtId="173" fontId="29" fillId="0" borderId="0" applyFont="0" applyFill="0" applyBorder="0" applyAlignment="0" applyProtection="0"/>
    <xf numFmtId="170"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2" fontId="2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11" fontId="29" fillId="0" borderId="0" applyFont="0" applyFill="0" applyBorder="0" applyAlignment="0" applyProtection="0"/>
    <xf numFmtId="11" fontId="29" fillId="0" borderId="0" applyFont="0" applyFill="0" applyBorder="0" applyAlignment="0" applyProtection="0"/>
    <xf numFmtId="0" fontId="49" fillId="8" borderId="0" applyNumberFormat="0" applyBorder="0" applyAlignment="0" applyProtection="0"/>
    <xf numFmtId="0" fontId="49" fillId="8" borderId="0" applyNumberFormat="0" applyBorder="0" applyAlignment="0" applyProtection="0"/>
    <xf numFmtId="0" fontId="50" fillId="0" borderId="7" applyNumberFormat="0" applyFill="0" applyAlignment="0" applyProtection="0"/>
    <xf numFmtId="0" fontId="50" fillId="0" borderId="7"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11" borderId="5" applyNumberFormat="0" applyAlignment="0" applyProtection="0"/>
    <xf numFmtId="0" fontId="53" fillId="11" borderId="5" applyNumberFormat="0" applyAlignment="0" applyProtection="0"/>
    <xf numFmtId="0" fontId="54" fillId="0" borderId="10" applyNumberFormat="0" applyFill="0" applyAlignment="0" applyProtection="0"/>
    <xf numFmtId="0" fontId="54" fillId="0" borderId="10" applyNumberFormat="0" applyFill="0" applyAlignment="0" applyProtection="0"/>
    <xf numFmtId="0" fontId="55" fillId="26" borderId="0" applyNumberFormat="0" applyBorder="0" applyAlignment="0" applyProtection="0"/>
    <xf numFmtId="0" fontId="56" fillId="26" borderId="0" applyNumberFormat="0" applyBorder="0" applyAlignment="0" applyProtection="0"/>
    <xf numFmtId="0" fontId="28" fillId="0" borderId="0"/>
    <xf numFmtId="0" fontId="29" fillId="0" borderId="0"/>
    <xf numFmtId="0" fontId="29" fillId="0" borderId="0"/>
    <xf numFmtId="0" fontId="29" fillId="0" borderId="0"/>
    <xf numFmtId="0" fontId="42" fillId="0" borderId="0"/>
    <xf numFmtId="0" fontId="29" fillId="0" borderId="0"/>
    <xf numFmtId="0" fontId="42" fillId="0" borderId="0"/>
    <xf numFmtId="0" fontId="42" fillId="0" borderId="0"/>
    <xf numFmtId="0" fontId="29" fillId="0" borderId="0"/>
    <xf numFmtId="0" fontId="29" fillId="0" borderId="0"/>
    <xf numFmtId="0" fontId="29" fillId="0" borderId="0"/>
    <xf numFmtId="0" fontId="28" fillId="0" borderId="0"/>
    <xf numFmtId="0" fontId="29" fillId="0" borderId="0"/>
    <xf numFmtId="0" fontId="28" fillId="0" borderId="0"/>
    <xf numFmtId="0" fontId="42" fillId="0" borderId="0"/>
    <xf numFmtId="0" fontId="42" fillId="0" borderId="0"/>
    <xf numFmtId="0" fontId="29" fillId="0" borderId="0"/>
    <xf numFmtId="0" fontId="42" fillId="0" borderId="0"/>
    <xf numFmtId="0" fontId="28" fillId="0" borderId="0"/>
    <xf numFmtId="0" fontId="28" fillId="0" borderId="0"/>
    <xf numFmtId="0" fontId="29" fillId="0" borderId="0"/>
    <xf numFmtId="0" fontId="29" fillId="0" borderId="0"/>
    <xf numFmtId="0" fontId="29" fillId="0" borderId="0"/>
    <xf numFmtId="0" fontId="29" fillId="0" borderId="0"/>
    <xf numFmtId="0" fontId="42" fillId="0" borderId="0"/>
    <xf numFmtId="0" fontId="29" fillId="0" borderId="0"/>
    <xf numFmtId="0" fontId="29" fillId="0" borderId="0"/>
    <xf numFmtId="0" fontId="42" fillId="0" borderId="0"/>
    <xf numFmtId="0" fontId="29" fillId="0" borderId="0"/>
    <xf numFmtId="0" fontId="29" fillId="0" borderId="0"/>
    <xf numFmtId="0" fontId="29" fillId="0" borderId="0"/>
    <xf numFmtId="0" fontId="42" fillId="0" borderId="0"/>
    <xf numFmtId="0" fontId="29" fillId="0" borderId="0"/>
    <xf numFmtId="0" fontId="42" fillId="0" borderId="0"/>
    <xf numFmtId="0" fontId="42" fillId="0" borderId="0"/>
    <xf numFmtId="0" fontId="28" fillId="0" borderId="0"/>
    <xf numFmtId="0" fontId="42" fillId="0" borderId="0"/>
    <xf numFmtId="0" fontId="42" fillId="0" borderId="0"/>
    <xf numFmtId="0" fontId="28" fillId="0" borderId="0"/>
    <xf numFmtId="0" fontId="28" fillId="0" borderId="0"/>
    <xf numFmtId="0" fontId="42" fillId="0" borderId="0"/>
    <xf numFmtId="0" fontId="29" fillId="0" borderId="0"/>
    <xf numFmtId="0" fontId="42" fillId="0" borderId="0"/>
    <xf numFmtId="0" fontId="42" fillId="0" borderId="0"/>
    <xf numFmtId="0" fontId="29" fillId="0" borderId="0"/>
    <xf numFmtId="0" fontId="28" fillId="0" borderId="0"/>
    <xf numFmtId="0" fontId="29" fillId="0" borderId="0" applyNumberFormat="0" applyFont="0" applyFill="0" applyBorder="0" applyAlignment="0" applyProtection="0"/>
    <xf numFmtId="0" fontId="29" fillId="0" borderId="0"/>
    <xf numFmtId="0" fontId="29" fillId="0" borderId="0"/>
    <xf numFmtId="0" fontId="29" fillId="0" borderId="0"/>
    <xf numFmtId="0" fontId="29" fillId="0" borderId="0"/>
    <xf numFmtId="0" fontId="4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42"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0" fontId="57" fillId="24" borderId="12" applyNumberFormat="0" applyAlignment="0" applyProtection="0"/>
    <xf numFmtId="0" fontId="57" fillId="24" borderId="12" applyNumberFormat="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175" fontId="58" fillId="0" borderId="0" applyFont="0" applyFill="0" applyBorder="0" applyAlignment="0" applyProtection="0"/>
    <xf numFmtId="176" fontId="58" fillId="0" borderId="0" applyFont="0" applyFill="0" applyBorder="0" applyAlignment="0" applyProtection="0"/>
    <xf numFmtId="177" fontId="58" fillId="0" borderId="0" applyFont="0" applyFill="0" applyBorder="0" applyAlignment="0" applyProtection="0"/>
    <xf numFmtId="0" fontId="29" fillId="0" borderId="13" applyNumberFormat="0" applyFill="0" applyProtection="0">
      <alignment horizontal="right"/>
    </xf>
    <xf numFmtId="0" fontId="29" fillId="0" borderId="13" applyNumberFormat="0" applyFill="0" applyProtection="0">
      <alignment horizontal="right"/>
    </xf>
    <xf numFmtId="0" fontId="34" fillId="28" borderId="13" applyNumberFormat="0" applyProtection="0">
      <alignment horizontal="right"/>
    </xf>
    <xf numFmtId="0" fontId="59" fillId="28" borderId="0" applyNumberFormat="0" applyBorder="0" applyProtection="0">
      <alignment horizontal="left"/>
    </xf>
    <xf numFmtId="0" fontId="34" fillId="28" borderId="13" applyNumberFormat="0" applyProtection="0">
      <alignment horizontal="left"/>
    </xf>
    <xf numFmtId="0" fontId="29" fillId="0" borderId="13" applyNumberFormat="0" applyFill="0" applyProtection="0">
      <alignment horizontal="right"/>
    </xf>
    <xf numFmtId="0" fontId="29" fillId="0" borderId="13" applyNumberFormat="0" applyFill="0" applyProtection="0">
      <alignment horizontal="right"/>
    </xf>
    <xf numFmtId="0" fontId="60" fillId="29" borderId="0" applyNumberFormat="0" applyBorder="0" applyProtection="0">
      <alignment horizontal="left"/>
    </xf>
    <xf numFmtId="0" fontId="61" fillId="0" borderId="0" applyNumberFormat="0" applyFill="0" applyBorder="0" applyAlignment="0" applyProtection="0"/>
    <xf numFmtId="0" fontId="61" fillId="0" borderId="0" applyNumberFormat="0" applyFill="0" applyBorder="0" applyAlignment="0" applyProtection="0"/>
    <xf numFmtId="0" fontId="43" fillId="0" borderId="14" applyNumberFormat="0" applyFill="0" applyAlignment="0" applyProtection="0"/>
    <xf numFmtId="0" fontId="43" fillId="0" borderId="14" applyNumberFormat="0" applyFill="0" applyAlignment="0" applyProtection="0"/>
    <xf numFmtId="178" fontId="58" fillId="0" borderId="0" applyFon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7" fillId="0" borderId="0"/>
    <xf numFmtId="0" fontId="29" fillId="0" borderId="0"/>
    <xf numFmtId="0" fontId="26" fillId="0" borderId="0"/>
    <xf numFmtId="49" fontId="29" fillId="31" borderId="15">
      <alignment vertical="top" wrapText="1"/>
    </xf>
    <xf numFmtId="3" fontId="67" fillId="0" borderId="15">
      <alignment horizontal="right" vertical="top"/>
    </xf>
    <xf numFmtId="0" fontId="34" fillId="32" borderId="13">
      <alignment horizontal="centerContinuous" vertical="top" wrapText="1"/>
    </xf>
    <xf numFmtId="0" fontId="68" fillId="0" borderId="0">
      <alignment vertical="top" wrapText="1"/>
    </xf>
    <xf numFmtId="0" fontId="69" fillId="0" borderId="0"/>
    <xf numFmtId="0" fontId="29" fillId="27" borderId="11" applyNumberFormat="0" applyFont="0" applyAlignment="0" applyProtection="0"/>
    <xf numFmtId="179" fontId="70" fillId="0" borderId="0">
      <alignment horizontal="right"/>
    </xf>
    <xf numFmtId="0" fontId="68" fillId="0" borderId="0">
      <alignment vertical="top" wrapText="1"/>
    </xf>
    <xf numFmtId="180" fontId="71" fillId="33" borderId="16">
      <alignment vertical="center"/>
    </xf>
    <xf numFmtId="169" fontId="72" fillId="33" borderId="16">
      <alignment vertical="center"/>
    </xf>
    <xf numFmtId="180" fontId="73" fillId="34" borderId="16">
      <alignment vertical="center"/>
    </xf>
    <xf numFmtId="0" fontId="29" fillId="35" borderId="17" applyBorder="0">
      <alignment horizontal="left" vertical="center"/>
    </xf>
    <xf numFmtId="49" fontId="29" fillId="36" borderId="13">
      <alignment vertical="center" wrapText="1"/>
    </xf>
    <xf numFmtId="0" fontId="29" fillId="37" borderId="18">
      <alignment horizontal="left" vertical="center" wrapText="1"/>
    </xf>
    <xf numFmtId="0" fontId="74" fillId="38" borderId="13">
      <alignment horizontal="left" vertical="center" wrapText="1"/>
    </xf>
    <xf numFmtId="0" fontId="29" fillId="39" borderId="13">
      <alignment horizontal="left" vertical="center" wrapText="1"/>
    </xf>
    <xf numFmtId="0" fontId="29" fillId="40" borderId="13">
      <alignment horizontal="left" vertical="center" wrapText="1"/>
    </xf>
    <xf numFmtId="0" fontId="66" fillId="0" borderId="0" applyNumberFormat="0" applyFill="0" applyBorder="0" applyAlignment="0" applyProtection="0">
      <alignment vertical="center"/>
    </xf>
    <xf numFmtId="0" fontId="25" fillId="0" borderId="0"/>
    <xf numFmtId="9" fontId="25" fillId="0" borderId="0" applyFont="0" applyFill="0" applyBorder="0" applyAlignment="0" applyProtection="0"/>
    <xf numFmtId="0" fontId="24" fillId="0" borderId="0"/>
    <xf numFmtId="9" fontId="24" fillId="0" borderId="0" applyFont="0" applyFill="0" applyBorder="0" applyAlignment="0" applyProtection="0"/>
    <xf numFmtId="167" fontId="75" fillId="0" borderId="0" applyFont="0" applyFill="0" applyBorder="0" applyAlignment="0" applyProtection="0"/>
    <xf numFmtId="167" fontId="29" fillId="0" borderId="0" applyFont="0" applyFill="0" applyBorder="0" applyAlignment="0" applyProtection="0"/>
    <xf numFmtId="167" fontId="75" fillId="0" borderId="0" applyFont="0" applyFill="0" applyBorder="0" applyAlignment="0" applyProtection="0"/>
    <xf numFmtId="167" fontId="75" fillId="0" borderId="0" applyFont="0" applyFill="0" applyBorder="0" applyAlignment="0" applyProtection="0"/>
    <xf numFmtId="167" fontId="75" fillId="0" borderId="0" applyFont="0" applyFill="0" applyBorder="0" applyAlignment="0" applyProtection="0"/>
    <xf numFmtId="167" fontId="75" fillId="0" borderId="0" applyFont="0" applyFill="0" applyBorder="0" applyAlignment="0" applyProtection="0"/>
    <xf numFmtId="167" fontId="75" fillId="0" borderId="0" applyFont="0" applyFill="0" applyBorder="0" applyAlignment="0" applyProtection="0"/>
    <xf numFmtId="167" fontId="75" fillId="0" borderId="0" applyFont="0" applyFill="0" applyBorder="0" applyAlignment="0" applyProtection="0"/>
    <xf numFmtId="167" fontId="75" fillId="0" borderId="0" applyFont="0" applyFill="0" applyBorder="0" applyAlignment="0" applyProtection="0"/>
    <xf numFmtId="167" fontId="75" fillId="0" borderId="0" applyFont="0" applyFill="0" applyBorder="0" applyAlignment="0" applyProtection="0"/>
    <xf numFmtId="171" fontId="75" fillId="0" borderId="0" applyFont="0" applyFill="0" applyBorder="0" applyAlignment="0" applyProtection="0"/>
    <xf numFmtId="172" fontId="75" fillId="0" borderId="0" applyFont="0" applyFill="0" applyBorder="0" applyAlignment="0" applyProtection="0"/>
    <xf numFmtId="173" fontId="75" fillId="0" borderId="0" applyFont="0" applyFill="0" applyBorder="0" applyAlignment="0" applyProtection="0"/>
    <xf numFmtId="173" fontId="75" fillId="0" borderId="0" applyFont="0" applyFill="0" applyBorder="0" applyAlignment="0" applyProtection="0"/>
    <xf numFmtId="0" fontId="23" fillId="0" borderId="0"/>
    <xf numFmtId="0" fontId="7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5" fillId="0" borderId="0"/>
    <xf numFmtId="0" fontId="23" fillId="0" borderId="0"/>
    <xf numFmtId="0" fontId="7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75" fillId="0" borderId="0"/>
    <xf numFmtId="0" fontId="23" fillId="0" borderId="0"/>
    <xf numFmtId="0" fontId="23" fillId="0" borderId="0"/>
    <xf numFmtId="0" fontId="75" fillId="27" borderId="11" applyNumberFormat="0" applyFont="0" applyAlignment="0" applyProtection="0"/>
    <xf numFmtId="174"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9" fontId="75" fillId="0" borderId="0" applyFont="0" applyFill="0" applyBorder="0" applyAlignment="0" applyProtection="0"/>
    <xf numFmtId="0" fontId="97" fillId="0" borderId="0" applyNumberFormat="0" applyFill="0" applyBorder="0" applyAlignment="0" applyProtection="0">
      <alignment vertical="center"/>
    </xf>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22" fillId="45"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6" borderId="0" applyNumberFormat="0" applyBorder="0" applyAlignment="0" applyProtection="0"/>
    <xf numFmtId="0" fontId="42" fillId="7" borderId="0" applyNumberFormat="0" applyBorder="0" applyAlignment="0" applyProtection="0"/>
    <xf numFmtId="0" fontId="42" fillId="8" borderId="0" applyNumberFormat="0" applyBorder="0" applyAlignment="0" applyProtection="0"/>
    <xf numFmtId="0" fontId="42" fillId="9" borderId="0" applyNumberFormat="0" applyBorder="0" applyAlignment="0" applyProtection="0"/>
    <xf numFmtId="0" fontId="42" fillId="10" borderId="0" applyNumberFormat="0" applyBorder="0" applyAlignment="0" applyProtection="0"/>
    <xf numFmtId="0" fontId="42" fillId="11" borderId="0" applyNumberFormat="0" applyBorder="0" applyAlignment="0" applyProtection="0"/>
    <xf numFmtId="49" fontId="87" fillId="0" borderId="13" applyNumberFormat="0" applyFont="0" applyFill="0" applyBorder="0" applyProtection="0">
      <alignment horizontal="left" vertical="center" indent="2"/>
    </xf>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2"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9"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29" fillId="0" borderId="0" applyNumberFormat="0" applyFont="0" applyFill="0" applyBorder="0" applyProtection="0">
      <alignment horizontal="left" vertical="center" indent="5"/>
    </xf>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6"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44" fillId="17"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88" fillId="31" borderId="0" applyBorder="0" applyAlignment="0"/>
    <xf numFmtId="0" fontId="87" fillId="31" borderId="0" applyBorder="0">
      <alignment horizontal="right" vertical="center"/>
    </xf>
    <xf numFmtId="0" fontId="87" fillId="3" borderId="0" applyBorder="0">
      <alignment horizontal="right" vertical="center"/>
    </xf>
    <xf numFmtId="0" fontId="87" fillId="3" borderId="0" applyBorder="0">
      <alignment horizontal="right" vertical="center"/>
    </xf>
    <xf numFmtId="0" fontId="86" fillId="3" borderId="13">
      <alignment horizontal="right" vertical="center"/>
    </xf>
    <xf numFmtId="0" fontId="89" fillId="3" borderId="13">
      <alignment horizontal="right" vertical="center"/>
    </xf>
    <xf numFmtId="0" fontId="86" fillId="41" borderId="13">
      <alignment horizontal="right" vertical="center"/>
    </xf>
    <xf numFmtId="0" fontId="86" fillId="41" borderId="13">
      <alignment horizontal="right" vertical="center"/>
    </xf>
    <xf numFmtId="0" fontId="86" fillId="41" borderId="20">
      <alignment horizontal="right" vertical="center"/>
    </xf>
    <xf numFmtId="0" fontId="86" fillId="41" borderId="21">
      <alignment horizontal="right" vertical="center"/>
    </xf>
    <xf numFmtId="0" fontId="86" fillId="41" borderId="22">
      <alignment horizontal="right" vertical="center"/>
    </xf>
    <xf numFmtId="0" fontId="44" fillId="20" borderId="0" applyNumberFormat="0" applyBorder="0" applyAlignment="0" applyProtection="0"/>
    <xf numFmtId="0" fontId="44" fillId="21" borderId="0" applyNumberFormat="0" applyBorder="0" applyAlignment="0" applyProtection="0"/>
    <xf numFmtId="0" fontId="44" fillId="22"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23" borderId="0" applyNumberFormat="0" applyBorder="0" applyAlignment="0" applyProtection="0"/>
    <xf numFmtId="0" fontId="57" fillId="24" borderId="12" applyNumberFormat="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64" fillId="30"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6" fillId="24" borderId="5" applyNumberFormat="0" applyAlignment="0" applyProtection="0"/>
    <xf numFmtId="4" fontId="88" fillId="0" borderId="23" applyFill="0" applyBorder="0" applyProtection="0">
      <alignment horizontal="right" vertical="center"/>
    </xf>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182" fontId="29" fillId="0" borderId="0" applyFont="0" applyFill="0" applyBorder="0" applyAlignment="0" applyProtection="0"/>
    <xf numFmtId="167" fontId="29" fillId="0" borderId="0" applyFont="0" applyFill="0" applyBorder="0" applyAlignment="0" applyProtection="0"/>
    <xf numFmtId="167" fontId="42"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75" fontId="78" fillId="0" borderId="0" applyFont="0" applyFill="0" applyBorder="0" applyAlignment="0" applyProtection="0"/>
    <xf numFmtId="175" fontId="78" fillId="0" borderId="0" applyFont="0" applyFill="0" applyBorder="0" applyAlignment="0" applyProtection="0"/>
    <xf numFmtId="167" fontId="29" fillId="0" borderId="0" applyFont="0" applyFill="0" applyBorder="0" applyAlignment="0" applyProtection="0"/>
    <xf numFmtId="167" fontId="22" fillId="0" borderId="0" applyFont="0" applyFill="0" applyBorder="0" applyAlignment="0" applyProtection="0"/>
    <xf numFmtId="167" fontId="29" fillId="0" borderId="0" applyFont="0" applyFill="0" applyBorder="0" applyAlignment="0" applyProtection="0"/>
    <xf numFmtId="167" fontId="78" fillId="0" borderId="0" applyFont="0" applyFill="0" applyBorder="0" applyAlignment="0" applyProtection="0"/>
    <xf numFmtId="182"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0" fontId="86" fillId="0" borderId="0" applyNumberFormat="0">
      <alignment horizontal="right"/>
    </xf>
    <xf numFmtId="166" fontId="29" fillId="0" borderId="0" applyFont="0" applyFill="0" applyBorder="0" applyAlignment="0" applyProtection="0"/>
    <xf numFmtId="0" fontId="87" fillId="41" borderId="24">
      <alignment horizontal="left" vertical="center" wrapText="1" indent="2"/>
    </xf>
    <xf numFmtId="0" fontId="87" fillId="0" borderId="24">
      <alignment horizontal="left" vertical="center" wrapText="1" indent="2"/>
    </xf>
    <xf numFmtId="0" fontId="87" fillId="3" borderId="21">
      <alignment horizontal="left" vertical="center"/>
    </xf>
    <xf numFmtId="0" fontId="86" fillId="0" borderId="25">
      <alignment horizontal="left" vertical="top" wrapText="1"/>
    </xf>
    <xf numFmtId="0" fontId="53" fillId="11" borderId="5" applyNumberFormat="0" applyAlignment="0" applyProtection="0"/>
    <xf numFmtId="0" fontId="92" fillId="0" borderId="3"/>
    <xf numFmtId="0" fontId="43" fillId="0" borderId="14" applyNumberFormat="0" applyFill="0" applyAlignment="0" applyProtection="0"/>
    <xf numFmtId="0" fontId="48" fillId="0" borderId="0" applyNumberFormat="0" applyFill="0" applyBorder="0" applyAlignment="0" applyProtection="0"/>
    <xf numFmtId="0" fontId="84" fillId="0" borderId="0">
      <alignment vertical="top"/>
    </xf>
    <xf numFmtId="183" fontId="78"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83" fontId="78"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1" fontId="29" fillId="0" borderId="0" applyFont="0" applyFill="0" applyBorder="0" applyAlignment="0" applyProtection="0"/>
    <xf numFmtId="181"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0"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0" fontId="29" fillId="0" borderId="0" applyFont="0" applyFill="0" applyBorder="0" applyAlignment="0" applyProtection="0"/>
    <xf numFmtId="173" fontId="29" fillId="0" borderId="0" applyFont="0" applyFill="0" applyBorder="0" applyAlignment="0" applyProtection="0"/>
    <xf numFmtId="172" fontId="29" fillId="0" borderId="0" applyFont="0" applyFill="0" applyBorder="0" applyAlignment="0" applyProtection="0"/>
    <xf numFmtId="172" fontId="29" fillId="0" borderId="0" applyFont="0" applyFill="0" applyBorder="0" applyAlignment="0" applyProtection="0"/>
    <xf numFmtId="170" fontId="29" fillId="0" borderId="0" applyFont="0" applyFill="0" applyBorder="0" applyAlignment="0" applyProtection="0"/>
    <xf numFmtId="172"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81" fontId="29" fillId="0" borderId="0" applyFont="0" applyFill="0" applyBorder="0" applyAlignment="0" applyProtection="0"/>
    <xf numFmtId="173" fontId="29" fillId="0" borderId="0" applyFont="0" applyFill="0" applyBorder="0" applyAlignment="0" applyProtection="0"/>
    <xf numFmtId="183" fontId="78"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0"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2" fontId="2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11" fontId="78" fillId="0" borderId="0" applyFont="0" applyFill="0" applyBorder="0" applyAlignment="0" applyProtection="0"/>
    <xf numFmtId="11" fontId="78" fillId="0" borderId="0" applyFont="0" applyFill="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100" fillId="42"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76" fillId="42"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69" fillId="0" borderId="0" applyNumberFormat="0" applyFill="0" applyBorder="0" applyAlignment="0" applyProtection="0"/>
    <xf numFmtId="0" fontId="85" fillId="0" borderId="0" applyNumberFormat="0" applyFill="0" applyBorder="0" applyAlignment="0" applyProtection="0">
      <alignment vertical="top"/>
      <protection locked="0"/>
    </xf>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101" fillId="44" borderId="19"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4" fontId="87" fillId="0" borderId="0" applyBorder="0">
      <alignment horizontal="right" vertical="center"/>
    </xf>
    <xf numFmtId="0" fontId="87" fillId="0" borderId="13">
      <alignment horizontal="right" vertical="center"/>
    </xf>
    <xf numFmtId="1" fontId="93" fillId="3" borderId="0" applyBorder="0">
      <alignment horizontal="right" vertical="center"/>
    </xf>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6"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77" fillId="43"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22" fillId="0" borderId="0"/>
    <xf numFmtId="0" fontId="42" fillId="0" borderId="0"/>
    <xf numFmtId="0" fontId="42" fillId="0" borderId="0"/>
    <xf numFmtId="0" fontId="29" fillId="0" borderId="0"/>
    <xf numFmtId="0" fontId="22" fillId="0" borderId="0"/>
    <xf numFmtId="0" fontId="22" fillId="0" borderId="0"/>
    <xf numFmtId="0" fontId="42" fillId="0" borderId="0"/>
    <xf numFmtId="0" fontId="29" fillId="0" borderId="0"/>
    <xf numFmtId="0" fontId="29" fillId="0" borderId="0"/>
    <xf numFmtId="0" fontId="42" fillId="0" borderId="0"/>
    <xf numFmtId="0" fontId="29" fillId="0" borderId="0"/>
    <xf numFmtId="0" fontId="42" fillId="0" borderId="0"/>
    <xf numFmtId="0" fontId="29" fillId="0" borderId="0"/>
    <xf numFmtId="0" fontId="42" fillId="0" borderId="0"/>
    <xf numFmtId="0" fontId="29" fillId="0" borderId="0"/>
    <xf numFmtId="0" fontId="42" fillId="0" borderId="0"/>
    <xf numFmtId="0" fontId="29" fillId="0" borderId="0"/>
    <xf numFmtId="0" fontId="42" fillId="0" borderId="0"/>
    <xf numFmtId="0" fontId="29" fillId="0" borderId="0"/>
    <xf numFmtId="0" fontId="2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2" fillId="0" borderId="0"/>
    <xf numFmtId="0" fontId="29" fillId="0" borderId="0"/>
    <xf numFmtId="0" fontId="90" fillId="0" borderId="0"/>
    <xf numFmtId="0" fontId="29" fillId="0" borderId="0"/>
    <xf numFmtId="0" fontId="29" fillId="0" borderId="0">
      <alignment vertical="top"/>
    </xf>
    <xf numFmtId="0" fontId="22" fillId="0" borderId="0"/>
    <xf numFmtId="0" fontId="29" fillId="0" borderId="0"/>
    <xf numFmtId="0" fontId="22" fillId="0" borderId="0"/>
    <xf numFmtId="0" fontId="42" fillId="0" borderId="0"/>
    <xf numFmtId="0" fontId="4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2" fillId="0" borderId="0"/>
    <xf numFmtId="0" fontId="22" fillId="0" borderId="0"/>
    <xf numFmtId="0" fontId="22" fillId="0" borderId="0"/>
    <xf numFmtId="0" fontId="22" fillId="0" borderId="0"/>
    <xf numFmtId="0" fontId="4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2" fillId="0" borderId="0"/>
    <xf numFmtId="0" fontId="29" fillId="0" borderId="0"/>
    <xf numFmtId="0" fontId="29" fillId="0" borderId="0"/>
    <xf numFmtId="0" fontId="29" fillId="0" borderId="0"/>
    <xf numFmtId="0" fontId="29" fillId="0" borderId="0"/>
    <xf numFmtId="0" fontId="29" fillId="0" borderId="0">
      <alignment vertical="top"/>
    </xf>
    <xf numFmtId="0" fontId="22" fillId="0" borderId="0"/>
    <xf numFmtId="0" fontId="29" fillId="0" borderId="0"/>
    <xf numFmtId="0" fontId="29" fillId="0" borderId="0"/>
    <xf numFmtId="0" fontId="29" fillId="0" borderId="0"/>
    <xf numFmtId="0" fontId="29" fillId="0" borderId="0"/>
    <xf numFmtId="0" fontId="29" fillId="0" borderId="0"/>
    <xf numFmtId="0" fontId="29" fillId="0" borderId="0"/>
    <xf numFmtId="0" fontId="94" fillId="0" borderId="0"/>
    <xf numFmtId="0" fontId="2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2" fillId="0" borderId="0"/>
    <xf numFmtId="0" fontId="29" fillId="0" borderId="0"/>
    <xf numFmtId="0" fontId="29" fillId="0" borderId="0"/>
    <xf numFmtId="0" fontId="29" fillId="0" borderId="0"/>
    <xf numFmtId="0" fontId="29" fillId="0" borderId="0"/>
    <xf numFmtId="0" fontId="29" fillId="0" borderId="0"/>
    <xf numFmtId="0" fontId="29" fillId="0" borderId="0"/>
    <xf numFmtId="0" fontId="94" fillId="0" borderId="0"/>
    <xf numFmtId="0" fontId="2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2" fillId="0" borderId="0"/>
    <xf numFmtId="0" fontId="29" fillId="0" borderId="0"/>
    <xf numFmtId="0" fontId="29" fillId="0" borderId="0"/>
    <xf numFmtId="0" fontId="95" fillId="0" borderId="0"/>
    <xf numFmtId="0" fontId="42" fillId="0" borderId="0"/>
    <xf numFmtId="0" fontId="95" fillId="0" borderId="0"/>
    <xf numFmtId="0" fontId="42" fillId="0" borderId="0"/>
    <xf numFmtId="0" fontId="29" fillId="0" borderId="0"/>
    <xf numFmtId="0" fontId="29" fillId="0" borderId="0"/>
    <xf numFmtId="0" fontId="29" fillId="0" borderId="0"/>
    <xf numFmtId="0" fontId="29" fillId="0" borderId="0"/>
    <xf numFmtId="0" fontId="90"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90" fillId="0" borderId="0"/>
    <xf numFmtId="0" fontId="90"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2" fillId="0" borderId="0"/>
    <xf numFmtId="0" fontId="42" fillId="0" borderId="0"/>
    <xf numFmtId="0" fontId="29" fillId="0" borderId="0"/>
    <xf numFmtId="0" fontId="22" fillId="0" borderId="0"/>
    <xf numFmtId="0" fontId="42" fillId="0" borderId="0"/>
    <xf numFmtId="0" fontId="42" fillId="0" borderId="0"/>
    <xf numFmtId="0" fontId="29" fillId="0" borderId="0"/>
    <xf numFmtId="0" fontId="29" fillId="0" borderId="0"/>
    <xf numFmtId="0" fontId="29" fillId="0" borderId="0"/>
    <xf numFmtId="0" fontId="29" fillId="0" borderId="0"/>
    <xf numFmtId="0" fontId="29" fillId="0" borderId="0"/>
    <xf numFmtId="0" fontId="29" fillId="0" borderId="0"/>
    <xf numFmtId="0" fontId="42" fillId="0" borderId="0"/>
    <xf numFmtId="0" fontId="91" fillId="0" borderId="0"/>
    <xf numFmtId="0" fontId="91" fillId="0" borderId="0"/>
    <xf numFmtId="0" fontId="29" fillId="0" borderId="0"/>
    <xf numFmtId="0" fontId="42" fillId="0" borderId="0"/>
    <xf numFmtId="0" fontId="22" fillId="0" borderId="0"/>
    <xf numFmtId="0" fontId="29" fillId="0" borderId="0"/>
    <xf numFmtId="0" fontId="42" fillId="0" borderId="0"/>
    <xf numFmtId="0" fontId="102" fillId="0" borderId="0"/>
    <xf numFmtId="0" fontId="29" fillId="0" borderId="0"/>
    <xf numFmtId="0" fontId="42" fillId="0" borderId="0"/>
    <xf numFmtId="0" fontId="29" fillId="0" borderId="0"/>
    <xf numFmtId="0" fontId="29" fillId="0" borderId="0"/>
    <xf numFmtId="0" fontId="29" fillId="0" borderId="0"/>
    <xf numFmtId="0" fontId="29" fillId="0" borderId="0"/>
    <xf numFmtId="0" fontId="90" fillId="0" borderId="0"/>
    <xf numFmtId="0" fontId="42" fillId="0" borderId="0"/>
    <xf numFmtId="0" fontId="29" fillId="0" borderId="0"/>
    <xf numFmtId="0" fontId="29"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90" fillId="0" borderId="0"/>
    <xf numFmtId="0" fontId="90" fillId="0" borderId="0"/>
    <xf numFmtId="0" fontId="90" fillId="0" borderId="0"/>
    <xf numFmtId="0" fontId="29" fillId="0" borderId="0"/>
    <xf numFmtId="0" fontId="22" fillId="0" borderId="0"/>
    <xf numFmtId="0" fontId="29" fillId="0" borderId="0"/>
    <xf numFmtId="0" fontId="42" fillId="0" borderId="0"/>
    <xf numFmtId="0" fontId="22" fillId="0" borderId="0"/>
    <xf numFmtId="0" fontId="42" fillId="0" borderId="0"/>
    <xf numFmtId="0" fontId="29" fillId="0" borderId="0"/>
    <xf numFmtId="0" fontId="29" fillId="0" borderId="0"/>
    <xf numFmtId="0" fontId="22" fillId="0" borderId="0"/>
    <xf numFmtId="0" fontId="99" fillId="0" borderId="0"/>
    <xf numFmtId="0" fontId="22" fillId="0" borderId="0"/>
    <xf numFmtId="0" fontId="42" fillId="0" borderId="0"/>
    <xf numFmtId="0" fontId="29" fillId="0" borderId="0"/>
    <xf numFmtId="0" fontId="29" fillId="0" borderId="0"/>
    <xf numFmtId="0" fontId="42" fillId="0" borderId="0"/>
    <xf numFmtId="0" fontId="22" fillId="0" borderId="0"/>
    <xf numFmtId="0" fontId="29" fillId="0" borderId="0"/>
    <xf numFmtId="0" fontId="22" fillId="0" borderId="0"/>
    <xf numFmtId="0" fontId="29" fillId="0" borderId="0"/>
    <xf numFmtId="0" fontId="29" fillId="0" borderId="0"/>
    <xf numFmtId="0" fontId="22" fillId="0" borderId="0"/>
    <xf numFmtId="0" fontId="42" fillId="0" borderId="0"/>
    <xf numFmtId="0" fontId="90" fillId="0" borderId="0"/>
    <xf numFmtId="0" fontId="29" fillId="0" borderId="0"/>
    <xf numFmtId="0" fontId="22" fillId="0" borderId="0"/>
    <xf numFmtId="0" fontId="42" fillId="0" borderId="0"/>
    <xf numFmtId="0" fontId="42" fillId="0" borderId="0"/>
    <xf numFmtId="0" fontId="22" fillId="0" borderId="0"/>
    <xf numFmtId="0" fontId="22" fillId="0" borderId="0"/>
    <xf numFmtId="0" fontId="42" fillId="0" borderId="0"/>
    <xf numFmtId="0" fontId="22" fillId="0" borderId="0"/>
    <xf numFmtId="0" fontId="42" fillId="0" borderId="0"/>
    <xf numFmtId="0" fontId="22" fillId="0" borderId="0"/>
    <xf numFmtId="0" fontId="22" fillId="0" borderId="0"/>
    <xf numFmtId="0" fontId="2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42" fillId="0" borderId="0"/>
    <xf numFmtId="0" fontId="29" fillId="0" borderId="0"/>
    <xf numFmtId="0" fontId="42" fillId="0" borderId="0"/>
    <xf numFmtId="0" fontId="29" fillId="0" borderId="0"/>
    <xf numFmtId="0" fontId="29" fillId="0" borderId="0"/>
    <xf numFmtId="0" fontId="29" fillId="0" borderId="0"/>
    <xf numFmtId="0" fontId="29" fillId="0" borderId="0"/>
    <xf numFmtId="0" fontId="95" fillId="0" borderId="0"/>
    <xf numFmtId="0" fontId="29" fillId="0" borderId="0"/>
    <xf numFmtId="0" fontId="29" fillId="0" borderId="0"/>
    <xf numFmtId="0" fontId="29" fillId="0" borderId="0"/>
    <xf numFmtId="0" fontId="29" fillId="0" borderId="0"/>
    <xf numFmtId="0" fontId="29" fillId="0" borderId="0"/>
    <xf numFmtId="0" fontId="29" fillId="0" borderId="0"/>
    <xf numFmtId="0" fontId="22" fillId="0" borderId="0"/>
    <xf numFmtId="0" fontId="29" fillId="0" borderId="0"/>
    <xf numFmtId="0" fontId="29" fillId="0" borderId="0"/>
    <xf numFmtId="0" fontId="29" fillId="0" borderId="0"/>
    <xf numFmtId="0" fontId="29" fillId="0" borderId="0"/>
    <xf numFmtId="0" fontId="95" fillId="0" borderId="0"/>
    <xf numFmtId="0" fontId="29" fillId="0" borderId="0"/>
    <xf numFmtId="0" fontId="4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42" fillId="0" borderId="0"/>
    <xf numFmtId="0" fontId="42" fillId="0" borderId="0"/>
    <xf numFmtId="0" fontId="22" fillId="0" borderId="0"/>
    <xf numFmtId="0" fontId="29" fillId="0" borderId="0"/>
    <xf numFmtId="0" fontId="42" fillId="0" borderId="0"/>
    <xf numFmtId="0" fontId="2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2" fillId="0" borderId="0"/>
    <xf numFmtId="0" fontId="2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42" fillId="0" borderId="0"/>
    <xf numFmtId="4" fontId="87" fillId="0" borderId="13" applyFill="0" applyBorder="0" applyProtection="0">
      <alignment horizontal="right" vertical="center"/>
    </xf>
    <xf numFmtId="0" fontId="88" fillId="0" borderId="0" applyNumberFormat="0" applyFill="0" applyBorder="0" applyProtection="0">
      <alignment horizontal="left" vertical="center"/>
    </xf>
    <xf numFmtId="0" fontId="87" fillId="0" borderId="13" applyNumberFormat="0" applyFill="0" applyAlignment="0" applyProtection="0"/>
    <xf numFmtId="0" fontId="29" fillId="46" borderId="0" applyNumberFormat="0" applyFont="0" applyBorder="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42"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42" fillId="27" borderId="11" applyNumberFormat="0" applyFont="0" applyAlignment="0" applyProtection="0"/>
    <xf numFmtId="0" fontId="42" fillId="27" borderId="11" applyNumberFormat="0" applyFont="0" applyAlignment="0" applyProtection="0"/>
    <xf numFmtId="0" fontId="42" fillId="27" borderId="11" applyNumberFormat="0" applyFont="0" applyAlignment="0" applyProtection="0"/>
    <xf numFmtId="0" fontId="29" fillId="27" borderId="11" applyNumberFormat="0" applyFont="0" applyAlignment="0" applyProtection="0"/>
    <xf numFmtId="0" fontId="42"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42"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42"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42"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42"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42"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42" fillId="27" borderId="11" applyNumberFormat="0" applyFont="0" applyAlignment="0" applyProtection="0"/>
    <xf numFmtId="0" fontId="29" fillId="27" borderId="11" applyNumberFormat="0" applyFont="0" applyAlignment="0" applyProtection="0"/>
    <xf numFmtId="0" fontId="78" fillId="27" borderId="11" applyNumberFormat="0" applyFont="0" applyAlignment="0" applyProtection="0"/>
    <xf numFmtId="0" fontId="29" fillId="27" borderId="11" applyNumberFormat="0" applyFont="0" applyAlignment="0" applyProtection="0"/>
    <xf numFmtId="0" fontId="78" fillId="27" borderId="11" applyNumberFormat="0" applyFont="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184" fontId="87" fillId="47" borderId="13" applyNumberFormat="0" applyFont="0" applyBorder="0" applyAlignment="0" applyProtection="0">
      <alignment horizontal="right" vertical="center"/>
    </xf>
    <xf numFmtId="9" fontId="78"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78"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78"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78"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78"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78"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78"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78"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78"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94" fillId="0" borderId="0" applyFont="0" applyFill="0" applyBorder="0" applyAlignment="0" applyProtection="0"/>
    <xf numFmtId="9" fontId="94" fillId="0" borderId="0" applyFont="0" applyFill="0" applyBorder="0" applyAlignment="0" applyProtection="0"/>
    <xf numFmtId="0" fontId="45" fillId="7" borderId="0" applyNumberFormat="0" applyBorder="0" applyAlignment="0" applyProtection="0"/>
    <xf numFmtId="0" fontId="87" fillId="46" borderId="13"/>
    <xf numFmtId="0" fontId="68" fillId="0" borderId="0">
      <alignment vertical="top" wrapText="1"/>
    </xf>
    <xf numFmtId="0" fontId="98" fillId="0" borderId="0"/>
    <xf numFmtId="0" fontId="29" fillId="0" borderId="0"/>
    <xf numFmtId="0" fontId="29" fillId="0" borderId="0"/>
    <xf numFmtId="0" fontId="29" fillId="0" borderId="0"/>
    <xf numFmtId="0" fontId="84" fillId="0" borderId="0">
      <alignment vertical="top"/>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0" fontId="29" fillId="0" borderId="13" applyNumberFormat="0" applyFill="0" applyProtection="0">
      <alignment horizontal="right"/>
    </xf>
    <xf numFmtId="49" fontId="78" fillId="0" borderId="13" applyFill="0" applyProtection="0">
      <alignment horizontal="right"/>
    </xf>
    <xf numFmtId="0" fontId="29" fillId="0" borderId="13" applyNumberFormat="0"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61" fillId="0" borderId="0" applyNumberFormat="0" applyFill="0" applyBorder="0" applyAlignment="0" applyProtection="0"/>
    <xf numFmtId="0" fontId="50" fillId="0" borderId="7" applyNumberFormat="0" applyFill="0" applyAlignment="0" applyProtection="0"/>
    <xf numFmtId="0" fontId="51" fillId="0" borderId="8" applyNumberFormat="0" applyFill="0" applyAlignment="0" applyProtection="0"/>
    <xf numFmtId="0" fontId="52" fillId="0" borderId="9" applyNumberFormat="0" applyFill="0" applyAlignment="0" applyProtection="0"/>
    <xf numFmtId="0" fontId="52" fillId="0" borderId="0" applyNumberFormat="0" applyFill="0" applyBorder="0" applyAlignment="0" applyProtection="0"/>
    <xf numFmtId="0" fontId="54" fillId="0" borderId="10"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7" fillId="25" borderId="6" applyNumberFormat="0" applyAlignment="0" applyProtection="0"/>
    <xf numFmtId="0" fontId="96" fillId="0" borderId="0" applyNumberFormat="0" applyFill="0" applyBorder="0" applyAlignment="0" applyProtection="0"/>
    <xf numFmtId="0" fontId="87" fillId="0" borderId="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7"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0"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49"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15"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5" fillId="9" borderId="0" applyNumberFormat="0" applyBorder="0" applyAlignment="0" applyProtection="0"/>
    <xf numFmtId="0" fontId="45" fillId="9" borderId="0" applyNumberFormat="0" applyBorder="0" applyAlignment="0" applyProtection="0"/>
    <xf numFmtId="0" fontId="45" fillId="9" borderId="0" applyNumberFormat="0" applyBorder="0" applyAlignment="0" applyProtection="0"/>
    <xf numFmtId="0" fontId="45" fillId="9" borderId="0" applyNumberFormat="0" applyBorder="0" applyAlignment="0" applyProtection="0"/>
    <xf numFmtId="0" fontId="45" fillId="9" borderId="0" applyNumberFormat="0" applyBorder="0" applyAlignment="0" applyProtection="0"/>
    <xf numFmtId="0" fontId="45" fillId="9" borderId="0" applyNumberFormat="0" applyBorder="0" applyAlignment="0" applyProtection="0"/>
    <xf numFmtId="0" fontId="45" fillId="9" borderId="0" applyNumberFormat="0" applyBorder="0" applyAlignment="0" applyProtection="0"/>
    <xf numFmtId="0" fontId="45" fillId="9" borderId="0" applyNumberFormat="0" applyBorder="0" applyAlignment="0" applyProtection="0"/>
    <xf numFmtId="0" fontId="45" fillId="9" borderId="0" applyNumberFormat="0" applyBorder="0" applyAlignment="0" applyProtection="0"/>
    <xf numFmtId="0" fontId="45" fillId="9" borderId="0" applyNumberFormat="0" applyBorder="0" applyAlignment="0" applyProtection="0"/>
    <xf numFmtId="0" fontId="104" fillId="51" borderId="5" applyNumberFormat="0" applyAlignment="0" applyProtection="0"/>
    <xf numFmtId="0" fontId="104" fillId="51" borderId="5" applyNumberFormat="0" applyAlignment="0" applyProtection="0"/>
    <xf numFmtId="0" fontId="104" fillId="51" borderId="5" applyNumberFormat="0" applyAlignment="0" applyProtection="0"/>
    <xf numFmtId="0" fontId="104" fillId="51" borderId="5" applyNumberFormat="0" applyAlignment="0" applyProtection="0"/>
    <xf numFmtId="0" fontId="104" fillId="51" borderId="5" applyNumberFormat="0" applyAlignment="0" applyProtection="0"/>
    <xf numFmtId="0" fontId="104" fillId="51" borderId="5" applyNumberFormat="0" applyAlignment="0" applyProtection="0"/>
    <xf numFmtId="0" fontId="104" fillId="51" borderId="5" applyNumberFormat="0" applyAlignment="0" applyProtection="0"/>
    <xf numFmtId="0" fontId="104" fillId="51" borderId="5" applyNumberFormat="0" applyAlignment="0" applyProtection="0"/>
    <xf numFmtId="0" fontId="104" fillId="51" borderId="5" applyNumberFormat="0" applyAlignment="0" applyProtection="0"/>
    <xf numFmtId="0" fontId="104" fillId="51" borderId="5"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9" fontId="29" fillId="0" borderId="0" applyFont="0" applyFill="0" applyBorder="0" applyAlignment="0" applyProtection="0"/>
    <xf numFmtId="167" fontId="29" fillId="0" borderId="0" applyFont="0" applyFill="0" applyBorder="0" applyAlignment="0" applyProtection="0"/>
    <xf numFmtId="167" fontId="42"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40" fontId="94"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40" fontId="94"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86" fontId="29" fillId="0" borderId="0" applyFont="0" applyFill="0" applyBorder="0" applyAlignment="0" applyProtection="0"/>
    <xf numFmtId="185" fontId="29" fillId="0" borderId="0" applyFont="0" applyFill="0" applyBorder="0" applyAlignment="0" applyProtection="0"/>
    <xf numFmtId="170" fontId="29" fillId="0" borderId="0" applyFont="0" applyFill="0" applyBorder="0" applyAlignment="0" applyProtection="0"/>
    <xf numFmtId="170" fontId="2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11" fontId="29" fillId="0" borderId="0" applyFont="0" applyFill="0" applyBorder="0" applyAlignment="0" applyProtection="0"/>
    <xf numFmtId="11" fontId="29" fillId="0" borderId="0" applyFont="0" applyFill="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49" fillId="10" borderId="0" applyNumberFormat="0" applyBorder="0" applyAlignment="0" applyProtection="0"/>
    <xf numFmtId="0" fontId="105" fillId="0" borderId="26" applyNumberFormat="0" applyFill="0" applyAlignment="0" applyProtection="0"/>
    <xf numFmtId="0" fontId="105" fillId="0" borderId="26" applyNumberFormat="0" applyFill="0" applyAlignment="0" applyProtection="0"/>
    <xf numFmtId="0" fontId="105" fillId="0" borderId="26" applyNumberFormat="0" applyFill="0" applyAlignment="0" applyProtection="0"/>
    <xf numFmtId="0" fontId="105" fillId="0" borderId="26" applyNumberFormat="0" applyFill="0" applyAlignment="0" applyProtection="0"/>
    <xf numFmtId="0" fontId="105" fillId="0" borderId="26" applyNumberFormat="0" applyFill="0" applyAlignment="0" applyProtection="0"/>
    <xf numFmtId="0" fontId="105" fillId="0" borderId="26" applyNumberFormat="0" applyFill="0" applyAlignment="0" applyProtection="0"/>
    <xf numFmtId="0" fontId="105" fillId="0" borderId="26" applyNumberFormat="0" applyFill="0" applyAlignment="0" applyProtection="0"/>
    <xf numFmtId="0" fontId="105" fillId="0" borderId="26" applyNumberFormat="0" applyFill="0" applyAlignment="0" applyProtection="0"/>
    <xf numFmtId="0" fontId="105" fillId="0" borderId="26" applyNumberFormat="0" applyFill="0" applyAlignment="0" applyProtection="0"/>
    <xf numFmtId="0" fontId="105" fillId="0" borderId="26"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6" fillId="0" borderId="27" applyNumberFormat="0" applyFill="0" applyAlignment="0" applyProtection="0"/>
    <xf numFmtId="0" fontId="107" fillId="0" borderId="28" applyNumberFormat="0" applyFill="0" applyAlignment="0" applyProtection="0"/>
    <xf numFmtId="0" fontId="107" fillId="0" borderId="28" applyNumberFormat="0" applyFill="0" applyAlignment="0" applyProtection="0"/>
    <xf numFmtId="0" fontId="107" fillId="0" borderId="28" applyNumberFormat="0" applyFill="0" applyAlignment="0" applyProtection="0"/>
    <xf numFmtId="0" fontId="107" fillId="0" borderId="28" applyNumberFormat="0" applyFill="0" applyAlignment="0" applyProtection="0"/>
    <xf numFmtId="0" fontId="107" fillId="0" borderId="28" applyNumberFormat="0" applyFill="0" applyAlignment="0" applyProtection="0"/>
    <xf numFmtId="0" fontId="107" fillId="0" borderId="28" applyNumberFormat="0" applyFill="0" applyAlignment="0" applyProtection="0"/>
    <xf numFmtId="0" fontId="107" fillId="0" borderId="28" applyNumberFormat="0" applyFill="0" applyAlignment="0" applyProtection="0"/>
    <xf numFmtId="0" fontId="107" fillId="0" borderId="28" applyNumberFormat="0" applyFill="0" applyAlignment="0" applyProtection="0"/>
    <xf numFmtId="0" fontId="107" fillId="0" borderId="28" applyNumberFormat="0" applyFill="0" applyAlignment="0" applyProtection="0"/>
    <xf numFmtId="0" fontId="107" fillId="0" borderId="28" applyNumberFormat="0" applyFill="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53" fillId="26" borderId="5" applyNumberFormat="0" applyAlignment="0" applyProtection="0"/>
    <xf numFmtId="0" fontId="53" fillId="26" borderId="5" applyNumberFormat="0" applyAlignment="0" applyProtection="0"/>
    <xf numFmtId="0" fontId="53" fillId="26" borderId="5" applyNumberFormat="0" applyAlignment="0" applyProtection="0"/>
    <xf numFmtId="0" fontId="53" fillId="26" borderId="5" applyNumberFormat="0" applyAlignment="0" applyProtection="0"/>
    <xf numFmtId="0" fontId="53" fillId="26" borderId="5" applyNumberFormat="0" applyAlignment="0" applyProtection="0"/>
    <xf numFmtId="0" fontId="53" fillId="26" borderId="5" applyNumberFormat="0" applyAlignment="0" applyProtection="0"/>
    <xf numFmtId="0" fontId="53" fillId="26" borderId="5" applyNumberFormat="0" applyAlignment="0" applyProtection="0"/>
    <xf numFmtId="0" fontId="53" fillId="26" borderId="5" applyNumberFormat="0" applyAlignment="0" applyProtection="0"/>
    <xf numFmtId="0" fontId="53" fillId="26" borderId="5" applyNumberFormat="0" applyAlignment="0" applyProtection="0"/>
    <xf numFmtId="0" fontId="53" fillId="26" borderId="5" applyNumberFormat="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182" fontId="29" fillId="0" borderId="0" applyFont="0" applyFill="0" applyBorder="0" applyAlignment="0" applyProtection="0"/>
    <xf numFmtId="0" fontId="108" fillId="26" borderId="0" applyNumberFormat="0" applyBorder="0" applyAlignment="0" applyProtection="0"/>
    <xf numFmtId="0" fontId="108" fillId="26" borderId="0" applyNumberFormat="0" applyBorder="0" applyAlignment="0" applyProtection="0"/>
    <xf numFmtId="0" fontId="108" fillId="26" borderId="0" applyNumberFormat="0" applyBorder="0" applyAlignment="0" applyProtection="0"/>
    <xf numFmtId="0" fontId="108" fillId="26" borderId="0" applyNumberFormat="0" applyBorder="0" applyAlignment="0" applyProtection="0"/>
    <xf numFmtId="0" fontId="108" fillId="26" borderId="0" applyNumberFormat="0" applyBorder="0" applyAlignment="0" applyProtection="0"/>
    <xf numFmtId="0" fontId="108" fillId="26" borderId="0" applyNumberFormat="0" applyBorder="0" applyAlignment="0" applyProtection="0"/>
    <xf numFmtId="0" fontId="108" fillId="26" borderId="0" applyNumberFormat="0" applyBorder="0" applyAlignment="0" applyProtection="0"/>
    <xf numFmtId="0" fontId="108" fillId="26" borderId="0" applyNumberFormat="0" applyBorder="0" applyAlignment="0" applyProtection="0"/>
    <xf numFmtId="0" fontId="108" fillId="26" borderId="0" applyNumberFormat="0" applyBorder="0" applyAlignment="0" applyProtection="0"/>
    <xf numFmtId="0" fontId="108" fillId="26" borderId="0" applyNumberFormat="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1" fillId="0" borderId="0"/>
    <xf numFmtId="164" fontId="109" fillId="0" borderId="0">
      <alignment vertical="center"/>
    </xf>
    <xf numFmtId="0" fontId="21" fillId="0" borderId="0"/>
    <xf numFmtId="0" fontId="21" fillId="0" borderId="0"/>
    <xf numFmtId="0" fontId="21" fillId="0" borderId="0"/>
    <xf numFmtId="0" fontId="21" fillId="0" borderId="0"/>
    <xf numFmtId="164" fontId="109" fillId="0" borderId="0">
      <alignment vertical="center"/>
    </xf>
    <xf numFmtId="164" fontId="109" fillId="0" borderId="0">
      <alignment vertical="center"/>
    </xf>
    <xf numFmtId="164" fontId="109" fillId="0" borderId="0">
      <alignment vertical="center"/>
    </xf>
    <xf numFmtId="164" fontId="109" fillId="0" borderId="0">
      <alignment vertical="center"/>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64" fontId="109" fillId="0" borderId="0">
      <alignment vertical="center"/>
    </xf>
    <xf numFmtId="164" fontId="109" fillId="0" borderId="0">
      <alignment vertical="center"/>
    </xf>
    <xf numFmtId="164" fontId="10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164" fontId="109" fillId="0" borderId="0">
      <alignment vertical="center"/>
    </xf>
    <xf numFmtId="164" fontId="109" fillId="0" borderId="0">
      <alignment vertical="center"/>
    </xf>
    <xf numFmtId="164" fontId="109" fillId="0" borderId="0">
      <alignment vertical="center"/>
    </xf>
    <xf numFmtId="164" fontId="109" fillId="0" borderId="0">
      <alignment vertical="center"/>
    </xf>
    <xf numFmtId="0" fontId="21" fillId="0" borderId="0"/>
    <xf numFmtId="169" fontId="109" fillId="0" borderId="0">
      <alignment vertical="center"/>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1" fillId="0" borderId="0"/>
    <xf numFmtId="0" fontId="29" fillId="0" borderId="0"/>
    <xf numFmtId="0" fontId="29" fillId="0" borderId="0"/>
    <xf numFmtId="0" fontId="29" fillId="0" borderId="0"/>
    <xf numFmtId="0" fontId="29" fillId="0" borderId="0"/>
    <xf numFmtId="169" fontId="109" fillId="0" borderId="0">
      <alignment vertical="center"/>
    </xf>
    <xf numFmtId="0" fontId="29" fillId="0" borderId="0"/>
    <xf numFmtId="0" fontId="29" fillId="0" borderId="0"/>
    <xf numFmtId="0" fontId="29" fillId="0" borderId="0"/>
    <xf numFmtId="0" fontId="29" fillId="0" borderId="0"/>
    <xf numFmtId="0" fontId="29" fillId="0" borderId="0"/>
    <xf numFmtId="0" fontId="21" fillId="0" borderId="0"/>
    <xf numFmtId="0" fontId="29" fillId="0" borderId="0"/>
    <xf numFmtId="0" fontId="29" fillId="0" borderId="0"/>
    <xf numFmtId="0" fontId="29" fillId="0" borderId="0"/>
    <xf numFmtId="0" fontId="29" fillId="0" borderId="0"/>
    <xf numFmtId="0" fontId="29"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9" fillId="0" borderId="0"/>
    <xf numFmtId="187" fontId="109" fillId="0" borderId="0">
      <alignment vertical="center"/>
    </xf>
    <xf numFmtId="0" fontId="29"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1" fillId="0" borderId="0"/>
    <xf numFmtId="0" fontId="21" fillId="0" borderId="0"/>
    <xf numFmtId="0" fontId="21"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0" fontId="57" fillId="51" borderId="12" applyNumberFormat="0" applyAlignment="0" applyProtection="0"/>
    <xf numFmtId="0" fontId="57" fillId="51" borderId="12" applyNumberFormat="0" applyAlignment="0" applyProtection="0"/>
    <xf numFmtId="0" fontId="57" fillId="51" borderId="12" applyNumberFormat="0" applyAlignment="0" applyProtection="0"/>
    <xf numFmtId="0" fontId="57" fillId="51" borderId="12" applyNumberFormat="0" applyAlignment="0" applyProtection="0"/>
    <xf numFmtId="0" fontId="57" fillId="51" borderId="12" applyNumberFormat="0" applyAlignment="0" applyProtection="0"/>
    <xf numFmtId="0" fontId="57" fillId="51" borderId="12" applyNumberFormat="0" applyAlignment="0" applyProtection="0"/>
    <xf numFmtId="0" fontId="57" fillId="51" borderId="12" applyNumberFormat="0" applyAlignment="0" applyProtection="0"/>
    <xf numFmtId="0" fontId="57" fillId="51" borderId="12" applyNumberFormat="0" applyAlignment="0" applyProtection="0"/>
    <xf numFmtId="0" fontId="57" fillId="51" borderId="12" applyNumberFormat="0" applyAlignment="0" applyProtection="0"/>
    <xf numFmtId="0" fontId="57" fillId="51" borderId="12" applyNumberFormat="0" applyAlignment="0" applyProtection="0"/>
    <xf numFmtId="9" fontId="103"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94"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94"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1"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13" applyNumberFormat="0" applyFill="0" applyProtection="0">
      <alignment horizontal="right"/>
    </xf>
    <xf numFmtId="0" fontId="29" fillId="0" borderId="13" applyNumberFormat="0" applyFill="0" applyProtection="0">
      <alignment horizontal="right"/>
    </xf>
    <xf numFmtId="0" fontId="29" fillId="0" borderId="13" applyNumberFormat="0" applyFill="0" applyProtection="0">
      <alignment horizontal="right"/>
    </xf>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20" fillId="0" borderId="0"/>
    <xf numFmtId="9"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9" fontId="19" fillId="0" borderId="0" applyFont="0" applyFill="0" applyBorder="0" applyAlignment="0" applyProtection="0"/>
    <xf numFmtId="0" fontId="2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171" fontId="2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9" fillId="27" borderId="11" applyNumberFormat="0" applyFont="0" applyAlignment="0" applyProtection="0"/>
    <xf numFmtId="9" fontId="29" fillId="0" borderId="0" applyFont="0" applyFill="0" applyBorder="0" applyAlignment="0" applyProtection="0"/>
    <xf numFmtId="0" fontId="18" fillId="45" borderId="0" applyNumberFormat="0" applyBorder="0" applyAlignment="0" applyProtection="0"/>
    <xf numFmtId="167"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29"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45" borderId="0" applyNumberFormat="0" applyBorder="0" applyAlignment="0" applyProtection="0"/>
    <xf numFmtId="167"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45" borderId="0" applyNumberFormat="0" applyBorder="0" applyAlignment="0" applyProtection="0"/>
    <xf numFmtId="167"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173" fontId="120"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20" fillId="0" borderId="0" applyNumberFormat="0" applyFont="0" applyFill="0" applyBorder="0" applyAlignment="0" applyProtection="0"/>
    <xf numFmtId="0" fontId="42" fillId="0" borderId="0"/>
    <xf numFmtId="0" fontId="42" fillId="0" borderId="0"/>
    <xf numFmtId="0" fontId="42" fillId="0" borderId="0"/>
    <xf numFmtId="0" fontId="42" fillId="0" borderId="0"/>
    <xf numFmtId="0" fontId="1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20" fillId="0" borderId="0"/>
    <xf numFmtId="0" fontId="1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174" fontId="120" fillId="0" borderId="0" applyFont="0" applyFill="0" applyBorder="0" applyAlignment="0" applyProtection="0"/>
    <xf numFmtId="9" fontId="120" fillId="0" borderId="0" applyFont="0" applyFill="0" applyBorder="0" applyAlignment="0" applyProtection="0"/>
    <xf numFmtId="9" fontId="15" fillId="0" borderId="0" applyFont="0" applyFill="0" applyBorder="0" applyAlignment="0" applyProtection="0"/>
    <xf numFmtId="0" fontId="42" fillId="6" borderId="0" applyNumberFormat="0" applyBorder="0" applyAlignment="0" applyProtection="0"/>
    <xf numFmtId="0" fontId="42" fillId="7" borderId="0" applyNumberFormat="0" applyBorder="0" applyAlignment="0" applyProtection="0"/>
    <xf numFmtId="0" fontId="42" fillId="8" borderId="0" applyNumberFormat="0" applyBorder="0" applyAlignment="0" applyProtection="0"/>
    <xf numFmtId="0" fontId="42" fillId="9" borderId="0" applyNumberFormat="0" applyBorder="0" applyAlignment="0" applyProtection="0"/>
    <xf numFmtId="0" fontId="42" fillId="11" borderId="0" applyNumberFormat="0" applyBorder="0" applyAlignment="0" applyProtection="0"/>
    <xf numFmtId="0" fontId="42" fillId="12" borderId="0" applyNumberFormat="0" applyBorder="0" applyAlignment="0" applyProtection="0"/>
    <xf numFmtId="0" fontId="42" fillId="14" borderId="0" applyNumberFormat="0" applyBorder="0" applyAlignment="0" applyProtection="0"/>
    <xf numFmtId="0" fontId="42" fillId="9"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4" fillId="16"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44" fillId="22" borderId="0" applyNumberFormat="0" applyBorder="0" applyAlignment="0" applyProtection="0"/>
    <xf numFmtId="0" fontId="44" fillId="17" borderId="0" applyNumberFormat="0" applyBorder="0" applyAlignment="0" applyProtection="0"/>
    <xf numFmtId="0" fontId="44" fillId="23" borderId="0" applyNumberFormat="0" applyBorder="0" applyAlignment="0" applyProtection="0"/>
    <xf numFmtId="0" fontId="45" fillId="7" borderId="0" applyNumberFormat="0" applyBorder="0" applyAlignment="0" applyProtection="0"/>
    <xf numFmtId="0" fontId="46" fillId="24" borderId="5" applyNumberFormat="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70" fontId="29" fillId="0" borderId="0" applyFont="0" applyFill="0" applyBorder="0" applyAlignment="0" applyProtection="0"/>
    <xf numFmtId="172" fontId="29" fillId="0" borderId="0" applyFont="0" applyFill="0" applyBorder="0" applyAlignment="0" applyProtection="0"/>
    <xf numFmtId="0" fontId="49" fillId="8" borderId="0" applyNumberFormat="0" applyBorder="0" applyAlignment="0" applyProtection="0"/>
    <xf numFmtId="0" fontId="50" fillId="0" borderId="7" applyNumberFormat="0" applyFill="0" applyAlignment="0" applyProtection="0"/>
    <xf numFmtId="0" fontId="51" fillId="0" borderId="8" applyNumberFormat="0" applyFill="0" applyAlignment="0" applyProtection="0"/>
    <xf numFmtId="0" fontId="52" fillId="0" borderId="9" applyNumberFormat="0" applyFill="0" applyAlignment="0" applyProtection="0"/>
    <xf numFmtId="0" fontId="52" fillId="0" borderId="0" applyNumberFormat="0" applyFill="0" applyBorder="0" applyAlignment="0" applyProtection="0"/>
    <xf numFmtId="0" fontId="53" fillId="11" borderId="5" applyNumberFormat="0" applyAlignment="0" applyProtection="0"/>
    <xf numFmtId="0" fontId="54" fillId="0" borderId="10" applyNumberFormat="0" applyFill="0" applyAlignment="0" applyProtection="0"/>
    <xf numFmtId="0" fontId="56" fillId="26" borderId="0" applyNumberFormat="0" applyBorder="0" applyAlignment="0" applyProtection="0"/>
    <xf numFmtId="0" fontId="15" fillId="0" borderId="0"/>
    <xf numFmtId="0" fontId="29" fillId="0" borderId="0"/>
    <xf numFmtId="0" fontId="29" fillId="0" borderId="0"/>
    <xf numFmtId="0" fontId="29" fillId="0" borderId="0"/>
    <xf numFmtId="0" fontId="15" fillId="0" borderId="0"/>
    <xf numFmtId="0" fontId="29" fillId="0" borderId="0"/>
    <xf numFmtId="0" fontId="15" fillId="0" borderId="0"/>
    <xf numFmtId="0" fontId="29" fillId="0" borderId="0"/>
    <xf numFmtId="0" fontId="42" fillId="0" borderId="0"/>
    <xf numFmtId="0" fontId="15" fillId="0" borderId="0"/>
    <xf numFmtId="0" fontId="15" fillId="0" borderId="0"/>
    <xf numFmtId="0" fontId="42" fillId="0" borderId="0"/>
    <xf numFmtId="0" fontId="42" fillId="0" borderId="0"/>
    <xf numFmtId="0" fontId="42" fillId="0" borderId="0"/>
    <xf numFmtId="0" fontId="15" fillId="0" borderId="0"/>
    <xf numFmtId="0" fontId="42" fillId="0" borderId="0"/>
    <xf numFmtId="0" fontId="42" fillId="0" borderId="0"/>
    <xf numFmtId="0" fontId="15" fillId="0" borderId="0"/>
    <xf numFmtId="0" fontId="15" fillId="0" borderId="0"/>
    <xf numFmtId="0" fontId="42" fillId="0" borderId="0"/>
    <xf numFmtId="0" fontId="15" fillId="0" borderId="0"/>
    <xf numFmtId="0" fontId="29" fillId="0" borderId="0" applyNumberFormat="0" applyFont="0" applyFill="0" applyBorder="0" applyAlignment="0" applyProtection="0"/>
    <xf numFmtId="0" fontId="42" fillId="0" borderId="0"/>
    <xf numFmtId="0" fontId="15" fillId="0" borderId="0"/>
    <xf numFmtId="0" fontId="15" fillId="0" borderId="0"/>
    <xf numFmtId="174" fontId="29" fillId="0" borderId="0" applyFont="0" applyFill="0" applyBorder="0" applyAlignment="0" applyProtection="0"/>
    <xf numFmtId="0" fontId="57" fillId="24" borderId="12" applyNumberFormat="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61" fillId="0" borderId="0" applyNumberFormat="0" applyFill="0" applyBorder="0" applyAlignment="0" applyProtection="0"/>
    <xf numFmtId="0" fontId="43" fillId="0" borderId="14" applyNumberFormat="0" applyFill="0" applyAlignment="0" applyProtection="0"/>
    <xf numFmtId="0" fontId="121" fillId="0" borderId="0" applyNumberFormat="0" applyFill="0" applyBorder="0" applyAlignment="0" applyProtection="0"/>
    <xf numFmtId="0" fontId="15" fillId="0" borderId="0"/>
    <xf numFmtId="0" fontId="15" fillId="0" borderId="0"/>
    <xf numFmtId="9" fontId="15" fillId="0" borderId="0" applyFont="0" applyFill="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1" borderId="0" applyNumberFormat="0" applyBorder="0" applyAlignment="0" applyProtection="0"/>
    <xf numFmtId="0" fontId="15" fillId="45" borderId="0" applyNumberFormat="0" applyBorder="0" applyAlignment="0" applyProtection="0"/>
    <xf numFmtId="0" fontId="15" fillId="45"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75" fontId="78"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175" fontId="7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5" fillId="0" borderId="0" applyFont="0" applyFill="0" applyBorder="0" applyAlignment="0" applyProtection="0"/>
    <xf numFmtId="43" fontId="29" fillId="0" borderId="0" applyFont="0" applyFill="0" applyBorder="0" applyAlignment="0" applyProtection="0"/>
    <xf numFmtId="43" fontId="15"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78" fillId="0" borderId="0" applyFont="0" applyFill="0" applyBorder="0" applyAlignment="0" applyProtection="0"/>
    <xf numFmtId="182"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49" fillId="8" borderId="0" applyNumberFormat="0" applyBorder="0" applyAlignment="0" applyProtection="0"/>
    <xf numFmtId="0" fontId="100" fillId="42" borderId="0" applyNumberFormat="0" applyBorder="0" applyAlignment="0" applyProtection="0"/>
    <xf numFmtId="0" fontId="53" fillId="11" borderId="5" applyNumberFormat="0" applyAlignment="0" applyProtection="0"/>
    <xf numFmtId="0" fontId="101" fillId="44" borderId="19" applyNumberForma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2" fillId="0" borderId="0"/>
    <xf numFmtId="0" fontId="42" fillId="0" borderId="0"/>
    <xf numFmtId="0" fontId="15" fillId="0" borderId="0"/>
    <xf numFmtId="0" fontId="15" fillId="0" borderId="0"/>
    <xf numFmtId="0" fontId="15" fillId="0" borderId="0"/>
    <xf numFmtId="0" fontId="15" fillId="0" borderId="0"/>
    <xf numFmtId="0" fontId="42" fillId="0" borderId="0"/>
    <xf numFmtId="0" fontId="2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9" fillId="0" borderId="0"/>
    <xf numFmtId="0" fontId="42" fillId="0" borderId="0"/>
    <xf numFmtId="0" fontId="90" fillId="0" borderId="0"/>
    <xf numFmtId="0" fontId="15" fillId="0" borderId="0"/>
    <xf numFmtId="0" fontId="15" fillId="0" borderId="0"/>
    <xf numFmtId="0" fontId="15" fillId="0" borderId="0"/>
    <xf numFmtId="0" fontId="15" fillId="0" borderId="0"/>
    <xf numFmtId="0" fontId="15" fillId="0" borderId="0"/>
    <xf numFmtId="0" fontId="15" fillId="0" borderId="0"/>
    <xf numFmtId="0" fontId="42" fillId="0" borderId="0"/>
    <xf numFmtId="0" fontId="29" fillId="0" borderId="0"/>
    <xf numFmtId="0" fontId="15" fillId="0" borderId="0"/>
    <xf numFmtId="0" fontId="15" fillId="0" borderId="0"/>
    <xf numFmtId="0" fontId="15" fillId="0" borderId="0"/>
    <xf numFmtId="0" fontId="42" fillId="0" borderId="0"/>
    <xf numFmtId="0" fontId="15" fillId="0" borderId="0"/>
    <xf numFmtId="0" fontId="15" fillId="0" borderId="0"/>
    <xf numFmtId="0" fontId="42" fillId="0" borderId="0"/>
    <xf numFmtId="0" fontId="15" fillId="0" borderId="0"/>
    <xf numFmtId="0" fontId="15" fillId="0" borderId="0"/>
    <xf numFmtId="0" fontId="15" fillId="0" borderId="0"/>
    <xf numFmtId="0" fontId="15" fillId="0" borderId="0"/>
    <xf numFmtId="0" fontId="90" fillId="0" borderId="0"/>
    <xf numFmtId="0" fontId="9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2" fillId="0" borderId="0"/>
    <xf numFmtId="0" fontId="15" fillId="0" borderId="0"/>
    <xf numFmtId="0" fontId="15" fillId="0" borderId="0"/>
    <xf numFmtId="0" fontId="2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90" fillId="0" borderId="0"/>
    <xf numFmtId="0" fontId="42" fillId="0" borderId="0"/>
    <xf numFmtId="0" fontId="4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2" fillId="0" borderId="0"/>
    <xf numFmtId="0" fontId="4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42" fillId="0" borderId="0"/>
    <xf numFmtId="0" fontId="15" fillId="0" borderId="0"/>
    <xf numFmtId="0" fontId="15" fillId="0" borderId="0"/>
    <xf numFmtId="0" fontId="4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78" fillId="0" borderId="0" applyFont="0" applyFill="0" applyBorder="0" applyAlignment="0" applyProtection="0"/>
    <xf numFmtId="9" fontId="78" fillId="0" borderId="0" applyFont="0" applyFill="0" applyBorder="0" applyAlignment="0" applyProtection="0"/>
    <xf numFmtId="0" fontId="120" fillId="0" borderId="0" applyNumberFormat="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73" fontId="120"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8" fillId="0" borderId="0" applyFont="0" applyFill="0" applyBorder="0" applyAlignment="0" applyProtection="0"/>
    <xf numFmtId="9" fontId="29" fillId="0" borderId="0" applyFont="0" applyFill="0" applyBorder="0" applyAlignment="0" applyProtection="0"/>
    <xf numFmtId="9" fontId="15" fillId="0" borderId="0" applyFont="0" applyFill="0" applyBorder="0" applyAlignment="0" applyProtection="0"/>
    <xf numFmtId="9" fontId="7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8"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45" borderId="0" applyNumberFormat="0" applyBorder="0" applyAlignment="0" applyProtection="0"/>
    <xf numFmtId="167"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45" borderId="0" applyNumberFormat="0" applyBorder="0" applyAlignment="0" applyProtection="0"/>
    <xf numFmtId="167"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45" borderId="0" applyNumberFormat="0" applyBorder="0" applyAlignment="0" applyProtection="0"/>
    <xf numFmtId="167"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45" borderId="0" applyNumberFormat="0" applyBorder="0" applyAlignment="0" applyProtection="0"/>
    <xf numFmtId="167"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45" borderId="0" applyNumberFormat="0" applyBorder="0" applyAlignment="0" applyProtection="0"/>
    <xf numFmtId="0" fontId="13" fillId="45"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2" fillId="0" borderId="0"/>
    <xf numFmtId="0" fontId="11" fillId="0" borderId="0"/>
    <xf numFmtId="0" fontId="29" fillId="0" borderId="0"/>
    <xf numFmtId="0" fontId="11" fillId="45" borderId="0" applyNumberFormat="0" applyBorder="0" applyAlignment="0" applyProtection="0"/>
    <xf numFmtId="0" fontId="11" fillId="45" borderId="0" applyNumberFormat="0" applyBorder="0" applyAlignment="0" applyProtection="0"/>
    <xf numFmtId="182"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173" fontId="29" fillId="0" borderId="0" applyFont="0" applyFill="0" applyBorder="0" applyAlignment="0" applyProtection="0"/>
    <xf numFmtId="172" fontId="29" fillId="0" borderId="0" applyFont="0" applyFill="0" applyBorder="0" applyAlignment="0" applyProtection="0"/>
    <xf numFmtId="11" fontId="78" fillId="0" borderId="0" applyFont="0" applyFill="0" applyBorder="0" applyAlignment="0" applyProtection="0"/>
    <xf numFmtId="0" fontId="85" fillId="0" borderId="0" applyNumberFormat="0" applyFill="0" applyBorder="0" applyAlignment="0" applyProtection="0">
      <alignment vertical="top"/>
      <protection locked="0"/>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42"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42" fillId="11" borderId="0" applyNumberFormat="0" applyBorder="0" applyAlignment="0" applyProtection="0"/>
    <xf numFmtId="0" fontId="42" fillId="9"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27" borderId="0" applyNumberFormat="0" applyBorder="0" applyAlignment="0" applyProtection="0"/>
    <xf numFmtId="0" fontId="42" fillId="11"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26" borderId="0" applyNumberFormat="0" applyBorder="0" applyAlignment="0" applyProtection="0"/>
    <xf numFmtId="0" fontId="42" fillId="14"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7" borderId="0" applyNumberFormat="0" applyBorder="0" applyAlignment="0" applyProtection="0"/>
    <xf numFmtId="0" fontId="42" fillId="9"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27" borderId="0" applyNumberFormat="0" applyBorder="0" applyAlignment="0" applyProtection="0"/>
    <xf numFmtId="0" fontId="42" fillId="15" borderId="0" applyNumberFormat="0" applyBorder="0" applyAlignment="0" applyProtection="0"/>
    <xf numFmtId="0" fontId="44" fillId="16" borderId="0" applyNumberFormat="0" applyBorder="0" applyAlignment="0" applyProtection="0"/>
    <xf numFmtId="0" fontId="44" fillId="10"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6" borderId="0" applyNumberFormat="0" applyBorder="0" applyAlignment="0" applyProtection="0"/>
    <xf numFmtId="0" fontId="44" fillId="13" borderId="0" applyNumberFormat="0" applyBorder="0" applyAlignment="0" applyProtection="0"/>
    <xf numFmtId="0" fontId="44" fillId="2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3" borderId="0" applyNumberFormat="0" applyBorder="0" applyAlignment="0" applyProtection="0"/>
    <xf numFmtId="0" fontId="44" fillId="14" borderId="0" applyNumberFormat="0" applyBorder="0" applyAlignment="0" applyProtection="0"/>
    <xf numFmtId="0" fontId="44" fillId="15"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4" borderId="0" applyNumberFormat="0" applyBorder="0" applyAlignment="0" applyProtection="0"/>
    <xf numFmtId="0" fontId="44" fillId="17" borderId="0" applyNumberFormat="0" applyBorder="0" applyAlignment="0" applyProtection="0"/>
    <xf numFmtId="0" fontId="44" fillId="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0"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44" fillId="13"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44" fillId="49"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0" borderId="0" applyNumberFormat="0" applyBorder="0" applyAlignment="0" applyProtection="0"/>
    <xf numFmtId="0" fontId="44" fillId="21" borderId="0" applyNumberFormat="0" applyBorder="0" applyAlignment="0" applyProtection="0"/>
    <xf numFmtId="0" fontId="44" fillId="23"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1" borderId="0" applyNumberFormat="0" applyBorder="0" applyAlignment="0" applyProtection="0"/>
    <xf numFmtId="0" fontId="44" fillId="22" borderId="0" applyNumberFormat="0" applyBorder="0" applyAlignment="0" applyProtection="0"/>
    <xf numFmtId="0" fontId="44" fillId="15"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22" borderId="0" applyNumberFormat="0" applyBorder="0" applyAlignment="0" applyProtection="0"/>
    <xf numFmtId="0" fontId="44" fillId="17" borderId="0" applyNumberFormat="0" applyBorder="0" applyAlignment="0" applyProtection="0"/>
    <xf numFmtId="0" fontId="44" fillId="50"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7"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18" borderId="0" applyNumberFormat="0" applyBorder="0" applyAlignment="0" applyProtection="0"/>
    <xf numFmtId="0" fontId="44" fillId="23" borderId="0" applyNumberFormat="0" applyBorder="0" applyAlignment="0" applyProtection="0"/>
    <xf numFmtId="0" fontId="44" fillId="21"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4" fillId="23" borderId="0" applyNumberFormat="0" applyBorder="0" applyAlignment="0" applyProtection="0"/>
    <xf numFmtId="0" fontId="45" fillId="7" borderId="0" applyNumberFormat="0" applyBorder="0" applyAlignment="0" applyProtection="0"/>
    <xf numFmtId="0" fontId="45" fillId="9"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5" fillId="7" borderId="0" applyNumberFormat="0" applyBorder="0" applyAlignment="0" applyProtection="0"/>
    <xf numFmtId="0" fontId="46" fillId="24" borderId="5" applyNumberFormat="0" applyAlignment="0" applyProtection="0"/>
    <xf numFmtId="0" fontId="104" fillId="51"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7" fillId="25" borderId="6" applyNumberFormat="0" applyAlignment="0" applyProtection="0"/>
    <xf numFmtId="0" fontId="47" fillId="25" borderId="6" applyNumberFormat="0" applyAlignment="0" applyProtection="0"/>
    <xf numFmtId="0" fontId="47" fillId="25" borderId="6" applyNumberFormat="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42"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9" fontId="29" fillId="0" borderId="0" applyFont="0" applyFill="0" applyBorder="0" applyAlignment="0" applyProtection="0"/>
    <xf numFmtId="167" fontId="29" fillId="0" borderId="0" applyFont="0" applyFill="0" applyBorder="0" applyAlignment="0" applyProtection="0"/>
    <xf numFmtId="169" fontId="29" fillId="0" borderId="0" applyFont="0" applyFill="0" applyBorder="0" applyAlignment="0" applyProtection="0"/>
    <xf numFmtId="167" fontId="29" fillId="0" borderId="0" applyFont="0" applyFill="0" applyBorder="0" applyAlignment="0" applyProtection="0"/>
    <xf numFmtId="182"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6" fontId="29" fillId="0" borderId="0" applyFont="0" applyFill="0" applyBorder="0" applyAlignment="0" applyProtection="0"/>
    <xf numFmtId="171" fontId="29" fillId="0" borderId="0" applyFont="0" applyFill="0" applyBorder="0" applyAlignment="0" applyProtection="0"/>
    <xf numFmtId="171"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3" fontId="29" fillId="0" borderId="0" applyFont="0" applyFill="0" applyBorder="0" applyAlignment="0" applyProtection="0"/>
    <xf numFmtId="171" fontId="29" fillId="0" borderId="0" applyFont="0" applyFill="0" applyBorder="0" applyAlignment="0" applyProtection="0"/>
    <xf numFmtId="185" fontId="29" fillId="0" borderId="0" applyFont="0" applyFill="0" applyBorder="0" applyAlignment="0" applyProtection="0"/>
    <xf numFmtId="171" fontId="29" fillId="0" borderId="0" applyFont="0" applyFill="0" applyBorder="0" applyAlignment="0" applyProtection="0"/>
    <xf numFmtId="171" fontId="29" fillId="0" borderId="0" applyFont="0" applyFill="0" applyBorder="0" applyAlignment="0" applyProtection="0"/>
    <xf numFmtId="170" fontId="29" fillId="0" borderId="0" applyFont="0" applyFill="0" applyBorder="0" applyAlignment="0" applyProtection="0"/>
    <xf numFmtId="171" fontId="29" fillId="0" borderId="0" applyFont="0" applyFill="0" applyBorder="0" applyAlignment="0" applyProtection="0"/>
    <xf numFmtId="171" fontId="29" fillId="0" borderId="0" applyFont="0" applyFill="0" applyBorder="0" applyAlignment="0" applyProtection="0"/>
    <xf numFmtId="171" fontId="29" fillId="0" borderId="0" applyFont="0" applyFill="0" applyBorder="0" applyAlignment="0" applyProtection="0"/>
    <xf numFmtId="172" fontId="29" fillId="0" borderId="0" applyFont="0" applyFill="0" applyBorder="0" applyAlignment="0" applyProtection="0"/>
    <xf numFmtId="172" fontId="29" fillId="0" borderId="0" applyFont="0" applyFill="0" applyBorder="0" applyAlignment="0" applyProtection="0"/>
    <xf numFmtId="172" fontId="29" fillId="0" borderId="0" applyFont="0" applyFill="0" applyBorder="0" applyAlignment="0" applyProtection="0"/>
    <xf numFmtId="172" fontId="29" fillId="0" borderId="0" applyFont="0" applyFill="0" applyBorder="0" applyAlignment="0" applyProtection="0"/>
    <xf numFmtId="171" fontId="29" fillId="0" borderId="0" applyFont="0" applyFill="0" applyBorder="0" applyAlignment="0" applyProtection="0"/>
    <xf numFmtId="171" fontId="29" fillId="0" borderId="0" applyFont="0" applyFill="0" applyBorder="0" applyAlignment="0" applyProtection="0"/>
    <xf numFmtId="170" fontId="2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9" fillId="8" borderId="0" applyNumberFormat="0" applyBorder="0" applyAlignment="0" applyProtection="0"/>
    <xf numFmtId="0" fontId="129" fillId="42" borderId="0" applyNumberFormat="0" applyBorder="0" applyAlignment="0" applyProtection="0"/>
    <xf numFmtId="0" fontId="49" fillId="8" borderId="0" applyNumberFormat="0" applyBorder="0" applyAlignment="0" applyProtection="0"/>
    <xf numFmtId="0" fontId="49" fillId="10"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49" fillId="8" borderId="0" applyNumberFormat="0" applyBorder="0" applyAlignment="0" applyProtection="0"/>
    <xf numFmtId="0" fontId="50" fillId="0" borderId="7" applyNumberFormat="0" applyFill="0" applyAlignment="0" applyProtection="0"/>
    <xf numFmtId="0" fontId="105" fillId="0" borderId="26"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0" fillId="0" borderId="7" applyNumberFormat="0" applyFill="0" applyAlignment="0" applyProtection="0"/>
    <xf numFmtId="0" fontId="51" fillId="0" borderId="8" applyNumberFormat="0" applyFill="0" applyAlignment="0" applyProtection="0"/>
    <xf numFmtId="0" fontId="106" fillId="0" borderId="27"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1" fillId="0" borderId="8" applyNumberFormat="0" applyFill="0" applyAlignment="0" applyProtection="0"/>
    <xf numFmtId="0" fontId="52" fillId="0" borderId="9" applyNumberFormat="0" applyFill="0" applyAlignment="0" applyProtection="0"/>
    <xf numFmtId="0" fontId="107" fillId="0" borderId="28"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9" applyNumberFormat="0" applyFill="0" applyAlignment="0" applyProtection="0"/>
    <xf numFmtId="0" fontId="52" fillId="0" borderId="0" applyNumberFormat="0" applyFill="0" applyBorder="0" applyAlignment="0" applyProtection="0"/>
    <xf numFmtId="0" fontId="107"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11" borderId="5" applyNumberFormat="0" applyAlignment="0" applyProtection="0"/>
    <xf numFmtId="0" fontId="101" fillId="26" borderId="19" applyNumberFormat="0" applyAlignment="0" applyProtection="0"/>
    <xf numFmtId="0" fontId="53" fillId="11" borderId="5" applyNumberFormat="0" applyAlignment="0" applyProtection="0"/>
    <xf numFmtId="0" fontId="53" fillId="26"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4" fillId="0" borderId="10" applyNumberFormat="0" applyFill="0" applyAlignment="0" applyProtection="0"/>
    <xf numFmtId="0" fontId="62" fillId="0" borderId="29"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4" fillId="0" borderId="10" applyNumberFormat="0" applyFill="0" applyAlignment="0" applyProtection="0"/>
    <xf numFmtId="0" fontId="55" fillId="26" borderId="0" applyNumberFormat="0" applyBorder="0" applyAlignment="0" applyProtection="0"/>
    <xf numFmtId="0" fontId="108" fillId="26" borderId="0" applyNumberFormat="0" applyBorder="0" applyAlignment="0" applyProtection="0"/>
    <xf numFmtId="0" fontId="130" fillId="43" borderId="0" applyNumberFormat="0" applyBorder="0" applyAlignment="0" applyProtection="0"/>
    <xf numFmtId="0" fontId="55" fillId="26" borderId="0" applyNumberFormat="0" applyBorder="0" applyAlignment="0" applyProtection="0"/>
    <xf numFmtId="0" fontId="55" fillId="26" borderId="0" applyNumberFormat="0" applyBorder="0" applyAlignment="0" applyProtection="0"/>
    <xf numFmtId="0" fontId="29" fillId="0" borderId="0"/>
    <xf numFmtId="0" fontId="29" fillId="0" borderId="0"/>
    <xf numFmtId="0" fontId="29" fillId="0" borderId="0"/>
    <xf numFmtId="0" fontId="29" fillId="0" borderId="0" applyNumberFormat="0" applyFont="0" applyFill="0" applyBorder="0" applyAlignment="0" applyProtection="0"/>
    <xf numFmtId="0" fontId="29" fillId="0" borderId="0" applyNumberFormat="0" applyFont="0" applyFill="0" applyBorder="0" applyAlignment="0" applyProtection="0"/>
    <xf numFmtId="0" fontId="11" fillId="0" borderId="0"/>
    <xf numFmtId="0" fontId="1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91" fillId="0" borderId="0"/>
    <xf numFmtId="0" fontId="29" fillId="0" borderId="0"/>
    <xf numFmtId="0" fontId="91" fillId="0" borderId="0"/>
    <xf numFmtId="0" fontId="102" fillId="0" borderId="0"/>
    <xf numFmtId="0" fontId="102"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42" fillId="0" borderId="0"/>
    <xf numFmtId="0" fontId="29" fillId="0" borderId="0"/>
    <xf numFmtId="0" fontId="29" fillId="0" borderId="0" applyNumberFormat="0" applyFont="0" applyFill="0" applyBorder="0" applyAlignment="0" applyProtection="0"/>
    <xf numFmtId="0" fontId="11" fillId="0" borderId="0"/>
    <xf numFmtId="0" fontId="29" fillId="0" borderId="0"/>
    <xf numFmtId="0" fontId="11" fillId="0" borderId="0"/>
    <xf numFmtId="0" fontId="29" fillId="0" borderId="0"/>
    <xf numFmtId="0" fontId="29" fillId="27" borderId="11" applyNumberFormat="0" applyFont="0" applyAlignment="0" applyProtection="0"/>
    <xf numFmtId="0" fontId="29" fillId="27" borderId="11" applyNumberFormat="0" applyFont="0" applyAlignment="0" applyProtection="0"/>
    <xf numFmtId="0" fontId="29" fillId="27" borderId="11" applyNumberFormat="0" applyFont="0" applyAlignment="0" applyProtection="0"/>
    <xf numFmtId="174" fontId="29" fillId="0" borderId="0" applyFont="0" applyFill="0" applyBorder="0" applyAlignment="0" applyProtection="0"/>
    <xf numFmtId="174" fontId="29" fillId="0" borderId="0" applyFont="0" applyFill="0" applyBorder="0" applyAlignment="0" applyProtection="0"/>
    <xf numFmtId="174" fontId="29" fillId="0" borderId="0" applyFont="0" applyFill="0" applyBorder="0" applyAlignment="0" applyProtection="0"/>
    <xf numFmtId="0" fontId="57" fillId="24" borderId="12" applyNumberFormat="0" applyAlignment="0" applyProtection="0"/>
    <xf numFmtId="0" fontId="57" fillId="51"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94"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94"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8" borderId="0" applyNumberFormat="0" applyBorder="0" applyAlignment="0" applyProtection="0"/>
    <xf numFmtId="0" fontId="42" fillId="2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7" borderId="0" applyNumberFormat="0" applyBorder="0" applyAlignment="0" applyProtection="0"/>
    <xf numFmtId="0" fontId="42" fillId="13"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6" borderId="0" applyNumberFormat="0" applyBorder="0" applyAlignment="0" applyProtection="0"/>
    <xf numFmtId="0" fontId="42" fillId="12"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1" fillId="8" borderId="0" applyNumberFormat="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43" fontId="29"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43" fontId="29"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29" fillId="0" borderId="0" applyFont="0" applyFill="0" applyBorder="0" applyAlignment="0" applyProtection="0"/>
    <xf numFmtId="167" fontId="29"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29"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29"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29" fillId="0" borderId="0" applyFont="0" applyFill="0" applyBorder="0" applyAlignment="0" applyProtection="0"/>
    <xf numFmtId="173" fontId="29" fillId="0" borderId="0" applyFont="0" applyFill="0" applyBorder="0" applyAlignment="0" applyProtection="0"/>
    <xf numFmtId="170" fontId="29" fillId="0" borderId="0" applyFont="0" applyFill="0" applyBorder="0" applyAlignment="0" applyProtection="0"/>
    <xf numFmtId="167" fontId="29" fillId="0" borderId="0" applyFont="0" applyFill="0" applyBorder="0" applyAlignment="0" applyProtection="0"/>
    <xf numFmtId="174"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11"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11"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13" applyNumberFormat="0" applyFill="0" applyProtection="0">
      <alignment horizontal="right"/>
    </xf>
    <xf numFmtId="0" fontId="29" fillId="0" borderId="13" applyNumberFormat="0" applyFill="0" applyProtection="0">
      <alignment horizontal="right"/>
    </xf>
    <xf numFmtId="0" fontId="29" fillId="0" borderId="13" applyNumberFormat="0" applyFill="0" applyProtection="0">
      <alignment horizontal="right"/>
    </xf>
    <xf numFmtId="0" fontId="29" fillId="0" borderId="13" applyNumberFormat="0" applyFill="0" applyProtection="0">
      <alignment horizontal="right"/>
    </xf>
    <xf numFmtId="0" fontId="34" fillId="28" borderId="13" applyNumberFormat="0" applyProtection="0">
      <alignment horizontal="right"/>
    </xf>
    <xf numFmtId="0" fontId="59" fillId="28" borderId="0" applyNumberFormat="0" applyBorder="0" applyProtection="0">
      <alignment horizontal="left"/>
    </xf>
    <xf numFmtId="0" fontId="34" fillId="28" borderId="13" applyNumberFormat="0" applyProtection="0">
      <alignment horizontal="left"/>
    </xf>
    <xf numFmtId="0" fontId="29" fillId="0" borderId="13" applyNumberFormat="0" applyFill="0" applyProtection="0">
      <alignment horizontal="right"/>
    </xf>
    <xf numFmtId="0" fontId="29" fillId="0" borderId="13" applyNumberFormat="0" applyFill="0" applyProtection="0">
      <alignment horizontal="right"/>
    </xf>
    <xf numFmtId="0" fontId="29" fillId="0" borderId="13" applyNumberFormat="0" applyFill="0" applyProtection="0">
      <alignment horizontal="right"/>
    </xf>
    <xf numFmtId="0" fontId="29" fillId="0" borderId="13" applyNumberFormat="0" applyFill="0" applyProtection="0">
      <alignment horizontal="right"/>
    </xf>
    <xf numFmtId="0" fontId="60" fillId="29" borderId="0" applyNumberFormat="0" applyBorder="0" applyProtection="0">
      <alignment horizontal="left"/>
    </xf>
    <xf numFmtId="0" fontId="61"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43" fillId="0" borderId="14"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43" fillId="0" borderId="30"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6" fillId="0" borderId="0" applyNumberFormat="0" applyFill="0" applyBorder="0" applyAlignment="0" applyProtection="0">
      <alignment vertical="center"/>
    </xf>
    <xf numFmtId="0" fontId="29" fillId="0" borderId="0"/>
    <xf numFmtId="0" fontId="29" fillId="0" borderId="0"/>
    <xf numFmtId="0" fontId="29" fillId="40" borderId="13">
      <alignment horizontal="left" vertical="center" wrapText="1"/>
    </xf>
    <xf numFmtId="0" fontId="29" fillId="39" borderId="13">
      <alignment horizontal="left" vertical="center" wrapText="1"/>
    </xf>
    <xf numFmtId="0" fontId="74" fillId="38" borderId="13">
      <alignment horizontal="left" vertical="center" wrapText="1"/>
    </xf>
    <xf numFmtId="0" fontId="29" fillId="37" borderId="18">
      <alignment horizontal="left" vertical="center" wrapText="1"/>
    </xf>
    <xf numFmtId="49" fontId="29" fillId="36" borderId="13">
      <alignment vertical="center" wrapText="1"/>
    </xf>
    <xf numFmtId="0" fontId="29" fillId="35" borderId="17" applyBorder="0">
      <alignment horizontal="left" vertical="center"/>
    </xf>
    <xf numFmtId="180" fontId="73" fillId="34" borderId="16">
      <alignment vertical="center"/>
    </xf>
    <xf numFmtId="169" fontId="72" fillId="33" borderId="16">
      <alignment vertical="center"/>
    </xf>
    <xf numFmtId="180" fontId="71" fillId="33" borderId="16">
      <alignment vertical="center"/>
    </xf>
    <xf numFmtId="0" fontId="68" fillId="0" borderId="0">
      <alignment vertical="top" wrapText="1"/>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0" fontId="29" fillId="0" borderId="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0" fontId="29" fillId="0" borderId="0"/>
    <xf numFmtId="9" fontId="42" fillId="0" borderId="0" applyFont="0" applyFill="0" applyBorder="0" applyAlignment="0" applyProtection="0"/>
    <xf numFmtId="0" fontId="29" fillId="0" borderId="0"/>
    <xf numFmtId="9" fontId="42" fillId="0" borderId="0" applyFont="0" applyFill="0" applyBorder="0" applyAlignment="0" applyProtection="0"/>
    <xf numFmtId="0" fontId="29" fillId="0" borderId="0"/>
    <xf numFmtId="0" fontId="29" fillId="0" borderId="0"/>
    <xf numFmtId="0" fontId="61" fillId="0" borderId="0" applyNumberFormat="0" applyFill="0" applyBorder="0" applyAlignment="0" applyProtection="0"/>
    <xf numFmtId="0" fontId="43" fillId="0" borderId="14" applyNumberFormat="0" applyFill="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11" fillId="0" borderId="0" applyFont="0" applyFill="0" applyBorder="0" applyAlignment="0" applyProtection="0"/>
    <xf numFmtId="9" fontId="11"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67" fontId="29" fillId="0" borderId="0" applyFont="0" applyFill="0" applyBorder="0" applyAlignment="0" applyProtection="0"/>
    <xf numFmtId="167" fontId="42"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11" fillId="0" borderId="0" applyFont="0" applyFill="0" applyBorder="0" applyAlignment="0" applyProtection="0"/>
    <xf numFmtId="167" fontId="29" fillId="0" borderId="0" applyFont="0" applyFill="0" applyBorder="0" applyAlignment="0" applyProtection="0"/>
    <xf numFmtId="167" fontId="78"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78"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78" fillId="0" borderId="0" applyFont="0" applyFill="0" applyBorder="0" applyAlignment="0" applyProtection="0"/>
    <xf numFmtId="9" fontId="29" fillId="0" borderId="0" applyFont="0" applyFill="0" applyBorder="0" applyAlignment="0" applyProtection="0"/>
    <xf numFmtId="9" fontId="78" fillId="0" borderId="0" applyFont="0" applyFill="0" applyBorder="0" applyAlignment="0" applyProtection="0"/>
    <xf numFmtId="0" fontId="29"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78" fillId="0" borderId="0" applyFont="0" applyFill="0" applyBorder="0" applyAlignment="0" applyProtection="0"/>
    <xf numFmtId="0" fontId="29" fillId="0" borderId="0"/>
    <xf numFmtId="0" fontId="29" fillId="0" borderId="0"/>
    <xf numFmtId="0" fontId="29" fillId="0" borderId="0"/>
    <xf numFmtId="0" fontId="29" fillId="0" borderId="0"/>
    <xf numFmtId="9" fontId="78" fillId="0" borderId="0" applyFont="0" applyFill="0" applyBorder="0" applyAlignment="0" applyProtection="0"/>
    <xf numFmtId="0" fontId="29" fillId="0" borderId="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78"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78" fillId="0" borderId="0" applyFont="0" applyFill="0" applyBorder="0" applyAlignment="0" applyProtection="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11"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78"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78" fillId="0" borderId="0" applyFont="0" applyFill="0" applyBorder="0" applyAlignment="0" applyProtection="0"/>
    <xf numFmtId="0" fontId="29" fillId="0" borderId="0"/>
    <xf numFmtId="0" fontId="2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94" fillId="0" borderId="0" applyFont="0" applyFill="0" applyBorder="0" applyAlignment="0" applyProtection="0"/>
    <xf numFmtId="9" fontId="94" fillId="0" borderId="0" applyFont="0" applyFill="0" applyBorder="0" applyAlignment="0" applyProtection="0"/>
    <xf numFmtId="0" fontId="45" fillId="7" borderId="0" applyNumberFormat="0" applyBorder="0" applyAlignment="0" applyProtection="0"/>
    <xf numFmtId="0" fontId="87" fillId="46" borderId="13"/>
    <xf numFmtId="0" fontId="68" fillId="0" borderId="0">
      <alignment vertical="top" wrapText="1"/>
    </xf>
    <xf numFmtId="0" fontId="84" fillId="0" borderId="0">
      <alignment vertical="top"/>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29" fillId="0" borderId="13" applyNumberFormat="0"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49" fontId="78" fillId="0" borderId="13" applyFill="0" applyProtection="0">
      <alignment horizontal="right"/>
    </xf>
    <xf numFmtId="49" fontId="29" fillId="0" borderId="13" applyFill="0" applyProtection="0">
      <alignment horizontal="right"/>
    </xf>
    <xf numFmtId="49" fontId="78" fillId="0" borderId="13" applyFill="0" applyProtection="0">
      <alignment horizontal="right"/>
    </xf>
    <xf numFmtId="0" fontId="79" fillId="28" borderId="13" applyNumberFormat="0" applyProtection="0">
      <alignment horizontal="right"/>
    </xf>
    <xf numFmtId="0" fontId="34" fillId="28" borderId="13" applyNumberFormat="0" applyProtection="0">
      <alignment horizontal="right"/>
    </xf>
    <xf numFmtId="0" fontId="80" fillId="28" borderId="0" applyNumberFormat="0" applyBorder="0" applyProtection="0">
      <alignment horizontal="left"/>
    </xf>
    <xf numFmtId="0" fontId="59" fillId="28" borderId="0" applyNumberFormat="0" applyBorder="0" applyProtection="0">
      <alignment horizontal="left"/>
    </xf>
    <xf numFmtId="0" fontId="79" fillId="28" borderId="13" applyNumberFormat="0" applyProtection="0">
      <alignment horizontal="left"/>
    </xf>
    <xf numFmtId="0" fontId="34" fillId="28" borderId="13" applyNumberFormat="0" applyProtection="0">
      <alignment horizontal="left"/>
    </xf>
    <xf numFmtId="0" fontId="78" fillId="0" borderId="13" applyNumberFormat="0" applyFill="0" applyProtection="0">
      <alignment horizontal="right"/>
    </xf>
    <xf numFmtId="0" fontId="29" fillId="0" borderId="13" applyNumberFormat="0" applyFill="0" applyProtection="0">
      <alignment horizontal="right"/>
    </xf>
    <xf numFmtId="0" fontId="78" fillId="0" borderId="13" applyNumberFormat="0" applyFill="0" applyProtection="0">
      <alignment horizontal="right"/>
    </xf>
    <xf numFmtId="0" fontId="81" fillId="29" borderId="0" applyNumberFormat="0" applyBorder="0" applyProtection="0">
      <alignment horizontal="left"/>
    </xf>
    <xf numFmtId="0" fontId="60" fillId="29" borderId="0" applyNumberFormat="0" applyBorder="0" applyProtection="0">
      <alignment horizontal="left"/>
    </xf>
    <xf numFmtId="0" fontId="82" fillId="48" borderId="0" applyNumberFormat="0" applyBorder="0" applyProtection="0">
      <alignment horizontal="left"/>
    </xf>
    <xf numFmtId="0" fontId="83" fillId="48" borderId="0" applyNumberFormat="0" applyBorder="0" applyProtection="0">
      <alignment horizontal="left"/>
    </xf>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61" fillId="0" borderId="0" applyNumberFormat="0" applyFill="0" applyBorder="0" applyAlignment="0" applyProtection="0"/>
    <xf numFmtId="0" fontId="50" fillId="0" borderId="7" applyNumberFormat="0" applyFill="0" applyAlignment="0" applyProtection="0"/>
    <xf numFmtId="0" fontId="51" fillId="0" borderId="8" applyNumberFormat="0" applyFill="0" applyAlignment="0" applyProtection="0"/>
    <xf numFmtId="0" fontId="52" fillId="0" borderId="9" applyNumberFormat="0" applyFill="0" applyAlignment="0" applyProtection="0"/>
    <xf numFmtId="0" fontId="52" fillId="0" borderId="0" applyNumberFormat="0" applyFill="0" applyBorder="0" applyAlignment="0" applyProtection="0"/>
    <xf numFmtId="0" fontId="54" fillId="0" borderId="10"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47" fillId="25" borderId="6" applyNumberFormat="0" applyAlignment="0" applyProtection="0"/>
    <xf numFmtId="0" fontId="96" fillId="0" borderId="0" applyNumberForma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5"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0" fontId="29" fillId="0" borderId="0"/>
    <xf numFmtId="167" fontId="29" fillId="0" borderId="0" applyFont="0" applyFill="0" applyBorder="0" applyAlignment="0" applyProtection="0"/>
    <xf numFmtId="0" fontId="29" fillId="0" borderId="0"/>
    <xf numFmtId="0" fontId="29" fillId="0" borderId="0"/>
    <xf numFmtId="167" fontId="29" fillId="0" borderId="0" applyFont="0" applyFill="0" applyBorder="0" applyAlignment="0" applyProtection="0"/>
    <xf numFmtId="0" fontId="29" fillId="0" borderId="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167" fontId="29" fillId="0" borderId="0" applyFont="0" applyFill="0" applyBorder="0" applyAlignment="0" applyProtection="0"/>
    <xf numFmtId="0" fontId="29" fillId="0" borderId="0"/>
    <xf numFmtId="0" fontId="29" fillId="0" borderId="0"/>
    <xf numFmtId="167" fontId="29"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167" fontId="42"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9" fontId="42" fillId="0" borderId="0" applyFont="0" applyFill="0" applyBorder="0" applyAlignment="0" applyProtection="0"/>
    <xf numFmtId="0" fontId="29" fillId="0" borderId="0"/>
    <xf numFmtId="9"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9" fontId="42"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29" fillId="0" borderId="13" applyNumberFormat="0" applyFill="0" applyProtection="0">
      <alignment horizontal="right"/>
    </xf>
    <xf numFmtId="0" fontId="29" fillId="0" borderId="13" applyNumberFormat="0" applyFill="0" applyProtection="0">
      <alignment horizontal="right"/>
    </xf>
    <xf numFmtId="0" fontId="29" fillId="0" borderId="0"/>
    <xf numFmtId="0" fontId="110" fillId="0" borderId="0" applyNumberFormat="0" applyFill="0" applyBorder="0" applyAlignment="0" applyProtection="0"/>
    <xf numFmtId="0" fontId="29" fillId="0" borderId="0"/>
    <xf numFmtId="0" fontId="43" fillId="0" borderId="30" applyNumberFormat="0" applyFill="0" applyAlignment="0" applyProtection="0"/>
    <xf numFmtId="0" fontId="29" fillId="0" borderId="0"/>
    <xf numFmtId="0" fontId="29" fillId="0" borderId="0"/>
    <xf numFmtId="9" fontId="11" fillId="0" borderId="0" applyFont="0" applyFill="0" applyBorder="0" applyAlignment="0" applyProtection="0"/>
    <xf numFmtId="0" fontId="29" fillId="0" borderId="0"/>
    <xf numFmtId="0" fontId="29" fillId="0" borderId="0"/>
    <xf numFmtId="9" fontId="11" fillId="0" borderId="0" applyFont="0" applyFill="0" applyBorder="0" applyAlignment="0" applyProtection="0"/>
    <xf numFmtId="0" fontId="29" fillId="0" borderId="0"/>
    <xf numFmtId="0" fontId="29" fillId="0" borderId="0"/>
    <xf numFmtId="0" fontId="29" fillId="0" borderId="0"/>
    <xf numFmtId="9" fontId="11" fillId="0" borderId="0" applyFont="0" applyFill="0" applyBorder="0" applyAlignment="0" applyProtection="0"/>
    <xf numFmtId="9" fontId="11"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167" fontId="11"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11"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29" fillId="0" borderId="0"/>
    <xf numFmtId="0" fontId="29"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5" borderId="0" applyNumberFormat="0" applyBorder="0" applyAlignment="0" applyProtection="0"/>
    <xf numFmtId="167"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9" fillId="0" borderId="0"/>
    <xf numFmtId="0" fontId="11" fillId="0" borderId="0"/>
    <xf numFmtId="0" fontId="11" fillId="0" borderId="0"/>
    <xf numFmtId="0" fontId="11" fillId="0" borderId="0"/>
    <xf numFmtId="0" fontId="29"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5" borderId="0" applyNumberFormat="0" applyBorder="0" applyAlignment="0" applyProtection="0"/>
    <xf numFmtId="167"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173" fontId="29" fillId="0" borderId="0" applyFont="0" applyFill="0" applyBorder="0" applyAlignment="0" applyProtection="0"/>
    <xf numFmtId="0" fontId="29" fillId="0" borderId="0" applyNumberFormat="0" applyFont="0" applyFill="0" applyBorder="0" applyAlignment="0" applyProtection="0"/>
    <xf numFmtId="0" fontId="11" fillId="0" borderId="0"/>
    <xf numFmtId="0" fontId="29" fillId="0" borderId="0"/>
    <xf numFmtId="0" fontId="11" fillId="0" borderId="0"/>
    <xf numFmtId="0" fontId="11" fillId="0" borderId="0"/>
    <xf numFmtId="174" fontId="29" fillId="0" borderId="0" applyFont="0" applyFill="0" applyBorder="0" applyAlignment="0" applyProtection="0"/>
    <xf numFmtId="9" fontId="29" fillId="0" borderId="0" applyFont="0" applyFill="0" applyBorder="0" applyAlignment="0" applyProtection="0"/>
    <xf numFmtId="9" fontId="11"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11" fillId="0" borderId="0"/>
    <xf numFmtId="0" fontId="29" fillId="0" borderId="0"/>
    <xf numFmtId="0" fontId="29" fillId="0" borderId="0"/>
    <xf numFmtId="0" fontId="11" fillId="0" borderId="0"/>
    <xf numFmtId="0" fontId="11" fillId="0" borderId="0"/>
    <xf numFmtId="0" fontId="11" fillId="0" borderId="0"/>
    <xf numFmtId="0" fontId="11" fillId="0" borderId="0"/>
    <xf numFmtId="0" fontId="29" fillId="0" borderId="0"/>
    <xf numFmtId="0" fontId="29" fillId="0" borderId="0"/>
    <xf numFmtId="0" fontId="11" fillId="0" borderId="0"/>
    <xf numFmtId="0" fontId="11" fillId="0" borderId="0"/>
    <xf numFmtId="0" fontId="11" fillId="0" borderId="0"/>
    <xf numFmtId="0" fontId="11" fillId="0" borderId="0"/>
    <xf numFmtId="0" fontId="29" fillId="0" borderId="0"/>
    <xf numFmtId="0" fontId="11" fillId="0" borderId="0"/>
    <xf numFmtId="0" fontId="11" fillId="0" borderId="0"/>
    <xf numFmtId="174"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61" fillId="0" borderId="0" applyNumberFormat="0" applyFill="0" applyBorder="0" applyAlignment="0" applyProtection="0"/>
    <xf numFmtId="0" fontId="43" fillId="0" borderId="14" applyNumberFormat="0" applyFill="0" applyAlignment="0" applyProtection="0"/>
    <xf numFmtId="0" fontId="11" fillId="0" borderId="0"/>
    <xf numFmtId="0" fontId="11" fillId="0" borderId="0"/>
    <xf numFmtId="9" fontId="11" fillId="0" borderId="0" applyFont="0" applyFill="0" applyBorder="0" applyAlignment="0" applyProtection="0"/>
    <xf numFmtId="0" fontId="29" fillId="0" borderId="0"/>
    <xf numFmtId="0" fontId="29" fillId="0" borderId="0"/>
    <xf numFmtId="0" fontId="29" fillId="0" borderId="0"/>
    <xf numFmtId="0" fontId="29" fillId="0" borderId="0"/>
    <xf numFmtId="0" fontId="11" fillId="45" borderId="0" applyNumberFormat="0" applyBorder="0" applyAlignment="0" applyProtection="0"/>
    <xf numFmtId="0" fontId="11" fillId="45" borderId="0" applyNumberFormat="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0" fontId="29" fillId="0" borderId="0"/>
    <xf numFmtId="43" fontId="11" fillId="0" borderId="0" applyFont="0" applyFill="0" applyBorder="0" applyAlignment="0" applyProtection="0"/>
    <xf numFmtId="43" fontId="11"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43" fontId="29" fillId="0" borderId="0" applyFont="0" applyFill="0" applyBorder="0" applyAlignment="0" applyProtection="0"/>
    <xf numFmtId="0" fontId="29" fillId="0" borderId="0"/>
    <xf numFmtId="0" fontId="29" fillId="0" borderId="0"/>
    <xf numFmtId="0" fontId="2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78" fillId="0" borderId="0" applyFont="0" applyFill="0" applyBorder="0" applyAlignment="0" applyProtection="0"/>
    <xf numFmtId="9" fontId="78" fillId="0" borderId="0" applyFont="0" applyFill="0" applyBorder="0" applyAlignment="0" applyProtection="0"/>
    <xf numFmtId="0" fontId="29" fillId="0" borderId="0" applyNumberFormat="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173" fontId="29" fillId="0" borderId="0" applyFont="0" applyFill="0" applyBorder="0" applyAlignment="0" applyProtection="0"/>
    <xf numFmtId="9" fontId="4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42"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8" fillId="0" borderId="0" applyFont="0" applyFill="0" applyBorder="0" applyAlignment="0" applyProtection="0"/>
    <xf numFmtId="9" fontId="11" fillId="0" borderId="0" applyFont="0" applyFill="0" applyBorder="0" applyAlignment="0" applyProtection="0"/>
    <xf numFmtId="9" fontId="7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8"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5" borderId="0" applyNumberFormat="0" applyBorder="0" applyAlignment="0" applyProtection="0"/>
    <xf numFmtId="167"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5" borderId="0" applyNumberFormat="0" applyBorder="0" applyAlignment="0" applyProtection="0"/>
    <xf numFmtId="167"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5" borderId="0" applyNumberFormat="0" applyBorder="0" applyAlignment="0" applyProtection="0"/>
    <xf numFmtId="167"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45" borderId="0" applyNumberFormat="0" applyBorder="0" applyAlignment="0" applyProtection="0"/>
    <xf numFmtId="167"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45" borderId="0" applyNumberFormat="0" applyBorder="0" applyAlignment="0" applyProtection="0"/>
    <xf numFmtId="0" fontId="11" fillId="45" borderId="0" applyNumberFormat="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2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13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7" fillId="0" borderId="0" applyFont="0" applyFill="0" applyBorder="0" applyAlignment="0" applyProtection="0"/>
    <xf numFmtId="43" fontId="135"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7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45" borderId="0" applyNumberFormat="0" applyBorder="0" applyAlignment="0" applyProtection="0"/>
    <xf numFmtId="0" fontId="6" fillId="45" borderId="0" applyNumberFormat="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0" applyNumberFormat="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7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9" fontId="6"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7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45" borderId="0" applyNumberFormat="0" applyBorder="0" applyAlignment="0" applyProtection="0"/>
    <xf numFmtId="0" fontId="6" fillId="45" borderId="0" applyNumberFormat="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8" borderId="0" applyNumberFormat="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43" fontId="7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9" fontId="6"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43" fontId="29"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2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5" borderId="0" applyNumberFormat="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45" borderId="0" applyNumberFormat="0" applyBorder="0" applyAlignment="0" applyProtection="0"/>
    <xf numFmtId="0" fontId="6" fillId="45"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45" borderId="0" applyNumberFormat="0" applyBorder="0" applyAlignment="0" applyProtection="0"/>
    <xf numFmtId="0" fontId="5" fillId="45" borderId="0" applyNumberFormat="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7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45" borderId="0" applyNumberFormat="0" applyBorder="0" applyAlignment="0" applyProtection="0"/>
    <xf numFmtId="0" fontId="5" fillId="4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45" borderId="0" applyNumberFormat="0" applyBorder="0" applyAlignment="0" applyProtection="0"/>
    <xf numFmtId="0" fontId="5" fillId="45" borderId="0" applyNumberFormat="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8" borderId="0" applyNumberFormat="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45" borderId="0" applyNumberFormat="0" applyBorder="0" applyAlignment="0" applyProtection="0"/>
    <xf numFmtId="0" fontId="5" fillId="45" borderId="0" applyNumberFormat="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5" borderId="0" applyNumberFormat="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45" borderId="0" applyNumberFormat="0" applyBorder="0" applyAlignment="0" applyProtection="0"/>
    <xf numFmtId="0" fontId="5" fillId="4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2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2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135" fillId="0" borderId="0" applyFont="0" applyFill="0" applyBorder="0" applyAlignment="0" applyProtection="0"/>
    <xf numFmtId="43" fontId="135" fillId="0" borderId="0" applyFont="0" applyFill="0" applyBorder="0" applyAlignment="0" applyProtection="0"/>
    <xf numFmtId="0" fontId="4" fillId="0" borderId="0"/>
    <xf numFmtId="0" fontId="4" fillId="0" borderId="0"/>
    <xf numFmtId="0" fontId="4" fillId="0" borderId="0"/>
    <xf numFmtId="0" fontId="2" fillId="0" borderId="0"/>
    <xf numFmtId="0" fontId="96" fillId="0" borderId="0" applyNumberFormat="0" applyFill="0" applyBorder="0" applyAlignment="0" applyProtection="0"/>
    <xf numFmtId="0" fontId="87" fillId="0" borderId="0"/>
    <xf numFmtId="0" fontId="42" fillId="6" borderId="0" applyNumberFormat="0" applyBorder="0" applyAlignment="0" applyProtection="0"/>
    <xf numFmtId="0" fontId="158" fillId="6" borderId="0" applyNumberFormat="0" applyBorder="0" applyAlignment="0" applyProtection="0"/>
    <xf numFmtId="0" fontId="42" fillId="7" borderId="0" applyNumberFormat="0" applyBorder="0" applyAlignment="0" applyProtection="0"/>
    <xf numFmtId="0" fontId="158" fillId="7" borderId="0" applyNumberFormat="0" applyBorder="0" applyAlignment="0" applyProtection="0"/>
    <xf numFmtId="0" fontId="42" fillId="8" borderId="0" applyNumberFormat="0" applyBorder="0" applyAlignment="0" applyProtection="0"/>
    <xf numFmtId="0" fontId="158" fillId="8" borderId="0" applyNumberFormat="0" applyBorder="0" applyAlignment="0" applyProtection="0"/>
    <xf numFmtId="0" fontId="42" fillId="9" borderId="0" applyNumberFormat="0" applyBorder="0" applyAlignment="0" applyProtection="0"/>
    <xf numFmtId="0" fontId="158" fillId="9" borderId="0" applyNumberFormat="0" applyBorder="0" applyAlignment="0" applyProtection="0"/>
    <xf numFmtId="0" fontId="42" fillId="10" borderId="0" applyNumberFormat="0" applyBorder="0" applyAlignment="0" applyProtection="0"/>
    <xf numFmtId="0" fontId="158" fillId="10" borderId="0" applyNumberFormat="0" applyBorder="0" applyAlignment="0" applyProtection="0"/>
    <xf numFmtId="0" fontId="42" fillId="11" borderId="0" applyNumberFormat="0" applyBorder="0" applyAlignment="0" applyProtection="0"/>
    <xf numFmtId="0" fontId="158" fillId="11"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158" fillId="6" borderId="0" applyNumberFormat="0" applyBorder="0" applyAlignment="0" applyProtection="0"/>
    <xf numFmtId="0" fontId="42" fillId="6" borderId="0" applyNumberFormat="0" applyBorder="0" applyAlignment="0" applyProtection="0"/>
    <xf numFmtId="0" fontId="42" fillId="12"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158" fillId="6" borderId="0" applyNumberFormat="0" applyBorder="0" applyAlignment="0" applyProtection="0"/>
    <xf numFmtId="0" fontId="42" fillId="6" borderId="0" applyNumberFormat="0" applyBorder="0" applyAlignment="0" applyProtection="0"/>
    <xf numFmtId="0" fontId="42" fillId="12"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12"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6" borderId="0" applyNumberFormat="0" applyBorder="0" applyAlignment="0" applyProtection="0"/>
    <xf numFmtId="0" fontId="42" fillId="12" borderId="0" applyNumberFormat="0" applyBorder="0" applyAlignment="0" applyProtection="0"/>
    <xf numFmtId="0" fontId="42" fillId="6" borderId="0" applyNumberFormat="0" applyBorder="0" applyAlignment="0" applyProtection="0"/>
    <xf numFmtId="0" fontId="42" fillId="12" borderId="0" applyNumberFormat="0" applyBorder="0" applyAlignment="0" applyProtection="0"/>
    <xf numFmtId="0" fontId="42" fillId="6" borderId="0" applyNumberFormat="0" applyBorder="0" applyAlignment="0" applyProtection="0"/>
    <xf numFmtId="0" fontId="42" fillId="12" borderId="0" applyNumberFormat="0" applyBorder="0" applyAlignment="0" applyProtection="0"/>
    <xf numFmtId="0" fontId="42" fillId="6" borderId="0" applyNumberFormat="0" applyBorder="0" applyAlignment="0" applyProtection="0"/>
    <xf numFmtId="0" fontId="42" fillId="12"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158" fillId="7" borderId="0" applyNumberFormat="0" applyBorder="0" applyAlignment="0" applyProtection="0"/>
    <xf numFmtId="0" fontId="42" fillId="7" borderId="0" applyNumberFormat="0" applyBorder="0" applyAlignment="0" applyProtection="0"/>
    <xf numFmtId="0" fontId="42" fillId="13"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158" fillId="7" borderId="0" applyNumberFormat="0" applyBorder="0" applyAlignment="0" applyProtection="0"/>
    <xf numFmtId="0" fontId="42" fillId="7" borderId="0" applyNumberFormat="0" applyBorder="0" applyAlignment="0" applyProtection="0"/>
    <xf numFmtId="0" fontId="42" fillId="13"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13"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7" borderId="0" applyNumberFormat="0" applyBorder="0" applyAlignment="0" applyProtection="0"/>
    <xf numFmtId="0" fontId="42" fillId="13" borderId="0" applyNumberFormat="0" applyBorder="0" applyAlignment="0" applyProtection="0"/>
    <xf numFmtId="0" fontId="42" fillId="7" borderId="0" applyNumberFormat="0" applyBorder="0" applyAlignment="0" applyProtection="0"/>
    <xf numFmtId="0" fontId="42" fillId="13" borderId="0" applyNumberFormat="0" applyBorder="0" applyAlignment="0" applyProtection="0"/>
    <xf numFmtId="0" fontId="42" fillId="7" borderId="0" applyNumberFormat="0" applyBorder="0" applyAlignment="0" applyProtection="0"/>
    <xf numFmtId="0" fontId="42" fillId="13" borderId="0" applyNumberFormat="0" applyBorder="0" applyAlignment="0" applyProtection="0"/>
    <xf numFmtId="0" fontId="42" fillId="7" borderId="0" applyNumberFormat="0" applyBorder="0" applyAlignment="0" applyProtection="0"/>
    <xf numFmtId="0" fontId="42" fillId="13"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158" fillId="8" borderId="0" applyNumberFormat="0" applyBorder="0" applyAlignment="0" applyProtection="0"/>
    <xf numFmtId="0" fontId="42" fillId="8" borderId="0" applyNumberFormat="0" applyBorder="0" applyAlignment="0" applyProtection="0"/>
    <xf numFmtId="0" fontId="42" fillId="2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158" fillId="8" borderId="0" applyNumberFormat="0" applyBorder="0" applyAlignment="0" applyProtection="0"/>
    <xf numFmtId="0" fontId="42" fillId="8" borderId="0" applyNumberFormat="0" applyBorder="0" applyAlignment="0" applyProtection="0"/>
    <xf numFmtId="0" fontId="42" fillId="2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2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2" fillId="8" borderId="0" applyNumberFormat="0" applyBorder="0" applyAlignment="0" applyProtection="0"/>
    <xf numFmtId="0" fontId="42" fillId="8" borderId="0" applyNumberFormat="0" applyBorder="0" applyAlignment="0" applyProtection="0"/>
    <xf numFmtId="0" fontId="42" fillId="27" borderId="0" applyNumberFormat="0" applyBorder="0" applyAlignment="0" applyProtection="0"/>
    <xf numFmtId="0" fontId="42" fillId="8" borderId="0" applyNumberFormat="0" applyBorder="0" applyAlignment="0" applyProtection="0"/>
    <xf numFmtId="0" fontId="42" fillId="27" borderId="0" applyNumberFormat="0" applyBorder="0" applyAlignment="0" applyProtection="0"/>
    <xf numFmtId="0" fontId="42" fillId="8" borderId="0" applyNumberFormat="0" applyBorder="0" applyAlignment="0" applyProtection="0"/>
    <xf numFmtId="0" fontId="42" fillId="27" borderId="0" applyNumberFormat="0" applyBorder="0" applyAlignment="0" applyProtection="0"/>
    <xf numFmtId="0" fontId="42" fillId="8" borderId="0" applyNumberFormat="0" applyBorder="0" applyAlignment="0" applyProtection="0"/>
    <xf numFmtId="0" fontId="42" fillId="27"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158" fillId="9" borderId="0" applyNumberFormat="0" applyBorder="0" applyAlignment="0" applyProtection="0"/>
    <xf numFmtId="0" fontId="42" fillId="9" borderId="0" applyNumberFormat="0" applyBorder="0" applyAlignment="0" applyProtection="0"/>
    <xf numFmtId="0" fontId="42" fillId="11"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158" fillId="9" borderId="0" applyNumberFormat="0" applyBorder="0" applyAlignment="0" applyProtection="0"/>
    <xf numFmtId="0" fontId="42" fillId="9" borderId="0" applyNumberFormat="0" applyBorder="0" applyAlignment="0" applyProtection="0"/>
    <xf numFmtId="0" fontId="42" fillId="11"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1"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11" borderId="0" applyNumberFormat="0" applyBorder="0" applyAlignment="0" applyProtection="0"/>
    <xf numFmtId="0" fontId="42" fillId="9" borderId="0" applyNumberFormat="0" applyBorder="0" applyAlignment="0" applyProtection="0"/>
    <xf numFmtId="0" fontId="42" fillId="11" borderId="0" applyNumberFormat="0" applyBorder="0" applyAlignment="0" applyProtection="0"/>
    <xf numFmtId="0" fontId="42" fillId="9" borderId="0" applyNumberFormat="0" applyBorder="0" applyAlignment="0" applyProtection="0"/>
    <xf numFmtId="0" fontId="42" fillId="11" borderId="0" applyNumberFormat="0" applyBorder="0" applyAlignment="0" applyProtection="0"/>
    <xf numFmtId="0" fontId="42" fillId="9" borderId="0" applyNumberFormat="0" applyBorder="0" applyAlignment="0" applyProtection="0"/>
    <xf numFmtId="0" fontId="42" fillId="1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158"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158"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158" fillId="11" borderId="0" applyNumberFormat="0" applyBorder="0" applyAlignment="0" applyProtection="0"/>
    <xf numFmtId="0" fontId="42" fillId="11" borderId="0" applyNumberFormat="0" applyBorder="0" applyAlignment="0" applyProtection="0"/>
    <xf numFmtId="0" fontId="42" fillId="27"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158" fillId="11" borderId="0" applyNumberFormat="0" applyBorder="0" applyAlignment="0" applyProtection="0"/>
    <xf numFmtId="0" fontId="42" fillId="11" borderId="0" applyNumberFormat="0" applyBorder="0" applyAlignment="0" applyProtection="0"/>
    <xf numFmtId="0" fontId="42" fillId="27"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27"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2" fillId="45" borderId="0" applyNumberFormat="0" applyBorder="0" applyAlignment="0" applyProtection="0"/>
    <xf numFmtId="0" fontId="42" fillId="11" borderId="0" applyNumberFormat="0" applyBorder="0" applyAlignment="0" applyProtection="0"/>
    <xf numFmtId="0" fontId="42" fillId="27" borderId="0" applyNumberFormat="0" applyBorder="0" applyAlignment="0" applyProtection="0"/>
    <xf numFmtId="0" fontId="42" fillId="11" borderId="0" applyNumberFormat="0" applyBorder="0" applyAlignment="0" applyProtection="0"/>
    <xf numFmtId="0" fontId="42" fillId="27" borderId="0" applyNumberFormat="0" applyBorder="0" applyAlignment="0" applyProtection="0"/>
    <xf numFmtId="0" fontId="42" fillId="11" borderId="0" applyNumberFormat="0" applyBorder="0" applyAlignment="0" applyProtection="0"/>
    <xf numFmtId="0" fontId="42" fillId="27" borderId="0" applyNumberFormat="0" applyBorder="0" applyAlignment="0" applyProtection="0"/>
    <xf numFmtId="0" fontId="42" fillId="11" borderId="0" applyNumberFormat="0" applyBorder="0" applyAlignment="0" applyProtection="0"/>
    <xf numFmtId="0" fontId="42" fillId="27"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49" fontId="87" fillId="0" borderId="13" applyNumberFormat="0" applyFont="0" applyFill="0" applyBorder="0" applyProtection="0">
      <alignment horizontal="left" vertical="center" indent="2"/>
    </xf>
    <xf numFmtId="0" fontId="42" fillId="12" borderId="0" applyNumberFormat="0" applyBorder="0" applyAlignment="0" applyProtection="0"/>
    <xf numFmtId="0" fontId="158" fillId="12" borderId="0" applyNumberFormat="0" applyBorder="0" applyAlignment="0" applyProtection="0"/>
    <xf numFmtId="0" fontId="42" fillId="13" borderId="0" applyNumberFormat="0" applyBorder="0" applyAlignment="0" applyProtection="0"/>
    <xf numFmtId="0" fontId="158" fillId="13" borderId="0" applyNumberFormat="0" applyBorder="0" applyAlignment="0" applyProtection="0"/>
    <xf numFmtId="0" fontId="42" fillId="14" borderId="0" applyNumberFormat="0" applyBorder="0" applyAlignment="0" applyProtection="0"/>
    <xf numFmtId="0" fontId="158" fillId="14" borderId="0" applyNumberFormat="0" applyBorder="0" applyAlignment="0" applyProtection="0"/>
    <xf numFmtId="0" fontId="42" fillId="9" borderId="0" applyNumberFormat="0" applyBorder="0" applyAlignment="0" applyProtection="0"/>
    <xf numFmtId="0" fontId="158" fillId="9" borderId="0" applyNumberFormat="0" applyBorder="0" applyAlignment="0" applyProtection="0"/>
    <xf numFmtId="0" fontId="42" fillId="12" borderId="0" applyNumberFormat="0" applyBorder="0" applyAlignment="0" applyProtection="0"/>
    <xf numFmtId="0" fontId="158" fillId="12" borderId="0" applyNumberFormat="0" applyBorder="0" applyAlignment="0" applyProtection="0"/>
    <xf numFmtId="0" fontId="42" fillId="15" borderId="0" applyNumberFormat="0" applyBorder="0" applyAlignment="0" applyProtection="0"/>
    <xf numFmtId="0" fontId="158" fillId="15"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158"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158"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158"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158"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158" fillId="14" borderId="0" applyNumberFormat="0" applyBorder="0" applyAlignment="0" applyProtection="0"/>
    <xf numFmtId="0" fontId="42" fillId="14" borderId="0" applyNumberFormat="0" applyBorder="0" applyAlignment="0" applyProtection="0"/>
    <xf numFmtId="0" fontId="42" fillId="26"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158" fillId="14" borderId="0" applyNumberFormat="0" applyBorder="0" applyAlignment="0" applyProtection="0"/>
    <xf numFmtId="0" fontId="42" fillId="14" borderId="0" applyNumberFormat="0" applyBorder="0" applyAlignment="0" applyProtection="0"/>
    <xf numFmtId="0" fontId="42" fillId="26"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26"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26" borderId="0" applyNumberFormat="0" applyBorder="0" applyAlignment="0" applyProtection="0"/>
    <xf numFmtId="0" fontId="42" fillId="14" borderId="0" applyNumberFormat="0" applyBorder="0" applyAlignment="0" applyProtection="0"/>
    <xf numFmtId="0" fontId="42" fillId="26" borderId="0" applyNumberFormat="0" applyBorder="0" applyAlignment="0" applyProtection="0"/>
    <xf numFmtId="0" fontId="42" fillId="14" borderId="0" applyNumberFormat="0" applyBorder="0" applyAlignment="0" applyProtection="0"/>
    <xf numFmtId="0" fontId="42" fillId="26" borderId="0" applyNumberFormat="0" applyBorder="0" applyAlignment="0" applyProtection="0"/>
    <xf numFmtId="0" fontId="42" fillId="14" borderId="0" applyNumberFormat="0" applyBorder="0" applyAlignment="0" applyProtection="0"/>
    <xf numFmtId="0" fontId="42" fillId="26"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158" fillId="9" borderId="0" applyNumberFormat="0" applyBorder="0" applyAlignment="0" applyProtection="0"/>
    <xf numFmtId="0" fontId="42" fillId="9" borderId="0" applyNumberFormat="0" applyBorder="0" applyAlignment="0" applyProtection="0"/>
    <xf numFmtId="0" fontId="42" fillId="7"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158" fillId="9" borderId="0" applyNumberFormat="0" applyBorder="0" applyAlignment="0" applyProtection="0"/>
    <xf numFmtId="0" fontId="42" fillId="9" borderId="0" applyNumberFormat="0" applyBorder="0" applyAlignment="0" applyProtection="0"/>
    <xf numFmtId="0" fontId="42" fillId="7"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7"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9" borderId="0" applyNumberFormat="0" applyBorder="0" applyAlignment="0" applyProtection="0"/>
    <xf numFmtId="0" fontId="42" fillId="7" borderId="0" applyNumberFormat="0" applyBorder="0" applyAlignment="0" applyProtection="0"/>
    <xf numFmtId="0" fontId="42" fillId="9" borderId="0" applyNumberFormat="0" applyBorder="0" applyAlignment="0" applyProtection="0"/>
    <xf numFmtId="0" fontId="42" fillId="7" borderId="0" applyNumberFormat="0" applyBorder="0" applyAlignment="0" applyProtection="0"/>
    <xf numFmtId="0" fontId="42" fillId="9" borderId="0" applyNumberFormat="0" applyBorder="0" applyAlignment="0" applyProtection="0"/>
    <xf numFmtId="0" fontId="42" fillId="7" borderId="0" applyNumberFormat="0" applyBorder="0" applyAlignment="0" applyProtection="0"/>
    <xf numFmtId="0" fontId="42" fillId="9" borderId="0" applyNumberFormat="0" applyBorder="0" applyAlignment="0" applyProtection="0"/>
    <xf numFmtId="0" fontId="42" fillId="7"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158"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158"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2" borderId="0" applyNumberFormat="0" applyBorder="0" applyAlignment="0" applyProtection="0"/>
    <xf numFmtId="0" fontId="42" fillId="10"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158" fillId="15" borderId="0" applyNumberFormat="0" applyBorder="0" applyAlignment="0" applyProtection="0"/>
    <xf numFmtId="0" fontId="42" fillId="15" borderId="0" applyNumberFormat="0" applyBorder="0" applyAlignment="0" applyProtection="0"/>
    <xf numFmtId="0" fontId="42" fillId="27"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158" fillId="15" borderId="0" applyNumberFormat="0" applyBorder="0" applyAlignment="0" applyProtection="0"/>
    <xf numFmtId="0" fontId="42" fillId="15" borderId="0" applyNumberFormat="0" applyBorder="0" applyAlignment="0" applyProtection="0"/>
    <xf numFmtId="0" fontId="42" fillId="27"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27"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15" borderId="0" applyNumberFormat="0" applyBorder="0" applyAlignment="0" applyProtection="0"/>
    <xf numFmtId="0" fontId="42" fillId="27" borderId="0" applyNumberFormat="0" applyBorder="0" applyAlignment="0" applyProtection="0"/>
    <xf numFmtId="0" fontId="42" fillId="15" borderId="0" applyNumberFormat="0" applyBorder="0" applyAlignment="0" applyProtection="0"/>
    <xf numFmtId="0" fontId="42" fillId="27" borderId="0" applyNumberFormat="0" applyBorder="0" applyAlignment="0" applyProtection="0"/>
    <xf numFmtId="0" fontId="42" fillId="15" borderId="0" applyNumberFormat="0" applyBorder="0" applyAlignment="0" applyProtection="0"/>
    <xf numFmtId="0" fontId="42" fillId="27" borderId="0" applyNumberFormat="0" applyBorder="0" applyAlignment="0" applyProtection="0"/>
    <xf numFmtId="0" fontId="42" fillId="15" borderId="0" applyNumberFormat="0" applyBorder="0" applyAlignment="0" applyProtection="0"/>
    <xf numFmtId="0" fontId="42" fillId="27"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49" fontId="87" fillId="0" borderId="21" applyNumberFormat="0" applyFont="0" applyFill="0" applyBorder="0" applyProtection="0">
      <alignment horizontal="left" vertical="center" indent="5"/>
    </xf>
    <xf numFmtId="0" fontId="29" fillId="0" borderId="0" applyNumberFormat="0" applyFont="0" applyFill="0" applyBorder="0" applyProtection="0">
      <alignment horizontal="left" vertical="center"/>
    </xf>
    <xf numFmtId="0" fontId="44" fillId="16" borderId="0" applyNumberFormat="0" applyBorder="0" applyAlignment="0" applyProtection="0"/>
    <xf numFmtId="0" fontId="159" fillId="16" borderId="0" applyNumberFormat="0" applyBorder="0" applyAlignment="0" applyProtection="0"/>
    <xf numFmtId="0" fontId="44" fillId="13" borderId="0" applyNumberFormat="0" applyBorder="0" applyAlignment="0" applyProtection="0"/>
    <xf numFmtId="0" fontId="159" fillId="13" borderId="0" applyNumberFormat="0" applyBorder="0" applyAlignment="0" applyProtection="0"/>
    <xf numFmtId="0" fontId="44" fillId="14" borderId="0" applyNumberFormat="0" applyBorder="0" applyAlignment="0" applyProtection="0"/>
    <xf numFmtId="0" fontId="159" fillId="14" borderId="0" applyNumberFormat="0" applyBorder="0" applyAlignment="0" applyProtection="0"/>
    <xf numFmtId="0" fontId="44" fillId="17" borderId="0" applyNumberFormat="0" applyBorder="0" applyAlignment="0" applyProtection="0"/>
    <xf numFmtId="0" fontId="159" fillId="17" borderId="0" applyNumberFormat="0" applyBorder="0" applyAlignment="0" applyProtection="0"/>
    <xf numFmtId="0" fontId="44" fillId="18" borderId="0" applyNumberFormat="0" applyBorder="0" applyAlignment="0" applyProtection="0"/>
    <xf numFmtId="0" fontId="159" fillId="18" borderId="0" applyNumberFormat="0" applyBorder="0" applyAlignment="0" applyProtection="0"/>
    <xf numFmtId="0" fontId="44" fillId="19" borderId="0" applyNumberFormat="0" applyBorder="0" applyAlignment="0" applyProtection="0"/>
    <xf numFmtId="0" fontId="159" fillId="19" borderId="0" applyNumberFormat="0" applyBorder="0" applyAlignment="0" applyProtection="0"/>
    <xf numFmtId="0" fontId="159" fillId="16" borderId="0" applyNumberFormat="0" applyBorder="0" applyAlignment="0" applyProtection="0"/>
    <xf numFmtId="0" fontId="44" fillId="16" borderId="0" applyNumberFormat="0" applyBorder="0" applyAlignment="0" applyProtection="0"/>
    <xf numFmtId="0" fontId="44" fillId="10" borderId="0" applyNumberFormat="0" applyBorder="0" applyAlignment="0" applyProtection="0"/>
    <xf numFmtId="0" fontId="159" fillId="16" borderId="0" applyNumberFormat="0" applyBorder="0" applyAlignment="0" applyProtection="0"/>
    <xf numFmtId="0" fontId="159" fillId="13" borderId="0" applyNumberFormat="0" applyBorder="0" applyAlignment="0" applyProtection="0"/>
    <xf numFmtId="0" fontId="44" fillId="13" borderId="0" applyNumberFormat="0" applyBorder="0" applyAlignment="0" applyProtection="0"/>
    <xf numFmtId="0" fontId="44" fillId="23" borderId="0" applyNumberFormat="0" applyBorder="0" applyAlignment="0" applyProtection="0"/>
    <xf numFmtId="0" fontId="159" fillId="13" borderId="0" applyNumberFormat="0" applyBorder="0" applyAlignment="0" applyProtection="0"/>
    <xf numFmtId="0" fontId="159" fillId="14" borderId="0" applyNumberFormat="0" applyBorder="0" applyAlignment="0" applyProtection="0"/>
    <xf numFmtId="0" fontId="44" fillId="14" borderId="0" applyNumberFormat="0" applyBorder="0" applyAlignment="0" applyProtection="0"/>
    <xf numFmtId="0" fontId="44" fillId="15" borderId="0" applyNumberFormat="0" applyBorder="0" applyAlignment="0" applyProtection="0"/>
    <xf numFmtId="0" fontId="159" fillId="14" borderId="0" applyNumberFormat="0" applyBorder="0" applyAlignment="0" applyProtection="0"/>
    <xf numFmtId="0" fontId="159" fillId="17" borderId="0" applyNumberFormat="0" applyBorder="0" applyAlignment="0" applyProtection="0"/>
    <xf numFmtId="0" fontId="44" fillId="17" borderId="0" applyNumberFormat="0" applyBorder="0" applyAlignment="0" applyProtection="0"/>
    <xf numFmtId="0" fontId="44" fillId="7" borderId="0" applyNumberFormat="0" applyBorder="0" applyAlignment="0" applyProtection="0"/>
    <xf numFmtId="0" fontId="159" fillId="17" borderId="0" applyNumberFormat="0" applyBorder="0" applyAlignment="0" applyProtection="0"/>
    <xf numFmtId="0" fontId="159" fillId="18" borderId="0" applyNumberFormat="0" applyBorder="0" applyAlignment="0" applyProtection="0"/>
    <xf numFmtId="0" fontId="44" fillId="18" borderId="0" applyNumberFormat="0" applyBorder="0" applyAlignment="0" applyProtection="0"/>
    <xf numFmtId="0" fontId="44" fillId="10" borderId="0" applyNumberFormat="0" applyBorder="0" applyAlignment="0" applyProtection="0"/>
    <xf numFmtId="0" fontId="159" fillId="18" borderId="0" applyNumberFormat="0" applyBorder="0" applyAlignment="0" applyProtection="0"/>
    <xf numFmtId="0" fontId="159" fillId="19" borderId="0" applyNumberFormat="0" applyBorder="0" applyAlignment="0" applyProtection="0"/>
    <xf numFmtId="0" fontId="44" fillId="19" borderId="0" applyNumberFormat="0" applyBorder="0" applyAlignment="0" applyProtection="0"/>
    <xf numFmtId="0" fontId="44" fillId="13" borderId="0" applyNumberFormat="0" applyBorder="0" applyAlignment="0" applyProtection="0"/>
    <xf numFmtId="0" fontId="159" fillId="19" borderId="0" applyNumberFormat="0" applyBorder="0" applyAlignment="0" applyProtection="0"/>
    <xf numFmtId="0" fontId="112" fillId="178" borderId="0" applyNumberFormat="0" applyBorder="0" applyAlignment="0" applyProtection="0"/>
    <xf numFmtId="0" fontId="44" fillId="17" borderId="0" applyNumberFormat="0" applyBorder="0" applyAlignment="0" applyProtection="0"/>
    <xf numFmtId="0" fontId="159" fillId="20" borderId="0" applyNumberFormat="0" applyBorder="0" applyAlignment="0" applyProtection="0"/>
    <xf numFmtId="0" fontId="44" fillId="20" borderId="0" applyNumberFormat="0" applyBorder="0" applyAlignment="0" applyProtection="0"/>
    <xf numFmtId="0" fontId="44" fillId="49" borderId="0" applyNumberFormat="0" applyBorder="0" applyAlignment="0" applyProtection="0"/>
    <xf numFmtId="0" fontId="159" fillId="20" borderId="0" applyNumberFormat="0" applyBorder="0" applyAlignment="0" applyProtection="0"/>
    <xf numFmtId="0" fontId="159" fillId="21" borderId="0" applyNumberFormat="0" applyBorder="0" applyAlignment="0" applyProtection="0"/>
    <xf numFmtId="0" fontId="44" fillId="21" borderId="0" applyNumberFormat="0" applyBorder="0" applyAlignment="0" applyProtection="0"/>
    <xf numFmtId="0" fontId="44" fillId="23" borderId="0" applyNumberFormat="0" applyBorder="0" applyAlignment="0" applyProtection="0"/>
    <xf numFmtId="0" fontId="159" fillId="21" borderId="0" applyNumberFormat="0" applyBorder="0" applyAlignment="0" applyProtection="0"/>
    <xf numFmtId="0" fontId="159" fillId="22" borderId="0" applyNumberFormat="0" applyBorder="0" applyAlignment="0" applyProtection="0"/>
    <xf numFmtId="0" fontId="44" fillId="22" borderId="0" applyNumberFormat="0" applyBorder="0" applyAlignment="0" applyProtection="0"/>
    <xf numFmtId="0" fontId="44" fillId="15" borderId="0" applyNumberFormat="0" applyBorder="0" applyAlignment="0" applyProtection="0"/>
    <xf numFmtId="0" fontId="159" fillId="22" borderId="0" applyNumberFormat="0" applyBorder="0" applyAlignment="0" applyProtection="0"/>
    <xf numFmtId="0" fontId="159" fillId="17" borderId="0" applyNumberFormat="0" applyBorder="0" applyAlignment="0" applyProtection="0"/>
    <xf numFmtId="0" fontId="44" fillId="17" borderId="0" applyNumberFormat="0" applyBorder="0" applyAlignment="0" applyProtection="0"/>
    <xf numFmtId="0" fontId="44" fillId="50" borderId="0" applyNumberFormat="0" applyBorder="0" applyAlignment="0" applyProtection="0"/>
    <xf numFmtId="0" fontId="159" fillId="17" borderId="0" applyNumberFormat="0" applyBorder="0" applyAlignment="0" applyProtection="0"/>
    <xf numFmtId="0" fontId="159" fillId="18" borderId="0" applyNumberFormat="0" applyBorder="0" applyAlignment="0" applyProtection="0"/>
    <xf numFmtId="0" fontId="159" fillId="18" borderId="0" applyNumberFormat="0" applyBorder="0" applyAlignment="0" applyProtection="0"/>
    <xf numFmtId="0" fontId="159" fillId="23" borderId="0" applyNumberFormat="0" applyBorder="0" applyAlignment="0" applyProtection="0"/>
    <xf numFmtId="0" fontId="44" fillId="23" borderId="0" applyNumberFormat="0" applyBorder="0" applyAlignment="0" applyProtection="0"/>
    <xf numFmtId="0" fontId="44" fillId="21" borderId="0" applyNumberFormat="0" applyBorder="0" applyAlignment="0" applyProtection="0"/>
    <xf numFmtId="0" fontId="159" fillId="23" borderId="0" applyNumberFormat="0" applyBorder="0" applyAlignment="0" applyProtection="0"/>
    <xf numFmtId="4" fontId="88" fillId="31" borderId="0" applyBorder="0" applyAlignment="0"/>
    <xf numFmtId="4" fontId="87" fillId="31" borderId="0" applyBorder="0">
      <alignment horizontal="right" vertical="center"/>
    </xf>
    <xf numFmtId="0" fontId="87" fillId="31" borderId="13">
      <alignment horizontal="right" vertical="center"/>
    </xf>
    <xf numFmtId="4" fontId="87" fillId="3" borderId="0" applyBorder="0">
      <alignment horizontal="right" vertical="center"/>
    </xf>
    <xf numFmtId="0" fontId="87" fillId="3" borderId="0" applyBorder="0">
      <alignment horizontal="right" vertical="center"/>
    </xf>
    <xf numFmtId="0" fontId="87" fillId="3" borderId="0" applyBorder="0">
      <alignment horizontal="right" vertical="center"/>
    </xf>
    <xf numFmtId="4" fontId="87" fillId="3" borderId="0" applyBorder="0">
      <alignment horizontal="right" vertical="center"/>
    </xf>
    <xf numFmtId="0" fontId="87" fillId="3" borderId="0" applyBorder="0">
      <alignment horizontal="right" vertical="center"/>
    </xf>
    <xf numFmtId="0" fontId="87" fillId="3" borderId="0" applyBorder="0">
      <alignment horizontal="right" vertical="center"/>
    </xf>
    <xf numFmtId="0" fontId="87" fillId="3" borderId="58">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4"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13">
      <alignment horizontal="right" vertical="center"/>
    </xf>
    <xf numFmtId="0" fontId="86" fillId="3" borderId="59">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4"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0" fontId="89" fillId="3"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59">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4"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0" fontId="86" fillId="41" borderId="13">
      <alignment horizontal="right" vertical="center"/>
    </xf>
    <xf numFmtId="4" fontId="86" fillId="41" borderId="21">
      <alignment horizontal="right" vertical="center"/>
    </xf>
    <xf numFmtId="4" fontId="86" fillId="41" borderId="21">
      <alignment horizontal="right" vertical="center"/>
    </xf>
    <xf numFmtId="4" fontId="86" fillId="41" borderId="21">
      <alignment horizontal="right" vertical="center"/>
    </xf>
    <xf numFmtId="4" fontId="86" fillId="41" borderId="21">
      <alignment horizontal="right" vertical="center"/>
    </xf>
    <xf numFmtId="4" fontId="86" fillId="41" borderId="21">
      <alignment horizontal="right" vertical="center"/>
    </xf>
    <xf numFmtId="4" fontId="86" fillId="41" borderId="21">
      <alignment horizontal="right" vertical="center"/>
    </xf>
    <xf numFmtId="4" fontId="86" fillId="41" borderId="21">
      <alignment horizontal="right" vertical="center"/>
    </xf>
    <xf numFmtId="4" fontId="86" fillId="41" borderId="21">
      <alignment horizontal="right" vertical="center"/>
    </xf>
    <xf numFmtId="4" fontId="86" fillId="41" borderId="21">
      <alignment horizontal="right" vertical="center"/>
    </xf>
    <xf numFmtId="4" fontId="86" fillId="41" borderId="21">
      <alignment horizontal="right" vertical="center"/>
    </xf>
    <xf numFmtId="0" fontId="86" fillId="41" borderId="21">
      <alignment horizontal="right" vertical="center"/>
    </xf>
    <xf numFmtId="0" fontId="86" fillId="41" borderId="21">
      <alignment horizontal="right" vertical="center"/>
    </xf>
    <xf numFmtId="0" fontId="86" fillId="41" borderId="21">
      <alignment horizontal="right" vertical="center"/>
    </xf>
    <xf numFmtId="0" fontId="86" fillId="41" borderId="21">
      <alignment horizontal="right" vertical="center"/>
    </xf>
    <xf numFmtId="0" fontId="86" fillId="41" borderId="21">
      <alignment horizontal="right" vertical="center"/>
    </xf>
    <xf numFmtId="0" fontId="86" fillId="41" borderId="21">
      <alignment horizontal="right" vertical="center"/>
    </xf>
    <xf numFmtId="0" fontId="86" fillId="41" borderId="21">
      <alignment horizontal="right" vertical="center"/>
    </xf>
    <xf numFmtId="0" fontId="86" fillId="41" borderId="21">
      <alignment horizontal="right" vertical="center"/>
    </xf>
    <xf numFmtId="0" fontId="86" fillId="41" borderId="21">
      <alignment horizontal="right" vertical="center"/>
    </xf>
    <xf numFmtId="0" fontId="86" fillId="41" borderId="21">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4"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0" fontId="86" fillId="41" borderId="22">
      <alignment horizontal="right" vertical="center"/>
    </xf>
    <xf numFmtId="4" fontId="86" fillId="41" borderId="22">
      <alignment horizontal="right" vertical="center"/>
    </xf>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168" fillId="24" borderId="12" applyNumberFormat="0" applyAlignment="0" applyProtection="0"/>
    <xf numFmtId="0" fontId="168" fillId="24" borderId="12" applyNumberFormat="0" applyAlignment="0" applyProtection="0"/>
    <xf numFmtId="0" fontId="168" fillId="24" borderId="12" applyNumberFormat="0" applyAlignment="0" applyProtection="0"/>
    <xf numFmtId="0" fontId="168" fillId="24" borderId="12" applyNumberFormat="0" applyAlignment="0" applyProtection="0"/>
    <xf numFmtId="0" fontId="168" fillId="24" borderId="12" applyNumberFormat="0" applyAlignment="0" applyProtection="0"/>
    <xf numFmtId="0" fontId="168"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57" fillId="24" borderId="12" applyNumberFormat="0" applyAlignment="0" applyProtection="0"/>
    <xf numFmtId="0" fontId="160" fillId="7" borderId="0" applyNumberFormat="0" applyBorder="0" applyAlignment="0" applyProtection="0"/>
    <xf numFmtId="0" fontId="45" fillId="7" borderId="0" applyNumberFormat="0" applyBorder="0" applyAlignment="0" applyProtection="0"/>
    <xf numFmtId="0" fontId="45" fillId="9" borderId="0" applyNumberFormat="0" applyBorder="0" applyAlignment="0" applyProtection="0"/>
    <xf numFmtId="0" fontId="160" fillId="7" borderId="0" applyNumberFormat="0" applyBorder="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61"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46"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04" fillId="51" borderId="5" applyNumberFormat="0" applyAlignment="0" applyProtection="0"/>
    <xf numFmtId="0" fontId="161" fillId="24" borderId="5" applyNumberFormat="0" applyAlignment="0" applyProtection="0"/>
    <xf numFmtId="0" fontId="161" fillId="24" borderId="5" applyNumberFormat="0" applyAlignment="0" applyProtection="0"/>
    <xf numFmtId="0" fontId="104" fillId="51" borderId="5" applyNumberFormat="0" applyAlignment="0" applyProtection="0"/>
    <xf numFmtId="0" fontId="161" fillId="24" borderId="5" applyNumberFormat="0" applyAlignment="0" applyProtection="0"/>
    <xf numFmtId="0" fontId="161" fillId="24" borderId="5" applyNumberFormat="0" applyAlignment="0" applyProtection="0"/>
    <xf numFmtId="0" fontId="104" fillId="51" borderId="5" applyNumberFormat="0" applyAlignment="0" applyProtection="0"/>
    <xf numFmtId="0" fontId="161" fillId="24" borderId="5" applyNumberFormat="0" applyAlignment="0" applyProtection="0"/>
    <xf numFmtId="0" fontId="104" fillId="51" borderId="5" applyNumberFormat="0" applyAlignment="0" applyProtection="0"/>
    <xf numFmtId="0" fontId="46" fillId="24" borderId="5" applyNumberFormat="0" applyAlignment="0" applyProtection="0"/>
    <xf numFmtId="0" fontId="104" fillId="51" borderId="5" applyNumberFormat="0" applyAlignment="0" applyProtection="0"/>
    <xf numFmtId="0" fontId="161"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04" fillId="51" borderId="5" applyNumberFormat="0" applyAlignment="0" applyProtection="0"/>
    <xf numFmtId="0" fontId="46" fillId="24" borderId="5" applyNumberFormat="0" applyAlignment="0" applyProtection="0"/>
    <xf numFmtId="0" fontId="161" fillId="24" borderId="5" applyNumberFormat="0" applyAlignment="0" applyProtection="0"/>
    <xf numFmtId="0" fontId="161" fillId="24" borderId="5" applyNumberFormat="0" applyAlignment="0" applyProtection="0"/>
    <xf numFmtId="0" fontId="104" fillId="51" borderId="5" applyNumberFormat="0" applyAlignment="0" applyProtection="0"/>
    <xf numFmtId="0" fontId="161" fillId="24" borderId="5" applyNumberFormat="0" applyAlignment="0" applyProtection="0"/>
    <xf numFmtId="0" fontId="161" fillId="24" borderId="5" applyNumberFormat="0" applyAlignment="0" applyProtection="0"/>
    <xf numFmtId="0" fontId="46" fillId="24" borderId="5" applyNumberFormat="0" applyAlignment="0" applyProtection="0"/>
    <xf numFmtId="0" fontId="161" fillId="24" borderId="5" applyNumberFormat="0" applyAlignment="0" applyProtection="0"/>
    <xf numFmtId="0" fontId="46" fillId="24" borderId="5" applyNumberFormat="0" applyAlignment="0" applyProtection="0"/>
    <xf numFmtId="0" fontId="162" fillId="25" borderId="6" applyNumberFormat="0" applyAlignment="0" applyProtection="0"/>
    <xf numFmtId="0" fontId="162" fillId="25" borderId="6" applyNumberFormat="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1"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82" fontId="29" fillId="0" borderId="0" applyFont="0" applyFill="0" applyBorder="0" applyAlignment="0" applyProtection="0"/>
    <xf numFmtId="182"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182" fontId="29" fillId="0" borderId="0" applyFont="0" applyFill="0" applyBorder="0" applyAlignment="0" applyProtection="0"/>
    <xf numFmtId="182"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182"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96" fontId="163" fillId="0" borderId="0" applyFont="0" applyFill="0" applyBorder="0" applyAlignment="0" applyProtection="0"/>
    <xf numFmtId="196" fontId="17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82" fontId="29" fillId="0" borderId="0" applyFont="0" applyFill="0" applyBorder="0" applyAlignment="0" applyProtection="0"/>
    <xf numFmtId="182"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82"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75" fontId="7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75" fontId="7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78" fillId="0" borderId="0" applyFont="0" applyFill="0" applyBorder="0" applyAlignment="0" applyProtection="0"/>
    <xf numFmtId="43" fontId="29" fillId="0" borderId="0" applyFont="0" applyFill="0" applyBorder="0" applyAlignment="0" applyProtection="0"/>
    <xf numFmtId="43" fontId="78" fillId="0" borderId="0" applyFont="0" applyFill="0" applyBorder="0" applyAlignment="0" applyProtection="0"/>
    <xf numFmtId="43" fontId="78"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82"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170" fillId="0" borderId="0">
      <alignment horizontal="left" vertical="center" indent="1"/>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41"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2" fillId="0" borderId="0"/>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0" borderId="24">
      <alignment horizontal="left" vertical="center" wrapText="1" indent="2"/>
    </xf>
    <xf numFmtId="0" fontId="87" fillId="3" borderId="21">
      <alignment horizontal="left" vertical="center"/>
    </xf>
    <xf numFmtId="0" fontId="87" fillId="3" borderId="21">
      <alignment horizontal="left" vertical="center"/>
    </xf>
    <xf numFmtId="0" fontId="87" fillId="3" borderId="21">
      <alignment horizontal="left" vertical="center"/>
    </xf>
    <xf numFmtId="0" fontId="87" fillId="3" borderId="21">
      <alignment horizontal="left" vertical="center"/>
    </xf>
    <xf numFmtId="0" fontId="87" fillId="3" borderId="21">
      <alignment horizontal="left" vertical="center"/>
    </xf>
    <xf numFmtId="0" fontId="87" fillId="3" borderId="21">
      <alignment horizontal="left" vertical="center"/>
    </xf>
    <xf numFmtId="0" fontId="87" fillId="3" borderId="21">
      <alignment horizontal="left" vertical="center"/>
    </xf>
    <xf numFmtId="0" fontId="87" fillId="3" borderId="21">
      <alignment horizontal="left" vertical="center"/>
    </xf>
    <xf numFmtId="0" fontId="87" fillId="3" borderId="21">
      <alignment horizontal="left" vertical="center"/>
    </xf>
    <xf numFmtId="0" fontId="157" fillId="44" borderId="19" applyNumberFormat="0" applyAlignment="0" applyProtection="0"/>
    <xf numFmtId="0" fontId="157" fillId="44" borderId="19"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167" fillId="11" borderId="5" applyNumberFormat="0" applyAlignment="0" applyProtection="0"/>
    <xf numFmtId="0" fontId="167" fillId="11" borderId="5" applyNumberFormat="0" applyAlignment="0" applyProtection="0"/>
    <xf numFmtId="0" fontId="167" fillId="11" borderId="5" applyNumberFormat="0" applyAlignment="0" applyProtection="0"/>
    <xf numFmtId="0" fontId="167" fillId="11" borderId="5" applyNumberFormat="0" applyAlignment="0" applyProtection="0"/>
    <xf numFmtId="0" fontId="167" fillId="11" borderId="5" applyNumberFormat="0" applyAlignment="0" applyProtection="0"/>
    <xf numFmtId="0" fontId="167" fillId="11" borderId="5" applyNumberFormat="0" applyAlignment="0" applyProtection="0"/>
    <xf numFmtId="0" fontId="167" fillId="11" borderId="5" applyNumberFormat="0" applyAlignment="0" applyProtection="0"/>
    <xf numFmtId="0" fontId="167"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53" fillId="11" borderId="5" applyNumberFormat="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169" fillId="0" borderId="14" applyNumberFormat="0" applyFill="0" applyAlignment="0" applyProtection="0"/>
    <xf numFmtId="0" fontId="169" fillId="0" borderId="14" applyNumberFormat="0" applyFill="0" applyAlignment="0" applyProtection="0"/>
    <xf numFmtId="0" fontId="169" fillId="0" borderId="14" applyNumberFormat="0" applyFill="0" applyAlignment="0" applyProtection="0"/>
    <xf numFmtId="0" fontId="169" fillId="0" borderId="14" applyNumberFormat="0" applyFill="0" applyAlignment="0" applyProtection="0"/>
    <xf numFmtId="0" fontId="169" fillId="0" borderId="14" applyNumberFormat="0" applyFill="0" applyAlignment="0" applyProtection="0"/>
    <xf numFmtId="0" fontId="169" fillId="0" borderId="14" applyNumberFormat="0" applyFill="0" applyAlignment="0" applyProtection="0"/>
    <xf numFmtId="0" fontId="169" fillId="0" borderId="14" applyNumberFormat="0" applyFill="0" applyAlignment="0" applyProtection="0"/>
    <xf numFmtId="0" fontId="169"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3" fillId="0" borderId="14" applyNumberFormat="0" applyFill="0" applyAlignment="0" applyProtection="0"/>
    <xf numFmtId="0" fontId="48" fillId="0" borderId="0" applyNumberFormat="0" applyFill="0" applyBorder="0" applyAlignment="0" applyProtection="0"/>
    <xf numFmtId="0" fontId="164" fillId="0" borderId="0" applyNumberFormat="0" applyFill="0" applyBorder="0" applyAlignment="0" applyProtection="0"/>
    <xf numFmtId="197" fontId="29" fillId="0" borderId="0" applyFont="0" applyFill="0" applyBorder="0" applyAlignment="0" applyProtection="0"/>
    <xf numFmtId="170" fontId="29" fillId="0" borderId="0" applyFont="0" applyFill="0" applyBorder="0" applyAlignment="0" applyProtection="0"/>
    <xf numFmtId="173" fontId="29" fillId="0" borderId="0" applyFont="0" applyFill="0" applyBorder="0" applyAlignment="0" applyProtection="0"/>
    <xf numFmtId="172" fontId="29" fillId="0" borderId="0" applyFont="0" applyFill="0" applyBorder="0" applyAlignment="0" applyProtection="0"/>
    <xf numFmtId="171" fontId="29" fillId="0" borderId="0" applyFont="0" applyFill="0" applyBorder="0" applyAlignment="0" applyProtection="0"/>
    <xf numFmtId="171" fontId="29" fillId="0" borderId="0" applyFont="0" applyFill="0" applyBorder="0" applyAlignment="0" applyProtection="0"/>
    <xf numFmtId="172" fontId="29" fillId="0" borderId="0" applyFont="0" applyFill="0" applyBorder="0" applyAlignment="0" applyProtection="0"/>
    <xf numFmtId="170" fontId="29" fillId="0" borderId="0" applyFont="0" applyFill="0" applyBorder="0" applyAlignment="0" applyProtection="0"/>
    <xf numFmtId="173" fontId="29" fillId="0" borderId="0" applyFont="0" applyFill="0" applyBorder="0" applyAlignment="0" applyProtection="0"/>
    <xf numFmtId="172" fontId="29" fillId="0" borderId="0" applyFont="0" applyFill="0" applyBorder="0" applyAlignment="0" applyProtection="0"/>
    <xf numFmtId="170" fontId="29" fillId="0" borderId="0" applyFont="0" applyFill="0" applyBorder="0" applyAlignment="0" applyProtection="0"/>
    <xf numFmtId="0" fontId="164" fillId="0" borderId="0" applyNumberFormat="0" applyFill="0" applyBorder="0" applyAlignment="0" applyProtection="0"/>
    <xf numFmtId="0" fontId="164" fillId="0" borderId="0" applyNumberFormat="0" applyFill="0" applyBorder="0" applyAlignment="0" applyProtection="0"/>
    <xf numFmtId="0" fontId="165" fillId="8" borderId="0" applyNumberFormat="0" applyBorder="0" applyAlignment="0" applyProtection="0"/>
    <xf numFmtId="0" fontId="165" fillId="8" borderId="0" applyNumberFormat="0" applyBorder="0" applyAlignment="0" applyProtection="0"/>
    <xf numFmtId="0" fontId="166" fillId="0" borderId="7" applyNumberFormat="0" applyFill="0" applyAlignment="0" applyProtection="0"/>
    <xf numFmtId="0" fontId="50" fillId="0" borderId="7" applyNumberFormat="0" applyFill="0" applyAlignment="0" applyProtection="0"/>
    <xf numFmtId="0" fontId="105" fillId="0" borderId="26" applyNumberFormat="0" applyFill="0" applyAlignment="0" applyProtection="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72" fillId="0" borderId="0" applyNumberFormat="0" applyFill="0" applyBorder="0" applyAlignment="0" applyProtection="0"/>
    <xf numFmtId="0" fontId="112" fillId="184" borderId="0" applyNumberFormat="0" applyBorder="0" applyAlignment="0" applyProtection="0"/>
    <xf numFmtId="182" fontId="135" fillId="0" borderId="0" applyFont="0" applyFill="0" applyBorder="0" applyAlignment="0" applyProtection="0"/>
    <xf numFmtId="182" fontId="29" fillId="0" borderId="0" applyFont="0" applyFill="0" applyBorder="0" applyAlignment="0" applyProtection="0"/>
    <xf numFmtId="182" fontId="135"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197" fontId="29" fillId="0" borderId="0" applyFont="0" applyFill="0" applyBorder="0" applyAlignment="0" applyProtection="0"/>
    <xf numFmtId="170" fontId="29" fillId="0" borderId="0" applyFont="0" applyFill="0" applyBorder="0" applyAlignment="0" applyProtection="0"/>
    <xf numFmtId="0" fontId="175" fillId="0" borderId="0" applyNumberFormat="0" applyFill="0" applyBorder="0" applyAlignment="0" applyProtection="0">
      <alignment vertical="top"/>
      <protection locked="0"/>
    </xf>
    <xf numFmtId="0" fontId="157" fillId="44" borderId="19" applyNumberFormat="0" applyAlignment="0" applyProtection="0"/>
    <xf numFmtId="0" fontId="87" fillId="0" borderId="0" applyBorder="0">
      <alignment horizontal="right" vertical="center"/>
    </xf>
    <xf numFmtId="4" fontId="87" fillId="0" borderId="0" applyBorder="0">
      <alignment horizontal="righ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9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49" fontId="88" fillId="0" borderId="13" applyNumberFormat="0" applyFill="0" applyBorder="0" applyProtection="0">
      <alignment horizontal="left" vertical="center"/>
    </xf>
    <xf numFmtId="0" fontId="88" fillId="0" borderId="0" applyNumberFormat="0" applyFill="0" applyBorder="0" applyProtection="0">
      <alignment horizontal="left" vertical="center"/>
    </xf>
    <xf numFmtId="0" fontId="171" fillId="185" borderId="0" applyNumberFormat="0" applyFont="0" applyBorder="0" applyAlignment="0" applyProtection="0"/>
    <xf numFmtId="0" fontId="29" fillId="46" borderId="0" applyNumberFormat="0" applyFont="0" applyBorder="0" applyAlignment="0" applyProtection="0"/>
    <xf numFmtId="9" fontId="135"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135"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1" fillId="0" borderId="0" applyFont="0" applyFill="0" applyBorder="0" applyAlignment="0" applyProtection="0"/>
    <xf numFmtId="9" fontId="2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cellStyleXfs>
  <cellXfs count="1615">
    <xf numFmtId="0" fontId="0" fillId="0" borderId="0" xfId="0"/>
    <xf numFmtId="0" fontId="34" fillId="2" borderId="2" xfId="0" applyFont="1" applyFill="1" applyBorder="1" applyAlignment="1">
      <alignment vertical="center"/>
    </xf>
    <xf numFmtId="0" fontId="0" fillId="0" borderId="0" xfId="0" applyAlignment="1">
      <alignment vertical="center"/>
    </xf>
    <xf numFmtId="0" fontId="38" fillId="0" borderId="0" xfId="4"/>
    <xf numFmtId="0" fontId="41" fillId="0" borderId="0" xfId="0" applyFont="1" applyAlignment="1">
      <alignment vertical="center"/>
    </xf>
    <xf numFmtId="0" fontId="36" fillId="0" borderId="0" xfId="0" applyFont="1" applyAlignment="1">
      <alignment vertical="center"/>
    </xf>
    <xf numFmtId="0" fontId="31" fillId="0" borderId="0" xfId="0" applyFont="1" applyAlignment="1">
      <alignment vertical="center"/>
    </xf>
    <xf numFmtId="0" fontId="31" fillId="0" borderId="0" xfId="0" applyFont="1" applyFill="1" applyAlignment="1">
      <alignment vertical="center"/>
    </xf>
    <xf numFmtId="0" fontId="0" fillId="0" borderId="0" xfId="0" applyFill="1" applyAlignment="1">
      <alignment vertical="center"/>
    </xf>
    <xf numFmtId="0" fontId="32" fillId="0" borderId="0" xfId="0" applyFont="1" applyFill="1" applyAlignment="1">
      <alignment vertical="center"/>
    </xf>
    <xf numFmtId="1" fontId="32" fillId="0" borderId="0" xfId="4" applyNumberFormat="1" applyFont="1" applyFill="1" applyBorder="1" applyAlignment="1">
      <alignment horizontal="center" vertical="center"/>
    </xf>
    <xf numFmtId="2" fontId="32" fillId="0" borderId="0" xfId="4" applyNumberFormat="1" applyFont="1" applyFill="1" applyBorder="1" applyAlignment="1">
      <alignment horizontal="center" vertical="center"/>
    </xf>
    <xf numFmtId="9" fontId="32" fillId="0" borderId="0" xfId="3" applyFont="1" applyFill="1" applyBorder="1" applyAlignment="1">
      <alignment horizontal="center" vertical="center"/>
    </xf>
    <xf numFmtId="0" fontId="0" fillId="0" borderId="4" xfId="0" applyFill="1" applyBorder="1" applyAlignment="1">
      <alignment vertical="center"/>
    </xf>
    <xf numFmtId="0" fontId="0" fillId="0" borderId="0" xfId="0" applyFill="1" applyBorder="1" applyAlignment="1">
      <alignment vertical="center"/>
    </xf>
    <xf numFmtId="0" fontId="0" fillId="0" borderId="0" xfId="0" applyFill="1" applyBorder="1" applyAlignment="1">
      <alignment horizontal="center" vertical="center"/>
    </xf>
    <xf numFmtId="0" fontId="29" fillId="0" borderId="0" xfId="0" applyFont="1" applyFill="1" applyAlignment="1">
      <alignment vertical="center"/>
    </xf>
    <xf numFmtId="0" fontId="0" fillId="0" borderId="0" xfId="0" applyFill="1" applyAlignment="1">
      <alignment horizontal="right" vertical="center"/>
    </xf>
    <xf numFmtId="1" fontId="0" fillId="0" borderId="4" xfId="0" applyNumberFormat="1" applyFill="1" applyBorder="1" applyAlignment="1">
      <alignment horizontal="center" vertical="center"/>
    </xf>
    <xf numFmtId="0" fontId="29" fillId="0" borderId="0" xfId="0" applyFont="1" applyFill="1" applyBorder="1" applyAlignment="1">
      <alignment vertical="center"/>
    </xf>
    <xf numFmtId="1" fontId="0" fillId="0" borderId="0" xfId="0" applyNumberFormat="1" applyFill="1" applyBorder="1" applyAlignment="1">
      <alignment horizontal="center" vertical="center"/>
    </xf>
    <xf numFmtId="9" fontId="0" fillId="0" borderId="0" xfId="0" applyNumberFormat="1" applyFill="1" applyBorder="1" applyAlignment="1">
      <alignment horizontal="center" vertical="center"/>
    </xf>
    <xf numFmtId="0" fontId="0" fillId="0" borderId="0" xfId="0" applyFill="1" applyBorder="1"/>
    <xf numFmtId="2" fontId="0" fillId="0" borderId="0" xfId="0" applyNumberFormat="1" applyFill="1" applyBorder="1" applyAlignment="1">
      <alignment horizontal="center" vertical="center"/>
    </xf>
    <xf numFmtId="2" fontId="0" fillId="0" borderId="4" xfId="0" applyNumberFormat="1" applyFill="1" applyBorder="1" applyAlignment="1">
      <alignment horizontal="center" vertical="center"/>
    </xf>
    <xf numFmtId="9" fontId="0" fillId="0" borderId="4" xfId="0" applyNumberFormat="1" applyFill="1" applyBorder="1" applyAlignment="1">
      <alignment horizontal="center" vertical="center"/>
    </xf>
    <xf numFmtId="0" fontId="29" fillId="0" borderId="0" xfId="0" applyFont="1"/>
    <xf numFmtId="0" fontId="40" fillId="0" borderId="0" xfId="0" applyFont="1"/>
    <xf numFmtId="0" fontId="0" fillId="0" borderId="0" xfId="0"/>
    <xf numFmtId="188" fontId="31" fillId="0" borderId="0" xfId="0" applyNumberFormat="1" applyFont="1" applyAlignment="1">
      <alignment vertical="center"/>
    </xf>
    <xf numFmtId="188" fontId="0" fillId="0" borderId="0" xfId="0" applyNumberFormat="1" applyAlignment="1">
      <alignment vertical="center"/>
    </xf>
    <xf numFmtId="188" fontId="34" fillId="2" borderId="1" xfId="0" applyNumberFormat="1" applyFont="1" applyFill="1" applyBorder="1" applyAlignment="1">
      <alignment vertical="center"/>
    </xf>
    <xf numFmtId="188" fontId="29" fillId="0" borderId="0" xfId="0" applyNumberFormat="1" applyFont="1" applyFill="1" applyAlignment="1">
      <alignment vertical="center"/>
    </xf>
    <xf numFmtId="188" fontId="0" fillId="0" borderId="0" xfId="0" applyNumberFormat="1" applyFill="1" applyAlignment="1">
      <alignment vertical="center"/>
    </xf>
    <xf numFmtId="188" fontId="29" fillId="0" borderId="0" xfId="0" applyNumberFormat="1" applyFont="1" applyFill="1" applyBorder="1" applyAlignment="1">
      <alignment vertical="center"/>
    </xf>
    <xf numFmtId="188" fontId="0" fillId="0" borderId="0" xfId="0" applyNumberFormat="1" applyFill="1" applyBorder="1" applyAlignment="1">
      <alignment vertical="center"/>
    </xf>
    <xf numFmtId="188" fontId="0" fillId="0" borderId="4" xfId="0" applyNumberFormat="1" applyFill="1" applyBorder="1" applyAlignment="1">
      <alignment vertical="center"/>
    </xf>
    <xf numFmtId="0" fontId="29" fillId="0" borderId="0" xfId="0" applyFont="1" applyBorder="1" applyAlignment="1">
      <alignment vertical="center"/>
    </xf>
    <xf numFmtId="188" fontId="37" fillId="3" borderId="1" xfId="1" applyNumberFormat="1" applyFont="1" applyFill="1" applyBorder="1" applyAlignment="1">
      <alignment horizontal="left" vertical="center" wrapText="1"/>
    </xf>
    <xf numFmtId="0" fontId="111" fillId="0" borderId="0" xfId="0" applyFont="1"/>
    <xf numFmtId="0" fontId="34" fillId="2" borderId="1" xfId="4" applyFont="1" applyFill="1" applyBorder="1" applyAlignment="1">
      <alignment horizontal="center" vertical="center" wrapText="1"/>
    </xf>
    <xf numFmtId="188" fontId="29" fillId="0" borderId="0" xfId="0" applyNumberFormat="1" applyFont="1"/>
    <xf numFmtId="188" fontId="0" fillId="0" borderId="0" xfId="0" applyNumberFormat="1"/>
    <xf numFmtId="168" fontId="0" fillId="0" borderId="0" xfId="0" applyNumberFormat="1" applyFill="1" applyBorder="1" applyAlignment="1">
      <alignment horizontal="center" vertical="center"/>
    </xf>
    <xf numFmtId="0" fontId="39" fillId="4" borderId="0" xfId="4794" applyFont="1" applyFill="1" applyBorder="1" applyAlignment="1">
      <alignment vertical="center" wrapText="1"/>
    </xf>
    <xf numFmtId="0" fontId="39" fillId="4" borderId="0" xfId="4794" applyFont="1" applyFill="1" applyBorder="1" applyAlignment="1">
      <alignment horizontal="center" vertical="center" wrapText="1"/>
    </xf>
    <xf numFmtId="0" fontId="39" fillId="5" borderId="0" xfId="4794" applyFont="1" applyFill="1" applyBorder="1" applyAlignment="1">
      <alignment horizontal="center" vertical="center" wrapText="1"/>
    </xf>
    <xf numFmtId="0" fontId="112" fillId="4" borderId="0" xfId="4794" applyFont="1" applyFill="1" applyAlignment="1">
      <alignment horizontal="center"/>
    </xf>
    <xf numFmtId="0" fontId="39" fillId="4" borderId="0" xfId="4794" applyFont="1" applyFill="1" applyBorder="1" applyAlignment="1">
      <alignment vertical="center"/>
    </xf>
    <xf numFmtId="0" fontId="39" fillId="4" borderId="0" xfId="4794" applyFont="1" applyFill="1" applyBorder="1" applyAlignment="1">
      <alignment horizontal="center" vertical="center"/>
    </xf>
    <xf numFmtId="0" fontId="39" fillId="5" borderId="0" xfId="4794" applyFont="1" applyFill="1" applyBorder="1" applyAlignment="1">
      <alignment horizontal="center" vertical="center"/>
    </xf>
    <xf numFmtId="0" fontId="114" fillId="0" borderId="31" xfId="4794" applyFont="1" applyBorder="1" applyAlignment="1">
      <alignment horizontal="center"/>
    </xf>
    <xf numFmtId="0" fontId="114" fillId="0" borderId="32" xfId="4794" applyFont="1" applyBorder="1" applyAlignment="1">
      <alignment horizontal="center"/>
    </xf>
    <xf numFmtId="168" fontId="0" fillId="0" borderId="0" xfId="0" applyNumberFormat="1" applyFill="1" applyBorder="1" applyAlignment="1">
      <alignment vertical="center"/>
    </xf>
    <xf numFmtId="168" fontId="0" fillId="0" borderId="0" xfId="0" applyNumberFormat="1" applyFill="1" applyBorder="1"/>
    <xf numFmtId="168" fontId="0" fillId="0" borderId="4" xfId="0" applyNumberFormat="1" applyFill="1" applyBorder="1" applyAlignment="1">
      <alignment horizontal="center" vertical="center"/>
    </xf>
    <xf numFmtId="188" fontId="0" fillId="52" borderId="4" xfId="0" applyNumberFormat="1" applyFill="1" applyBorder="1"/>
    <xf numFmtId="0" fontId="0" fillId="52" borderId="4" xfId="0" applyNumberFormat="1" applyFill="1" applyBorder="1" applyAlignment="1">
      <alignment horizontal="center"/>
    </xf>
    <xf numFmtId="9" fontId="0" fillId="52" borderId="4" xfId="3" applyFont="1" applyFill="1" applyBorder="1" applyAlignment="1">
      <alignment horizontal="center"/>
    </xf>
    <xf numFmtId="1" fontId="0" fillId="52" borderId="4" xfId="0" applyNumberFormat="1" applyFill="1" applyBorder="1" applyAlignment="1">
      <alignment horizontal="center"/>
    </xf>
    <xf numFmtId="0" fontId="0" fillId="52" borderId="4" xfId="0" applyFill="1" applyBorder="1"/>
    <xf numFmtId="0" fontId="29" fillId="0" borderId="0" xfId="0" applyFont="1" applyAlignment="1">
      <alignment vertical="center"/>
    </xf>
    <xf numFmtId="0" fontId="29" fillId="2" borderId="1" xfId="4" applyFont="1" applyFill="1" applyBorder="1" applyAlignment="1">
      <alignment horizontal="center" vertical="center" wrapText="1"/>
    </xf>
    <xf numFmtId="0" fontId="37" fillId="3" borderId="37" xfId="4053" applyFont="1" applyFill="1" applyBorder="1" applyAlignment="1">
      <alignment horizontal="left" vertical="center" wrapText="1"/>
    </xf>
    <xf numFmtId="0" fontId="37" fillId="3" borderId="37" xfId="4053" applyFont="1" applyFill="1" applyBorder="1" applyAlignment="1">
      <alignment horizontal="center" vertical="center" wrapText="1"/>
    </xf>
    <xf numFmtId="0" fontId="0" fillId="0" borderId="0" xfId="0" applyFill="1" applyAlignment="1">
      <alignment horizontal="center" vertical="center"/>
    </xf>
    <xf numFmtId="0" fontId="0" fillId="0" borderId="0" xfId="0" applyBorder="1"/>
    <xf numFmtId="2" fontId="0" fillId="0" borderId="0" xfId="0" applyNumberFormat="1" applyBorder="1"/>
    <xf numFmtId="189" fontId="0" fillId="0" borderId="0" xfId="0" applyNumberFormat="1" applyAlignment="1">
      <alignment vertical="center"/>
    </xf>
    <xf numFmtId="0" fontId="0" fillId="54" borderId="0" xfId="0" applyFill="1"/>
    <xf numFmtId="0" fontId="119" fillId="0" borderId="0" xfId="4794" applyFont="1" applyBorder="1" applyAlignment="1">
      <alignment horizontal="center" vertical="center"/>
    </xf>
    <xf numFmtId="168" fontId="119" fillId="0" borderId="0" xfId="4794" applyNumberFormat="1" applyFont="1" applyBorder="1" applyAlignment="1">
      <alignment horizontal="center" vertical="center"/>
    </xf>
    <xf numFmtId="0" fontId="119" fillId="0" borderId="0" xfId="4794" applyFont="1" applyFill="1" applyBorder="1" applyAlignment="1">
      <alignment horizontal="center" vertical="center"/>
    </xf>
    <xf numFmtId="0" fontId="0" fillId="0" borderId="0" xfId="0" applyBorder="1" applyAlignment="1">
      <alignment horizontal="center"/>
    </xf>
    <xf numFmtId="0" fontId="17" fillId="0" borderId="0" xfId="4794" applyFont="1" applyBorder="1" applyAlignment="1">
      <alignment vertical="center"/>
    </xf>
    <xf numFmtId="0" fontId="17" fillId="0" borderId="0" xfId="4794" applyFont="1" applyBorder="1" applyAlignment="1">
      <alignment horizontal="center" vertical="center"/>
    </xf>
    <xf numFmtId="0" fontId="17" fillId="0" borderId="0" xfId="4794" applyFont="1" applyFill="1" applyBorder="1" applyAlignment="1">
      <alignment horizontal="center" vertical="center" wrapText="1"/>
    </xf>
    <xf numFmtId="0" fontId="17" fillId="0" borderId="0" xfId="4794" applyFont="1" applyBorder="1" applyAlignment="1">
      <alignment horizontal="center" vertical="center" wrapText="1"/>
    </xf>
    <xf numFmtId="168" fontId="17" fillId="0" borderId="0" xfId="4794" applyNumberFormat="1" applyFont="1" applyBorder="1" applyAlignment="1">
      <alignment horizontal="center" vertical="center"/>
    </xf>
    <xf numFmtId="0" fontId="17" fillId="0" borderId="0" xfId="4794" applyFont="1" applyFill="1" applyBorder="1" applyAlignment="1">
      <alignment horizontal="center" vertical="center"/>
    </xf>
    <xf numFmtId="0" fontId="17" fillId="0" borderId="33" xfId="4794" applyFont="1" applyBorder="1"/>
    <xf numFmtId="0" fontId="17" fillId="0" borderId="34" xfId="4794" applyFont="1" applyBorder="1"/>
    <xf numFmtId="0" fontId="17" fillId="0" borderId="35" xfId="4794" applyFont="1" applyBorder="1"/>
    <xf numFmtId="0" fontId="17" fillId="0" borderId="36" xfId="4794" applyFont="1" applyBorder="1"/>
    <xf numFmtId="9" fontId="119" fillId="0" borderId="0" xfId="3" applyFont="1" applyBorder="1" applyAlignment="1">
      <alignment horizontal="center" vertical="center"/>
    </xf>
    <xf numFmtId="9" fontId="90" fillId="0" borderId="0" xfId="3" applyFont="1" applyBorder="1" applyAlignment="1">
      <alignment horizontal="center" vertical="center"/>
    </xf>
    <xf numFmtId="189" fontId="17" fillId="0" borderId="0" xfId="4794" applyNumberFormat="1" applyFont="1" applyBorder="1" applyAlignment="1">
      <alignment horizontal="center" vertical="center"/>
    </xf>
    <xf numFmtId="0" fontId="39" fillId="4" borderId="0" xfId="0" applyFont="1" applyFill="1" applyAlignment="1">
      <alignment wrapText="1"/>
    </xf>
    <xf numFmtId="0" fontId="39" fillId="4" borderId="0" xfId="0" applyFont="1" applyFill="1" applyAlignment="1">
      <alignment horizontal="center" wrapText="1"/>
    </xf>
    <xf numFmtId="0" fontId="39" fillId="5" borderId="0" xfId="0" applyFont="1" applyFill="1" applyAlignment="1">
      <alignment horizontal="center" wrapText="1"/>
    </xf>
    <xf numFmtId="0" fontId="39" fillId="4" borderId="0" xfId="4778" applyFont="1" applyFill="1" applyAlignment="1">
      <alignment wrapText="1"/>
    </xf>
    <xf numFmtId="0" fontId="39" fillId="4" borderId="0" xfId="0" applyFont="1" applyFill="1" applyAlignment="1"/>
    <xf numFmtId="0" fontId="39" fillId="4" borderId="0" xfId="0" applyFont="1" applyFill="1" applyAlignment="1">
      <alignment horizontal="center"/>
    </xf>
    <xf numFmtId="0" fontId="39" fillId="5" borderId="0" xfId="0" applyFont="1" applyFill="1" applyAlignment="1">
      <alignment horizontal="center"/>
    </xf>
    <xf numFmtId="0" fontId="39" fillId="4" borderId="0" xfId="4778" applyFont="1" applyFill="1" applyAlignment="1"/>
    <xf numFmtId="0" fontId="113" fillId="0" borderId="0" xfId="0" applyFont="1" applyAlignment="1"/>
    <xf numFmtId="0" fontId="113" fillId="0" borderId="0" xfId="0" applyFont="1" applyAlignment="1">
      <alignment horizontal="center"/>
    </xf>
    <xf numFmtId="0" fontId="113" fillId="0" borderId="0" xfId="0" applyFont="1" applyFill="1" applyAlignment="1">
      <alignment horizontal="center" wrapText="1"/>
    </xf>
    <xf numFmtId="0" fontId="113" fillId="0" borderId="0" xfId="0" applyFont="1" applyAlignment="1">
      <alignment horizontal="center" wrapText="1"/>
    </xf>
    <xf numFmtId="2" fontId="113" fillId="0" borderId="0" xfId="0" applyNumberFormat="1" applyFont="1" applyAlignment="1">
      <alignment horizontal="center"/>
    </xf>
    <xf numFmtId="168" fontId="113" fillId="0" borderId="0" xfId="0" applyNumberFormat="1" applyFont="1" applyAlignment="1">
      <alignment horizontal="center"/>
    </xf>
    <xf numFmtId="9" fontId="113" fillId="0" borderId="0" xfId="4795" applyFont="1" applyAlignment="1">
      <alignment horizontal="center"/>
    </xf>
    <xf numFmtId="0" fontId="113" fillId="0" borderId="0" xfId="0" applyFont="1" applyAlignment="1">
      <alignment horizontal="left"/>
    </xf>
    <xf numFmtId="0" fontId="19" fillId="0" borderId="0" xfId="4778" applyFont="1" applyAlignment="1"/>
    <xf numFmtId="0" fontId="113" fillId="0" borderId="0" xfId="0" applyFont="1" applyFill="1" applyBorder="1" applyAlignment="1">
      <alignment horizontal="center" wrapText="1"/>
    </xf>
    <xf numFmtId="0" fontId="113" fillId="0" borderId="0" xfId="0" applyFont="1" applyBorder="1" applyAlignment="1">
      <alignment horizontal="center" wrapText="1"/>
    </xf>
    <xf numFmtId="0" fontId="113" fillId="0" borderId="0" xfId="0" applyFont="1" applyBorder="1" applyAlignment="1"/>
    <xf numFmtId="0" fontId="113" fillId="0" borderId="0" xfId="0" applyFont="1" applyBorder="1" applyAlignment="1">
      <alignment horizontal="center"/>
    </xf>
    <xf numFmtId="9" fontId="113" fillId="0" borderId="0" xfId="4795" applyFont="1" applyBorder="1" applyAlignment="1">
      <alignment horizontal="center"/>
    </xf>
    <xf numFmtId="0" fontId="113" fillId="0" borderId="0" xfId="0" applyFont="1" applyBorder="1" applyAlignment="1">
      <alignment horizontal="left"/>
    </xf>
    <xf numFmtId="0" fontId="19" fillId="0" borderId="0" xfId="4778" applyFont="1" applyBorder="1" applyAlignment="1"/>
    <xf numFmtId="0" fontId="19" fillId="0" borderId="0" xfId="4778" applyFont="1" applyAlignment="1">
      <alignment horizontal="center"/>
    </xf>
    <xf numFmtId="188" fontId="37" fillId="3" borderId="3" xfId="4053" applyNumberFormat="1" applyFont="1" applyFill="1" applyBorder="1" applyAlignment="1">
      <alignment horizontal="left" vertical="center" wrapText="1"/>
    </xf>
    <xf numFmtId="188" fontId="29" fillId="0" borderId="0" xfId="0" applyNumberFormat="1" applyFont="1" applyAlignment="1">
      <alignment vertical="center"/>
    </xf>
    <xf numFmtId="1" fontId="29" fillId="0" borderId="0" xfId="5010" applyNumberFormat="1" applyFont="1" applyFill="1" applyBorder="1" applyAlignment="1">
      <alignment horizontal="center" vertical="center"/>
    </xf>
    <xf numFmtId="2" fontId="29" fillId="0" borderId="0" xfId="5010" applyNumberFormat="1" applyFont="1" applyFill="1" applyBorder="1" applyAlignment="1">
      <alignment horizontal="center" vertical="center"/>
    </xf>
    <xf numFmtId="9" fontId="29" fillId="0" borderId="0" xfId="3" applyFont="1" applyFill="1" applyBorder="1" applyAlignment="1">
      <alignment horizontal="center" vertical="center"/>
    </xf>
    <xf numFmtId="2" fontId="29" fillId="0" borderId="0" xfId="5010" applyNumberFormat="1" applyFont="1" applyFill="1" applyBorder="1" applyAlignment="1">
      <alignment horizontal="left" vertical="center"/>
    </xf>
    <xf numFmtId="0" fontId="0" fillId="0" borderId="0" xfId="0"/>
    <xf numFmtId="0" fontId="15" fillId="0" borderId="0" xfId="5966" applyAlignment="1">
      <alignment vertical="center" wrapText="1"/>
    </xf>
    <xf numFmtId="0" fontId="15" fillId="0" borderId="0" xfId="5966" applyAlignment="1">
      <alignment horizontal="left" vertical="top"/>
    </xf>
    <xf numFmtId="189" fontId="15" fillId="0" borderId="0" xfId="5966" applyNumberFormat="1"/>
    <xf numFmtId="0" fontId="15" fillId="0" borderId="0" xfId="5966"/>
    <xf numFmtId="0" fontId="0" fillId="0" borderId="0" xfId="0"/>
    <xf numFmtId="0" fontId="15" fillId="0" borderId="0" xfId="5967" applyAlignment="1">
      <alignment vertical="center" wrapText="1"/>
    </xf>
    <xf numFmtId="0" fontId="15" fillId="0" borderId="0" xfId="5967" applyAlignment="1">
      <alignment horizontal="left" vertical="top"/>
    </xf>
    <xf numFmtId="189" fontId="15" fillId="0" borderId="0" xfId="5967" applyNumberFormat="1"/>
    <xf numFmtId="0" fontId="15" fillId="0" borderId="0" xfId="5967"/>
    <xf numFmtId="0" fontId="13" fillId="0" borderId="0" xfId="7101"/>
    <xf numFmtId="0" fontId="13" fillId="0" borderId="0" xfId="7101"/>
    <xf numFmtId="0" fontId="0" fillId="0" borderId="0" xfId="0"/>
    <xf numFmtId="0" fontId="0" fillId="0" borderId="0" xfId="0" applyAlignment="1">
      <alignment vertical="center"/>
    </xf>
    <xf numFmtId="1" fontId="0" fillId="0" borderId="0" xfId="0" applyNumberFormat="1"/>
    <xf numFmtId="168" fontId="0" fillId="52" borderId="4" xfId="0" applyNumberFormat="1" applyFill="1" applyBorder="1" applyAlignment="1">
      <alignment horizontal="center"/>
    </xf>
    <xf numFmtId="0" fontId="37" fillId="3" borderId="37" xfId="4053" applyFont="1" applyFill="1" applyBorder="1" applyAlignment="1">
      <alignment horizontal="center" vertical="center" wrapText="1"/>
    </xf>
    <xf numFmtId="0" fontId="0" fillId="0" borderId="0" xfId="0" applyFill="1" applyAlignment="1">
      <alignment horizontal="center" vertical="center"/>
    </xf>
    <xf numFmtId="0" fontId="34" fillId="2" borderId="1" xfId="7711" applyFont="1" applyFill="1" applyBorder="1" applyAlignment="1">
      <alignment horizontal="center" vertical="center" wrapText="1"/>
    </xf>
    <xf numFmtId="0" fontId="37" fillId="3" borderId="1" xfId="4053" applyFont="1" applyFill="1" applyBorder="1" applyAlignment="1">
      <alignment horizontal="left" vertical="center" wrapText="1"/>
    </xf>
    <xf numFmtId="0" fontId="37" fillId="3" borderId="1" xfId="4053" applyFont="1" applyFill="1" applyBorder="1" applyAlignment="1">
      <alignment horizontal="center" vertical="center" wrapText="1"/>
    </xf>
    <xf numFmtId="0" fontId="0" fillId="0" borderId="0" xfId="0" applyFill="1"/>
    <xf numFmtId="188" fontId="37" fillId="3" borderId="1" xfId="4053" applyNumberFormat="1" applyFont="1" applyFill="1" applyBorder="1" applyAlignment="1">
      <alignment horizontal="left" vertical="center" wrapText="1"/>
    </xf>
    <xf numFmtId="188" fontId="29" fillId="0" borderId="0" xfId="7711" applyNumberFormat="1" applyFont="1" applyFill="1" applyAlignment="1">
      <alignment vertical="center"/>
    </xf>
    <xf numFmtId="0" fontId="122" fillId="56" borderId="44" xfId="0" applyFont="1" applyFill="1" applyBorder="1" applyAlignment="1">
      <alignment vertical="center"/>
    </xf>
    <xf numFmtId="0" fontId="123" fillId="56" borderId="45" xfId="0" applyFont="1" applyFill="1" applyBorder="1" applyAlignment="1">
      <alignment horizontal="center" vertical="center"/>
    </xf>
    <xf numFmtId="0" fontId="123" fillId="56" borderId="49" xfId="0" applyFont="1" applyFill="1" applyBorder="1" applyAlignment="1">
      <alignment vertical="center"/>
    </xf>
    <xf numFmtId="0" fontId="125" fillId="57" borderId="50" xfId="0" applyFont="1" applyFill="1" applyBorder="1" applyAlignment="1">
      <alignment horizontal="center" vertical="center"/>
    </xf>
    <xf numFmtId="0" fontId="126" fillId="57" borderId="50" xfId="0" applyFont="1" applyFill="1" applyBorder="1" applyAlignment="1">
      <alignment horizontal="center" vertical="center"/>
    </xf>
    <xf numFmtId="0" fontId="125" fillId="58" borderId="51" xfId="0" applyFont="1" applyFill="1" applyBorder="1" applyAlignment="1">
      <alignment horizontal="center" vertical="center"/>
    </xf>
    <xf numFmtId="0" fontId="126" fillId="58" borderId="51" xfId="0" applyFont="1" applyFill="1" applyBorder="1" applyAlignment="1">
      <alignment horizontal="center" vertical="center"/>
    </xf>
    <xf numFmtId="0" fontId="125" fillId="57" borderId="51" xfId="0" applyFont="1" applyFill="1" applyBorder="1" applyAlignment="1">
      <alignment horizontal="center" vertical="center"/>
    </xf>
    <xf numFmtId="0" fontId="126" fillId="57" borderId="51" xfId="0" applyFont="1" applyFill="1" applyBorder="1" applyAlignment="1">
      <alignment horizontal="center" vertical="center"/>
    </xf>
    <xf numFmtId="0" fontId="125" fillId="59" borderId="51" xfId="0" applyFont="1" applyFill="1" applyBorder="1" applyAlignment="1">
      <alignment horizontal="center" vertical="center"/>
    </xf>
    <xf numFmtId="0" fontId="126" fillId="59" borderId="51" xfId="0" applyFont="1" applyFill="1" applyBorder="1" applyAlignment="1">
      <alignment horizontal="center" vertical="center"/>
    </xf>
    <xf numFmtId="0" fontId="126" fillId="0" borderId="55" xfId="0" applyFont="1" applyFill="1" applyBorder="1" applyAlignment="1">
      <alignment horizontal="left" vertical="center"/>
    </xf>
    <xf numFmtId="0" fontId="123" fillId="56" borderId="56" xfId="0" applyFont="1" applyFill="1" applyBorder="1" applyAlignment="1">
      <alignment vertical="center"/>
    </xf>
    <xf numFmtId="190" fontId="29" fillId="0" borderId="0" xfId="4" applyNumberFormat="1" applyFont="1" applyFill="1" applyBorder="1" applyAlignment="1">
      <alignment horizontal="center" vertical="center"/>
    </xf>
    <xf numFmtId="0" fontId="0" fillId="60" borderId="0" xfId="0" applyFill="1"/>
    <xf numFmtId="0" fontId="17" fillId="60" borderId="0" xfId="4794" applyFont="1" applyFill="1" applyBorder="1" applyAlignment="1">
      <alignment horizontal="center" vertical="center"/>
    </xf>
    <xf numFmtId="0" fontId="13" fillId="60" borderId="31" xfId="7101" applyFill="1" applyBorder="1"/>
    <xf numFmtId="0" fontId="13" fillId="60" borderId="57" xfId="7101" applyFill="1" applyBorder="1"/>
    <xf numFmtId="0" fontId="40" fillId="60" borderId="57" xfId="7101" applyFont="1" applyFill="1" applyBorder="1"/>
    <xf numFmtId="0" fontId="34" fillId="60" borderId="57" xfId="0" applyFont="1" applyFill="1" applyBorder="1"/>
    <xf numFmtId="0" fontId="0" fillId="60" borderId="32" xfId="0" applyFill="1" applyBorder="1"/>
    <xf numFmtId="0" fontId="17" fillId="60" borderId="33" xfId="4794" applyFont="1" applyFill="1" applyBorder="1" applyAlignment="1">
      <alignment horizontal="center" vertical="center"/>
    </xf>
    <xf numFmtId="0" fontId="0" fillId="60" borderId="0" xfId="0" applyFill="1" applyBorder="1"/>
    <xf numFmtId="0" fontId="0" fillId="60" borderId="34" xfId="0" applyFill="1" applyBorder="1"/>
    <xf numFmtId="0" fontId="13" fillId="60" borderId="33" xfId="7101" applyFill="1" applyBorder="1"/>
    <xf numFmtId="0" fontId="13" fillId="60" borderId="0" xfId="7101" applyFill="1" applyBorder="1"/>
    <xf numFmtId="0" fontId="0" fillId="60" borderId="35" xfId="0" applyFill="1" applyBorder="1"/>
    <xf numFmtId="0" fontId="0" fillId="60" borderId="3" xfId="0" applyFill="1" applyBorder="1"/>
    <xf numFmtId="0" fontId="0" fillId="60" borderId="36" xfId="0" applyFill="1" applyBorder="1"/>
    <xf numFmtId="0" fontId="40" fillId="60" borderId="33" xfId="7101" applyFont="1" applyFill="1" applyBorder="1"/>
    <xf numFmtId="0" fontId="40" fillId="60" borderId="0" xfId="7101" applyFont="1" applyFill="1" applyBorder="1"/>
    <xf numFmtId="0" fontId="0" fillId="61" borderId="0" xfId="0" applyFill="1"/>
    <xf numFmtId="0" fontId="0" fillId="61" borderId="38" xfId="0" applyFill="1" applyBorder="1" applyAlignment="1"/>
    <xf numFmtId="0" fontId="0" fillId="61" borderId="2" xfId="0" applyFill="1" applyBorder="1" applyAlignment="1"/>
    <xf numFmtId="0" fontId="0" fillId="61" borderId="39" xfId="0" applyFill="1" applyBorder="1" applyAlignment="1"/>
    <xf numFmtId="0" fontId="0" fillId="61" borderId="40" xfId="0" applyFill="1" applyBorder="1"/>
    <xf numFmtId="0" fontId="0" fillId="61" borderId="0" xfId="0" applyFill="1" applyBorder="1"/>
    <xf numFmtId="0" fontId="0" fillId="61" borderId="41" xfId="0" applyFill="1" applyBorder="1"/>
    <xf numFmtId="0" fontId="0" fillId="61" borderId="40" xfId="0" applyFill="1" applyBorder="1" applyAlignment="1">
      <alignment horizontal="right"/>
    </xf>
    <xf numFmtId="0" fontId="0" fillId="61" borderId="0" xfId="0" applyFill="1" applyBorder="1" applyAlignment="1">
      <alignment horizontal="right"/>
    </xf>
    <xf numFmtId="0" fontId="0" fillId="61" borderId="41" xfId="0" applyFill="1" applyBorder="1" applyAlignment="1">
      <alignment horizontal="right"/>
    </xf>
    <xf numFmtId="1" fontId="0" fillId="61" borderId="40" xfId="0" applyNumberFormat="1" applyFill="1" applyBorder="1"/>
    <xf numFmtId="1" fontId="0" fillId="61" borderId="42" xfId="0" applyNumberFormat="1" applyFill="1" applyBorder="1"/>
    <xf numFmtId="1" fontId="0" fillId="61" borderId="4" xfId="0" applyNumberFormat="1" applyFill="1" applyBorder="1"/>
    <xf numFmtId="168" fontId="0" fillId="61" borderId="4" xfId="0" applyNumberFormat="1" applyFill="1" applyBorder="1"/>
    <xf numFmtId="0" fontId="0" fillId="61" borderId="43" xfId="0" applyFill="1" applyBorder="1" applyAlignment="1">
      <alignment horizontal="right"/>
    </xf>
    <xf numFmtId="0" fontId="29" fillId="61" borderId="13" xfId="4796" applyFont="1" applyFill="1" applyBorder="1" applyAlignment="1">
      <alignment horizontal="left"/>
    </xf>
    <xf numFmtId="0" fontId="29" fillId="61" borderId="13" xfId="4796" applyFont="1" applyFill="1" applyBorder="1" applyAlignment="1">
      <alignment horizontal="center" vertical="center" wrapText="1"/>
    </xf>
    <xf numFmtId="0" fontId="0" fillId="61" borderId="0" xfId="0" applyFill="1" applyAlignment="1">
      <alignment wrapText="1"/>
    </xf>
    <xf numFmtId="0" fontId="116" fillId="61" borderId="0" xfId="0" applyFont="1" applyFill="1"/>
    <xf numFmtId="0" fontId="117" fillId="61" borderId="0" xfId="0" applyFont="1" applyFill="1"/>
    <xf numFmtId="0" fontId="117" fillId="61" borderId="0" xfId="0" applyFont="1" applyFill="1" applyAlignment="1">
      <alignment wrapText="1"/>
    </xf>
    <xf numFmtId="0" fontId="29" fillId="61" borderId="13" xfId="4796" applyFont="1" applyFill="1" applyBorder="1" applyAlignment="1">
      <alignment horizontal="left" wrapText="1"/>
    </xf>
    <xf numFmtId="189" fontId="29" fillId="61" borderId="13" xfId="4796" applyNumberFormat="1" applyFont="1" applyFill="1" applyBorder="1" applyAlignment="1">
      <alignment horizontal="center" vertical="center" wrapText="1"/>
    </xf>
    <xf numFmtId="0" fontId="29" fillId="61" borderId="13" xfId="4796" applyFont="1" applyFill="1" applyBorder="1" applyAlignment="1">
      <alignment horizontal="right" vertical="center" wrapText="1"/>
    </xf>
    <xf numFmtId="0" fontId="0" fillId="61" borderId="0" xfId="0" applyFill="1" applyAlignment="1"/>
    <xf numFmtId="168" fontId="0" fillId="61" borderId="0" xfId="0" applyNumberFormat="1" applyFill="1"/>
    <xf numFmtId="1" fontId="116" fillId="61" borderId="0" xfId="0" applyNumberFormat="1" applyFont="1" applyFill="1"/>
    <xf numFmtId="0" fontId="117" fillId="61" borderId="0" xfId="0" applyFont="1" applyFill="1" applyAlignment="1">
      <alignment horizontal="left"/>
    </xf>
    <xf numFmtId="0" fontId="118" fillId="61" borderId="0" xfId="0" applyFont="1" applyFill="1"/>
    <xf numFmtId="1" fontId="0" fillId="61" borderId="0" xfId="0" applyNumberFormat="1" applyFill="1"/>
    <xf numFmtId="2" fontId="0" fillId="61" borderId="0" xfId="0" applyNumberFormat="1" applyFill="1"/>
    <xf numFmtId="2" fontId="128" fillId="60" borderId="0" xfId="0" applyNumberFormat="1" applyFont="1" applyFill="1"/>
    <xf numFmtId="0" fontId="29" fillId="55" borderId="0" xfId="0" applyFont="1" applyFill="1"/>
    <xf numFmtId="0" fontId="0" fillId="55" borderId="0" xfId="0" applyFill="1"/>
    <xf numFmtId="0" fontId="34" fillId="2" borderId="1" xfId="15529" applyFont="1" applyFill="1" applyBorder="1" applyAlignment="1">
      <alignment horizontal="center" vertical="center" wrapText="1"/>
    </xf>
    <xf numFmtId="0" fontId="113" fillId="60" borderId="0" xfId="0" applyFont="1" applyFill="1" applyAlignment="1"/>
    <xf numFmtId="0" fontId="19" fillId="60" borderId="0" xfId="4778" applyFont="1" applyFill="1" applyAlignment="1"/>
    <xf numFmtId="0" fontId="9" fillId="0" borderId="0" xfId="4778" applyFont="1" applyAlignment="1"/>
    <xf numFmtId="0" fontId="113" fillId="62" borderId="0" xfId="0" applyFont="1" applyFill="1" applyAlignment="1"/>
    <xf numFmtId="0" fontId="19" fillId="62" borderId="0" xfId="4778" applyFont="1" applyFill="1" applyAlignment="1"/>
    <xf numFmtId="2" fontId="113" fillId="60" borderId="0" xfId="0" applyNumberFormat="1" applyFont="1" applyFill="1" applyAlignment="1">
      <alignment horizontal="center"/>
    </xf>
    <xf numFmtId="0" fontId="9" fillId="0" borderId="0" xfId="4778" applyFont="1" applyBorder="1" applyAlignment="1"/>
    <xf numFmtId="0" fontId="19" fillId="63" borderId="0" xfId="4778" applyFont="1" applyFill="1" applyAlignment="1"/>
    <xf numFmtId="188" fontId="29" fillId="0" borderId="2" xfId="0" applyNumberFormat="1" applyFont="1" applyFill="1" applyBorder="1" applyAlignment="1">
      <alignment vertical="center"/>
    </xf>
    <xf numFmtId="0" fontId="37" fillId="3" borderId="2" xfId="1" applyFont="1" applyFill="1" applyBorder="1" applyAlignment="1">
      <alignment horizontal="left" vertical="center" wrapText="1"/>
    </xf>
    <xf numFmtId="0" fontId="37" fillId="3" borderId="2" xfId="1" applyFont="1" applyFill="1" applyBorder="1" applyAlignment="1">
      <alignment horizontal="center" vertical="center" wrapText="1"/>
    </xf>
    <xf numFmtId="188" fontId="0" fillId="62" borderId="0" xfId="0" applyNumberFormat="1" applyFill="1" applyBorder="1" applyAlignment="1">
      <alignment vertical="center"/>
    </xf>
    <xf numFmtId="0" fontId="0" fillId="62" borderId="0" xfId="0" applyFill="1" applyBorder="1" applyAlignment="1">
      <alignment vertical="center"/>
    </xf>
    <xf numFmtId="0" fontId="29" fillId="62" borderId="0" xfId="0" applyFont="1" applyFill="1" applyBorder="1" applyAlignment="1">
      <alignment vertical="center"/>
    </xf>
    <xf numFmtId="0" fontId="0" fillId="62" borderId="0" xfId="0" applyFill="1" applyBorder="1" applyAlignment="1">
      <alignment horizontal="center" vertical="center"/>
    </xf>
    <xf numFmtId="9" fontId="0" fillId="62" borderId="0" xfId="0" applyNumberFormat="1" applyFill="1" applyBorder="1" applyAlignment="1">
      <alignment horizontal="center" vertical="center"/>
    </xf>
    <xf numFmtId="168" fontId="0" fillId="62" borderId="0" xfId="0" applyNumberFormat="1" applyFill="1" applyBorder="1" applyAlignment="1">
      <alignment horizontal="center" vertical="center"/>
    </xf>
    <xf numFmtId="2" fontId="0" fillId="62" borderId="0" xfId="0" applyNumberFormat="1" applyFill="1" applyBorder="1" applyAlignment="1">
      <alignment horizontal="center" vertical="center"/>
    </xf>
    <xf numFmtId="1" fontId="0" fillId="62" borderId="0" xfId="0" applyNumberFormat="1" applyFill="1" applyBorder="1" applyAlignment="1">
      <alignment horizontal="center" vertical="center"/>
    </xf>
    <xf numFmtId="168" fontId="0" fillId="62" borderId="0" xfId="0" applyNumberFormat="1" applyFill="1" applyBorder="1" applyAlignment="1">
      <alignment vertical="center"/>
    </xf>
    <xf numFmtId="168" fontId="0" fillId="62" borderId="0" xfId="0" applyNumberFormat="1" applyFill="1" applyBorder="1"/>
    <xf numFmtId="0" fontId="0" fillId="62" borderId="0" xfId="0" applyFill="1" applyBorder="1"/>
    <xf numFmtId="188" fontId="29" fillId="62" borderId="0" xfId="0" applyNumberFormat="1" applyFont="1" applyFill="1" applyBorder="1" applyAlignment="1">
      <alignment vertical="center"/>
    </xf>
    <xf numFmtId="0" fontId="0" fillId="62" borderId="4" xfId="0" applyFill="1" applyBorder="1" applyAlignment="1">
      <alignment vertical="center"/>
    </xf>
    <xf numFmtId="188" fontId="29" fillId="62" borderId="4" xfId="0" applyNumberFormat="1" applyFont="1" applyFill="1" applyBorder="1" applyAlignment="1">
      <alignment vertical="center"/>
    </xf>
    <xf numFmtId="168" fontId="0" fillId="0" borderId="0" xfId="0" applyNumberFormat="1" applyFill="1" applyBorder="1" applyAlignment="1">
      <alignment horizontal="center"/>
    </xf>
    <xf numFmtId="1" fontId="0" fillId="0" borderId="0" xfId="0" applyNumberFormat="1" applyFill="1" applyBorder="1" applyAlignment="1">
      <alignment horizontal="center"/>
    </xf>
    <xf numFmtId="168" fontId="0" fillId="0" borderId="4" xfId="0" applyNumberFormat="1" applyFill="1" applyBorder="1" applyAlignment="1">
      <alignment horizontal="center"/>
    </xf>
    <xf numFmtId="1" fontId="0" fillId="0" borderId="4" xfId="0" applyNumberFormat="1" applyFill="1" applyBorder="1" applyAlignment="1">
      <alignment horizontal="center"/>
    </xf>
    <xf numFmtId="0" fontId="0" fillId="0" borderId="0" xfId="0" applyAlignment="1">
      <alignment horizontal="center" vertical="center"/>
    </xf>
    <xf numFmtId="0" fontId="31" fillId="0" borderId="0" xfId="0" applyFont="1" applyAlignment="1">
      <alignment horizontal="center" vertical="center"/>
    </xf>
    <xf numFmtId="188" fontId="0" fillId="0" borderId="0" xfId="0" applyNumberFormat="1" applyAlignment="1">
      <alignment horizontal="center" vertical="center"/>
    </xf>
    <xf numFmtId="188" fontId="34" fillId="2" borderId="1" xfId="0" applyNumberFormat="1" applyFont="1" applyFill="1" applyBorder="1" applyAlignment="1">
      <alignment horizontal="center" vertical="center"/>
    </xf>
    <xf numFmtId="188" fontId="37" fillId="3" borderId="1" xfId="1" applyNumberFormat="1" applyFont="1" applyFill="1" applyBorder="1" applyAlignment="1">
      <alignment horizontal="center" vertical="center" wrapText="1"/>
    </xf>
    <xf numFmtId="0" fontId="0" fillId="62" borderId="4" xfId="0" applyFill="1" applyBorder="1" applyAlignment="1">
      <alignment horizontal="center" vertical="center"/>
    </xf>
    <xf numFmtId="168" fontId="0" fillId="62" borderId="4" xfId="0" applyNumberFormat="1" applyFill="1" applyBorder="1" applyAlignment="1">
      <alignment vertical="center"/>
    </xf>
    <xf numFmtId="168" fontId="0" fillId="62" borderId="4" xfId="0" applyNumberFormat="1" applyFill="1" applyBorder="1"/>
    <xf numFmtId="0" fontId="0" fillId="62" borderId="4" xfId="0" applyFill="1" applyBorder="1"/>
    <xf numFmtId="168" fontId="113" fillId="60" borderId="0" xfId="0" applyNumberFormat="1" applyFont="1" applyFill="1" applyBorder="1" applyAlignment="1">
      <alignment horizontal="center"/>
    </xf>
    <xf numFmtId="0" fontId="19" fillId="53" borderId="0" xfId="4778" applyFont="1" applyFill="1" applyBorder="1" applyAlignment="1">
      <alignment horizontal="center"/>
    </xf>
    <xf numFmtId="0" fontId="131" fillId="64" borderId="0" xfId="0" applyFont="1" applyFill="1" applyAlignment="1">
      <alignment vertical="center"/>
    </xf>
    <xf numFmtId="0" fontId="29" fillId="0" borderId="4" xfId="0" applyFont="1" applyFill="1" applyBorder="1" applyAlignment="1">
      <alignment vertical="center"/>
    </xf>
    <xf numFmtId="0" fontId="17" fillId="62" borderId="0" xfId="4794" applyFont="1" applyFill="1" applyBorder="1" applyAlignment="1">
      <alignment vertical="center"/>
    </xf>
    <xf numFmtId="0" fontId="17" fillId="60" borderId="0" xfId="4794" applyFont="1" applyFill="1" applyBorder="1" applyAlignment="1">
      <alignment vertical="center"/>
    </xf>
    <xf numFmtId="168" fontId="13" fillId="0" borderId="0" xfId="7101" applyNumberFormat="1"/>
    <xf numFmtId="0" fontId="8" fillId="0" borderId="0" xfId="4794" applyFont="1" applyBorder="1" applyAlignment="1">
      <alignment vertical="center"/>
    </xf>
    <xf numFmtId="0" fontId="8" fillId="53" borderId="0" xfId="4794" applyFont="1" applyFill="1" applyBorder="1" applyAlignment="1">
      <alignment vertical="center"/>
    </xf>
    <xf numFmtId="0" fontId="17" fillId="62" borderId="0" xfId="4794" applyFont="1" applyFill="1" applyAlignment="1">
      <alignment vertical="center"/>
    </xf>
    <xf numFmtId="0" fontId="17" fillId="60" borderId="0" xfId="4794" applyFont="1" applyFill="1" applyAlignment="1">
      <alignment vertical="center"/>
    </xf>
    <xf numFmtId="0" fontId="8" fillId="0" borderId="0" xfId="4794" applyFont="1" applyBorder="1" applyAlignment="1">
      <alignment horizontal="center" vertical="center" wrapText="1"/>
    </xf>
    <xf numFmtId="0" fontId="8" fillId="60" borderId="0" xfId="4794" applyFont="1" applyFill="1" applyBorder="1" applyAlignment="1">
      <alignment vertical="center"/>
    </xf>
    <xf numFmtId="0" fontId="17" fillId="53" borderId="0" xfId="4794" applyFont="1" applyFill="1" applyBorder="1" applyAlignment="1">
      <alignment vertical="center"/>
    </xf>
    <xf numFmtId="0" fontId="40" fillId="0" borderId="0" xfId="7101" applyFont="1"/>
    <xf numFmtId="2" fontId="13" fillId="60" borderId="0" xfId="7101" applyNumberFormat="1" applyFill="1"/>
    <xf numFmtId="168" fontId="13" fillId="62" borderId="0" xfId="7101" applyNumberFormat="1" applyFill="1"/>
    <xf numFmtId="0" fontId="8" fillId="0" borderId="0" xfId="4794" applyFont="1" applyBorder="1" applyAlignment="1">
      <alignment horizontal="center" vertical="center"/>
    </xf>
    <xf numFmtId="0" fontId="8" fillId="53" borderId="0" xfId="4794" applyFont="1" applyFill="1" applyBorder="1" applyAlignment="1">
      <alignment horizontal="left" vertical="center"/>
    </xf>
    <xf numFmtId="0" fontId="17" fillId="53" borderId="0" xfId="4794" applyFont="1" applyFill="1" applyBorder="1" applyAlignment="1">
      <alignment horizontal="center" vertical="center"/>
    </xf>
    <xf numFmtId="168" fontId="8" fillId="0" borderId="0" xfId="4794" applyNumberFormat="1" applyFont="1" applyBorder="1" applyAlignment="1">
      <alignment horizontal="center" vertical="center"/>
    </xf>
    <xf numFmtId="189" fontId="8" fillId="0" borderId="0" xfId="4794" applyNumberFormat="1" applyFont="1" applyBorder="1" applyAlignment="1">
      <alignment horizontal="center" vertical="center"/>
    </xf>
    <xf numFmtId="0" fontId="8" fillId="0" borderId="0" xfId="4794" applyFont="1" applyBorder="1" applyAlignment="1">
      <alignment horizontal="right" vertical="center"/>
    </xf>
    <xf numFmtId="188" fontId="29" fillId="0" borderId="4" xfId="0" applyNumberFormat="1" applyFont="1" applyFill="1" applyBorder="1"/>
    <xf numFmtId="188" fontId="0" fillId="0" borderId="4" xfId="0" applyNumberFormat="1" applyFill="1" applyBorder="1"/>
    <xf numFmtId="0" fontId="0" fillId="0" borderId="4" xfId="0" applyNumberFormat="1" applyFill="1" applyBorder="1" applyAlignment="1">
      <alignment horizontal="center"/>
    </xf>
    <xf numFmtId="9" fontId="0" fillId="0" borderId="4" xfId="3" applyFont="1" applyFill="1" applyBorder="1" applyAlignment="1">
      <alignment horizontal="center"/>
    </xf>
    <xf numFmtId="0" fontId="0" fillId="0" borderId="4" xfId="0" applyFill="1" applyBorder="1"/>
    <xf numFmtId="0" fontId="29" fillId="0" borderId="0" xfId="0" applyFont="1" applyFill="1"/>
    <xf numFmtId="188" fontId="0" fillId="0" borderId="0" xfId="0" applyNumberFormat="1" applyBorder="1"/>
    <xf numFmtId="1" fontId="0" fillId="0" borderId="0" xfId="0" applyNumberFormat="1" applyBorder="1" applyAlignment="1">
      <alignment horizontal="center"/>
    </xf>
    <xf numFmtId="9" fontId="0" fillId="0" borderId="0" xfId="3" applyFont="1" applyBorder="1" applyAlignment="1">
      <alignment horizontal="center"/>
    </xf>
    <xf numFmtId="168" fontId="0" fillId="0" borderId="0" xfId="0" applyNumberFormat="1" applyBorder="1" applyAlignment="1">
      <alignment horizontal="center"/>
    </xf>
    <xf numFmtId="188" fontId="29" fillId="0" borderId="0" xfId="0" applyNumberFormat="1" applyFont="1" applyBorder="1"/>
    <xf numFmtId="2" fontId="0" fillId="0" borderId="0" xfId="0" applyNumberFormat="1" applyBorder="1" applyAlignment="1">
      <alignment horizontal="center"/>
    </xf>
    <xf numFmtId="189" fontId="0" fillId="0" borderId="0" xfId="0" applyNumberFormat="1" applyBorder="1" applyAlignment="1">
      <alignment horizontal="center"/>
    </xf>
    <xf numFmtId="0" fontId="0" fillId="0" borderId="0" xfId="0" applyNumberFormat="1" applyBorder="1" applyAlignment="1">
      <alignment horizontal="center"/>
    </xf>
    <xf numFmtId="188" fontId="0" fillId="52" borderId="0" xfId="0" applyNumberFormat="1" applyFill="1" applyBorder="1"/>
    <xf numFmtId="0" fontId="0" fillId="52" borderId="0" xfId="0" applyFill="1" applyBorder="1"/>
    <xf numFmtId="1" fontId="0" fillId="52" borderId="0" xfId="0" applyNumberFormat="1" applyFill="1" applyBorder="1" applyAlignment="1">
      <alignment horizontal="center"/>
    </xf>
    <xf numFmtId="0" fontId="0" fillId="52" borderId="0" xfId="0" applyNumberFormat="1" applyFill="1" applyBorder="1" applyAlignment="1">
      <alignment horizontal="center"/>
    </xf>
    <xf numFmtId="9" fontId="0" fillId="52" borderId="0" xfId="3" applyFont="1" applyFill="1" applyBorder="1" applyAlignment="1">
      <alignment horizontal="center"/>
    </xf>
    <xf numFmtId="168" fontId="0" fillId="52" borderId="0" xfId="0" applyNumberFormat="1" applyFill="1" applyBorder="1" applyAlignment="1">
      <alignment horizontal="center"/>
    </xf>
    <xf numFmtId="0" fontId="0" fillId="52" borderId="0" xfId="0" applyFill="1" applyBorder="1" applyAlignment="1">
      <alignment horizontal="center"/>
    </xf>
    <xf numFmtId="188" fontId="29" fillId="52" borderId="0" xfId="0" applyNumberFormat="1" applyFont="1" applyFill="1" applyBorder="1"/>
    <xf numFmtId="2" fontId="0" fillId="52" borderId="0" xfId="0" applyNumberFormat="1" applyFill="1" applyBorder="1" applyAlignment="1">
      <alignment horizontal="center"/>
    </xf>
    <xf numFmtId="189" fontId="0" fillId="52" borderId="0" xfId="0" applyNumberFormat="1" applyFill="1" applyBorder="1" applyAlignment="1">
      <alignment horizontal="center"/>
    </xf>
    <xf numFmtId="188" fontId="0" fillId="0" borderId="0" xfId="0" applyNumberFormat="1" applyFill="1" applyBorder="1"/>
    <xf numFmtId="0" fontId="0" fillId="0" borderId="0" xfId="0" applyNumberFormat="1" applyFill="1" applyBorder="1" applyAlignment="1">
      <alignment horizontal="center"/>
    </xf>
    <xf numFmtId="9" fontId="0" fillId="0" borderId="0" xfId="3" applyFont="1" applyFill="1" applyBorder="1" applyAlignment="1">
      <alignment horizontal="center"/>
    </xf>
    <xf numFmtId="0" fontId="0" fillId="0" borderId="0" xfId="0" applyFill="1" applyBorder="1" applyAlignment="1">
      <alignment horizontal="center"/>
    </xf>
    <xf numFmtId="2" fontId="0" fillId="0" borderId="0" xfId="0" applyNumberFormat="1" applyFill="1" applyBorder="1" applyAlignment="1">
      <alignment horizontal="center"/>
    </xf>
    <xf numFmtId="188" fontId="29" fillId="0" borderId="0" xfId="0" applyNumberFormat="1" applyFont="1" applyFill="1" applyBorder="1"/>
    <xf numFmtId="0" fontId="0" fillId="52" borderId="0" xfId="0" applyNumberFormat="1" applyFill="1" applyBorder="1"/>
    <xf numFmtId="1" fontId="0" fillId="52" borderId="0" xfId="0" applyNumberFormat="1" applyFill="1" applyBorder="1"/>
    <xf numFmtId="188" fontId="29" fillId="52" borderId="4" xfId="0" applyNumberFormat="1" applyFont="1" applyFill="1" applyBorder="1"/>
    <xf numFmtId="0" fontId="17" fillId="0" borderId="4" xfId="4794" applyFont="1" applyBorder="1" applyAlignment="1">
      <alignment vertical="center"/>
    </xf>
    <xf numFmtId="0" fontId="119" fillId="0" borderId="4" xfId="4794" applyFont="1" applyBorder="1" applyAlignment="1">
      <alignment horizontal="center" vertical="center"/>
    </xf>
    <xf numFmtId="0" fontId="17" fillId="0" borderId="4" xfId="4794" applyFont="1" applyBorder="1" applyAlignment="1">
      <alignment horizontal="center" vertical="center"/>
    </xf>
    <xf numFmtId="0" fontId="17" fillId="0" borderId="4" xfId="4794" applyFont="1" applyFill="1" applyBorder="1" applyAlignment="1">
      <alignment horizontal="center" vertical="center" wrapText="1"/>
    </xf>
    <xf numFmtId="0" fontId="17" fillId="0" borderId="4" xfId="4794" applyFont="1" applyBorder="1" applyAlignment="1">
      <alignment horizontal="center" vertical="center" wrapText="1"/>
    </xf>
    <xf numFmtId="168" fontId="8" fillId="0" borderId="4" xfId="4794" applyNumberFormat="1" applyFont="1" applyBorder="1" applyAlignment="1">
      <alignment horizontal="center" vertical="center"/>
    </xf>
    <xf numFmtId="0" fontId="17" fillId="60" borderId="4" xfId="4794" applyFont="1" applyFill="1" applyBorder="1" applyAlignment="1">
      <alignment vertical="center"/>
    </xf>
    <xf numFmtId="0" fontId="119" fillId="0" borderId="4" xfId="4794" applyFont="1" applyFill="1" applyBorder="1" applyAlignment="1">
      <alignment horizontal="center" vertical="center"/>
    </xf>
    <xf numFmtId="189" fontId="17" fillId="0" borderId="4" xfId="4794" applyNumberFormat="1" applyFont="1" applyBorder="1" applyAlignment="1">
      <alignment horizontal="center" vertical="center"/>
    </xf>
    <xf numFmtId="9" fontId="90" fillId="0" borderId="4" xfId="3" applyFont="1" applyBorder="1" applyAlignment="1">
      <alignment horizontal="center" vertical="center"/>
    </xf>
    <xf numFmtId="191" fontId="119" fillId="0" borderId="0" xfId="4794" applyNumberFormat="1" applyFont="1" applyBorder="1" applyAlignment="1">
      <alignment horizontal="center" vertical="center"/>
    </xf>
    <xf numFmtId="2" fontId="17" fillId="53" borderId="0" xfId="4794" applyNumberFormat="1" applyFont="1" applyFill="1" applyBorder="1" applyAlignment="1">
      <alignment horizontal="right" vertical="center"/>
    </xf>
    <xf numFmtId="0" fontId="17" fillId="0" borderId="0" xfId="4794" applyFont="1" applyBorder="1" applyAlignment="1">
      <alignment horizontal="right" vertical="center"/>
    </xf>
    <xf numFmtId="0" fontId="17" fillId="53" borderId="0" xfId="4794" applyFont="1" applyFill="1" applyBorder="1" applyAlignment="1">
      <alignment horizontal="right" vertical="center"/>
    </xf>
    <xf numFmtId="0" fontId="8" fillId="60" borderId="4" xfId="4794" applyFont="1" applyFill="1" applyBorder="1" applyAlignment="1">
      <alignment vertical="center"/>
    </xf>
    <xf numFmtId="0" fontId="8" fillId="0" borderId="4" xfId="4794" applyFont="1" applyBorder="1" applyAlignment="1">
      <alignment vertical="center"/>
    </xf>
    <xf numFmtId="0" fontId="17" fillId="0" borderId="4" xfId="4794" applyFont="1" applyFill="1" applyBorder="1" applyAlignment="1">
      <alignment horizontal="center" vertical="center"/>
    </xf>
    <xf numFmtId="0" fontId="8" fillId="0" borderId="4" xfId="4794" applyFont="1" applyBorder="1" applyAlignment="1">
      <alignment horizontal="center" vertical="center" wrapText="1"/>
    </xf>
    <xf numFmtId="168" fontId="17" fillId="0" borderId="4" xfId="4794" applyNumberFormat="1" applyFont="1" applyBorder="1" applyAlignment="1">
      <alignment horizontal="center" vertical="center"/>
    </xf>
    <xf numFmtId="0" fontId="8" fillId="53" borderId="4" xfId="4794" applyFont="1" applyFill="1" applyBorder="1" applyAlignment="1">
      <alignment vertical="center"/>
    </xf>
    <xf numFmtId="0" fontId="17" fillId="62" borderId="4" xfId="4794" applyFont="1" applyFill="1" applyBorder="1" applyAlignment="1">
      <alignment vertical="center"/>
    </xf>
    <xf numFmtId="0" fontId="14" fillId="0" borderId="4" xfId="4794" applyFont="1" applyBorder="1" applyAlignment="1">
      <alignment vertical="center"/>
    </xf>
    <xf numFmtId="0" fontId="14" fillId="0" borderId="4" xfId="4794" applyFont="1" applyBorder="1" applyAlignment="1">
      <alignment horizontal="center" vertical="center" wrapText="1"/>
    </xf>
    <xf numFmtId="0" fontId="0" fillId="0" borderId="0" xfId="0" applyNumberFormat="1" applyFill="1" applyBorder="1"/>
    <xf numFmtId="1" fontId="0" fillId="0" borderId="0" xfId="0" applyNumberFormat="1" applyFill="1" applyBorder="1"/>
    <xf numFmtId="189" fontId="0" fillId="0" borderId="0" xfId="0" applyNumberFormat="1" applyFill="1" applyBorder="1" applyAlignment="1">
      <alignment horizontal="center"/>
    </xf>
    <xf numFmtId="168" fontId="0" fillId="65" borderId="0" xfId="0" applyNumberFormat="1" applyFill="1" applyBorder="1" applyAlignment="1">
      <alignment horizontal="center"/>
    </xf>
    <xf numFmtId="0" fontId="29" fillId="0" borderId="0" xfId="4" applyFont="1" applyFill="1" applyAlignment="1">
      <alignment vertical="center"/>
    </xf>
    <xf numFmtId="0" fontId="0" fillId="66" borderId="0" xfId="0" applyFill="1" applyAlignment="1">
      <alignment vertical="center"/>
    </xf>
    <xf numFmtId="0" fontId="0" fillId="66" borderId="0" xfId="0" applyFill="1"/>
    <xf numFmtId="0" fontId="39" fillId="4" borderId="0" xfId="0" applyFont="1" applyFill="1" applyAlignment="1">
      <alignment horizontal="center" wrapText="1"/>
    </xf>
    <xf numFmtId="188" fontId="0" fillId="72" borderId="0" xfId="0" applyNumberFormat="1" applyFill="1" applyBorder="1" applyAlignment="1">
      <alignment vertical="center"/>
    </xf>
    <xf numFmtId="0" fontId="0" fillId="72" borderId="0" xfId="0" applyFill="1"/>
    <xf numFmtId="192" fontId="133" fillId="0" borderId="0" xfId="0" applyNumberFormat="1" applyFont="1" applyAlignment="1">
      <alignment vertical="center"/>
    </xf>
    <xf numFmtId="0" fontId="0" fillId="73" borderId="0" xfId="0" applyFill="1"/>
    <xf numFmtId="0" fontId="7" fillId="0" borderId="0" xfId="7101" applyFont="1"/>
    <xf numFmtId="188" fontId="29" fillId="75" borderId="0" xfId="0" applyNumberFormat="1" applyFont="1" applyFill="1"/>
    <xf numFmtId="0" fontId="0" fillId="0" borderId="0" xfId="0" applyFill="1" applyBorder="1" applyAlignment="1">
      <alignment horizontal="center"/>
    </xf>
    <xf numFmtId="0" fontId="0" fillId="54" borderId="0" xfId="0" applyFill="1" applyBorder="1" applyAlignment="1">
      <alignment vertical="center"/>
    </xf>
    <xf numFmtId="188" fontId="0" fillId="54" borderId="0" xfId="0" applyNumberFormat="1" applyFill="1" applyBorder="1" applyAlignment="1">
      <alignment vertical="center"/>
    </xf>
    <xf numFmtId="0" fontId="29" fillId="54" borderId="0" xfId="0" applyFont="1" applyFill="1" applyBorder="1" applyAlignment="1">
      <alignment vertical="center"/>
    </xf>
    <xf numFmtId="0" fontId="0" fillId="54" borderId="0" xfId="0" applyFill="1" applyBorder="1" applyAlignment="1">
      <alignment horizontal="center" vertical="center"/>
    </xf>
    <xf numFmtId="2" fontId="0" fillId="54" borderId="0" xfId="0" applyNumberFormat="1" applyFill="1" applyBorder="1" applyAlignment="1">
      <alignment horizontal="center" vertical="center"/>
    </xf>
    <xf numFmtId="1" fontId="0" fillId="54" borderId="0" xfId="0" applyNumberFormat="1" applyFill="1" applyBorder="1" applyAlignment="1">
      <alignment horizontal="center" vertical="center"/>
    </xf>
    <xf numFmtId="0" fontId="0" fillId="54" borderId="0" xfId="0" applyFill="1" applyBorder="1"/>
    <xf numFmtId="168" fontId="0" fillId="54" borderId="0" xfId="0" applyNumberFormat="1" applyFill="1" applyBorder="1" applyAlignment="1">
      <alignment vertical="center"/>
    </xf>
    <xf numFmtId="168" fontId="0" fillId="54" borderId="0" xfId="0" applyNumberFormat="1" applyFill="1" applyBorder="1"/>
    <xf numFmtId="188" fontId="29" fillId="54" borderId="0" xfId="0" applyNumberFormat="1" applyFont="1" applyFill="1" applyBorder="1" applyAlignment="1">
      <alignment vertical="center"/>
    </xf>
    <xf numFmtId="188" fontId="0" fillId="54" borderId="0" xfId="0" applyNumberFormat="1" applyFill="1" applyBorder="1"/>
    <xf numFmtId="1" fontId="0" fillId="54" borderId="0" xfId="0" applyNumberFormat="1" applyFill="1" applyBorder="1" applyAlignment="1">
      <alignment horizontal="center"/>
    </xf>
    <xf numFmtId="0" fontId="0" fillId="54" borderId="0" xfId="0" applyNumberFormat="1" applyFill="1" applyBorder="1" applyAlignment="1">
      <alignment horizontal="center"/>
    </xf>
    <xf numFmtId="43" fontId="0" fillId="54" borderId="0" xfId="16726" applyFont="1" applyFill="1" applyBorder="1" applyAlignment="1">
      <alignment horizontal="center"/>
    </xf>
    <xf numFmtId="9" fontId="0" fillId="54" borderId="0" xfId="3" applyFont="1" applyFill="1" applyBorder="1" applyAlignment="1">
      <alignment horizontal="center"/>
    </xf>
    <xf numFmtId="168" fontId="0" fillId="54" borderId="0" xfId="0" applyNumberFormat="1" applyFill="1" applyBorder="1" applyAlignment="1">
      <alignment horizontal="center"/>
    </xf>
    <xf numFmtId="0" fontId="0" fillId="54" borderId="0" xfId="0" applyNumberFormat="1" applyFill="1" applyBorder="1"/>
    <xf numFmtId="1" fontId="0" fillId="54" borderId="0" xfId="0" applyNumberFormat="1" applyFill="1" applyBorder="1"/>
    <xf numFmtId="188" fontId="29" fillId="54" borderId="0" xfId="0" applyNumberFormat="1" applyFont="1" applyFill="1" applyBorder="1"/>
    <xf numFmtId="191" fontId="0" fillId="54" borderId="0" xfId="0" applyNumberFormat="1" applyFill="1" applyBorder="1" applyAlignment="1">
      <alignment horizontal="center"/>
    </xf>
    <xf numFmtId="2" fontId="136" fillId="80" borderId="0" xfId="0" applyNumberFormat="1" applyFont="1" applyFill="1" applyBorder="1" applyAlignment="1">
      <alignment horizontal="center"/>
    </xf>
    <xf numFmtId="0" fontId="0" fillId="80" borderId="4" xfId="0" applyFill="1" applyBorder="1"/>
    <xf numFmtId="168" fontId="136" fillId="80" borderId="0" xfId="0" applyNumberFormat="1" applyFont="1" applyFill="1" applyBorder="1" applyAlignment="1">
      <alignment horizontal="center"/>
    </xf>
    <xf numFmtId="188" fontId="0" fillId="75" borderId="4" xfId="0" applyNumberFormat="1" applyFill="1" applyBorder="1"/>
    <xf numFmtId="1" fontId="0" fillId="81" borderId="4" xfId="0" applyNumberFormat="1" applyFill="1" applyBorder="1" applyAlignment="1">
      <alignment horizontal="center"/>
    </xf>
    <xf numFmtId="9" fontId="0" fillId="83" borderId="0" xfId="3" applyFont="1" applyFill="1" applyBorder="1" applyAlignment="1">
      <alignment horizontal="center"/>
    </xf>
    <xf numFmtId="0" fontId="0" fillId="75" borderId="0" xfId="0" applyFill="1" applyBorder="1"/>
    <xf numFmtId="188" fontId="29" fillId="82" borderId="4" xfId="0" applyNumberFormat="1" applyFont="1" applyFill="1" applyBorder="1"/>
    <xf numFmtId="188" fontId="0" fillId="81" borderId="0" xfId="0" applyNumberFormat="1" applyFill="1" applyBorder="1"/>
    <xf numFmtId="188" fontId="29" fillId="81" borderId="4" xfId="0" applyNumberFormat="1" applyFont="1" applyFill="1" applyBorder="1"/>
    <xf numFmtId="188" fontId="0" fillId="80" borderId="4" xfId="0" applyNumberFormat="1" applyFill="1" applyBorder="1"/>
    <xf numFmtId="1" fontId="0" fillId="75" borderId="0" xfId="0" applyNumberFormat="1" applyFill="1" applyBorder="1" applyAlignment="1">
      <alignment horizontal="center"/>
    </xf>
    <xf numFmtId="0" fontId="0" fillId="81" borderId="0" xfId="0" applyNumberFormat="1" applyFill="1" applyBorder="1" applyAlignment="1">
      <alignment horizontal="center"/>
    </xf>
    <xf numFmtId="2" fontId="136" fillId="82" borderId="0" xfId="0" applyNumberFormat="1" applyFont="1" applyFill="1" applyBorder="1" applyAlignment="1">
      <alignment horizontal="center"/>
    </xf>
    <xf numFmtId="168" fontId="0" fillId="81" borderId="4" xfId="0" applyNumberFormat="1" applyFill="1" applyBorder="1" applyAlignment="1">
      <alignment horizontal="center"/>
    </xf>
    <xf numFmtId="0" fontId="0" fillId="82" borderId="4" xfId="0" applyNumberFormat="1" applyFill="1" applyBorder="1" applyAlignment="1">
      <alignment horizontal="center"/>
    </xf>
    <xf numFmtId="0" fontId="0" fillId="82" borderId="0" xfId="0" applyFill="1"/>
    <xf numFmtId="1" fontId="0" fillId="75" borderId="4" xfId="0" applyNumberFormat="1" applyFill="1" applyBorder="1" applyAlignment="1">
      <alignment horizontal="center"/>
    </xf>
    <xf numFmtId="1" fontId="136" fillId="80" borderId="0" xfId="0" applyNumberFormat="1" applyFont="1" applyFill="1" applyBorder="1" applyAlignment="1">
      <alignment horizontal="center"/>
    </xf>
    <xf numFmtId="0" fontId="0" fillId="80" borderId="0" xfId="0" applyNumberFormat="1" applyFill="1" applyBorder="1" applyAlignment="1">
      <alignment horizontal="center"/>
    </xf>
    <xf numFmtId="0" fontId="0" fillId="75" borderId="0" xfId="0" applyFill="1"/>
    <xf numFmtId="2" fontId="0" fillId="82" borderId="0" xfId="0" applyNumberFormat="1" applyFill="1" applyBorder="1" applyAlignment="1">
      <alignment horizontal="center"/>
    </xf>
    <xf numFmtId="168" fontId="0" fillId="82" borderId="0" xfId="0" applyNumberFormat="1" applyFill="1" applyBorder="1" applyAlignment="1">
      <alignment horizontal="center"/>
    </xf>
    <xf numFmtId="43" fontId="0" fillId="78" borderId="0" xfId="0" applyNumberFormat="1" applyFill="1"/>
    <xf numFmtId="9" fontId="0" fillId="83" borderId="4" xfId="3" applyFont="1" applyFill="1" applyBorder="1" applyAlignment="1">
      <alignment horizontal="center"/>
    </xf>
    <xf numFmtId="0" fontId="29" fillId="81" borderId="0" xfId="0" applyFont="1" applyFill="1" applyAlignment="1">
      <alignment vertical="center"/>
    </xf>
    <xf numFmtId="9" fontId="0" fillId="82" borderId="0" xfId="3" applyFont="1" applyFill="1" applyBorder="1" applyAlignment="1">
      <alignment horizontal="center"/>
    </xf>
    <xf numFmtId="0" fontId="0" fillId="75" borderId="0" xfId="0" applyNumberFormat="1" applyFill="1" applyBorder="1" applyAlignment="1">
      <alignment horizontal="center"/>
    </xf>
    <xf numFmtId="0" fontId="0" fillId="80" borderId="0" xfId="0" applyFill="1" applyBorder="1"/>
    <xf numFmtId="0" fontId="0" fillId="80" borderId="0" xfId="0" applyFill="1"/>
    <xf numFmtId="190" fontId="29" fillId="79" borderId="0" xfId="4" applyNumberFormat="1" applyFont="1" applyFill="1" applyBorder="1" applyAlignment="1">
      <alignment horizontal="center" vertical="center"/>
    </xf>
    <xf numFmtId="1" fontId="0" fillId="81" borderId="0" xfId="0" applyNumberFormat="1" applyFill="1" applyBorder="1" applyAlignment="1">
      <alignment horizontal="center"/>
    </xf>
    <xf numFmtId="9" fontId="0" fillId="75" borderId="0" xfId="3" applyFont="1" applyFill="1" applyBorder="1" applyAlignment="1">
      <alignment horizontal="center"/>
    </xf>
    <xf numFmtId="188" fontId="29" fillId="77" borderId="0" xfId="0" applyNumberFormat="1" applyFont="1" applyFill="1" applyAlignment="1">
      <alignment vertical="center"/>
    </xf>
    <xf numFmtId="0" fontId="0" fillId="83" borderId="0" xfId="0" applyNumberFormat="1" applyFill="1" applyBorder="1" applyAlignment="1">
      <alignment horizontal="center"/>
    </xf>
    <xf numFmtId="1" fontId="136" fillId="82" borderId="0" xfId="0" applyNumberFormat="1" applyFont="1" applyFill="1" applyBorder="1" applyAlignment="1">
      <alignment horizontal="center"/>
    </xf>
    <xf numFmtId="0" fontId="0" fillId="82" borderId="0" xfId="0" applyFill="1" applyBorder="1"/>
    <xf numFmtId="188" fontId="0" fillId="83" borderId="4" xfId="0" applyNumberFormat="1" applyFill="1" applyBorder="1"/>
    <xf numFmtId="0" fontId="0" fillId="83" borderId="0" xfId="0" applyFill="1" applyBorder="1" applyAlignment="1">
      <alignment horizontal="center"/>
    </xf>
    <xf numFmtId="0" fontId="0" fillId="83" borderId="4" xfId="0" applyFill="1" applyBorder="1"/>
    <xf numFmtId="0" fontId="0" fillId="80" borderId="4" xfId="0" applyNumberFormat="1" applyFill="1" applyBorder="1" applyAlignment="1">
      <alignment horizontal="center"/>
    </xf>
    <xf numFmtId="2" fontId="0" fillId="75" borderId="0" xfId="0" applyNumberFormat="1" applyFill="1" applyBorder="1" applyAlignment="1">
      <alignment horizontal="center"/>
    </xf>
    <xf numFmtId="168" fontId="136" fillId="0" borderId="0" xfId="0" applyNumberFormat="1" applyFont="1" applyFill="1" applyBorder="1" applyAlignment="1">
      <alignment horizontal="center"/>
    </xf>
    <xf numFmtId="168" fontId="0" fillId="75" borderId="4" xfId="0" applyNumberFormat="1" applyFill="1" applyBorder="1" applyAlignment="1">
      <alignment horizontal="center"/>
    </xf>
    <xf numFmtId="9" fontId="0" fillId="80" borderId="4" xfId="3" applyFont="1" applyFill="1" applyBorder="1" applyAlignment="1">
      <alignment horizontal="center"/>
    </xf>
    <xf numFmtId="188" fontId="29" fillId="83" borderId="4" xfId="0" applyNumberFormat="1" applyFont="1" applyFill="1" applyBorder="1"/>
    <xf numFmtId="1" fontId="0" fillId="83" borderId="0" xfId="0" applyNumberFormat="1" applyFill="1" applyBorder="1" applyAlignment="1">
      <alignment horizontal="center"/>
    </xf>
    <xf numFmtId="9" fontId="0" fillId="82" borderId="4" xfId="3" applyFont="1" applyFill="1" applyBorder="1" applyAlignment="1">
      <alignment horizontal="center"/>
    </xf>
    <xf numFmtId="0" fontId="0" fillId="81" borderId="0" xfId="0" applyFill="1"/>
    <xf numFmtId="188" fontId="0" fillId="75" borderId="0" xfId="0" applyNumberFormat="1" applyFill="1" applyBorder="1"/>
    <xf numFmtId="0" fontId="0" fillId="83" borderId="4" xfId="0" applyNumberFormat="1" applyFill="1" applyBorder="1" applyAlignment="1">
      <alignment horizontal="center"/>
    </xf>
    <xf numFmtId="0" fontId="0" fillId="81" borderId="0" xfId="0" applyFill="1" applyBorder="1"/>
    <xf numFmtId="0" fontId="0" fillId="75" borderId="4" xfId="0" applyFill="1" applyBorder="1"/>
    <xf numFmtId="188" fontId="29" fillId="82" borderId="0" xfId="0" applyNumberFormat="1" applyFont="1" applyFill="1" applyBorder="1"/>
    <xf numFmtId="2" fontId="0" fillId="81" borderId="4" xfId="0" applyNumberFormat="1" applyFill="1" applyBorder="1" applyAlignment="1">
      <alignment horizontal="center"/>
    </xf>
    <xf numFmtId="168" fontId="0" fillId="83" borderId="4" xfId="0" applyNumberFormat="1" applyFill="1" applyBorder="1" applyAlignment="1">
      <alignment horizontal="center"/>
    </xf>
    <xf numFmtId="0" fontId="0" fillId="81" borderId="0" xfId="0" applyFill="1" applyBorder="1" applyAlignment="1">
      <alignment horizontal="center"/>
    </xf>
    <xf numFmtId="168" fontId="0" fillId="80" borderId="0" xfId="0" applyNumberFormat="1" applyFill="1" applyBorder="1" applyAlignment="1">
      <alignment horizontal="center"/>
    </xf>
    <xf numFmtId="1" fontId="0" fillId="80" borderId="0" xfId="0" applyNumberFormat="1" applyFill="1" applyBorder="1" applyAlignment="1">
      <alignment horizontal="center"/>
    </xf>
    <xf numFmtId="0" fontId="0" fillId="79" borderId="0" xfId="0" applyFill="1" applyBorder="1" applyAlignment="1">
      <alignment vertical="center"/>
    </xf>
    <xf numFmtId="168" fontId="136" fillId="82" borderId="0" xfId="0" applyNumberFormat="1" applyFont="1" applyFill="1" applyBorder="1" applyAlignment="1">
      <alignment horizontal="center"/>
    </xf>
    <xf numFmtId="188" fontId="0" fillId="82" borderId="0" xfId="0" applyNumberFormat="1" applyFill="1" applyBorder="1"/>
    <xf numFmtId="1" fontId="0" fillId="80" borderId="4" xfId="0" applyNumberFormat="1" applyFill="1" applyBorder="1" applyAlignment="1">
      <alignment horizontal="center"/>
    </xf>
    <xf numFmtId="2" fontId="0" fillId="82" borderId="4" xfId="0" applyNumberFormat="1" applyFill="1" applyBorder="1" applyAlignment="1">
      <alignment horizontal="center"/>
    </xf>
    <xf numFmtId="168" fontId="136" fillId="81" borderId="0" xfId="0" applyNumberFormat="1" applyFont="1" applyFill="1" applyBorder="1" applyAlignment="1">
      <alignment horizontal="center"/>
    </xf>
    <xf numFmtId="43" fontId="136" fillId="77" borderId="0" xfId="16726" applyFont="1" applyFill="1" applyAlignment="1">
      <alignment vertical="center"/>
    </xf>
    <xf numFmtId="0" fontId="0" fillId="78" borderId="0" xfId="0" applyFill="1" applyBorder="1"/>
    <xf numFmtId="168" fontId="0" fillId="81" borderId="0" xfId="0" applyNumberFormat="1" applyFill="1" applyBorder="1" applyAlignment="1">
      <alignment horizontal="center"/>
    </xf>
    <xf numFmtId="2" fontId="136" fillId="83" borderId="0" xfId="0" applyNumberFormat="1" applyFont="1" applyFill="1" applyBorder="1" applyAlignment="1">
      <alignment horizontal="center"/>
    </xf>
    <xf numFmtId="0" fontId="0" fillId="81" borderId="4" xfId="0" applyFill="1" applyBorder="1"/>
    <xf numFmtId="0" fontId="0" fillId="82" borderId="4" xfId="0" applyFill="1" applyBorder="1"/>
    <xf numFmtId="0" fontId="0" fillId="75" borderId="0" xfId="0" applyFill="1" applyBorder="1" applyAlignment="1">
      <alignment horizontal="center"/>
    </xf>
    <xf numFmtId="188" fontId="0" fillId="82" borderId="4" xfId="0" applyNumberFormat="1" applyFill="1" applyBorder="1"/>
    <xf numFmtId="0" fontId="0" fillId="82" borderId="0" xfId="0" applyNumberFormat="1" applyFill="1" applyBorder="1" applyAlignment="1">
      <alignment horizontal="center"/>
    </xf>
    <xf numFmtId="9" fontId="0" fillId="75" borderId="4" xfId="3" applyFont="1" applyFill="1" applyBorder="1" applyAlignment="1">
      <alignment horizontal="center"/>
    </xf>
    <xf numFmtId="188" fontId="0" fillId="83" borderId="0" xfId="0" applyNumberFormat="1" applyFill="1" applyBorder="1"/>
    <xf numFmtId="168" fontId="136" fillId="75" borderId="0" xfId="0" applyNumberFormat="1" applyFont="1" applyFill="1" applyBorder="1" applyAlignment="1">
      <alignment horizontal="center"/>
    </xf>
    <xf numFmtId="168" fontId="0" fillId="80" borderId="4" xfId="0" applyNumberFormat="1" applyFill="1" applyBorder="1" applyAlignment="1">
      <alignment horizontal="center"/>
    </xf>
    <xf numFmtId="188" fontId="0" fillId="81" borderId="4" xfId="0" applyNumberFormat="1" applyFill="1" applyBorder="1"/>
    <xf numFmtId="1" fontId="136" fillId="0" borderId="0" xfId="0" applyNumberFormat="1" applyFont="1" applyFill="1" applyBorder="1" applyAlignment="1">
      <alignment horizontal="center"/>
    </xf>
    <xf numFmtId="168" fontId="136" fillId="83" borderId="0" xfId="0" applyNumberFormat="1" applyFont="1" applyFill="1" applyBorder="1" applyAlignment="1">
      <alignment horizontal="center"/>
    </xf>
    <xf numFmtId="0" fontId="0" fillId="83" borderId="0" xfId="0" applyFill="1" applyBorder="1"/>
    <xf numFmtId="188" fontId="29" fillId="83" borderId="0" xfId="0" applyNumberFormat="1" applyFont="1" applyFill="1" applyBorder="1"/>
    <xf numFmtId="2" fontId="0" fillId="83" borderId="0" xfId="0" applyNumberFormat="1" applyFill="1" applyBorder="1" applyAlignment="1">
      <alignment horizontal="center"/>
    </xf>
    <xf numFmtId="188" fontId="0" fillId="80" borderId="0" xfId="0" applyNumberFormat="1" applyFill="1" applyBorder="1"/>
    <xf numFmtId="9" fontId="0" fillId="81" borderId="0" xfId="3" applyFont="1" applyFill="1" applyBorder="1" applyAlignment="1">
      <alignment horizontal="center"/>
    </xf>
    <xf numFmtId="9" fontId="0" fillId="80" borderId="0" xfId="3" applyFont="1" applyFill="1" applyBorder="1" applyAlignment="1">
      <alignment horizontal="center"/>
    </xf>
    <xf numFmtId="1" fontId="136" fillId="81" borderId="0" xfId="0" applyNumberFormat="1" applyFont="1" applyFill="1" applyBorder="1" applyAlignment="1">
      <alignment horizontal="center"/>
    </xf>
    <xf numFmtId="0" fontId="0" fillId="79" borderId="0" xfId="0" applyFill="1"/>
    <xf numFmtId="1" fontId="0" fillId="82" borderId="4" xfId="0" applyNumberFormat="1" applyFill="1" applyBorder="1" applyAlignment="1">
      <alignment horizontal="center"/>
    </xf>
    <xf numFmtId="2" fontId="0" fillId="81" borderId="0" xfId="0" applyNumberFormat="1" applyFill="1" applyBorder="1" applyAlignment="1">
      <alignment horizontal="center"/>
    </xf>
    <xf numFmtId="0" fontId="0" fillId="83" borderId="0" xfId="0" applyFill="1"/>
    <xf numFmtId="0" fontId="0" fillId="82" borderId="0" xfId="0" applyFill="1" applyBorder="1" applyAlignment="1">
      <alignment horizontal="center"/>
    </xf>
    <xf numFmtId="0" fontId="0" fillId="75" borderId="4" xfId="0" applyNumberFormat="1" applyFill="1" applyBorder="1" applyAlignment="1">
      <alignment horizontal="center"/>
    </xf>
    <xf numFmtId="0" fontId="0" fillId="81" borderId="4" xfId="0" applyNumberFormat="1" applyFill="1" applyBorder="1" applyAlignment="1">
      <alignment horizontal="center"/>
    </xf>
    <xf numFmtId="188" fontId="29" fillId="75" borderId="0" xfId="0" applyNumberFormat="1" applyFont="1" applyFill="1" applyBorder="1"/>
    <xf numFmtId="0" fontId="0" fillId="79" borderId="0" xfId="0" applyFill="1" applyAlignment="1">
      <alignment horizontal="center" vertical="center"/>
    </xf>
    <xf numFmtId="2" fontId="136" fillId="0" borderId="0" xfId="0" applyNumberFormat="1" applyFont="1" applyFill="1" applyBorder="1" applyAlignment="1">
      <alignment horizontal="center"/>
    </xf>
    <xf numFmtId="0" fontId="29" fillId="79" borderId="0" xfId="0" applyFont="1" applyFill="1" applyAlignment="1">
      <alignment vertical="center"/>
    </xf>
    <xf numFmtId="43" fontId="136" fillId="79" borderId="0" xfId="16726" applyFont="1" applyFill="1" applyAlignment="1">
      <alignment vertical="center"/>
    </xf>
    <xf numFmtId="9" fontId="0" fillId="81" borderId="4" xfId="3" applyFont="1" applyFill="1" applyBorder="1" applyAlignment="1">
      <alignment horizontal="center"/>
    </xf>
    <xf numFmtId="168" fontId="0" fillId="83" borderId="0" xfId="0" applyNumberFormat="1" applyFill="1" applyBorder="1" applyAlignment="1">
      <alignment horizontal="center"/>
    </xf>
    <xf numFmtId="188" fontId="29" fillId="80" borderId="4" xfId="0" applyNumberFormat="1" applyFont="1" applyFill="1" applyBorder="1"/>
    <xf numFmtId="168" fontId="0" fillId="82" borderId="4" xfId="0" applyNumberFormat="1" applyFill="1" applyBorder="1" applyAlignment="1">
      <alignment horizontal="center"/>
    </xf>
    <xf numFmtId="0" fontId="0" fillId="79" borderId="0" xfId="0" applyFill="1" applyAlignment="1">
      <alignment vertical="center"/>
    </xf>
    <xf numFmtId="0" fontId="0" fillId="79" borderId="0" xfId="0" applyFill="1" applyBorder="1"/>
    <xf numFmtId="0" fontId="0" fillId="80" borderId="0" xfId="0" applyFill="1" applyBorder="1" applyAlignment="1">
      <alignment horizontal="center"/>
    </xf>
    <xf numFmtId="2" fontId="136" fillId="81" borderId="0" xfId="0" applyNumberFormat="1" applyFont="1" applyFill="1" applyBorder="1" applyAlignment="1">
      <alignment horizontal="center"/>
    </xf>
    <xf numFmtId="1" fontId="136" fillId="83" borderId="0" xfId="0" applyNumberFormat="1" applyFont="1" applyFill="1" applyBorder="1" applyAlignment="1">
      <alignment horizontal="center"/>
    </xf>
    <xf numFmtId="1" fontId="0" fillId="82" borderId="0" xfId="0" applyNumberFormat="1" applyFill="1" applyBorder="1" applyAlignment="1">
      <alignment horizontal="center"/>
    </xf>
    <xf numFmtId="188" fontId="29" fillId="81" borderId="0" xfId="0" applyNumberFormat="1" applyFont="1" applyFill="1" applyBorder="1"/>
    <xf numFmtId="189" fontId="0" fillId="80" borderId="0" xfId="0" applyNumberFormat="1" applyFill="1" applyBorder="1" applyAlignment="1">
      <alignment horizontal="center"/>
    </xf>
    <xf numFmtId="1" fontId="0" fillId="83" borderId="4" xfId="0" applyNumberFormat="1" applyFill="1" applyBorder="1" applyAlignment="1">
      <alignment horizontal="center"/>
    </xf>
    <xf numFmtId="168" fontId="0" fillId="75" borderId="0" xfId="0" applyNumberFormat="1" applyFill="1" applyBorder="1" applyAlignment="1">
      <alignment horizontal="center"/>
    </xf>
    <xf numFmtId="2" fontId="136" fillId="75" borderId="0" xfId="0" applyNumberFormat="1" applyFont="1" applyFill="1" applyBorder="1" applyAlignment="1">
      <alignment horizontal="center"/>
    </xf>
    <xf numFmtId="1" fontId="136" fillId="75" borderId="0" xfId="0" applyNumberFormat="1" applyFont="1" applyFill="1" applyBorder="1" applyAlignment="1">
      <alignment horizontal="center"/>
    </xf>
    <xf numFmtId="189" fontId="0" fillId="83" borderId="0" xfId="0" applyNumberFormat="1" applyFill="1" applyBorder="1" applyAlignment="1">
      <alignment horizontal="center"/>
    </xf>
    <xf numFmtId="188" fontId="29" fillId="80" borderId="0" xfId="0" applyNumberFormat="1" applyFont="1" applyFill="1" applyBorder="1"/>
    <xf numFmtId="0" fontId="0" fillId="0" borderId="0" xfId="0"/>
    <xf numFmtId="0" fontId="34" fillId="2" borderId="2" xfId="0" applyFont="1" applyFill="1" applyBorder="1" applyAlignment="1">
      <alignment vertical="center"/>
    </xf>
    <xf numFmtId="0" fontId="0" fillId="0" borderId="0" xfId="0" applyAlignment="1">
      <alignment vertical="center"/>
    </xf>
    <xf numFmtId="0" fontId="41" fillId="0" borderId="0" xfId="0" applyFont="1" applyAlignment="1">
      <alignment vertical="center"/>
    </xf>
    <xf numFmtId="0" fontId="31" fillId="0" borderId="0" xfId="0" applyFont="1" applyAlignment="1">
      <alignment vertical="center"/>
    </xf>
    <xf numFmtId="0" fontId="0" fillId="0" borderId="0" xfId="0" applyFill="1" applyBorder="1"/>
    <xf numFmtId="188" fontId="29" fillId="0" borderId="0" xfId="0" applyNumberFormat="1" applyFont="1" applyFill="1" applyAlignment="1">
      <alignment vertical="center"/>
    </xf>
    <xf numFmtId="0" fontId="0" fillId="0" borderId="0" xfId="0" applyBorder="1"/>
    <xf numFmtId="0" fontId="0" fillId="0" borderId="0" xfId="0" applyFill="1"/>
    <xf numFmtId="0" fontId="37" fillId="3" borderId="37" xfId="4053" applyFont="1" applyFill="1" applyBorder="1" applyAlignment="1">
      <alignment horizontal="center" vertical="center" wrapText="1"/>
    </xf>
    <xf numFmtId="0" fontId="5" fillId="0" borderId="0" xfId="28046"/>
    <xf numFmtId="0" fontId="112" fillId="88" borderId="0" xfId="28046" applyFont="1" applyFill="1" applyAlignment="1">
      <alignment horizontal="center"/>
    </xf>
    <xf numFmtId="0" fontId="138" fillId="0" borderId="13" xfId="28046" applyFont="1" applyFill="1" applyBorder="1" applyAlignment="1">
      <alignment horizontal="left" vertical="center" wrapText="1"/>
    </xf>
    <xf numFmtId="0" fontId="138" fillId="0" borderId="0" xfId="28046" applyFont="1" applyFill="1" applyBorder="1" applyAlignment="1">
      <alignment horizontal="left" vertical="center" wrapText="1"/>
    </xf>
    <xf numFmtId="0" fontId="138" fillId="0" borderId="0" xfId="28046" applyFont="1" applyFill="1" applyBorder="1" applyAlignment="1">
      <alignment horizontal="center" vertical="center" wrapText="1"/>
    </xf>
    <xf numFmtId="0" fontId="5" fillId="0" borderId="0" xfId="28046" applyAlignment="1">
      <alignment horizontal="center"/>
    </xf>
    <xf numFmtId="1" fontId="5" fillId="0" borderId="0" xfId="28046" applyNumberFormat="1" applyAlignment="1">
      <alignment horizontal="center"/>
    </xf>
    <xf numFmtId="169" fontId="5" fillId="0" borderId="0" xfId="28047" applyNumberFormat="1" applyFont="1" applyAlignment="1">
      <alignment horizontal="center"/>
    </xf>
    <xf numFmtId="9" fontId="5" fillId="0" borderId="0" xfId="28047" applyFont="1"/>
    <xf numFmtId="0" fontId="5" fillId="89" borderId="0" xfId="28046" applyFill="1"/>
    <xf numFmtId="0" fontId="19" fillId="55" borderId="0" xfId="4778" applyFont="1" applyFill="1" applyAlignment="1"/>
    <xf numFmtId="0" fontId="5" fillId="0" borderId="0" xfId="4778" applyFont="1" applyAlignment="1"/>
    <xf numFmtId="0" fontId="19" fillId="90" borderId="0" xfId="4778" applyFont="1" applyFill="1" applyAlignment="1"/>
    <xf numFmtId="2" fontId="113" fillId="60" borderId="13" xfId="0" applyNumberFormat="1" applyFont="1" applyFill="1" applyBorder="1" applyAlignment="1">
      <alignment horizontal="center"/>
    </xf>
    <xf numFmtId="0" fontId="113" fillId="84" borderId="2" xfId="0" applyFont="1" applyFill="1" applyBorder="1" applyAlignment="1">
      <alignment horizontal="left"/>
    </xf>
    <xf numFmtId="0" fontId="113" fillId="67" borderId="13" xfId="0" applyFont="1" applyFill="1" applyBorder="1" applyAlignment="1">
      <alignment horizontal="center"/>
    </xf>
    <xf numFmtId="0" fontId="113" fillId="0" borderId="13" xfId="0" applyFont="1" applyFill="1" applyBorder="1" applyAlignment="1">
      <alignment horizontal="center"/>
    </xf>
    <xf numFmtId="0" fontId="113" fillId="84" borderId="0" xfId="0" applyFont="1" applyFill="1" applyAlignment="1">
      <alignment horizontal="center"/>
    </xf>
    <xf numFmtId="0" fontId="9" fillId="84" borderId="2" xfId="4778" applyFont="1" applyFill="1" applyBorder="1" applyAlignment="1"/>
    <xf numFmtId="2" fontId="113" fillId="84" borderId="0" xfId="0" applyNumberFormat="1" applyFont="1" applyFill="1" applyBorder="1" applyAlignment="1">
      <alignment horizontal="center"/>
    </xf>
    <xf numFmtId="188" fontId="0" fillId="75" borderId="0" xfId="0" applyNumberFormat="1" applyFill="1" applyBorder="1" applyAlignment="1">
      <alignment vertical="center"/>
    </xf>
    <xf numFmtId="0" fontId="0" fillId="96" borderId="0" xfId="0" applyFill="1" applyBorder="1" applyAlignment="1">
      <alignment horizontal="center" vertical="center"/>
    </xf>
    <xf numFmtId="0" fontId="0" fillId="0" borderId="2" xfId="0" applyFill="1" applyBorder="1" applyAlignment="1">
      <alignment horizontal="center" vertical="center"/>
    </xf>
    <xf numFmtId="0" fontId="113" fillId="85" borderId="0" xfId="0" applyFont="1" applyFill="1" applyAlignment="1"/>
    <xf numFmtId="0" fontId="29" fillId="73" borderId="0" xfId="0" applyFont="1" applyFill="1" applyBorder="1" applyAlignment="1">
      <alignment vertical="center"/>
    </xf>
    <xf numFmtId="168" fontId="116" fillId="71" borderId="13" xfId="0" applyNumberFormat="1" applyFont="1" applyFill="1" applyBorder="1" applyAlignment="1">
      <alignment horizontal="center"/>
    </xf>
    <xf numFmtId="168" fontId="113" fillId="60" borderId="13" xfId="0" applyNumberFormat="1" applyFont="1" applyFill="1" applyBorder="1" applyAlignment="1">
      <alignment horizontal="center"/>
    </xf>
    <xf numFmtId="0" fontId="113" fillId="84" borderId="0" xfId="0" applyFont="1" applyFill="1" applyBorder="1" applyAlignment="1">
      <alignment horizontal="center" wrapText="1"/>
    </xf>
    <xf numFmtId="0" fontId="113" fillId="84" borderId="0" xfId="0" applyFont="1" applyFill="1" applyBorder="1" applyAlignment="1">
      <alignment horizontal="left"/>
    </xf>
    <xf numFmtId="2" fontId="141" fillId="97" borderId="0" xfId="0" applyNumberFormat="1" applyFont="1" applyFill="1" applyBorder="1" applyAlignment="1">
      <alignment horizontal="center" vertical="center"/>
    </xf>
    <xf numFmtId="9" fontId="0" fillId="98" borderId="0" xfId="0" applyNumberFormat="1" applyFill="1" applyBorder="1" applyAlignment="1">
      <alignment horizontal="center" vertical="center"/>
    </xf>
    <xf numFmtId="0" fontId="29" fillId="0" borderId="2" xfId="0" applyFont="1" applyFill="1" applyBorder="1" applyAlignment="1">
      <alignment vertical="center"/>
    </xf>
    <xf numFmtId="168" fontId="0" fillId="0" borderId="4" xfId="0" applyNumberFormat="1" applyFill="1" applyBorder="1"/>
    <xf numFmtId="168" fontId="116" fillId="60" borderId="13" xfId="0" applyNumberFormat="1" applyFont="1" applyFill="1" applyBorder="1" applyAlignment="1">
      <alignment horizontal="center"/>
    </xf>
    <xf numFmtId="0" fontId="113" fillId="71" borderId="13" xfId="0" applyFont="1" applyFill="1" applyBorder="1" applyAlignment="1">
      <alignment horizontal="center"/>
    </xf>
    <xf numFmtId="2" fontId="113" fillId="71" borderId="13" xfId="0" applyNumberFormat="1" applyFont="1" applyFill="1" applyBorder="1" applyAlignment="1">
      <alignment horizontal="center"/>
    </xf>
    <xf numFmtId="2" fontId="116" fillId="74" borderId="13" xfId="0" applyNumberFormat="1" applyFont="1" applyFill="1" applyBorder="1" applyAlignment="1">
      <alignment horizontal="center"/>
    </xf>
    <xf numFmtId="2" fontId="113" fillId="67" borderId="13" xfId="0" applyNumberFormat="1" applyFont="1" applyFill="1" applyBorder="1" applyAlignment="1">
      <alignment horizontal="center"/>
    </xf>
    <xf numFmtId="2" fontId="116" fillId="69" borderId="13" xfId="0" applyNumberFormat="1" applyFont="1" applyFill="1" applyBorder="1" applyAlignment="1">
      <alignment horizontal="center"/>
    </xf>
    <xf numFmtId="168" fontId="116" fillId="69" borderId="13" xfId="0" applyNumberFormat="1" applyFont="1" applyFill="1" applyBorder="1" applyAlignment="1">
      <alignment horizontal="center"/>
    </xf>
    <xf numFmtId="168" fontId="5" fillId="60" borderId="13" xfId="0" applyNumberFormat="1" applyFont="1" applyFill="1" applyBorder="1" applyAlignment="1">
      <alignment horizontal="center"/>
    </xf>
    <xf numFmtId="0" fontId="113" fillId="0" borderId="13" xfId="0" applyFont="1" applyBorder="1" applyAlignment="1"/>
    <xf numFmtId="168" fontId="113" fillId="0" borderId="13" xfId="0" applyNumberFormat="1" applyFont="1" applyFill="1" applyBorder="1" applyAlignment="1">
      <alignment horizontal="center"/>
    </xf>
    <xf numFmtId="2" fontId="113" fillId="0" borderId="13" xfId="0" applyNumberFormat="1" applyFont="1" applyFill="1" applyBorder="1" applyAlignment="1">
      <alignment horizontal="center"/>
    </xf>
    <xf numFmtId="2" fontId="113" fillId="0" borderId="13" xfId="0" applyNumberFormat="1" applyFont="1" applyBorder="1" applyAlignment="1">
      <alignment horizontal="center"/>
    </xf>
    <xf numFmtId="0" fontId="113" fillId="0" borderId="13" xfId="0" applyFont="1" applyBorder="1" applyAlignment="1">
      <alignment horizontal="center"/>
    </xf>
    <xf numFmtId="168" fontId="113" fillId="0" borderId="13" xfId="0" applyNumberFormat="1" applyFont="1" applyBorder="1" applyAlignment="1">
      <alignment horizontal="center"/>
    </xf>
    <xf numFmtId="0" fontId="29" fillId="75" borderId="0" xfId="0" applyFont="1" applyFill="1" applyBorder="1" applyAlignment="1">
      <alignment vertical="center"/>
    </xf>
    <xf numFmtId="0" fontId="113" fillId="84" borderId="0" xfId="0" applyFont="1" applyFill="1" applyAlignment="1"/>
    <xf numFmtId="0" fontId="39" fillId="4" borderId="13" xfId="0" applyFont="1" applyFill="1" applyBorder="1" applyAlignment="1">
      <alignment horizontal="center"/>
    </xf>
    <xf numFmtId="1" fontId="113" fillId="0" borderId="13" xfId="0" applyNumberFormat="1" applyFont="1" applyBorder="1" applyAlignment="1">
      <alignment horizontal="center"/>
    </xf>
    <xf numFmtId="0" fontId="29" fillId="96" borderId="0" xfId="0" applyFont="1" applyFill="1" applyBorder="1" applyAlignment="1">
      <alignment vertical="center"/>
    </xf>
    <xf numFmtId="0" fontId="116" fillId="71" borderId="13" xfId="28239" applyFont="1" applyFill="1" applyBorder="1" applyAlignment="1"/>
    <xf numFmtId="0" fontId="113" fillId="60" borderId="13" xfId="0" applyFont="1" applyFill="1" applyBorder="1" applyAlignment="1">
      <alignment horizontal="center"/>
    </xf>
    <xf numFmtId="0" fontId="39" fillId="4" borderId="13" xfId="0" applyFont="1" applyFill="1" applyBorder="1" applyAlignment="1">
      <alignment horizontal="center" wrapText="1"/>
    </xf>
    <xf numFmtId="168" fontId="0" fillId="98" borderId="0" xfId="0" applyNumberFormat="1" applyFill="1" applyBorder="1" applyAlignment="1">
      <alignment horizontal="center" vertical="center"/>
    </xf>
    <xf numFmtId="0" fontId="113" fillId="84" borderId="4" xfId="0" applyFont="1" applyFill="1" applyBorder="1" applyAlignment="1">
      <alignment horizontal="center" wrapText="1"/>
    </xf>
    <xf numFmtId="0" fontId="0" fillId="75" borderId="0" xfId="0" applyFill="1" applyBorder="1" applyAlignment="1">
      <alignment horizontal="center" vertical="center"/>
    </xf>
    <xf numFmtId="1" fontId="141" fillId="97" borderId="0" xfId="0" applyNumberFormat="1" applyFont="1" applyFill="1" applyBorder="1" applyAlignment="1">
      <alignment horizontal="center" vertical="center"/>
    </xf>
    <xf numFmtId="0" fontId="113" fillId="92" borderId="0" xfId="0" applyFont="1" applyFill="1" applyAlignment="1"/>
    <xf numFmtId="2" fontId="116" fillId="71" borderId="13" xfId="0" applyNumberFormat="1" applyFont="1" applyFill="1" applyBorder="1" applyAlignment="1">
      <alignment horizontal="center"/>
    </xf>
    <xf numFmtId="193" fontId="0" fillId="0" borderId="0" xfId="0" applyNumberFormat="1"/>
    <xf numFmtId="168" fontId="0" fillId="0" borderId="4" xfId="0" applyNumberFormat="1" applyFill="1" applyBorder="1" applyAlignment="1">
      <alignment vertical="center"/>
    </xf>
    <xf numFmtId="0" fontId="0" fillId="0" borderId="4" xfId="0" applyFill="1" applyBorder="1" applyAlignment="1">
      <alignment horizontal="center" vertical="center"/>
    </xf>
    <xf numFmtId="1" fontId="0" fillId="0" borderId="2" xfId="0" applyNumberFormat="1" applyFill="1" applyBorder="1" applyAlignment="1">
      <alignment horizontal="center" vertical="center"/>
    </xf>
    <xf numFmtId="2" fontId="0" fillId="0" borderId="2" xfId="0" applyNumberFormat="1" applyFill="1" applyBorder="1" applyAlignment="1">
      <alignment horizontal="center" vertical="center"/>
    </xf>
    <xf numFmtId="0" fontId="0" fillId="0" borderId="2" xfId="0" applyFill="1" applyBorder="1" applyAlignment="1">
      <alignment vertical="center"/>
    </xf>
    <xf numFmtId="188" fontId="29" fillId="98" borderId="0" xfId="0" applyNumberFormat="1" applyFont="1" applyFill="1" applyBorder="1" applyAlignment="1">
      <alignment vertical="center"/>
    </xf>
    <xf numFmtId="168" fontId="0" fillId="98" borderId="0" xfId="0" applyNumberFormat="1" applyFill="1" applyBorder="1"/>
    <xf numFmtId="168" fontId="0" fillId="98" borderId="0" xfId="0" applyNumberFormat="1" applyFill="1" applyBorder="1" applyAlignment="1">
      <alignment vertical="center"/>
    </xf>
    <xf numFmtId="0" fontId="0" fillId="98" borderId="0" xfId="0" applyFill="1" applyBorder="1"/>
    <xf numFmtId="0" fontId="0" fillId="98" borderId="0" xfId="0" applyFill="1" applyBorder="1" applyAlignment="1">
      <alignment horizontal="center" vertical="center"/>
    </xf>
    <xf numFmtId="0" fontId="29" fillId="98" borderId="0" xfId="0" applyFont="1" applyFill="1" applyBorder="1" applyAlignment="1">
      <alignment vertical="center"/>
    </xf>
    <xf numFmtId="188" fontId="0" fillId="98" borderId="0" xfId="0" applyNumberFormat="1" applyFill="1" applyBorder="1" applyAlignment="1">
      <alignment vertical="center"/>
    </xf>
    <xf numFmtId="0" fontId="0" fillId="98" borderId="0" xfId="0" applyFill="1" applyBorder="1" applyAlignment="1">
      <alignment vertical="center"/>
    </xf>
    <xf numFmtId="168" fontId="141" fillId="97" borderId="0" xfId="0" applyNumberFormat="1" applyFont="1" applyFill="1" applyBorder="1" applyAlignment="1">
      <alignment horizontal="center" vertical="center"/>
    </xf>
    <xf numFmtId="9" fontId="141" fillId="97" borderId="0" xfId="0" applyNumberFormat="1" applyFont="1" applyFill="1" applyBorder="1" applyAlignment="1">
      <alignment horizontal="center" vertical="center"/>
    </xf>
    <xf numFmtId="0" fontId="141" fillId="97" borderId="0" xfId="0" applyFont="1" applyFill="1" applyBorder="1" applyAlignment="1">
      <alignment horizontal="center" vertical="center"/>
    </xf>
    <xf numFmtId="188" fontId="141" fillId="97" borderId="0" xfId="0" applyNumberFormat="1" applyFont="1" applyFill="1" applyBorder="1" applyAlignment="1">
      <alignment vertical="center"/>
    </xf>
    <xf numFmtId="0" fontId="141" fillId="97" borderId="0" xfId="0" applyFont="1" applyFill="1" applyBorder="1" applyAlignment="1">
      <alignment vertical="center"/>
    </xf>
    <xf numFmtId="188" fontId="29" fillId="73" borderId="0" xfId="0" applyNumberFormat="1" applyFont="1" applyFill="1" applyBorder="1" applyAlignment="1">
      <alignment vertical="center"/>
    </xf>
    <xf numFmtId="168" fontId="0" fillId="73" borderId="0" xfId="0" applyNumberFormat="1" applyFill="1" applyBorder="1"/>
    <xf numFmtId="168" fontId="0" fillId="73" borderId="0" xfId="0" applyNumberFormat="1" applyFill="1" applyBorder="1" applyAlignment="1">
      <alignment vertical="center"/>
    </xf>
    <xf numFmtId="0" fontId="0" fillId="73" borderId="0" xfId="0" applyFill="1" applyBorder="1"/>
    <xf numFmtId="1" fontId="0" fillId="73" borderId="0" xfId="0" applyNumberFormat="1" applyFill="1" applyBorder="1" applyAlignment="1">
      <alignment horizontal="center" vertical="center"/>
    </xf>
    <xf numFmtId="188" fontId="0" fillId="73" borderId="0" xfId="0" applyNumberFormat="1" applyFill="1" applyBorder="1" applyAlignment="1">
      <alignment vertical="center"/>
    </xf>
    <xf numFmtId="0" fontId="0" fillId="73" borderId="0" xfId="0" applyFill="1" applyBorder="1" applyAlignment="1">
      <alignment vertical="center"/>
    </xf>
    <xf numFmtId="1" fontId="0" fillId="96" borderId="0" xfId="0" applyNumberFormat="1" applyFill="1" applyBorder="1" applyAlignment="1">
      <alignment horizontal="center" vertical="center"/>
    </xf>
    <xf numFmtId="2" fontId="0" fillId="96" borderId="0" xfId="0" applyNumberFormat="1" applyFill="1" applyBorder="1" applyAlignment="1">
      <alignment horizontal="center" vertical="center"/>
    </xf>
    <xf numFmtId="188" fontId="0" fillId="96" borderId="0" xfId="0" applyNumberFormat="1" applyFill="1" applyBorder="1" applyAlignment="1">
      <alignment vertical="center"/>
    </xf>
    <xf numFmtId="0" fontId="0" fillId="96" borderId="0" xfId="0" applyFill="1" applyBorder="1" applyAlignment="1">
      <alignment vertical="center"/>
    </xf>
    <xf numFmtId="188" fontId="29" fillId="75" borderId="0" xfId="0" applyNumberFormat="1" applyFont="1" applyFill="1" applyBorder="1" applyAlignment="1">
      <alignment vertical="center"/>
    </xf>
    <xf numFmtId="1" fontId="0" fillId="75" borderId="0" xfId="0" applyNumberFormat="1" applyFill="1" applyBorder="1" applyAlignment="1">
      <alignment horizontal="center" vertical="center"/>
    </xf>
    <xf numFmtId="2" fontId="0" fillId="75" borderId="0" xfId="0" applyNumberFormat="1" applyFill="1" applyBorder="1" applyAlignment="1">
      <alignment horizontal="center" vertical="center"/>
    </xf>
    <xf numFmtId="0" fontId="0" fillId="75" borderId="0" xfId="0" applyFill="1" applyBorder="1" applyAlignment="1">
      <alignment vertical="center"/>
    </xf>
    <xf numFmtId="168" fontId="9" fillId="93" borderId="0" xfId="0" applyNumberFormat="1" applyFont="1" applyFill="1" applyBorder="1" applyAlignment="1">
      <alignment horizontal="center"/>
    </xf>
    <xf numFmtId="2" fontId="113" fillId="87" borderId="0" xfId="0" applyNumberFormat="1" applyFont="1" applyFill="1" applyBorder="1" applyAlignment="1">
      <alignment horizontal="center"/>
    </xf>
    <xf numFmtId="0" fontId="113" fillId="93" borderId="0" xfId="0" applyFont="1" applyFill="1" applyBorder="1" applyAlignment="1">
      <alignment horizontal="center"/>
    </xf>
    <xf numFmtId="9" fontId="113" fillId="84" borderId="0" xfId="4795" applyFont="1" applyFill="1" applyBorder="1" applyAlignment="1">
      <alignment horizontal="center"/>
    </xf>
    <xf numFmtId="168" fontId="113" fillId="93" borderId="0" xfId="0" applyNumberFormat="1" applyFont="1" applyFill="1" applyBorder="1" applyAlignment="1">
      <alignment horizontal="center"/>
    </xf>
    <xf numFmtId="0" fontId="113" fillId="84" borderId="0" xfId="0" applyFont="1" applyFill="1" applyBorder="1" applyAlignment="1">
      <alignment horizontal="center"/>
    </xf>
    <xf numFmtId="0" fontId="113" fillId="84" borderId="0" xfId="0" applyFont="1" applyFill="1" applyBorder="1" applyAlignment="1"/>
    <xf numFmtId="2" fontId="113" fillId="92" borderId="0" xfId="0" applyNumberFormat="1" applyFont="1" applyFill="1" applyAlignment="1">
      <alignment horizontal="center"/>
    </xf>
    <xf numFmtId="0" fontId="113" fillId="92" borderId="0" xfId="0" applyFont="1" applyFill="1" applyAlignment="1">
      <alignment horizontal="center"/>
    </xf>
    <xf numFmtId="9" fontId="113" fillId="84" borderId="2" xfId="4795" applyFont="1" applyFill="1" applyBorder="1" applyAlignment="1">
      <alignment horizontal="center"/>
    </xf>
    <xf numFmtId="168" fontId="113" fillId="84" borderId="2" xfId="0" applyNumberFormat="1" applyFont="1" applyFill="1" applyBorder="1" applyAlignment="1">
      <alignment horizontal="center"/>
    </xf>
    <xf numFmtId="2" fontId="113" fillId="84" borderId="2" xfId="0" applyNumberFormat="1" applyFont="1" applyFill="1" applyBorder="1" applyAlignment="1">
      <alignment horizontal="center"/>
    </xf>
    <xf numFmtId="0" fontId="113" fillId="84" borderId="2" xfId="0" applyFont="1" applyFill="1" applyBorder="1" applyAlignment="1">
      <alignment horizontal="center" wrapText="1"/>
    </xf>
    <xf numFmtId="0" fontId="113" fillId="84" borderId="2" xfId="0" applyFont="1" applyFill="1" applyBorder="1" applyAlignment="1">
      <alignment horizontal="center"/>
    </xf>
    <xf numFmtId="0" fontId="19" fillId="84" borderId="0" xfId="4778" applyFont="1" applyFill="1" applyAlignment="1"/>
    <xf numFmtId="0" fontId="9" fillId="84" borderId="0" xfId="4778" applyFont="1" applyFill="1" applyAlignment="1"/>
    <xf numFmtId="0" fontId="113" fillId="84" borderId="0" xfId="0" applyFont="1" applyFill="1" applyAlignment="1">
      <alignment horizontal="left"/>
    </xf>
    <xf numFmtId="9" fontId="113" fillId="84" borderId="0" xfId="4795" applyFont="1" applyFill="1" applyAlignment="1">
      <alignment horizontal="center"/>
    </xf>
    <xf numFmtId="2" fontId="113" fillId="84" borderId="0" xfId="0" applyNumberFormat="1" applyFont="1" applyFill="1" applyAlignment="1">
      <alignment horizontal="center"/>
    </xf>
    <xf numFmtId="0" fontId="0" fillId="73" borderId="0" xfId="0" applyFill="1" applyBorder="1" applyAlignment="1">
      <alignment horizontal="center" vertical="center"/>
    </xf>
    <xf numFmtId="0" fontId="113" fillId="84" borderId="0" xfId="0" applyFont="1" applyFill="1" applyAlignment="1">
      <alignment horizontal="center" wrapText="1"/>
    </xf>
    <xf numFmtId="2" fontId="113" fillId="92" borderId="0" xfId="0" applyNumberFormat="1" applyFont="1" applyFill="1" applyBorder="1" applyAlignment="1">
      <alignment horizontal="center"/>
    </xf>
    <xf numFmtId="2" fontId="0" fillId="98" borderId="0" xfId="0" applyNumberFormat="1" applyFill="1" applyBorder="1" applyAlignment="1">
      <alignment horizontal="center" vertical="center"/>
    </xf>
    <xf numFmtId="168" fontId="0" fillId="0" borderId="2" xfId="0" applyNumberFormat="1" applyFill="1" applyBorder="1" applyAlignment="1">
      <alignment horizontal="center" vertical="center"/>
    </xf>
    <xf numFmtId="1" fontId="0" fillId="98" borderId="0" xfId="0" applyNumberFormat="1" applyFill="1" applyBorder="1" applyAlignment="1">
      <alignment horizontal="center" vertical="center"/>
    </xf>
    <xf numFmtId="9" fontId="0" fillId="73" borderId="0" xfId="0" applyNumberFormat="1" applyFill="1" applyBorder="1" applyAlignment="1">
      <alignment horizontal="center" vertical="center"/>
    </xf>
    <xf numFmtId="168" fontId="0" fillId="96" borderId="0" xfId="0" applyNumberFormat="1" applyFill="1" applyBorder="1" applyAlignment="1">
      <alignment horizontal="center" vertical="center"/>
    </xf>
    <xf numFmtId="168" fontId="0" fillId="75" borderId="0" xfId="0" applyNumberFormat="1" applyFill="1" applyBorder="1" applyAlignment="1">
      <alignment horizontal="center" vertical="center"/>
    </xf>
    <xf numFmtId="0" fontId="19" fillId="84" borderId="0" xfId="4778" applyFont="1" applyFill="1" applyBorder="1" applyAlignment="1"/>
    <xf numFmtId="2" fontId="113" fillId="84" borderId="0" xfId="0" applyNumberFormat="1" applyFont="1" applyFill="1" applyAlignment="1"/>
    <xf numFmtId="0" fontId="113" fillId="92" borderId="2" xfId="0" applyFont="1" applyFill="1" applyBorder="1" applyAlignment="1"/>
    <xf numFmtId="168" fontId="113" fillId="84" borderId="0" xfId="0" applyNumberFormat="1" applyFont="1" applyFill="1" applyAlignment="1">
      <alignment horizontal="center"/>
    </xf>
    <xf numFmtId="9" fontId="0" fillId="75" borderId="0" xfId="0" applyNumberFormat="1" applyFill="1" applyBorder="1" applyAlignment="1">
      <alignment horizontal="center" vertical="center"/>
    </xf>
    <xf numFmtId="0" fontId="9" fillId="84" borderId="0" xfId="4778" applyFont="1" applyFill="1" applyBorder="1" applyAlignment="1"/>
    <xf numFmtId="9" fontId="0" fillId="0" borderId="2" xfId="0" applyNumberFormat="1" applyFill="1" applyBorder="1" applyAlignment="1">
      <alignment horizontal="center" vertical="center"/>
    </xf>
    <xf numFmtId="168" fontId="29" fillId="0" borderId="0" xfId="0" applyNumberFormat="1" applyFont="1" applyFill="1" applyBorder="1" applyAlignment="1">
      <alignment horizontal="center" vertical="center"/>
    </xf>
    <xf numFmtId="9" fontId="0" fillId="96" borderId="0" xfId="0" applyNumberFormat="1" applyFill="1" applyBorder="1" applyAlignment="1">
      <alignment horizontal="center" vertical="center"/>
    </xf>
    <xf numFmtId="0" fontId="113" fillId="84" borderId="2" xfId="0" applyFont="1" applyFill="1" applyBorder="1" applyAlignment="1"/>
    <xf numFmtId="0" fontId="19" fillId="84" borderId="2" xfId="4778" applyFont="1" applyFill="1" applyBorder="1" applyAlignment="1"/>
    <xf numFmtId="0" fontId="0" fillId="0" borderId="0" xfId="0"/>
    <xf numFmtId="0" fontId="34" fillId="2" borderId="2" xfId="0" applyFont="1" applyFill="1" applyBorder="1" applyAlignment="1">
      <alignment vertical="center"/>
    </xf>
    <xf numFmtId="0" fontId="0" fillId="0" borderId="0" xfId="0" applyAlignment="1">
      <alignment vertical="center"/>
    </xf>
    <xf numFmtId="0" fontId="31" fillId="0" borderId="0" xfId="0" applyFont="1" applyAlignment="1">
      <alignment vertical="center"/>
    </xf>
    <xf numFmtId="0" fontId="31" fillId="0" borderId="0" xfId="0" applyFont="1" applyFill="1" applyAlignment="1">
      <alignment vertical="center"/>
    </xf>
    <xf numFmtId="0" fontId="0" fillId="0" borderId="4" xfId="0" applyFill="1" applyBorder="1" applyAlignment="1">
      <alignment vertical="center"/>
    </xf>
    <xf numFmtId="0" fontId="0" fillId="0" borderId="0" xfId="0" applyFill="1" applyBorder="1" applyAlignment="1">
      <alignment vertical="center"/>
    </xf>
    <xf numFmtId="0" fontId="0" fillId="0" borderId="0" xfId="0" applyFill="1" applyBorder="1" applyAlignment="1">
      <alignment horizontal="center" vertical="center"/>
    </xf>
    <xf numFmtId="0" fontId="29" fillId="0" borderId="0" xfId="0" applyFont="1" applyFill="1" applyBorder="1" applyAlignment="1">
      <alignment vertical="center"/>
    </xf>
    <xf numFmtId="1" fontId="0" fillId="0" borderId="0" xfId="0" applyNumberFormat="1" applyFill="1" applyBorder="1" applyAlignment="1">
      <alignment horizontal="center" vertical="center"/>
    </xf>
    <xf numFmtId="9" fontId="0" fillId="0" borderId="0" xfId="0" applyNumberFormat="1" applyFill="1" applyBorder="1" applyAlignment="1">
      <alignment horizontal="center" vertical="center"/>
    </xf>
    <xf numFmtId="0" fontId="0" fillId="0" borderId="0" xfId="0" applyFill="1" applyBorder="1"/>
    <xf numFmtId="2" fontId="0" fillId="0" borderId="0" xfId="0" applyNumberFormat="1" applyFill="1" applyBorder="1" applyAlignment="1">
      <alignment horizontal="center" vertical="center"/>
    </xf>
    <xf numFmtId="2" fontId="0" fillId="0" borderId="4" xfId="0" applyNumberFormat="1" applyFill="1" applyBorder="1" applyAlignment="1">
      <alignment horizontal="center" vertical="center"/>
    </xf>
    <xf numFmtId="188" fontId="34" fillId="2" borderId="1" xfId="0" applyNumberFormat="1" applyFont="1" applyFill="1" applyBorder="1" applyAlignment="1">
      <alignment vertical="center"/>
    </xf>
    <xf numFmtId="188" fontId="0" fillId="0" borderId="0" xfId="0" applyNumberFormat="1" applyFill="1" applyAlignment="1">
      <alignment vertical="center"/>
    </xf>
    <xf numFmtId="188" fontId="29" fillId="0" borderId="0" xfId="0" applyNumberFormat="1" applyFont="1" applyFill="1" applyBorder="1" applyAlignment="1">
      <alignment vertical="center"/>
    </xf>
    <xf numFmtId="188" fontId="0" fillId="0" borderId="0" xfId="0" applyNumberFormat="1" applyFill="1" applyBorder="1" applyAlignment="1">
      <alignment vertical="center"/>
    </xf>
    <xf numFmtId="188" fontId="29" fillId="0" borderId="4" xfId="0" applyNumberFormat="1" applyFont="1" applyFill="1" applyBorder="1" applyAlignment="1">
      <alignment vertical="center"/>
    </xf>
    <xf numFmtId="188" fontId="29" fillId="0" borderId="0" xfId="0" applyNumberFormat="1" applyFont="1"/>
    <xf numFmtId="188" fontId="0" fillId="0" borderId="0" xfId="0" applyNumberFormat="1"/>
    <xf numFmtId="168" fontId="0" fillId="0" borderId="0" xfId="0" applyNumberFormat="1" applyFill="1" applyBorder="1" applyAlignment="1">
      <alignment horizontal="center" vertical="center"/>
    </xf>
    <xf numFmtId="168" fontId="0" fillId="0" borderId="0" xfId="0" applyNumberFormat="1" applyFill="1" applyBorder="1" applyAlignment="1">
      <alignment vertical="center"/>
    </xf>
    <xf numFmtId="168" fontId="0" fillId="0" borderId="0" xfId="0" applyNumberFormat="1" applyFill="1" applyBorder="1"/>
    <xf numFmtId="0" fontId="39" fillId="4" borderId="0" xfId="0" applyFont="1" applyFill="1" applyAlignment="1">
      <alignment wrapText="1"/>
    </xf>
    <xf numFmtId="0" fontId="39" fillId="5" borderId="0" xfId="0" applyFont="1" applyFill="1" applyAlignment="1">
      <alignment horizontal="center" wrapText="1"/>
    </xf>
    <xf numFmtId="0" fontId="39" fillId="4" borderId="0" xfId="0" applyFont="1" applyFill="1" applyAlignment="1"/>
    <xf numFmtId="0" fontId="39" fillId="5" borderId="0" xfId="0" applyFont="1" applyFill="1" applyAlignment="1">
      <alignment horizontal="center"/>
    </xf>
    <xf numFmtId="0" fontId="113" fillId="0" borderId="0" xfId="0" applyFont="1" applyAlignment="1">
      <alignment horizontal="center"/>
    </xf>
    <xf numFmtId="2" fontId="113" fillId="0" borderId="0" xfId="0" applyNumberFormat="1" applyFont="1" applyAlignment="1">
      <alignment horizontal="center"/>
    </xf>
    <xf numFmtId="168" fontId="113" fillId="0" borderId="0" xfId="0" applyNumberFormat="1" applyFont="1" applyAlignment="1">
      <alignment horizontal="center"/>
    </xf>
    <xf numFmtId="0" fontId="0" fillId="0" borderId="0" xfId="0" applyFill="1"/>
    <xf numFmtId="0" fontId="113" fillId="60" borderId="0" xfId="0" applyFont="1" applyFill="1" applyAlignment="1"/>
    <xf numFmtId="0" fontId="113" fillId="62" borderId="0" xfId="0" applyFont="1" applyFill="1" applyAlignment="1"/>
    <xf numFmtId="0" fontId="113" fillId="62" borderId="4" xfId="0" applyFont="1" applyFill="1" applyBorder="1" applyAlignment="1"/>
    <xf numFmtId="0" fontId="113" fillId="60" borderId="0" xfId="0" applyFont="1" applyFill="1" applyBorder="1" applyAlignment="1"/>
    <xf numFmtId="2" fontId="113" fillId="60" borderId="0" xfId="0" applyNumberFormat="1" applyFont="1" applyFill="1" applyBorder="1" applyAlignment="1">
      <alignment horizontal="center"/>
    </xf>
    <xf numFmtId="0" fontId="113" fillId="63" borderId="0" xfId="0" applyFont="1" applyFill="1" applyAlignment="1"/>
    <xf numFmtId="0" fontId="113" fillId="63" borderId="4" xfId="0" applyFont="1" applyFill="1" applyBorder="1" applyAlignment="1"/>
    <xf numFmtId="188" fontId="0" fillId="0" borderId="2" xfId="0" applyNumberFormat="1" applyFill="1" applyBorder="1" applyAlignment="1">
      <alignment vertical="center"/>
    </xf>
    <xf numFmtId="188" fontId="0" fillId="62" borderId="0" xfId="0" applyNumberFormat="1" applyFill="1" applyBorder="1" applyAlignment="1">
      <alignment vertical="center"/>
    </xf>
    <xf numFmtId="0" fontId="0" fillId="62" borderId="0" xfId="0" applyFill="1" applyBorder="1" applyAlignment="1">
      <alignment vertical="center"/>
    </xf>
    <xf numFmtId="0" fontId="29" fillId="62" borderId="0" xfId="0" applyFont="1" applyFill="1" applyBorder="1" applyAlignment="1">
      <alignment vertical="center"/>
    </xf>
    <xf numFmtId="0" fontId="0" fillId="62" borderId="0" xfId="0" applyFill="1" applyBorder="1" applyAlignment="1">
      <alignment horizontal="center" vertical="center"/>
    </xf>
    <xf numFmtId="9" fontId="0" fillId="62" borderId="0" xfId="0" applyNumberFormat="1" applyFill="1" applyBorder="1" applyAlignment="1">
      <alignment horizontal="center" vertical="center"/>
    </xf>
    <xf numFmtId="168" fontId="0" fillId="62" borderId="0" xfId="0" applyNumberFormat="1" applyFill="1" applyBorder="1" applyAlignment="1">
      <alignment horizontal="center" vertical="center"/>
    </xf>
    <xf numFmtId="2" fontId="0" fillId="62" borderId="0" xfId="0" applyNumberFormat="1" applyFill="1" applyBorder="1" applyAlignment="1">
      <alignment horizontal="center" vertical="center"/>
    </xf>
    <xf numFmtId="1" fontId="0" fillId="62" borderId="0" xfId="0" applyNumberFormat="1" applyFill="1" applyBorder="1" applyAlignment="1">
      <alignment horizontal="center" vertical="center"/>
    </xf>
    <xf numFmtId="168" fontId="0" fillId="62" borderId="0" xfId="0" applyNumberFormat="1" applyFill="1" applyBorder="1" applyAlignment="1">
      <alignment vertical="center"/>
    </xf>
    <xf numFmtId="168" fontId="0" fillId="62" borderId="0" xfId="0" applyNumberFormat="1" applyFill="1" applyBorder="1"/>
    <xf numFmtId="0" fontId="0" fillId="62" borderId="0" xfId="0" applyFill="1" applyBorder="1"/>
    <xf numFmtId="188" fontId="29" fillId="62" borderId="0" xfId="0" applyNumberFormat="1" applyFont="1" applyFill="1" applyBorder="1" applyAlignment="1">
      <alignment vertical="center"/>
    </xf>
    <xf numFmtId="0" fontId="0" fillId="62" borderId="4" xfId="0" applyFill="1" applyBorder="1" applyAlignment="1">
      <alignment vertical="center"/>
    </xf>
    <xf numFmtId="188" fontId="29" fillId="62" borderId="4" xfId="0" applyNumberFormat="1" applyFont="1" applyFill="1" applyBorder="1" applyAlignment="1">
      <alignment vertical="center"/>
    </xf>
    <xf numFmtId="168" fontId="0" fillId="0" borderId="0" xfId="0" applyNumberFormat="1" applyFill="1" applyBorder="1" applyAlignment="1">
      <alignment horizontal="center"/>
    </xf>
    <xf numFmtId="1" fontId="0" fillId="0" borderId="0" xfId="0" applyNumberFormat="1" applyFill="1" applyBorder="1" applyAlignment="1">
      <alignment horizontal="center"/>
    </xf>
    <xf numFmtId="168" fontId="0" fillId="0" borderId="4" xfId="0" applyNumberFormat="1" applyFill="1" applyBorder="1" applyAlignment="1">
      <alignment horizontal="center"/>
    </xf>
    <xf numFmtId="1" fontId="0" fillId="0" borderId="4" xfId="0" applyNumberFormat="1" applyFill="1" applyBorder="1" applyAlignment="1">
      <alignment horizontal="center"/>
    </xf>
    <xf numFmtId="0" fontId="0" fillId="0" borderId="0" xfId="0" applyAlignment="1">
      <alignment horizontal="center" vertical="center"/>
    </xf>
    <xf numFmtId="0" fontId="31" fillId="0" borderId="0" xfId="0" applyFont="1" applyAlignment="1">
      <alignment horizontal="center" vertical="center"/>
    </xf>
    <xf numFmtId="0" fontId="0" fillId="62" borderId="4" xfId="0" applyFill="1" applyBorder="1" applyAlignment="1">
      <alignment horizontal="center" vertical="center"/>
    </xf>
    <xf numFmtId="168" fontId="0" fillId="62" borderId="4" xfId="0" applyNumberFormat="1" applyFill="1" applyBorder="1" applyAlignment="1">
      <alignment vertical="center"/>
    </xf>
    <xf numFmtId="168" fontId="0" fillId="62" borderId="4" xfId="0" applyNumberFormat="1" applyFill="1" applyBorder="1"/>
    <xf numFmtId="0" fontId="0" fillId="62" borderId="4" xfId="0" applyFill="1" applyBorder="1"/>
    <xf numFmtId="0" fontId="113" fillId="63" borderId="0" xfId="0" applyFont="1" applyFill="1" applyBorder="1" applyAlignment="1"/>
    <xf numFmtId="188" fontId="29" fillId="0" borderId="4" xfId="0" applyNumberFormat="1" applyFont="1" applyFill="1" applyBorder="1"/>
    <xf numFmtId="188" fontId="0" fillId="0" borderId="4" xfId="0" applyNumberFormat="1" applyFill="1" applyBorder="1"/>
    <xf numFmtId="0" fontId="0" fillId="0" borderId="4" xfId="0" applyNumberFormat="1" applyFill="1" applyBorder="1" applyAlignment="1">
      <alignment horizontal="center"/>
    </xf>
    <xf numFmtId="9" fontId="0" fillId="0" borderId="4" xfId="3" applyFont="1" applyFill="1" applyBorder="1" applyAlignment="1">
      <alignment horizontal="center"/>
    </xf>
    <xf numFmtId="0" fontId="0" fillId="0" borderId="4" xfId="0" applyFill="1" applyBorder="1"/>
    <xf numFmtId="188" fontId="0" fillId="0" borderId="0" xfId="0" applyNumberFormat="1" applyFill="1" applyBorder="1"/>
    <xf numFmtId="0" fontId="0" fillId="0" borderId="0" xfId="0" applyNumberFormat="1" applyFill="1" applyBorder="1" applyAlignment="1">
      <alignment horizontal="center"/>
    </xf>
    <xf numFmtId="9" fontId="0" fillId="0" borderId="0" xfId="3" applyFont="1" applyFill="1" applyBorder="1" applyAlignment="1">
      <alignment horizontal="center"/>
    </xf>
    <xf numFmtId="0" fontId="0" fillId="0" borderId="0" xfId="0" applyFill="1" applyBorder="1" applyAlignment="1">
      <alignment horizontal="center"/>
    </xf>
    <xf numFmtId="2" fontId="0" fillId="0" borderId="0" xfId="0" applyNumberFormat="1" applyFill="1" applyBorder="1" applyAlignment="1">
      <alignment horizontal="center"/>
    </xf>
    <xf numFmtId="188" fontId="29" fillId="0" borderId="0" xfId="0" applyNumberFormat="1" applyFont="1" applyFill="1" applyBorder="1"/>
    <xf numFmtId="0" fontId="113" fillId="68" borderId="0" xfId="0" applyFont="1" applyFill="1" applyAlignment="1"/>
    <xf numFmtId="0" fontId="113" fillId="71" borderId="0" xfId="0" applyFont="1" applyFill="1" applyAlignment="1"/>
    <xf numFmtId="2" fontId="0" fillId="73" borderId="0" xfId="0" applyNumberFormat="1" applyFill="1" applyBorder="1" applyAlignment="1">
      <alignment horizontal="center" vertical="center"/>
    </xf>
    <xf numFmtId="168" fontId="0" fillId="73" borderId="0" xfId="0" applyNumberFormat="1" applyFill="1" applyBorder="1" applyAlignment="1">
      <alignment horizontal="center" vertical="center"/>
    </xf>
    <xf numFmtId="0" fontId="142" fillId="0" borderId="0" xfId="33456" applyFont="1"/>
    <xf numFmtId="0" fontId="142" fillId="0" borderId="0" xfId="33455" applyFont="1" applyAlignment="1">
      <alignment horizontal="left" vertical="center"/>
    </xf>
    <xf numFmtId="0" fontId="142" fillId="62" borderId="0" xfId="33455" applyFont="1" applyFill="1" applyAlignment="1">
      <alignment horizontal="center" vertical="center" wrapText="1"/>
    </xf>
    <xf numFmtId="0" fontId="142" fillId="62" borderId="40" xfId="33455" applyFont="1" applyFill="1" applyBorder="1" applyAlignment="1">
      <alignment horizontal="center" vertical="center" wrapText="1"/>
    </xf>
    <xf numFmtId="0" fontId="142" fillId="119" borderId="40" xfId="33455" applyFont="1" applyFill="1" applyBorder="1" applyAlignment="1">
      <alignment horizontal="center" vertical="center" wrapText="1"/>
    </xf>
    <xf numFmtId="0" fontId="142" fillId="119" borderId="40" xfId="33455" applyFont="1" applyFill="1" applyBorder="1" applyAlignment="1">
      <alignment vertical="center"/>
    </xf>
    <xf numFmtId="0" fontId="142" fillId="0" borderId="0" xfId="0" applyFont="1"/>
    <xf numFmtId="0" fontId="40" fillId="98" borderId="0" xfId="0" applyFont="1" applyFill="1"/>
    <xf numFmtId="0" fontId="142" fillId="98" borderId="0" xfId="0" applyFont="1" applyFill="1"/>
    <xf numFmtId="0" fontId="40" fillId="119" borderId="40" xfId="0" applyFont="1" applyFill="1" applyBorder="1"/>
    <xf numFmtId="0" fontId="142" fillId="54" borderId="0" xfId="0" applyFont="1" applyFill="1" applyAlignment="1">
      <alignment horizontal="center"/>
    </xf>
    <xf numFmtId="0" fontId="142" fillId="54" borderId="0" xfId="0" applyFont="1" applyFill="1"/>
    <xf numFmtId="0" fontId="142" fillId="0" borderId="0" xfId="0" applyFont="1" applyAlignment="1">
      <alignment horizontal="center" vertical="center" wrapText="1"/>
    </xf>
    <xf numFmtId="0" fontId="142" fillId="54" borderId="0" xfId="0" applyFont="1" applyFill="1" applyAlignment="1">
      <alignment horizontal="center" vertical="center" wrapText="1"/>
    </xf>
    <xf numFmtId="0" fontId="142" fillId="0" borderId="0" xfId="0" applyFont="1" applyAlignment="1">
      <alignment horizontal="right"/>
    </xf>
    <xf numFmtId="0" fontId="145" fillId="99" borderId="0" xfId="0" applyFont="1" applyFill="1"/>
    <xf numFmtId="0" fontId="145" fillId="119" borderId="40" xfId="0" applyFont="1" applyFill="1" applyBorder="1"/>
    <xf numFmtId="0" fontId="142" fillId="0" borderId="0" xfId="33455" applyFont="1" applyAlignment="1">
      <alignment vertical="center"/>
    </xf>
    <xf numFmtId="0" fontId="142" fillId="119" borderId="40" xfId="0" applyFont="1" applyFill="1" applyBorder="1"/>
    <xf numFmtId="0" fontId="142" fillId="119" borderId="0" xfId="0" applyFont="1" applyFill="1"/>
    <xf numFmtId="0" fontId="142" fillId="0" borderId="40" xfId="0" applyFont="1" applyBorder="1"/>
    <xf numFmtId="0" fontId="142" fillId="103" borderId="0" xfId="0" applyFont="1" applyFill="1"/>
    <xf numFmtId="0" fontId="142" fillId="103" borderId="0" xfId="33456" applyFont="1" applyFill="1"/>
    <xf numFmtId="0" fontId="145" fillId="104" borderId="0" xfId="0" applyFont="1" applyFill="1"/>
    <xf numFmtId="0" fontId="146" fillId="103" borderId="0" xfId="0" applyFont="1" applyFill="1"/>
    <xf numFmtId="0" fontId="145" fillId="120" borderId="40" xfId="0" applyFont="1" applyFill="1" applyBorder="1"/>
    <xf numFmtId="0" fontId="148" fillId="108" borderId="0" xfId="0" applyFont="1" applyFill="1"/>
    <xf numFmtId="0" fontId="142" fillId="115" borderId="0" xfId="0" applyFont="1" applyFill="1" applyAlignment="1">
      <alignment horizontal="center"/>
    </xf>
    <xf numFmtId="0" fontId="142" fillId="103" borderId="0" xfId="0" applyFont="1" applyFill="1" applyAlignment="1">
      <alignment horizontal="center"/>
    </xf>
    <xf numFmtId="0" fontId="148" fillId="111" borderId="0" xfId="0" applyFont="1" applyFill="1"/>
    <xf numFmtId="0" fontId="142" fillId="120" borderId="40" xfId="0" applyFont="1" applyFill="1" applyBorder="1"/>
    <xf numFmtId="0" fontId="148" fillId="110" borderId="0" xfId="0" applyFont="1" applyFill="1"/>
    <xf numFmtId="0" fontId="148" fillId="107" borderId="0" xfId="0" applyFont="1" applyFill="1"/>
    <xf numFmtId="0" fontId="142" fillId="100" borderId="0" xfId="33456" applyFont="1" applyFill="1"/>
    <xf numFmtId="0" fontId="142" fillId="121" borderId="0" xfId="33456" applyFont="1" applyFill="1"/>
    <xf numFmtId="2" fontId="142" fillId="100" borderId="0" xfId="33456" applyNumberFormat="1" applyFont="1" applyFill="1"/>
    <xf numFmtId="2" fontId="148" fillId="108" borderId="0" xfId="0" applyNumberFormat="1" applyFont="1" applyFill="1"/>
    <xf numFmtId="0" fontId="142" fillId="116" borderId="0" xfId="33456" applyFont="1" applyFill="1" applyAlignment="1">
      <alignment horizontal="center" vertical="center"/>
    </xf>
    <xf numFmtId="0" fontId="142" fillId="100" borderId="0" xfId="33456" applyFont="1" applyFill="1" applyAlignment="1">
      <alignment horizontal="center"/>
    </xf>
    <xf numFmtId="0" fontId="142" fillId="116" borderId="0" xfId="33456" applyFont="1" applyFill="1" applyAlignment="1">
      <alignment horizontal="center"/>
    </xf>
    <xf numFmtId="189" fontId="147" fillId="109" borderId="0" xfId="33456" applyNumberFormat="1" applyFont="1" applyFill="1"/>
    <xf numFmtId="0" fontId="142" fillId="109" borderId="0" xfId="33456" applyFont="1" applyFill="1"/>
    <xf numFmtId="0" fontId="142" fillId="100" borderId="0" xfId="0" applyFont="1" applyFill="1"/>
    <xf numFmtId="0" fontId="142" fillId="121" borderId="40" xfId="0" applyFont="1" applyFill="1" applyBorder="1"/>
    <xf numFmtId="0" fontId="145" fillId="101" borderId="0" xfId="0" applyFont="1" applyFill="1"/>
    <xf numFmtId="0" fontId="142" fillId="100" borderId="40" xfId="0" applyFont="1" applyFill="1" applyBorder="1"/>
    <xf numFmtId="2" fontId="142" fillId="100" borderId="0" xfId="0" applyNumberFormat="1" applyFont="1" applyFill="1"/>
    <xf numFmtId="2" fontId="148" fillId="107" borderId="0" xfId="0" applyNumberFormat="1" applyFont="1" applyFill="1"/>
    <xf numFmtId="189" fontId="148" fillId="107" borderId="0" xfId="0" applyNumberFormat="1" applyFont="1" applyFill="1"/>
    <xf numFmtId="0" fontId="142" fillId="116" borderId="0" xfId="0" applyFont="1" applyFill="1" applyAlignment="1">
      <alignment horizontal="center"/>
    </xf>
    <xf numFmtId="0" fontId="148" fillId="112" borderId="0" xfId="33456" applyFont="1" applyFill="1"/>
    <xf numFmtId="16" fontId="145" fillId="121" borderId="40" xfId="0" quotePrefix="1" applyNumberFormat="1" applyFont="1" applyFill="1" applyBorder="1" applyAlignment="1">
      <alignment horizontal="right"/>
    </xf>
    <xf numFmtId="16" fontId="145" fillId="101" borderId="0" xfId="0" quotePrefix="1" applyNumberFormat="1" applyFont="1" applyFill="1" applyAlignment="1">
      <alignment horizontal="right"/>
    </xf>
    <xf numFmtId="189" fontId="147" fillId="112" borderId="0" xfId="0" applyNumberFormat="1" applyFont="1" applyFill="1"/>
    <xf numFmtId="0" fontId="142" fillId="112" borderId="0" xfId="0" applyFont="1" applyFill="1"/>
    <xf numFmtId="0" fontId="142" fillId="100" borderId="0" xfId="0" applyFont="1" applyFill="1" applyAlignment="1">
      <alignment horizontal="center"/>
    </xf>
    <xf numFmtId="2" fontId="142" fillId="0" borderId="0" xfId="0" applyNumberFormat="1" applyFont="1"/>
    <xf numFmtId="0" fontId="142" fillId="76" borderId="0" xfId="0" applyFont="1" applyFill="1"/>
    <xf numFmtId="0" fontId="142" fillId="122" borderId="0" xfId="0" applyFont="1" applyFill="1"/>
    <xf numFmtId="2" fontId="142" fillId="76" borderId="0" xfId="0" applyNumberFormat="1" applyFont="1" applyFill="1"/>
    <xf numFmtId="2" fontId="142" fillId="117" borderId="0" xfId="0" applyNumberFormat="1" applyFont="1" applyFill="1" applyAlignment="1">
      <alignment horizontal="center"/>
    </xf>
    <xf numFmtId="0" fontId="142" fillId="76" borderId="0" xfId="33456" applyFont="1" applyFill="1"/>
    <xf numFmtId="0" fontId="142" fillId="122" borderId="40" xfId="0" applyFont="1" applyFill="1" applyBorder="1"/>
    <xf numFmtId="0" fontId="145" fillId="106" borderId="0" xfId="0" applyFont="1" applyFill="1"/>
    <xf numFmtId="0" fontId="142" fillId="76" borderId="40" xfId="0" applyFont="1" applyFill="1" applyBorder="1"/>
    <xf numFmtId="0" fontId="142" fillId="117" borderId="0" xfId="0" applyFont="1" applyFill="1" applyAlignment="1">
      <alignment horizontal="center"/>
    </xf>
    <xf numFmtId="0" fontId="145" fillId="122" borderId="40" xfId="0" applyFont="1" applyFill="1" applyBorder="1"/>
    <xf numFmtId="0" fontId="145" fillId="0" borderId="0" xfId="0" applyFont="1"/>
    <xf numFmtId="0" fontId="142" fillId="102" borderId="0" xfId="0" applyFont="1" applyFill="1"/>
    <xf numFmtId="0" fontId="142" fillId="118" borderId="0" xfId="0" applyFont="1" applyFill="1" applyAlignment="1">
      <alignment horizontal="center"/>
    </xf>
    <xf numFmtId="0" fontId="142" fillId="102" borderId="0" xfId="33456" applyFont="1" applyFill="1"/>
    <xf numFmtId="0" fontId="145" fillId="105" borderId="0" xfId="0" applyFont="1" applyFill="1"/>
    <xf numFmtId="0" fontId="142" fillId="123" borderId="40" xfId="0" applyFont="1" applyFill="1" applyBorder="1"/>
    <xf numFmtId="0" fontId="142" fillId="102" borderId="40" xfId="0" applyFont="1" applyFill="1" applyBorder="1"/>
    <xf numFmtId="189" fontId="142" fillId="114" borderId="0" xfId="0" applyNumberFormat="1" applyFont="1" applyFill="1"/>
    <xf numFmtId="189" fontId="142" fillId="102" borderId="0" xfId="0" applyNumberFormat="1" applyFont="1" applyFill="1"/>
    <xf numFmtId="0" fontId="113" fillId="113" borderId="0" xfId="0" applyFont="1" applyFill="1"/>
    <xf numFmtId="189" fontId="142" fillId="118" borderId="0" xfId="0" applyNumberFormat="1" applyFont="1" applyFill="1" applyAlignment="1">
      <alignment horizontal="center"/>
    </xf>
    <xf numFmtId="191" fontId="142" fillId="0" borderId="0" xfId="0" applyNumberFormat="1" applyFont="1"/>
    <xf numFmtId="191" fontId="142" fillId="64" borderId="0" xfId="0" applyNumberFormat="1" applyFont="1" applyFill="1"/>
    <xf numFmtId="0" fontId="142" fillId="0" borderId="0" xfId="0" applyFont="1" applyAlignment="1">
      <alignment horizontal="center"/>
    </xf>
    <xf numFmtId="0" fontId="142" fillId="54" borderId="40" xfId="0" applyFont="1" applyFill="1" applyBorder="1" applyAlignment="1">
      <alignment horizontal="center"/>
    </xf>
    <xf numFmtId="0" fontId="142" fillId="0" borderId="40" xfId="0" applyFont="1" applyBorder="1" applyAlignment="1">
      <alignment horizontal="center" vertical="center" wrapText="1"/>
    </xf>
    <xf numFmtId="0" fontId="148" fillId="108" borderId="40" xfId="0" applyFont="1" applyFill="1" applyBorder="1"/>
    <xf numFmtId="2" fontId="142" fillId="100" borderId="40" xfId="33456" applyNumberFormat="1" applyFont="1" applyFill="1" applyBorder="1"/>
    <xf numFmtId="2" fontId="142" fillId="100" borderId="40" xfId="0" applyNumberFormat="1" applyFont="1" applyFill="1" applyBorder="1"/>
    <xf numFmtId="2" fontId="148" fillId="107" borderId="40" xfId="0" applyNumberFormat="1" applyFont="1" applyFill="1" applyBorder="1"/>
    <xf numFmtId="2" fontId="148" fillId="108" borderId="40" xfId="0" applyNumberFormat="1" applyFont="1" applyFill="1" applyBorder="1"/>
    <xf numFmtId="2" fontId="142" fillId="0" borderId="40" xfId="0" applyNumberFormat="1" applyFont="1" applyBorder="1"/>
    <xf numFmtId="2" fontId="142" fillId="76" borderId="40" xfId="0" applyNumberFormat="1" applyFont="1" applyFill="1" applyBorder="1"/>
    <xf numFmtId="194" fontId="149" fillId="0" borderId="0" xfId="0" applyNumberFormat="1" applyFont="1"/>
    <xf numFmtId="0" fontId="149" fillId="54" borderId="0" xfId="0" applyFont="1" applyFill="1" applyAlignment="1">
      <alignment horizontal="center"/>
    </xf>
    <xf numFmtId="0" fontId="142" fillId="54" borderId="40" xfId="0" applyFont="1" applyFill="1" applyBorder="1"/>
    <xf numFmtId="193" fontId="147" fillId="0" borderId="0" xfId="33455" applyNumberFormat="1" applyFont="1" applyAlignment="1">
      <alignment horizontal="left" vertical="center"/>
    </xf>
    <xf numFmtId="189" fontId="136" fillId="0" borderId="0" xfId="0" applyNumberFormat="1" applyFont="1" applyFill="1" applyBorder="1" applyAlignment="1">
      <alignment horizontal="center"/>
    </xf>
    <xf numFmtId="2" fontId="142" fillId="103" borderId="0" xfId="0" applyNumberFormat="1" applyFont="1" applyFill="1"/>
    <xf numFmtId="2" fontId="142" fillId="102" borderId="0" xfId="0" applyNumberFormat="1" applyFont="1" applyFill="1"/>
    <xf numFmtId="2" fontId="142" fillId="124" borderId="0" xfId="0" applyNumberFormat="1" applyFont="1" applyFill="1"/>
    <xf numFmtId="9" fontId="142" fillId="0" borderId="0" xfId="0" applyNumberFormat="1" applyFont="1"/>
    <xf numFmtId="2" fontId="142" fillId="125" borderId="0" xfId="0" applyNumberFormat="1" applyFont="1" applyFill="1"/>
    <xf numFmtId="43" fontId="142" fillId="126" borderId="0" xfId="16726" applyFont="1" applyFill="1"/>
    <xf numFmtId="189" fontId="142" fillId="0" borderId="0" xfId="0" applyNumberFormat="1" applyFont="1"/>
    <xf numFmtId="9" fontId="142" fillId="72" borderId="0" xfId="3" applyFont="1" applyFill="1"/>
    <xf numFmtId="2" fontId="148" fillId="127" borderId="0" xfId="0" applyNumberFormat="1" applyFont="1" applyFill="1"/>
    <xf numFmtId="2" fontId="148" fillId="128" borderId="0" xfId="0" applyNumberFormat="1" applyFont="1" applyFill="1"/>
    <xf numFmtId="0" fontId="148" fillId="128" borderId="0" xfId="0" applyFont="1" applyFill="1"/>
    <xf numFmtId="0" fontId="148" fillId="127" borderId="0" xfId="0" applyFont="1" applyFill="1"/>
    <xf numFmtId="2" fontId="148" fillId="0" borderId="0" xfId="0" applyNumberFormat="1" applyFont="1" applyFill="1"/>
    <xf numFmtId="0" fontId="142" fillId="0" borderId="0" xfId="0" applyFont="1" applyFill="1"/>
    <xf numFmtId="2" fontId="142" fillId="0" borderId="0" xfId="0" applyNumberFormat="1" applyFont="1" applyFill="1"/>
    <xf numFmtId="2" fontId="142" fillId="100" borderId="0" xfId="33456" applyNumberFormat="1" applyFont="1" applyFill="1" applyAlignment="1">
      <alignment horizontal="center"/>
    </xf>
    <xf numFmtId="2" fontId="142" fillId="100" borderId="0" xfId="0" applyNumberFormat="1" applyFont="1" applyFill="1" applyAlignment="1">
      <alignment horizontal="center"/>
    </xf>
    <xf numFmtId="2" fontId="142" fillId="0" borderId="0" xfId="0" applyNumberFormat="1" applyFont="1" applyAlignment="1">
      <alignment horizontal="center"/>
    </xf>
    <xf numFmtId="2" fontId="142" fillId="126" borderId="0" xfId="0" applyNumberFormat="1" applyFont="1" applyFill="1"/>
    <xf numFmtId="0" fontId="142" fillId="102" borderId="0" xfId="0" applyFont="1" applyFill="1" applyBorder="1"/>
    <xf numFmtId="2" fontId="142" fillId="129" borderId="0" xfId="0" applyNumberFormat="1" applyFont="1" applyFill="1" applyAlignment="1">
      <alignment horizontal="center"/>
    </xf>
    <xf numFmtId="2" fontId="142" fillId="130" borderId="0" xfId="33456" applyNumberFormat="1" applyFont="1" applyFill="1" applyAlignment="1">
      <alignment horizontal="center"/>
    </xf>
    <xf numFmtId="188" fontId="29" fillId="90" borderId="0" xfId="0" applyNumberFormat="1" applyFont="1" applyFill="1" applyBorder="1"/>
    <xf numFmtId="169" fontId="136" fillId="77" borderId="0" xfId="3" applyNumberFormat="1" applyFont="1" applyFill="1" applyAlignment="1">
      <alignment vertical="center"/>
    </xf>
    <xf numFmtId="169" fontId="136" fillId="79" borderId="0" xfId="3" applyNumberFormat="1" applyFont="1" applyFill="1" applyAlignment="1">
      <alignment vertical="center"/>
    </xf>
    <xf numFmtId="0" fontId="29" fillId="0" borderId="0" xfId="0" applyFont="1" applyFill="1" applyBorder="1"/>
    <xf numFmtId="168" fontId="34" fillId="0" borderId="0" xfId="0" applyNumberFormat="1" applyFont="1" applyFill="1" applyBorder="1" applyAlignment="1">
      <alignment horizontal="center"/>
    </xf>
    <xf numFmtId="9" fontId="29" fillId="0" borderId="0" xfId="3" applyFont="1" applyFill="1" applyBorder="1" applyAlignment="1">
      <alignment horizontal="center"/>
    </xf>
    <xf numFmtId="189" fontId="34" fillId="0" borderId="0" xfId="0" applyNumberFormat="1" applyFont="1" applyFill="1" applyBorder="1" applyAlignment="1">
      <alignment horizontal="center"/>
    </xf>
    <xf numFmtId="168" fontId="29" fillId="0" borderId="0" xfId="0" applyNumberFormat="1" applyFont="1" applyFill="1" applyBorder="1" applyAlignment="1">
      <alignment horizontal="center"/>
    </xf>
    <xf numFmtId="1" fontId="29" fillId="0" borderId="0" xfId="0" applyNumberFormat="1" applyFont="1" applyFill="1" applyBorder="1" applyAlignment="1">
      <alignment horizontal="center"/>
    </xf>
    <xf numFmtId="0" fontId="29" fillId="0" borderId="0" xfId="0" applyFont="1" applyFill="1" applyBorder="1" applyAlignment="1">
      <alignment horizontal="center"/>
    </xf>
    <xf numFmtId="9" fontId="29" fillId="0" borderId="4" xfId="3" applyFont="1" applyFill="1" applyBorder="1" applyAlignment="1">
      <alignment horizontal="center"/>
    </xf>
    <xf numFmtId="168" fontId="29" fillId="0" borderId="4" xfId="0" applyNumberFormat="1" applyFont="1" applyFill="1" applyBorder="1" applyAlignment="1">
      <alignment horizontal="center"/>
    </xf>
    <xf numFmtId="168" fontId="34" fillId="0" borderId="4" xfId="0" applyNumberFormat="1" applyFont="1" applyFill="1" applyBorder="1" applyAlignment="1">
      <alignment horizontal="center"/>
    </xf>
    <xf numFmtId="1" fontId="29" fillId="0" borderId="4" xfId="0" applyNumberFormat="1" applyFont="1" applyFill="1" applyBorder="1" applyAlignment="1">
      <alignment horizontal="center"/>
    </xf>
    <xf numFmtId="0" fontId="29" fillId="0" borderId="4" xfId="0" applyFont="1" applyFill="1" applyBorder="1"/>
    <xf numFmtId="0" fontId="29" fillId="0" borderId="2" xfId="0" applyFont="1" applyFill="1" applyBorder="1"/>
    <xf numFmtId="168" fontId="34" fillId="0" borderId="2" xfId="0" applyNumberFormat="1" applyFont="1" applyFill="1" applyBorder="1" applyAlignment="1">
      <alignment horizontal="center"/>
    </xf>
    <xf numFmtId="0" fontId="29" fillId="72" borderId="2" xfId="0" applyFont="1" applyFill="1" applyBorder="1"/>
    <xf numFmtId="0" fontId="29" fillId="72" borderId="2" xfId="0" applyFont="1" applyFill="1" applyBorder="1" applyAlignment="1">
      <alignment vertical="center"/>
    </xf>
    <xf numFmtId="188" fontId="29" fillId="72" borderId="2" xfId="0" applyNumberFormat="1" applyFont="1" applyFill="1" applyBorder="1"/>
    <xf numFmtId="168" fontId="34" fillId="72" borderId="2" xfId="0" applyNumberFormat="1" applyFont="1" applyFill="1" applyBorder="1" applyAlignment="1">
      <alignment horizontal="center"/>
    </xf>
    <xf numFmtId="0" fontId="29" fillId="72" borderId="0" xfId="0" applyFont="1" applyFill="1" applyBorder="1"/>
    <xf numFmtId="188" fontId="29" fillId="72" borderId="0" xfId="0" applyNumberFormat="1" applyFont="1" applyFill="1" applyBorder="1"/>
    <xf numFmtId="168" fontId="34" fillId="72" borderId="0" xfId="0" applyNumberFormat="1" applyFont="1" applyFill="1" applyBorder="1" applyAlignment="1">
      <alignment horizontal="center"/>
    </xf>
    <xf numFmtId="0" fontId="29" fillId="72" borderId="4" xfId="0" applyFont="1" applyFill="1" applyBorder="1"/>
    <xf numFmtId="188" fontId="29" fillId="72" borderId="4" xfId="0" applyNumberFormat="1" applyFont="1" applyFill="1" applyBorder="1"/>
    <xf numFmtId="168" fontId="34" fillId="72" borderId="4" xfId="0" applyNumberFormat="1" applyFont="1" applyFill="1" applyBorder="1" applyAlignment="1">
      <alignment horizontal="center"/>
    </xf>
    <xf numFmtId="168" fontId="136" fillId="72" borderId="2" xfId="0" applyNumberFormat="1" applyFont="1" applyFill="1" applyBorder="1" applyAlignment="1">
      <alignment horizontal="center"/>
    </xf>
    <xf numFmtId="168" fontId="29" fillId="72" borderId="0" xfId="0" applyNumberFormat="1" applyFont="1" applyFill="1" applyBorder="1" applyAlignment="1">
      <alignment horizontal="center"/>
    </xf>
    <xf numFmtId="168" fontId="29" fillId="72" borderId="4" xfId="0" applyNumberFormat="1" applyFont="1" applyFill="1" applyBorder="1" applyAlignment="1">
      <alignment horizontal="center"/>
    </xf>
    <xf numFmtId="0" fontId="0" fillId="0" borderId="0" xfId="0" applyAlignment="1">
      <alignment horizontal="center"/>
    </xf>
    <xf numFmtId="0" fontId="29" fillId="72" borderId="0" xfId="0" applyFont="1" applyFill="1" applyBorder="1" applyAlignment="1">
      <alignment horizontal="center"/>
    </xf>
    <xf numFmtId="0" fontId="29" fillId="72" borderId="4" xfId="0" applyFont="1" applyFill="1" applyBorder="1" applyAlignment="1">
      <alignment horizontal="center"/>
    </xf>
    <xf numFmtId="0" fontId="29" fillId="0" borderId="0" xfId="0" applyFont="1" applyFill="1" applyAlignment="1">
      <alignment horizontal="center"/>
    </xf>
    <xf numFmtId="188" fontId="29" fillId="0" borderId="0" xfId="0" applyNumberFormat="1" applyFont="1" applyAlignment="1">
      <alignment horizontal="center" vertical="center"/>
    </xf>
    <xf numFmtId="0" fontId="0" fillId="131" borderId="2" xfId="0" applyFill="1" applyBorder="1"/>
    <xf numFmtId="188" fontId="29" fillId="131" borderId="2" xfId="0" applyNumberFormat="1" applyFont="1" applyFill="1" applyBorder="1"/>
    <xf numFmtId="188" fontId="0" fillId="131" borderId="2" xfId="0" applyNumberFormat="1" applyFill="1" applyBorder="1"/>
    <xf numFmtId="189" fontId="136" fillId="131" borderId="2" xfId="0" applyNumberFormat="1" applyFont="1" applyFill="1" applyBorder="1" applyAlignment="1">
      <alignment horizontal="center"/>
    </xf>
    <xf numFmtId="168" fontId="0" fillId="131" borderId="2" xfId="0" applyNumberFormat="1" applyFill="1" applyBorder="1" applyAlignment="1">
      <alignment horizontal="center"/>
    </xf>
    <xf numFmtId="1" fontId="0" fillId="131" borderId="2" xfId="0" applyNumberFormat="1" applyFill="1" applyBorder="1" applyAlignment="1">
      <alignment horizontal="center"/>
    </xf>
    <xf numFmtId="0" fontId="0" fillId="131" borderId="2" xfId="0" applyFill="1" applyBorder="1" applyAlignment="1">
      <alignment horizontal="center"/>
    </xf>
    <xf numFmtId="0" fontId="0" fillId="131" borderId="0" xfId="0" applyFill="1" applyBorder="1"/>
    <xf numFmtId="188" fontId="0" fillId="131" borderId="0" xfId="0" applyNumberFormat="1" applyFill="1" applyBorder="1"/>
    <xf numFmtId="9" fontId="0" fillId="131" borderId="0" xfId="3" applyFont="1" applyFill="1" applyBorder="1" applyAlignment="1">
      <alignment horizontal="center"/>
    </xf>
    <xf numFmtId="168" fontId="0" fillId="131" borderId="0" xfId="0" applyNumberFormat="1" applyFill="1" applyBorder="1" applyAlignment="1">
      <alignment horizontal="center"/>
    </xf>
    <xf numFmtId="1" fontId="0" fillId="131" borderId="0" xfId="0" applyNumberFormat="1" applyFill="1" applyBorder="1" applyAlignment="1">
      <alignment horizontal="center"/>
    </xf>
    <xf numFmtId="0" fontId="0" fillId="131" borderId="4" xfId="0" applyFill="1" applyBorder="1"/>
    <xf numFmtId="188" fontId="0" fillId="131" borderId="4" xfId="0" applyNumberFormat="1" applyFill="1" applyBorder="1"/>
    <xf numFmtId="168" fontId="136" fillId="131" borderId="4" xfId="0" applyNumberFormat="1" applyFont="1" applyFill="1" applyBorder="1" applyAlignment="1">
      <alignment horizontal="center"/>
    </xf>
    <xf numFmtId="9" fontId="0" fillId="131" borderId="4" xfId="3" applyFont="1" applyFill="1" applyBorder="1" applyAlignment="1">
      <alignment horizontal="center"/>
    </xf>
    <xf numFmtId="168" fontId="0" fillId="131" borderId="4" xfId="0" applyNumberFormat="1" applyFill="1" applyBorder="1" applyAlignment="1">
      <alignment horizontal="center"/>
    </xf>
    <xf numFmtId="1" fontId="0" fillId="131" borderId="4" xfId="0" applyNumberFormat="1" applyFill="1" applyBorder="1" applyAlignment="1">
      <alignment horizontal="center"/>
    </xf>
    <xf numFmtId="189" fontId="136" fillId="72" borderId="0" xfId="0" applyNumberFormat="1" applyFont="1" applyFill="1" applyBorder="1" applyAlignment="1">
      <alignment horizontal="center"/>
    </xf>
    <xf numFmtId="1" fontId="136" fillId="131" borderId="2" xfId="0" applyNumberFormat="1" applyFont="1" applyFill="1" applyBorder="1" applyAlignment="1">
      <alignment horizontal="center"/>
    </xf>
    <xf numFmtId="1" fontId="136" fillId="131" borderId="0" xfId="0" applyNumberFormat="1" applyFont="1" applyFill="1" applyBorder="1" applyAlignment="1">
      <alignment horizontal="center"/>
    </xf>
    <xf numFmtId="1" fontId="136" fillId="131" borderId="4" xfId="0" applyNumberFormat="1" applyFont="1" applyFill="1" applyBorder="1" applyAlignment="1">
      <alignment horizontal="center"/>
    </xf>
    <xf numFmtId="9" fontId="136" fillId="0" borderId="0" xfId="3" applyFont="1" applyFill="1" applyBorder="1" applyAlignment="1">
      <alignment horizontal="center"/>
    </xf>
    <xf numFmtId="9" fontId="136" fillId="72" borderId="2" xfId="3" applyFont="1" applyFill="1" applyBorder="1" applyAlignment="1">
      <alignment horizontal="center"/>
    </xf>
    <xf numFmtId="189" fontId="0" fillId="0" borderId="0" xfId="0" applyNumberFormat="1"/>
    <xf numFmtId="189" fontId="34" fillId="2" borderId="1" xfId="4" applyNumberFormat="1" applyFont="1" applyFill="1" applyBorder="1" applyAlignment="1">
      <alignment horizontal="center" vertical="center" wrapText="1"/>
    </xf>
    <xf numFmtId="189" fontId="37" fillId="3" borderId="2" xfId="1" applyNumberFormat="1" applyFont="1" applyFill="1" applyBorder="1" applyAlignment="1">
      <alignment horizontal="center" vertical="center" wrapText="1"/>
    </xf>
    <xf numFmtId="189" fontId="34" fillId="72" borderId="2" xfId="0" applyNumberFormat="1" applyFont="1" applyFill="1" applyBorder="1" applyAlignment="1">
      <alignment horizontal="center"/>
    </xf>
    <xf numFmtId="189" fontId="34" fillId="72" borderId="0" xfId="0" applyNumberFormat="1" applyFont="1" applyFill="1" applyBorder="1" applyAlignment="1">
      <alignment horizontal="center"/>
    </xf>
    <xf numFmtId="189" fontId="34" fillId="72" borderId="4" xfId="0" applyNumberFormat="1" applyFont="1" applyFill="1" applyBorder="1" applyAlignment="1">
      <alignment horizontal="center"/>
    </xf>
    <xf numFmtId="189" fontId="34" fillId="2" borderId="1" xfId="0" applyNumberFormat="1" applyFont="1" applyFill="1" applyBorder="1" applyAlignment="1">
      <alignment vertical="center"/>
    </xf>
    <xf numFmtId="189" fontId="37" fillId="3" borderId="1" xfId="1" applyNumberFormat="1" applyFont="1" applyFill="1" applyBorder="1" applyAlignment="1">
      <alignment horizontal="left" vertical="center" wrapText="1"/>
    </xf>
    <xf numFmtId="189" fontId="34" fillId="61" borderId="0" xfId="0" applyNumberFormat="1" applyFont="1" applyFill="1" applyBorder="1" applyAlignment="1">
      <alignment horizontal="center"/>
    </xf>
    <xf numFmtId="0" fontId="150" fillId="72" borderId="2" xfId="0" applyFont="1" applyFill="1" applyBorder="1"/>
    <xf numFmtId="0" fontId="150" fillId="72" borderId="2" xfId="0" applyFont="1" applyFill="1" applyBorder="1" applyAlignment="1">
      <alignment vertical="center"/>
    </xf>
    <xf numFmtId="188" fontId="150" fillId="72" borderId="2" xfId="0" applyNumberFormat="1" applyFont="1" applyFill="1" applyBorder="1"/>
    <xf numFmtId="189" fontId="151" fillId="72" borderId="2" xfId="0" applyNumberFormat="1" applyFont="1" applyFill="1" applyBorder="1" applyAlignment="1">
      <alignment horizontal="center"/>
    </xf>
    <xf numFmtId="168" fontId="151" fillId="72" borderId="2" xfId="0" applyNumberFormat="1" applyFont="1" applyFill="1" applyBorder="1" applyAlignment="1">
      <alignment horizontal="center"/>
    </xf>
    <xf numFmtId="189" fontId="151" fillId="61" borderId="2" xfId="0" applyNumberFormat="1" applyFont="1" applyFill="1" applyBorder="1" applyAlignment="1">
      <alignment horizontal="center"/>
    </xf>
    <xf numFmtId="191" fontId="142" fillId="97" borderId="0" xfId="0" applyNumberFormat="1" applyFont="1" applyFill="1"/>
    <xf numFmtId="0" fontId="142" fillId="0" borderId="0" xfId="0" applyFont="1" applyAlignment="1">
      <alignment horizontal="center" vertical="center"/>
    </xf>
    <xf numFmtId="2" fontId="152" fillId="127" borderId="0" xfId="0" applyNumberFormat="1" applyFont="1" applyFill="1"/>
    <xf numFmtId="0" fontId="152" fillId="128" borderId="0" xfId="0" applyFont="1" applyFill="1"/>
    <xf numFmtId="189" fontId="29" fillId="0" borderId="0" xfId="0" applyNumberFormat="1" applyFont="1" applyFill="1" applyBorder="1" applyAlignment="1">
      <alignment horizontal="center"/>
    </xf>
    <xf numFmtId="189" fontId="29" fillId="72" borderId="0" xfId="0" applyNumberFormat="1" applyFont="1" applyFill="1" applyBorder="1" applyAlignment="1">
      <alignment horizontal="center"/>
    </xf>
    <xf numFmtId="189" fontId="29" fillId="72" borderId="4" xfId="0" applyNumberFormat="1" applyFont="1" applyFill="1" applyBorder="1" applyAlignment="1">
      <alignment horizontal="center"/>
    </xf>
    <xf numFmtId="189" fontId="136" fillId="72" borderId="2" xfId="0" applyNumberFormat="1" applyFont="1" applyFill="1" applyBorder="1" applyAlignment="1">
      <alignment horizontal="center"/>
    </xf>
    <xf numFmtId="189" fontId="29" fillId="72" borderId="0" xfId="0" applyNumberFormat="1" applyFont="1" applyFill="1" applyBorder="1"/>
    <xf numFmtId="189" fontId="29" fillId="72" borderId="4" xfId="0" applyNumberFormat="1" applyFont="1" applyFill="1" applyBorder="1"/>
    <xf numFmtId="0" fontId="40" fillId="97" borderId="40" xfId="0" applyFont="1" applyFill="1" applyBorder="1"/>
    <xf numFmtId="0" fontId="142" fillId="97" borderId="40" xfId="33455" applyFont="1" applyFill="1" applyBorder="1" applyAlignment="1">
      <alignment horizontal="center" vertical="center" wrapText="1"/>
    </xf>
    <xf numFmtId="0" fontId="145" fillId="97" borderId="40" xfId="0" applyFont="1" applyFill="1" applyBorder="1"/>
    <xf numFmtId="0" fontId="142" fillId="97" borderId="0" xfId="0" applyFont="1" applyFill="1"/>
    <xf numFmtId="0" fontId="142" fillId="97" borderId="40" xfId="33455" applyFont="1" applyFill="1" applyBorder="1" applyAlignment="1">
      <alignment vertical="center"/>
    </xf>
    <xf numFmtId="0" fontId="142" fillId="97" borderId="40" xfId="0" applyFont="1" applyFill="1" applyBorder="1"/>
    <xf numFmtId="0" fontId="145" fillId="132" borderId="40" xfId="0" applyFont="1" applyFill="1" applyBorder="1"/>
    <xf numFmtId="0" fontId="142" fillId="132" borderId="40" xfId="0" applyFont="1" applyFill="1" applyBorder="1"/>
    <xf numFmtId="0" fontId="142" fillId="133" borderId="0" xfId="33456" applyFont="1" applyFill="1"/>
    <xf numFmtId="0" fontId="142" fillId="133" borderId="40" xfId="0" applyFont="1" applyFill="1" applyBorder="1"/>
    <xf numFmtId="16" fontId="145" fillId="133" borderId="40" xfId="0" quotePrefix="1" applyNumberFormat="1" applyFont="1" applyFill="1" applyBorder="1" applyAlignment="1">
      <alignment horizontal="right"/>
    </xf>
    <xf numFmtId="0" fontId="142" fillId="134" borderId="0" xfId="0" applyFont="1" applyFill="1"/>
    <xf numFmtId="0" fontId="142" fillId="134" borderId="40" xfId="0" applyFont="1" applyFill="1" applyBorder="1"/>
    <xf numFmtId="0" fontId="145" fillId="134" borderId="40" xfId="0" applyFont="1" applyFill="1" applyBorder="1"/>
    <xf numFmtId="0" fontId="142" fillId="135" borderId="40" xfId="0" applyFont="1" applyFill="1" applyBorder="1"/>
    <xf numFmtId="0" fontId="150" fillId="0" borderId="2" xfId="0" applyFont="1" applyFill="1" applyBorder="1"/>
    <xf numFmtId="0" fontId="150" fillId="0" borderId="2" xfId="0" applyFont="1" applyFill="1" applyBorder="1" applyAlignment="1">
      <alignment vertical="center"/>
    </xf>
    <xf numFmtId="188" fontId="150" fillId="0" borderId="2" xfId="0" applyNumberFormat="1" applyFont="1" applyFill="1" applyBorder="1"/>
    <xf numFmtId="168" fontId="136" fillId="0" borderId="2" xfId="0" applyNumberFormat="1" applyFont="1" applyFill="1" applyBorder="1" applyAlignment="1">
      <alignment horizontal="center"/>
    </xf>
    <xf numFmtId="189" fontId="34" fillId="0" borderId="4" xfId="0" applyNumberFormat="1" applyFont="1" applyFill="1" applyBorder="1" applyAlignment="1">
      <alignment horizontal="center"/>
    </xf>
    <xf numFmtId="0" fontId="29" fillId="0" borderId="4" xfId="0" applyFont="1" applyFill="1" applyBorder="1" applyAlignment="1">
      <alignment horizontal="center"/>
    </xf>
    <xf numFmtId="0" fontId="142" fillId="100" borderId="0" xfId="0" applyFont="1" applyFill="1" applyBorder="1"/>
    <xf numFmtId="0" fontId="142" fillId="121" borderId="0" xfId="0" applyFont="1" applyFill="1" applyBorder="1"/>
    <xf numFmtId="0" fontId="142" fillId="133" borderId="0" xfId="0" applyFont="1" applyFill="1" applyBorder="1"/>
    <xf numFmtId="0" fontId="142" fillId="136" borderId="0" xfId="33455" applyFont="1" applyFill="1" applyAlignment="1">
      <alignment horizontal="center" vertical="center" wrapText="1"/>
    </xf>
    <xf numFmtId="188" fontId="29" fillId="0" borderId="2" xfId="0" applyNumberFormat="1" applyFont="1" applyFill="1" applyBorder="1"/>
    <xf numFmtId="168" fontId="0" fillId="137" borderId="0" xfId="0" applyNumberFormat="1" applyFill="1"/>
    <xf numFmtId="0" fontId="142" fillId="138" borderId="0" xfId="0" applyFont="1" applyFill="1"/>
    <xf numFmtId="188" fontId="0" fillId="139" borderId="0" xfId="0" applyNumberFormat="1" applyFill="1" applyBorder="1"/>
    <xf numFmtId="0" fontId="142" fillId="140" borderId="0" xfId="33455" applyFont="1" applyFill="1" applyAlignment="1">
      <alignment horizontal="center" vertical="center" wrapText="1"/>
    </xf>
    <xf numFmtId="0" fontId="145" fillId="141" borderId="0" xfId="0" applyFont="1" applyFill="1"/>
    <xf numFmtId="0" fontId="142" fillId="142" borderId="0" xfId="33455" applyFont="1" applyFill="1" applyAlignment="1">
      <alignment vertical="center"/>
    </xf>
    <xf numFmtId="0" fontId="142" fillId="142" borderId="0" xfId="0" applyFont="1" applyFill="1"/>
    <xf numFmtId="0" fontId="142" fillId="142" borderId="0" xfId="33456" applyFont="1" applyFill="1"/>
    <xf numFmtId="191" fontId="142" fillId="142" borderId="0" xfId="0" applyNumberFormat="1" applyFont="1" applyFill="1"/>
    <xf numFmtId="191" fontId="142" fillId="143" borderId="0" xfId="0" applyNumberFormat="1" applyFont="1" applyFill="1"/>
    <xf numFmtId="0" fontId="142" fillId="144" borderId="0" xfId="0" applyFont="1" applyFill="1"/>
    <xf numFmtId="0" fontId="142" fillId="145" borderId="0" xfId="33455" applyFont="1" applyFill="1" applyAlignment="1">
      <alignment horizontal="center" vertical="center" wrapText="1"/>
    </xf>
    <xf numFmtId="0" fontId="146" fillId="142" borderId="0" xfId="0" applyFont="1" applyFill="1"/>
    <xf numFmtId="0" fontId="29" fillId="146" borderId="0" xfId="0" applyFont="1" applyFill="1" applyAlignment="1">
      <alignment vertical="center"/>
    </xf>
    <xf numFmtId="0" fontId="29" fillId="146" borderId="2" xfId="0" applyFont="1" applyFill="1" applyBorder="1" applyAlignment="1">
      <alignment vertical="center"/>
    </xf>
    <xf numFmtId="0" fontId="150" fillId="146" borderId="2" xfId="0" applyFont="1" applyFill="1" applyBorder="1" applyAlignment="1">
      <alignment vertical="center"/>
    </xf>
    <xf numFmtId="2" fontId="148" fillId="104" borderId="0" xfId="0" applyNumberFormat="1" applyFont="1" applyFill="1"/>
    <xf numFmtId="2" fontId="136" fillId="72" borderId="2" xfId="0" applyNumberFormat="1" applyFont="1" applyFill="1" applyBorder="1" applyAlignment="1">
      <alignment horizontal="center"/>
    </xf>
    <xf numFmtId="0" fontId="153" fillId="0" borderId="0" xfId="0" applyFont="1"/>
    <xf numFmtId="0" fontId="138" fillId="66" borderId="13" xfId="28046" applyFont="1" applyFill="1" applyBorder="1" applyAlignment="1">
      <alignment horizontal="left" vertical="center" wrapText="1"/>
    </xf>
    <xf numFmtId="0" fontId="138" fillId="66" borderId="0" xfId="28046" applyFont="1" applyFill="1" applyBorder="1" applyAlignment="1">
      <alignment horizontal="left" vertical="center" wrapText="1"/>
    </xf>
    <xf numFmtId="0" fontId="138" fillId="66" borderId="0" xfId="28046" applyFont="1" applyFill="1" applyBorder="1" applyAlignment="1">
      <alignment horizontal="center" vertical="center" wrapText="1"/>
    </xf>
    <xf numFmtId="0" fontId="5" fillId="66" borderId="0" xfId="28046" applyFill="1"/>
    <xf numFmtId="1" fontId="5" fillId="66" borderId="0" xfId="28046" applyNumberFormat="1" applyFill="1" applyAlignment="1">
      <alignment horizontal="center"/>
    </xf>
    <xf numFmtId="169" fontId="5" fillId="66" borderId="0" xfId="28047" applyNumberFormat="1" applyFont="1" applyFill="1" applyAlignment="1">
      <alignment horizontal="center"/>
    </xf>
    <xf numFmtId="0" fontId="5" fillId="66" borderId="0" xfId="28046" applyFill="1" applyAlignment="1">
      <alignment horizontal="center"/>
    </xf>
    <xf numFmtId="9" fontId="5" fillId="66" borderId="0" xfId="28047" applyFont="1" applyFill="1"/>
    <xf numFmtId="0" fontId="113" fillId="66" borderId="0" xfId="0" applyFont="1" applyFill="1" applyAlignment="1"/>
    <xf numFmtId="168" fontId="113" fillId="66" borderId="13" xfId="0" applyNumberFormat="1" applyFont="1" applyFill="1" applyBorder="1" applyAlignment="1">
      <alignment horizontal="center"/>
    </xf>
    <xf numFmtId="2" fontId="113" fillId="66" borderId="13" xfId="0" applyNumberFormat="1" applyFont="1" applyFill="1" applyBorder="1" applyAlignment="1">
      <alignment horizontal="center"/>
    </xf>
    <xf numFmtId="0" fontId="113" fillId="66" borderId="13" xfId="0" applyFont="1" applyFill="1" applyBorder="1" applyAlignment="1">
      <alignment horizontal="center"/>
    </xf>
    <xf numFmtId="1" fontId="5" fillId="66" borderId="0" xfId="28047" applyNumberFormat="1" applyFont="1" applyFill="1" applyAlignment="1">
      <alignment horizontal="center"/>
    </xf>
    <xf numFmtId="0" fontId="113" fillId="66" borderId="2" xfId="0" applyFont="1" applyFill="1" applyBorder="1" applyAlignment="1"/>
    <xf numFmtId="0" fontId="3" fillId="0" borderId="0" xfId="28046" applyFont="1"/>
    <xf numFmtId="0" fontId="3" fillId="0" borderId="0" xfId="4778" applyFont="1" applyAlignment="1">
      <alignment horizontal="center"/>
    </xf>
    <xf numFmtId="2" fontId="136" fillId="0" borderId="0" xfId="0" applyNumberFormat="1" applyFont="1" applyFill="1" applyBorder="1" applyAlignment="1">
      <alignment horizontal="center" vertical="center"/>
    </xf>
    <xf numFmtId="168" fontId="9" fillId="149" borderId="0" xfId="0" applyNumberFormat="1" applyFont="1" applyFill="1" applyBorder="1" applyAlignment="1">
      <alignment horizontal="center"/>
    </xf>
    <xf numFmtId="168" fontId="136" fillId="0" borderId="0" xfId="0" applyNumberFormat="1" applyFont="1" applyFill="1" applyBorder="1" applyAlignment="1">
      <alignment horizontal="center" vertical="center"/>
    </xf>
    <xf numFmtId="0" fontId="136" fillId="0" borderId="0" xfId="0" applyFont="1" applyFill="1" applyBorder="1" applyAlignment="1">
      <alignment vertical="center"/>
    </xf>
    <xf numFmtId="0" fontId="0" fillId="0" borderId="0" xfId="0" applyAlignment="1">
      <alignment horizontal="right" vertical="center"/>
    </xf>
    <xf numFmtId="0" fontId="34" fillId="2" borderId="2" xfId="0" applyFont="1" applyFill="1" applyBorder="1" applyAlignment="1">
      <alignment horizontal="right" vertical="center"/>
    </xf>
    <xf numFmtId="0" fontId="37" fillId="3" borderId="2" xfId="1" applyFont="1" applyFill="1" applyBorder="1" applyAlignment="1">
      <alignment horizontal="right" vertical="center" wrapText="1"/>
    </xf>
    <xf numFmtId="188" fontId="0" fillId="62" borderId="0" xfId="0" applyNumberFormat="1" applyFill="1" applyBorder="1" applyAlignment="1">
      <alignment horizontal="right" vertical="center"/>
    </xf>
    <xf numFmtId="0" fontId="0" fillId="62" borderId="0" xfId="0" applyFill="1" applyBorder="1" applyAlignment="1">
      <alignment horizontal="right" vertical="center"/>
    </xf>
    <xf numFmtId="188" fontId="0" fillId="0" borderId="0" xfId="0" applyNumberFormat="1" applyFill="1" applyBorder="1" applyAlignment="1">
      <alignment horizontal="right" vertical="center"/>
    </xf>
    <xf numFmtId="0" fontId="0" fillId="62" borderId="4" xfId="0" applyFill="1" applyBorder="1" applyAlignment="1">
      <alignment horizontal="right" vertical="center"/>
    </xf>
    <xf numFmtId="188" fontId="0" fillId="0" borderId="4" xfId="0" applyNumberFormat="1" applyFill="1" applyBorder="1" applyAlignment="1">
      <alignment horizontal="right" vertical="center"/>
    </xf>
    <xf numFmtId="188" fontId="0" fillId="75" borderId="0" xfId="0" applyNumberFormat="1" applyFill="1" applyBorder="1" applyAlignment="1">
      <alignment horizontal="right" vertical="center"/>
    </xf>
    <xf numFmtId="188" fontId="0" fillId="73" borderId="0" xfId="0" applyNumberFormat="1" applyFill="1" applyBorder="1" applyAlignment="1">
      <alignment horizontal="right" vertical="center"/>
    </xf>
    <xf numFmtId="0" fontId="0" fillId="73" borderId="0" xfId="0" applyFill="1" applyBorder="1" applyAlignment="1">
      <alignment horizontal="right" vertical="center"/>
    </xf>
    <xf numFmtId="188" fontId="141" fillId="97" borderId="0" xfId="0" applyNumberFormat="1" applyFont="1" applyFill="1" applyBorder="1" applyAlignment="1">
      <alignment horizontal="right" vertical="center"/>
    </xf>
    <xf numFmtId="188" fontId="0" fillId="98" borderId="0" xfId="0" applyNumberFormat="1" applyFill="1" applyBorder="1" applyAlignment="1">
      <alignment horizontal="right" vertical="center"/>
    </xf>
    <xf numFmtId="0" fontId="0" fillId="98" borderId="0" xfId="0" applyFill="1" applyBorder="1" applyAlignment="1">
      <alignment horizontal="right" vertical="center"/>
    </xf>
    <xf numFmtId="188" fontId="0" fillId="54" borderId="0" xfId="0" applyNumberFormat="1" applyFill="1" applyBorder="1" applyAlignment="1">
      <alignment horizontal="right" vertical="center"/>
    </xf>
    <xf numFmtId="0" fontId="0" fillId="54" borderId="0" xfId="0" applyFill="1" applyBorder="1" applyAlignment="1">
      <alignment horizontal="right" vertical="center"/>
    </xf>
    <xf numFmtId="188" fontId="0" fillId="0" borderId="2" xfId="0" applyNumberFormat="1" applyFill="1" applyBorder="1" applyAlignment="1">
      <alignment horizontal="right" vertical="center"/>
    </xf>
    <xf numFmtId="0" fontId="0" fillId="0" borderId="0" xfId="0" applyFill="1" applyBorder="1" applyAlignment="1">
      <alignment horizontal="right" vertical="center"/>
    </xf>
    <xf numFmtId="0" fontId="0" fillId="0" borderId="4" xfId="0" applyFill="1" applyBorder="1" applyAlignment="1">
      <alignment horizontal="right" vertical="center"/>
    </xf>
    <xf numFmtId="188" fontId="0" fillId="96" borderId="0" xfId="0" applyNumberFormat="1" applyFill="1" applyBorder="1" applyAlignment="1">
      <alignment horizontal="right" vertical="center"/>
    </xf>
    <xf numFmtId="0" fontId="32" fillId="0" borderId="0" xfId="0" applyFont="1" applyFill="1" applyAlignment="1">
      <alignment horizontal="right" vertical="center"/>
    </xf>
    <xf numFmtId="188" fontId="31" fillId="0" borderId="0" xfId="0" applyNumberFormat="1" applyFont="1" applyAlignment="1">
      <alignment horizontal="right" vertical="center"/>
    </xf>
    <xf numFmtId="188" fontId="34" fillId="2" borderId="1" xfId="0" applyNumberFormat="1" applyFont="1" applyFill="1" applyBorder="1" applyAlignment="1">
      <alignment horizontal="right" vertical="center"/>
    </xf>
    <xf numFmtId="188" fontId="37" fillId="3" borderId="1" xfId="1" applyNumberFormat="1" applyFont="1" applyFill="1" applyBorder="1" applyAlignment="1">
      <alignment horizontal="right" vertical="center" wrapText="1"/>
    </xf>
    <xf numFmtId="188" fontId="29" fillId="0" borderId="2" xfId="4" applyNumberFormat="1" applyFont="1" applyFill="1" applyBorder="1" applyAlignment="1">
      <alignment horizontal="right" vertical="center"/>
    </xf>
    <xf numFmtId="188" fontId="29" fillId="0" borderId="0" xfId="4" applyNumberFormat="1" applyFont="1" applyFill="1" applyBorder="1" applyAlignment="1">
      <alignment horizontal="right" vertical="center"/>
    </xf>
    <xf numFmtId="188" fontId="29" fillId="66" borderId="0" xfId="4" applyNumberFormat="1" applyFont="1" applyFill="1" applyBorder="1" applyAlignment="1">
      <alignment horizontal="right" vertical="center"/>
    </xf>
    <xf numFmtId="188" fontId="29" fillId="0" borderId="4" xfId="4" applyNumberFormat="1" applyFont="1" applyFill="1" applyBorder="1" applyAlignment="1">
      <alignment horizontal="right" vertical="center"/>
    </xf>
    <xf numFmtId="0" fontId="138" fillId="61" borderId="13" xfId="28046" applyFont="1" applyFill="1" applyBorder="1" applyAlignment="1">
      <alignment horizontal="left" vertical="center" wrapText="1"/>
    </xf>
    <xf numFmtId="0" fontId="138" fillId="61" borderId="0" xfId="28046" applyFont="1" applyFill="1" applyBorder="1" applyAlignment="1">
      <alignment horizontal="left" vertical="center" wrapText="1"/>
    </xf>
    <xf numFmtId="0" fontId="138" fillId="61" borderId="0" xfId="28046" applyFont="1" applyFill="1" applyBorder="1" applyAlignment="1">
      <alignment horizontal="center" vertical="center" wrapText="1"/>
    </xf>
    <xf numFmtId="0" fontId="5" fillId="61" borderId="0" xfId="28046" applyFill="1"/>
    <xf numFmtId="1" fontId="5" fillId="61" borderId="0" xfId="28046" applyNumberFormat="1" applyFill="1" applyAlignment="1">
      <alignment horizontal="center"/>
    </xf>
    <xf numFmtId="169" fontId="5" fillId="61" borderId="0" xfId="28047" applyNumberFormat="1" applyFont="1" applyFill="1" applyAlignment="1">
      <alignment horizontal="center"/>
    </xf>
    <xf numFmtId="1" fontId="5" fillId="61" borderId="0" xfId="28047" applyNumberFormat="1" applyFont="1" applyFill="1" applyAlignment="1">
      <alignment horizontal="center"/>
    </xf>
    <xf numFmtId="9" fontId="5" fillId="61" borderId="0" xfId="28047" applyFont="1" applyFill="1"/>
    <xf numFmtId="0" fontId="113" fillId="61" borderId="0" xfId="0" applyFont="1" applyFill="1" applyAlignment="1"/>
    <xf numFmtId="168" fontId="113" fillId="61" borderId="13" xfId="0" applyNumberFormat="1" applyFont="1" applyFill="1" applyBorder="1" applyAlignment="1">
      <alignment horizontal="center"/>
    </xf>
    <xf numFmtId="2" fontId="113" fillId="61" borderId="13" xfId="0" applyNumberFormat="1" applyFont="1" applyFill="1" applyBorder="1" applyAlignment="1">
      <alignment horizontal="center"/>
    </xf>
    <xf numFmtId="0" fontId="113" fillId="61" borderId="13" xfId="0" applyFont="1" applyFill="1" applyBorder="1" applyAlignment="1">
      <alignment horizontal="center"/>
    </xf>
    <xf numFmtId="0" fontId="113" fillId="159" borderId="0" xfId="0" applyFont="1" applyFill="1" applyBorder="1" applyAlignment="1"/>
    <xf numFmtId="0" fontId="113" fillId="160" borderId="0" xfId="0" applyFont="1" applyFill="1" applyBorder="1" applyAlignment="1"/>
    <xf numFmtId="168" fontId="113" fillId="161" borderId="0" xfId="0" applyNumberFormat="1" applyFont="1" applyFill="1" applyBorder="1" applyAlignment="1">
      <alignment horizontal="center"/>
    </xf>
    <xf numFmtId="0" fontId="113" fillId="159" borderId="0" xfId="0" applyFont="1" applyFill="1" applyBorder="1" applyAlignment="1">
      <alignment horizontal="center"/>
    </xf>
    <xf numFmtId="0" fontId="113" fillId="159" borderId="0" xfId="0" applyFont="1" applyFill="1" applyBorder="1" applyAlignment="1">
      <alignment horizontal="center" wrapText="1"/>
    </xf>
    <xf numFmtId="2" fontId="116" fillId="161" borderId="0" xfId="0" applyNumberFormat="1" applyFont="1" applyFill="1" applyBorder="1" applyAlignment="1">
      <alignment horizontal="center"/>
    </xf>
    <xf numFmtId="9" fontId="113" fillId="161" borderId="0" xfId="4795" applyFont="1" applyFill="1" applyBorder="1" applyAlignment="1">
      <alignment horizontal="center"/>
    </xf>
    <xf numFmtId="0" fontId="113" fillId="159" borderId="0" xfId="0" applyFont="1" applyFill="1" applyBorder="1" applyAlignment="1">
      <alignment horizontal="left"/>
    </xf>
    <xf numFmtId="0" fontId="9" fillId="159" borderId="0" xfId="4778" applyFont="1" applyFill="1" applyBorder="1" applyAlignment="1"/>
    <xf numFmtId="0" fontId="19" fillId="162" borderId="0" xfId="4778" applyFont="1" applyFill="1" applyBorder="1" applyAlignment="1">
      <alignment horizontal="center"/>
    </xf>
    <xf numFmtId="0" fontId="19" fillId="159" borderId="0" xfId="4778" applyFont="1" applyFill="1" applyBorder="1" applyAlignment="1"/>
    <xf numFmtId="168" fontId="113" fillId="0" borderId="0" xfId="0" applyNumberFormat="1" applyFont="1" applyBorder="1" applyAlignment="1">
      <alignment horizontal="center"/>
    </xf>
    <xf numFmtId="2" fontId="113" fillId="0" borderId="0" xfId="0" applyNumberFormat="1" applyFont="1" applyBorder="1" applyAlignment="1">
      <alignment horizontal="center"/>
    </xf>
    <xf numFmtId="0" fontId="113" fillId="0" borderId="0" xfId="0" applyFont="1" applyFill="1" applyBorder="1" applyAlignment="1"/>
    <xf numFmtId="0" fontId="113" fillId="62" borderId="0" xfId="0" applyFont="1" applyFill="1" applyBorder="1" applyAlignment="1"/>
    <xf numFmtId="0" fontId="113" fillId="0" borderId="0" xfId="0" applyFont="1" applyFill="1" applyBorder="1" applyAlignment="1">
      <alignment horizontal="center"/>
    </xf>
    <xf numFmtId="0" fontId="113" fillId="85" borderId="0" xfId="0" applyFont="1" applyFill="1" applyBorder="1" applyAlignment="1"/>
    <xf numFmtId="168" fontId="113" fillId="84" borderId="0" xfId="0" applyNumberFormat="1" applyFont="1" applyFill="1" applyBorder="1" applyAlignment="1">
      <alignment horizontal="center"/>
    </xf>
    <xf numFmtId="1" fontId="113" fillId="84" borderId="0" xfId="0" applyNumberFormat="1" applyFont="1" applyFill="1" applyBorder="1" applyAlignment="1">
      <alignment horizontal="center"/>
    </xf>
    <xf numFmtId="1" fontId="113" fillId="84" borderId="0" xfId="0" applyNumberFormat="1" applyFont="1" applyFill="1" applyBorder="1" applyAlignment="1">
      <alignment horizontal="left"/>
    </xf>
    <xf numFmtId="168" fontId="113" fillId="92" borderId="0" xfId="0" applyNumberFormat="1" applyFont="1" applyFill="1" applyBorder="1" applyAlignment="1">
      <alignment horizontal="center"/>
    </xf>
    <xf numFmtId="0" fontId="113" fillId="94" borderId="0" xfId="0" applyFont="1" applyFill="1" applyBorder="1" applyAlignment="1"/>
    <xf numFmtId="9" fontId="113" fillId="92" borderId="0" xfId="4795" applyFont="1" applyFill="1" applyBorder="1" applyAlignment="1">
      <alignment horizontal="center"/>
    </xf>
    <xf numFmtId="168" fontId="113" fillId="95" borderId="0" xfId="0" applyNumberFormat="1" applyFont="1" applyFill="1" applyBorder="1" applyAlignment="1">
      <alignment horizontal="center"/>
    </xf>
    <xf numFmtId="2" fontId="113" fillId="93" borderId="0" xfId="0" applyNumberFormat="1" applyFont="1" applyFill="1" applyBorder="1" applyAlignment="1">
      <alignment horizontal="center"/>
    </xf>
    <xf numFmtId="0" fontId="19" fillId="86" borderId="0" xfId="4778" applyFont="1" applyFill="1" applyBorder="1" applyAlignment="1">
      <alignment horizontal="center"/>
    </xf>
    <xf numFmtId="0" fontId="19" fillId="93" borderId="0" xfId="4778" applyFont="1" applyFill="1" applyBorder="1" applyAlignment="1">
      <alignment horizontal="center"/>
    </xf>
    <xf numFmtId="0" fontId="113" fillId="78" borderId="0" xfId="0" applyFont="1" applyFill="1" applyBorder="1" applyAlignment="1"/>
    <xf numFmtId="0" fontId="113" fillId="147" borderId="0" xfId="0" applyFont="1" applyFill="1" applyBorder="1" applyAlignment="1"/>
    <xf numFmtId="168" fontId="113" fillId="149" borderId="0" xfId="0" applyNumberFormat="1" applyFont="1" applyFill="1" applyBorder="1" applyAlignment="1">
      <alignment horizontal="center"/>
    </xf>
    <xf numFmtId="0" fontId="113" fillId="78" borderId="0" xfId="0" applyFont="1" applyFill="1" applyBorder="1" applyAlignment="1">
      <alignment horizontal="center"/>
    </xf>
    <xf numFmtId="0" fontId="113" fillId="78" borderId="0" xfId="0" applyFont="1" applyFill="1" applyBorder="1" applyAlignment="1">
      <alignment horizontal="center" wrapText="1"/>
    </xf>
    <xf numFmtId="2" fontId="113" fillId="148" borderId="0" xfId="0" applyNumberFormat="1" applyFont="1" applyFill="1" applyBorder="1" applyAlignment="1">
      <alignment horizontal="center"/>
    </xf>
    <xf numFmtId="0" fontId="113" fillId="149" borderId="0" xfId="0" applyFont="1" applyFill="1" applyBorder="1" applyAlignment="1">
      <alignment horizontal="center"/>
    </xf>
    <xf numFmtId="0" fontId="19" fillId="149" borderId="0" xfId="4778" applyFont="1" applyFill="1" applyBorder="1" applyAlignment="1">
      <alignment horizontal="center"/>
    </xf>
    <xf numFmtId="9" fontId="113" fillId="78" borderId="0" xfId="4795" applyFont="1" applyFill="1" applyBorder="1" applyAlignment="1">
      <alignment horizontal="center"/>
    </xf>
    <xf numFmtId="168" fontId="113" fillId="148" borderId="0" xfId="0" applyNumberFormat="1" applyFont="1" applyFill="1" applyBorder="1" applyAlignment="1">
      <alignment horizontal="center"/>
    </xf>
    <xf numFmtId="2" fontId="113" fillId="149" borderId="0" xfId="0" applyNumberFormat="1" applyFont="1" applyFill="1" applyBorder="1" applyAlignment="1">
      <alignment horizontal="center"/>
    </xf>
    <xf numFmtId="0" fontId="19" fillId="149" borderId="0" xfId="4778" applyFont="1" applyFill="1" applyBorder="1" applyAlignment="1"/>
    <xf numFmtId="168" fontId="113" fillId="78" borderId="0" xfId="0" applyNumberFormat="1" applyFont="1" applyFill="1" applyBorder="1" applyAlignment="1">
      <alignment horizontal="center"/>
    </xf>
    <xf numFmtId="0" fontId="113" fillId="78" borderId="0" xfId="0" applyFont="1" applyFill="1" applyBorder="1" applyAlignment="1">
      <alignment horizontal="left"/>
    </xf>
    <xf numFmtId="0" fontId="9" fillId="78" borderId="0" xfId="4778" applyFont="1" applyFill="1" applyBorder="1" applyAlignment="1"/>
    <xf numFmtId="0" fontId="19" fillId="150" borderId="0" xfId="4778" applyFont="1" applyFill="1" applyBorder="1" applyAlignment="1">
      <alignment horizontal="center"/>
    </xf>
    <xf numFmtId="0" fontId="19" fillId="78" borderId="0" xfId="4778" applyFont="1" applyFill="1" applyBorder="1" applyAlignment="1"/>
    <xf numFmtId="0" fontId="113" fillId="103" borderId="0" xfId="0" applyFont="1" applyFill="1" applyBorder="1" applyAlignment="1"/>
    <xf numFmtId="0" fontId="113" fillId="151" borderId="0" xfId="0" applyFont="1" applyFill="1" applyBorder="1" applyAlignment="1"/>
    <xf numFmtId="168" fontId="113" fillId="152" borderId="0" xfId="0" applyNumberFormat="1" applyFont="1" applyFill="1" applyBorder="1" applyAlignment="1">
      <alignment horizontal="center"/>
    </xf>
    <xf numFmtId="0" fontId="113" fillId="103" borderId="0" xfId="0" applyFont="1" applyFill="1" applyBorder="1" applyAlignment="1">
      <alignment horizontal="center"/>
    </xf>
    <xf numFmtId="0" fontId="113" fillId="103" borderId="0" xfId="0" applyFont="1" applyFill="1" applyBorder="1" applyAlignment="1">
      <alignment horizontal="center" wrapText="1"/>
    </xf>
    <xf numFmtId="2" fontId="113" fillId="153" borderId="0" xfId="0" applyNumberFormat="1" applyFont="1" applyFill="1" applyBorder="1" applyAlignment="1">
      <alignment horizontal="center"/>
    </xf>
    <xf numFmtId="0" fontId="19" fillId="103" borderId="0" xfId="4778" applyFont="1" applyFill="1" applyBorder="1" applyAlignment="1">
      <alignment horizontal="center"/>
    </xf>
    <xf numFmtId="9" fontId="113" fillId="153" borderId="0" xfId="4795" applyFont="1" applyFill="1" applyBorder="1" applyAlignment="1">
      <alignment horizontal="center"/>
    </xf>
    <xf numFmtId="168" fontId="113" fillId="103" borderId="0" xfId="0" applyNumberFormat="1" applyFont="1" applyFill="1" applyBorder="1" applyAlignment="1">
      <alignment horizontal="center"/>
    </xf>
    <xf numFmtId="0" fontId="113" fillId="103" borderId="0" xfId="0" applyFont="1" applyFill="1" applyBorder="1" applyAlignment="1">
      <alignment horizontal="left"/>
    </xf>
    <xf numFmtId="0" fontId="9" fillId="103" borderId="0" xfId="4778" applyFont="1" applyFill="1" applyBorder="1" applyAlignment="1"/>
    <xf numFmtId="0" fontId="19" fillId="154" borderId="0" xfId="4778" applyFont="1" applyFill="1" applyBorder="1" applyAlignment="1">
      <alignment horizontal="center"/>
    </xf>
    <xf numFmtId="0" fontId="19" fillId="103" borderId="0" xfId="4778" applyFont="1" applyFill="1" applyBorder="1" applyAlignment="1"/>
    <xf numFmtId="0" fontId="113" fillId="155" borderId="0" xfId="0" applyFont="1" applyFill="1" applyBorder="1" applyAlignment="1"/>
    <xf numFmtId="0" fontId="113" fillId="156" borderId="0" xfId="0" applyFont="1" applyFill="1" applyBorder="1" applyAlignment="1"/>
    <xf numFmtId="168" fontId="113" fillId="157" borderId="0" xfId="0" applyNumberFormat="1" applyFont="1" applyFill="1" applyBorder="1" applyAlignment="1">
      <alignment horizontal="center"/>
    </xf>
    <xf numFmtId="0" fontId="113" fillId="155" borderId="0" xfId="0" applyFont="1" applyFill="1" applyBorder="1" applyAlignment="1">
      <alignment horizontal="center"/>
    </xf>
    <xf numFmtId="0" fontId="113" fillId="155" borderId="0" xfId="0" applyFont="1" applyFill="1" applyBorder="1" applyAlignment="1">
      <alignment horizontal="center" wrapText="1"/>
    </xf>
    <xf numFmtId="2" fontId="113" fillId="157" borderId="0" xfId="0" applyNumberFormat="1" applyFont="1" applyFill="1" applyBorder="1" applyAlignment="1">
      <alignment horizontal="center"/>
    </xf>
    <xf numFmtId="0" fontId="19" fillId="155" borderId="0" xfId="4778" applyFont="1" applyFill="1" applyBorder="1" applyAlignment="1">
      <alignment horizontal="center"/>
    </xf>
    <xf numFmtId="9" fontId="113" fillId="157" borderId="0" xfId="4795" applyFont="1" applyFill="1" applyBorder="1" applyAlignment="1">
      <alignment horizontal="center"/>
    </xf>
    <xf numFmtId="168" fontId="113" fillId="155" borderId="0" xfId="0" applyNumberFormat="1" applyFont="1" applyFill="1" applyBorder="1" applyAlignment="1">
      <alignment horizontal="center"/>
    </xf>
    <xf numFmtId="0" fontId="113" fillId="155" borderId="0" xfId="0" applyFont="1" applyFill="1" applyBorder="1" applyAlignment="1">
      <alignment horizontal="left"/>
    </xf>
    <xf numFmtId="0" fontId="9" fillId="155" borderId="0" xfId="4778" applyFont="1" applyFill="1" applyBorder="1" applyAlignment="1"/>
    <xf numFmtId="0" fontId="19" fillId="158" borderId="0" xfId="4778" applyFont="1" applyFill="1" applyBorder="1" applyAlignment="1">
      <alignment horizontal="center"/>
    </xf>
    <xf numFmtId="0" fontId="19" fillId="155" borderId="0" xfId="4778" applyFont="1" applyFill="1" applyBorder="1" applyAlignment="1"/>
    <xf numFmtId="168" fontId="113" fillId="64" borderId="0" xfId="0" applyNumberFormat="1" applyFont="1" applyFill="1" applyBorder="1" applyAlignment="1">
      <alignment horizontal="center"/>
    </xf>
    <xf numFmtId="168" fontId="113" fillId="55" borderId="0" xfId="0" applyNumberFormat="1" applyFont="1" applyFill="1" applyBorder="1" applyAlignment="1">
      <alignment horizontal="center"/>
    </xf>
    <xf numFmtId="0" fontId="113" fillId="91" borderId="0" xfId="0" applyFont="1" applyFill="1" applyBorder="1" applyAlignment="1">
      <alignment horizontal="center"/>
    </xf>
    <xf numFmtId="0" fontId="19" fillId="0" borderId="0" xfId="4778" applyFont="1" applyBorder="1" applyAlignment="1">
      <alignment horizontal="center"/>
    </xf>
    <xf numFmtId="0" fontId="113" fillId="67" borderId="0" xfId="0" applyFont="1" applyFill="1" applyBorder="1" applyAlignment="1"/>
    <xf numFmtId="0" fontId="113" fillId="68" borderId="0" xfId="0" applyFont="1" applyFill="1" applyBorder="1" applyAlignment="1"/>
    <xf numFmtId="168" fontId="113" fillId="91" borderId="0" xfId="0" applyNumberFormat="1" applyFont="1" applyFill="1" applyBorder="1" applyAlignment="1">
      <alignment horizontal="center"/>
    </xf>
    <xf numFmtId="0" fontId="113" fillId="67" borderId="0" xfId="0" applyFont="1" applyFill="1" applyBorder="1" applyAlignment="1">
      <alignment horizontal="center"/>
    </xf>
    <xf numFmtId="0" fontId="113" fillId="67" borderId="0" xfId="0" applyFont="1" applyFill="1" applyBorder="1" applyAlignment="1">
      <alignment horizontal="center" wrapText="1"/>
    </xf>
    <xf numFmtId="0" fontId="113" fillId="91" borderId="0" xfId="4778" applyFont="1" applyFill="1" applyBorder="1" applyAlignment="1"/>
    <xf numFmtId="9" fontId="113" fillId="67" borderId="0" xfId="4795" applyFont="1" applyFill="1" applyBorder="1" applyAlignment="1">
      <alignment horizontal="center"/>
    </xf>
    <xf numFmtId="168" fontId="116" fillId="69" borderId="0" xfId="0" applyNumberFormat="1" applyFont="1" applyFill="1" applyBorder="1" applyAlignment="1">
      <alignment horizontal="center"/>
    </xf>
    <xf numFmtId="2" fontId="113" fillId="55" borderId="0" xfId="0" applyNumberFormat="1" applyFont="1" applyFill="1" applyBorder="1" applyAlignment="1">
      <alignment horizontal="center"/>
    </xf>
    <xf numFmtId="0" fontId="19" fillId="55" borderId="0" xfId="4778" applyFont="1" applyFill="1" applyBorder="1" applyAlignment="1"/>
    <xf numFmtId="0" fontId="116" fillId="67" borderId="0" xfId="0" applyFont="1" applyFill="1" applyBorder="1" applyAlignment="1">
      <alignment horizontal="left"/>
    </xf>
    <xf numFmtId="0" fontId="9" fillId="67" borderId="0" xfId="4778" applyFont="1" applyFill="1" applyBorder="1" applyAlignment="1"/>
    <xf numFmtId="0" fontId="19" fillId="70" borderId="0" xfId="4778" applyFont="1" applyFill="1" applyBorder="1" applyAlignment="1">
      <alignment horizontal="center"/>
    </xf>
    <xf numFmtId="0" fontId="19" fillId="67" borderId="0" xfId="4778" applyFont="1" applyFill="1" applyBorder="1" applyAlignment="1"/>
    <xf numFmtId="0" fontId="113" fillId="71" borderId="0" xfId="0" applyFont="1" applyFill="1" applyBorder="1" applyAlignment="1"/>
    <xf numFmtId="168" fontId="113" fillId="71" borderId="0" xfId="0" applyNumberFormat="1" applyFont="1" applyFill="1" applyBorder="1" applyAlignment="1">
      <alignment horizontal="center"/>
    </xf>
    <xf numFmtId="0" fontId="113" fillId="71" borderId="0" xfId="0" applyFont="1" applyFill="1" applyBorder="1" applyAlignment="1">
      <alignment horizontal="center"/>
    </xf>
    <xf numFmtId="0" fontId="113" fillId="71" borderId="0" xfId="0" applyFont="1" applyFill="1" applyBorder="1" applyAlignment="1">
      <alignment horizontal="center" wrapText="1"/>
    </xf>
    <xf numFmtId="0" fontId="116" fillId="71" borderId="0" xfId="0" applyFont="1" applyFill="1" applyBorder="1" applyAlignment="1">
      <alignment horizontal="center"/>
    </xf>
    <xf numFmtId="2" fontId="116" fillId="71" borderId="0" xfId="0" applyNumberFormat="1" applyFont="1" applyFill="1" applyBorder="1" applyAlignment="1">
      <alignment horizontal="center"/>
    </xf>
    <xf numFmtId="9" fontId="113" fillId="71" borderId="0" xfId="4795" applyFont="1" applyFill="1" applyBorder="1" applyAlignment="1">
      <alignment horizontal="center"/>
    </xf>
    <xf numFmtId="0" fontId="113" fillId="71" borderId="0" xfId="0" applyFont="1" applyFill="1" applyBorder="1" applyAlignment="1">
      <alignment horizontal="left"/>
    </xf>
    <xf numFmtId="0" fontId="9" fillId="71" borderId="0" xfId="4778" applyFont="1" applyFill="1" applyBorder="1" applyAlignment="1"/>
    <xf numFmtId="0" fontId="19" fillId="71" borderId="0" xfId="4778" applyFont="1" applyFill="1" applyBorder="1" applyAlignment="1">
      <alignment horizontal="center"/>
    </xf>
    <xf numFmtId="0" fontId="19" fillId="71" borderId="0" xfId="4778" applyFont="1" applyFill="1" applyBorder="1" applyAlignment="1"/>
    <xf numFmtId="2" fontId="113" fillId="161" borderId="0" xfId="0" applyNumberFormat="1" applyFont="1" applyFill="1" applyBorder="1" applyAlignment="1">
      <alignment horizontal="center"/>
    </xf>
    <xf numFmtId="0" fontId="116" fillId="161" borderId="0" xfId="0" applyFont="1" applyFill="1" applyBorder="1" applyAlignment="1">
      <alignment horizontal="center"/>
    </xf>
    <xf numFmtId="168" fontId="113" fillId="159" borderId="0" xfId="0" applyNumberFormat="1" applyFont="1" applyFill="1" applyBorder="1" applyAlignment="1">
      <alignment horizontal="center"/>
    </xf>
    <xf numFmtId="0" fontId="113" fillId="76" borderId="0" xfId="0" applyFont="1" applyFill="1" applyBorder="1" applyAlignment="1"/>
    <xf numFmtId="0" fontId="113" fillId="163" borderId="0" xfId="0" applyFont="1" applyFill="1" applyBorder="1" applyAlignment="1"/>
    <xf numFmtId="168" fontId="113" fillId="164" borderId="0" xfId="0" applyNumberFormat="1" applyFont="1" applyFill="1" applyBorder="1" applyAlignment="1">
      <alignment horizontal="center"/>
    </xf>
    <xf numFmtId="0" fontId="113" fillId="76" borderId="0" xfId="0" applyFont="1" applyFill="1" applyBorder="1" applyAlignment="1">
      <alignment horizontal="center"/>
    </xf>
    <xf numFmtId="0" fontId="113" fillId="76" borderId="0" xfId="0" applyFont="1" applyFill="1" applyBorder="1" applyAlignment="1">
      <alignment horizontal="center" wrapText="1"/>
    </xf>
    <xf numFmtId="2" fontId="113" fillId="165" borderId="0" xfId="0" applyNumberFormat="1" applyFont="1" applyFill="1" applyBorder="1" applyAlignment="1">
      <alignment horizontal="center"/>
    </xf>
    <xf numFmtId="0" fontId="113" fillId="164" borderId="0" xfId="0" applyFont="1" applyFill="1" applyBorder="1" applyAlignment="1">
      <alignment horizontal="center"/>
    </xf>
    <xf numFmtId="0" fontId="19" fillId="76" borderId="0" xfId="4778" applyFont="1" applyFill="1" applyBorder="1" applyAlignment="1">
      <alignment horizontal="center"/>
    </xf>
    <xf numFmtId="9" fontId="113" fillId="76" borderId="0" xfId="4795" applyFont="1" applyFill="1" applyBorder="1" applyAlignment="1">
      <alignment horizontal="center"/>
    </xf>
    <xf numFmtId="168" fontId="113" fillId="165" borderId="0" xfId="0" applyNumberFormat="1" applyFont="1" applyFill="1" applyBorder="1" applyAlignment="1">
      <alignment horizontal="center"/>
    </xf>
    <xf numFmtId="2" fontId="113" fillId="164" borderId="0" xfId="0" applyNumberFormat="1" applyFont="1" applyFill="1" applyBorder="1" applyAlignment="1">
      <alignment horizontal="center"/>
    </xf>
    <xf numFmtId="168" fontId="113" fillId="76" borderId="0" xfId="0" applyNumberFormat="1" applyFont="1" applyFill="1" applyBorder="1" applyAlignment="1">
      <alignment horizontal="center"/>
    </xf>
    <xf numFmtId="0" fontId="113" fillId="76" borderId="0" xfId="0" applyFont="1" applyFill="1" applyBorder="1" applyAlignment="1">
      <alignment horizontal="left"/>
    </xf>
    <xf numFmtId="0" fontId="9" fillId="76" borderId="0" xfId="4778" applyFont="1" applyFill="1" applyBorder="1" applyAlignment="1"/>
    <xf numFmtId="0" fontId="19" fillId="166" borderId="0" xfId="4778" applyFont="1" applyFill="1" applyBorder="1" applyAlignment="1">
      <alignment horizontal="center"/>
    </xf>
    <xf numFmtId="0" fontId="19" fillId="76" borderId="0" xfId="4778" applyFont="1" applyFill="1" applyBorder="1" applyAlignment="1"/>
    <xf numFmtId="0" fontId="113" fillId="167" borderId="0" xfId="0" applyFont="1" applyFill="1" applyBorder="1" applyAlignment="1"/>
    <xf numFmtId="0" fontId="113" fillId="168" borderId="0" xfId="0" applyFont="1" applyFill="1" applyBorder="1" applyAlignment="1"/>
    <xf numFmtId="168" fontId="113" fillId="169" borderId="0" xfId="0" applyNumberFormat="1" applyFont="1" applyFill="1" applyBorder="1" applyAlignment="1">
      <alignment horizontal="center"/>
    </xf>
    <xf numFmtId="0" fontId="113" fillId="167" borderId="0" xfId="0" applyFont="1" applyFill="1" applyBorder="1" applyAlignment="1">
      <alignment horizontal="center"/>
    </xf>
    <xf numFmtId="0" fontId="113" fillId="167" borderId="0" xfId="0" applyFont="1" applyFill="1" applyBorder="1" applyAlignment="1">
      <alignment horizontal="center" wrapText="1"/>
    </xf>
    <xf numFmtId="2" fontId="113" fillId="170" borderId="0" xfId="0" applyNumberFormat="1" applyFont="1" applyFill="1" applyBorder="1" applyAlignment="1">
      <alignment horizontal="center"/>
    </xf>
    <xf numFmtId="0" fontId="113" fillId="169" borderId="0" xfId="0" applyFont="1" applyFill="1" applyBorder="1" applyAlignment="1">
      <alignment horizontal="center"/>
    </xf>
    <xf numFmtId="0" fontId="19" fillId="167" borderId="0" xfId="4778" applyFont="1" applyFill="1" applyBorder="1" applyAlignment="1">
      <alignment horizontal="center"/>
    </xf>
    <xf numFmtId="9" fontId="113" fillId="167" borderId="0" xfId="4795" applyFont="1" applyFill="1" applyBorder="1" applyAlignment="1">
      <alignment horizontal="center"/>
    </xf>
    <xf numFmtId="168" fontId="113" fillId="170" borderId="0" xfId="0" applyNumberFormat="1" applyFont="1" applyFill="1" applyBorder="1" applyAlignment="1">
      <alignment horizontal="center"/>
    </xf>
    <xf numFmtId="2" fontId="113" fillId="169" borderId="0" xfId="0" applyNumberFormat="1" applyFont="1" applyFill="1" applyBorder="1" applyAlignment="1">
      <alignment horizontal="center"/>
    </xf>
    <xf numFmtId="168" fontId="113" fillId="167" borderId="0" xfId="0" applyNumberFormat="1" applyFont="1" applyFill="1" applyBorder="1" applyAlignment="1">
      <alignment horizontal="center"/>
    </xf>
    <xf numFmtId="0" fontId="113" fillId="167" borderId="0" xfId="0" applyFont="1" applyFill="1" applyBorder="1" applyAlignment="1">
      <alignment horizontal="left"/>
    </xf>
    <xf numFmtId="0" fontId="9" fillId="167" borderId="0" xfId="4778" applyFont="1" applyFill="1" applyBorder="1" applyAlignment="1"/>
    <xf numFmtId="0" fontId="19" fillId="171" borderId="0" xfId="4778" applyFont="1" applyFill="1" applyBorder="1" applyAlignment="1">
      <alignment horizontal="center"/>
    </xf>
    <xf numFmtId="0" fontId="19" fillId="167" borderId="0" xfId="4778" applyFont="1" applyFill="1" applyBorder="1" applyAlignment="1"/>
    <xf numFmtId="168" fontId="113" fillId="93" borderId="2" xfId="0" applyNumberFormat="1" applyFont="1" applyFill="1" applyBorder="1" applyAlignment="1">
      <alignment horizontal="center"/>
    </xf>
    <xf numFmtId="2" fontId="113" fillId="92" borderId="2" xfId="0" applyNumberFormat="1" applyFont="1" applyFill="1" applyBorder="1" applyAlignment="1">
      <alignment horizontal="center"/>
    </xf>
    <xf numFmtId="0" fontId="113" fillId="93" borderId="2" xfId="0" applyFont="1" applyFill="1" applyBorder="1" applyAlignment="1"/>
    <xf numFmtId="168" fontId="113" fillId="92" borderId="2" xfId="0" applyNumberFormat="1" applyFont="1" applyFill="1" applyBorder="1" applyAlignment="1">
      <alignment horizontal="center"/>
    </xf>
    <xf numFmtId="1" fontId="113" fillId="93" borderId="2" xfId="0" applyNumberFormat="1" applyFont="1" applyFill="1" applyBorder="1" applyAlignment="1">
      <alignment horizontal="center"/>
    </xf>
    <xf numFmtId="0" fontId="113" fillId="93" borderId="2" xfId="0" applyFont="1" applyFill="1" applyBorder="1" applyAlignment="1">
      <alignment horizontal="center"/>
    </xf>
    <xf numFmtId="0" fontId="113" fillId="0" borderId="2" xfId="0" applyFont="1" applyBorder="1" applyAlignment="1"/>
    <xf numFmtId="0" fontId="113" fillId="63" borderId="2" xfId="0" applyFont="1" applyFill="1" applyBorder="1" applyAlignment="1"/>
    <xf numFmtId="168" fontId="113" fillId="60" borderId="2" xfId="0" applyNumberFormat="1" applyFont="1" applyFill="1" applyBorder="1" applyAlignment="1">
      <alignment horizontal="center"/>
    </xf>
    <xf numFmtId="0" fontId="113" fillId="0" borderId="2" xfId="0" applyFont="1" applyBorder="1" applyAlignment="1">
      <alignment horizontal="center"/>
    </xf>
    <xf numFmtId="0" fontId="113" fillId="0" borderId="2" xfId="0" applyFont="1" applyFill="1" applyBorder="1" applyAlignment="1">
      <alignment horizontal="center" wrapText="1"/>
    </xf>
    <xf numFmtId="0" fontId="113" fillId="0" borderId="2" xfId="0" applyFont="1" applyBorder="1" applyAlignment="1">
      <alignment horizontal="center" wrapText="1"/>
    </xf>
    <xf numFmtId="2" fontId="113" fillId="60" borderId="2" xfId="0" applyNumberFormat="1" applyFont="1" applyFill="1" applyBorder="1" applyAlignment="1">
      <alignment horizontal="center"/>
    </xf>
    <xf numFmtId="0" fontId="113" fillId="60" borderId="2" xfId="0" applyFont="1" applyFill="1" applyBorder="1" applyAlignment="1">
      <alignment horizontal="center"/>
    </xf>
    <xf numFmtId="9" fontId="113" fillId="60" borderId="2" xfId="4795" applyFont="1" applyFill="1" applyBorder="1" applyAlignment="1">
      <alignment horizontal="center"/>
    </xf>
    <xf numFmtId="168" fontId="113" fillId="0" borderId="2" xfId="0" applyNumberFormat="1" applyFont="1" applyBorder="1" applyAlignment="1">
      <alignment horizontal="center"/>
    </xf>
    <xf numFmtId="0" fontId="113" fillId="0" borderId="2" xfId="0" applyFont="1" applyBorder="1" applyAlignment="1">
      <alignment horizontal="left"/>
    </xf>
    <xf numFmtId="0" fontId="9" fillId="0" borderId="2" xfId="4778" applyFont="1" applyBorder="1" applyAlignment="1"/>
    <xf numFmtId="0" fontId="19" fillId="53" borderId="2" xfId="4778" applyFont="1" applyFill="1" applyBorder="1" applyAlignment="1">
      <alignment horizontal="center"/>
    </xf>
    <xf numFmtId="0" fontId="19" fillId="0" borderId="2" xfId="4778" applyFont="1" applyBorder="1" applyAlignment="1"/>
    <xf numFmtId="168" fontId="113" fillId="55" borderId="2" xfId="0" applyNumberFormat="1" applyFont="1" applyFill="1" applyBorder="1" applyAlignment="1">
      <alignment horizontal="center"/>
    </xf>
    <xf numFmtId="0" fontId="113" fillId="0" borderId="2" xfId="0" applyFont="1" applyFill="1" applyBorder="1" applyAlignment="1">
      <alignment horizontal="center"/>
    </xf>
    <xf numFmtId="0" fontId="113" fillId="55" borderId="2" xfId="0" applyFont="1" applyFill="1" applyBorder="1" applyAlignment="1">
      <alignment horizontal="center"/>
    </xf>
    <xf numFmtId="0" fontId="113" fillId="91" borderId="2" xfId="0" applyFont="1" applyFill="1" applyBorder="1" applyAlignment="1">
      <alignment horizontal="center"/>
    </xf>
    <xf numFmtId="168" fontId="0" fillId="53" borderId="2" xfId="0" applyNumberFormat="1" applyFill="1" applyBorder="1" applyAlignment="1">
      <alignment horizontal="center" vertical="center"/>
    </xf>
    <xf numFmtId="168" fontId="136" fillId="0" borderId="2" xfId="0" applyNumberFormat="1" applyFont="1" applyFill="1" applyBorder="1" applyAlignment="1">
      <alignment horizontal="center" vertical="center"/>
    </xf>
    <xf numFmtId="2" fontId="136" fillId="0" borderId="2" xfId="0" applyNumberFormat="1" applyFont="1" applyFill="1" applyBorder="1" applyAlignment="1">
      <alignment horizontal="center" vertical="center"/>
    </xf>
    <xf numFmtId="0" fontId="0" fillId="65" borderId="0" xfId="0" applyFill="1" applyBorder="1" applyAlignment="1">
      <alignment vertical="center"/>
    </xf>
    <xf numFmtId="188" fontId="0" fillId="65" borderId="0" xfId="0" applyNumberFormat="1" applyFill="1" applyBorder="1" applyAlignment="1">
      <alignment horizontal="right" vertical="center"/>
    </xf>
    <xf numFmtId="188" fontId="0" fillId="65" borderId="0" xfId="0" applyNumberFormat="1" applyFill="1" applyBorder="1" applyAlignment="1">
      <alignment vertical="center"/>
    </xf>
    <xf numFmtId="0" fontId="29" fillId="65" borderId="0" xfId="0" applyFont="1" applyFill="1" applyBorder="1" applyAlignment="1">
      <alignment vertical="center"/>
    </xf>
    <xf numFmtId="2" fontId="0" fillId="65" borderId="0" xfId="0" applyNumberFormat="1" applyFill="1" applyBorder="1" applyAlignment="1">
      <alignment horizontal="center" vertical="center"/>
    </xf>
    <xf numFmtId="9" fontId="0" fillId="65" borderId="0" xfId="0" applyNumberFormat="1" applyFill="1" applyBorder="1" applyAlignment="1">
      <alignment horizontal="center" vertical="center"/>
    </xf>
    <xf numFmtId="168" fontId="0" fillId="65" borderId="0" xfId="0" applyNumberFormat="1" applyFill="1" applyBorder="1" applyAlignment="1">
      <alignment horizontal="center" vertical="center"/>
    </xf>
    <xf numFmtId="1" fontId="0" fillId="65" borderId="0" xfId="0" applyNumberFormat="1" applyFill="1" applyBorder="1" applyAlignment="1">
      <alignment horizontal="center" vertical="center"/>
    </xf>
    <xf numFmtId="188" fontId="29" fillId="65" borderId="0" xfId="0" applyNumberFormat="1" applyFont="1" applyFill="1" applyBorder="1" applyAlignment="1">
      <alignment vertical="center"/>
    </xf>
    <xf numFmtId="168" fontId="29" fillId="65" borderId="0" xfId="0" applyNumberFormat="1" applyFont="1" applyFill="1" applyBorder="1" applyAlignment="1">
      <alignment horizontal="center" vertical="center"/>
    </xf>
    <xf numFmtId="0" fontId="0" fillId="72" borderId="0" xfId="0" applyFill="1" applyBorder="1" applyAlignment="1">
      <alignment vertical="center"/>
    </xf>
    <xf numFmtId="188" fontId="0" fillId="72" borderId="0" xfId="0" applyNumberFormat="1" applyFill="1" applyBorder="1" applyAlignment="1">
      <alignment horizontal="right" vertical="center"/>
    </xf>
    <xf numFmtId="0" fontId="29" fillId="72" borderId="0" xfId="0" applyFont="1" applyFill="1" applyBorder="1" applyAlignment="1">
      <alignment vertical="center"/>
    </xf>
    <xf numFmtId="0" fontId="0" fillId="72" borderId="0" xfId="0" applyFill="1" applyBorder="1" applyAlignment="1">
      <alignment horizontal="center" vertical="center"/>
    </xf>
    <xf numFmtId="9" fontId="0" fillId="72" borderId="0" xfId="0" applyNumberFormat="1" applyFill="1" applyBorder="1" applyAlignment="1">
      <alignment horizontal="center" vertical="center"/>
    </xf>
    <xf numFmtId="168" fontId="0" fillId="72" borderId="0" xfId="0" applyNumberFormat="1" applyFill="1" applyBorder="1" applyAlignment="1">
      <alignment horizontal="center" vertical="center"/>
    </xf>
    <xf numFmtId="2" fontId="0" fillId="72" borderId="0" xfId="0" applyNumberFormat="1" applyFill="1" applyBorder="1" applyAlignment="1">
      <alignment horizontal="center" vertical="center"/>
    </xf>
    <xf numFmtId="1" fontId="0" fillId="72" borderId="0" xfId="0" applyNumberFormat="1" applyFill="1" applyBorder="1" applyAlignment="1">
      <alignment horizontal="center" vertical="center"/>
    </xf>
    <xf numFmtId="0" fontId="0" fillId="172" borderId="0" xfId="0" applyFill="1" applyBorder="1" applyAlignment="1">
      <alignment vertical="center"/>
    </xf>
    <xf numFmtId="188" fontId="0" fillId="172" borderId="0" xfId="0" applyNumberFormat="1" applyFill="1" applyBorder="1" applyAlignment="1">
      <alignment horizontal="right" vertical="center"/>
    </xf>
    <xf numFmtId="188" fontId="0" fillId="172" borderId="0" xfId="0" applyNumberFormat="1" applyFill="1" applyBorder="1" applyAlignment="1">
      <alignment vertical="center"/>
    </xf>
    <xf numFmtId="0" fontId="29" fillId="172" borderId="0" xfId="0" applyFont="1" applyFill="1" applyBorder="1" applyAlignment="1">
      <alignment vertical="center"/>
    </xf>
    <xf numFmtId="2" fontId="0" fillId="172" borderId="0" xfId="0" applyNumberFormat="1" applyFill="1" applyBorder="1" applyAlignment="1">
      <alignment horizontal="center" vertical="center"/>
    </xf>
    <xf numFmtId="0" fontId="0" fillId="173" borderId="0" xfId="0" applyFill="1" applyBorder="1" applyAlignment="1">
      <alignment vertical="center"/>
    </xf>
    <xf numFmtId="188" fontId="0" fillId="173" borderId="0" xfId="0" applyNumberFormat="1" applyFill="1" applyBorder="1" applyAlignment="1">
      <alignment horizontal="right" vertical="center"/>
    </xf>
    <xf numFmtId="188" fontId="0" fillId="173" borderId="0" xfId="0" applyNumberFormat="1" applyFill="1" applyBorder="1" applyAlignment="1">
      <alignment vertical="center"/>
    </xf>
    <xf numFmtId="0" fontId="29" fillId="173" borderId="0" xfId="0" applyFont="1" applyFill="1" applyBorder="1" applyAlignment="1">
      <alignment vertical="center"/>
    </xf>
    <xf numFmtId="2" fontId="0" fillId="173" borderId="0" xfId="0" applyNumberFormat="1" applyFill="1" applyBorder="1" applyAlignment="1">
      <alignment horizontal="center" vertical="center"/>
    </xf>
    <xf numFmtId="168" fontId="132" fillId="0" borderId="2" xfId="0" applyNumberFormat="1" applyFont="1" applyFill="1" applyBorder="1" applyAlignment="1">
      <alignment horizontal="center" vertical="center"/>
    </xf>
    <xf numFmtId="168" fontId="29" fillId="0" borderId="2" xfId="0" applyNumberFormat="1" applyFont="1" applyFill="1" applyBorder="1" applyAlignment="1">
      <alignment horizontal="center" vertical="center"/>
    </xf>
    <xf numFmtId="0" fontId="0" fillId="89" borderId="0" xfId="0" applyFill="1" applyBorder="1" applyAlignment="1">
      <alignment vertical="center"/>
    </xf>
    <xf numFmtId="188" fontId="0" fillId="89" borderId="0" xfId="0" applyNumberFormat="1" applyFill="1" applyBorder="1" applyAlignment="1">
      <alignment horizontal="right" vertical="center"/>
    </xf>
    <xf numFmtId="188" fontId="0" fillId="89" borderId="0" xfId="0" applyNumberFormat="1" applyFill="1" applyBorder="1" applyAlignment="1">
      <alignment vertical="center"/>
    </xf>
    <xf numFmtId="0" fontId="29" fillId="89" borderId="0" xfId="0" applyFont="1" applyFill="1" applyBorder="1" applyAlignment="1">
      <alignment vertical="center"/>
    </xf>
    <xf numFmtId="0" fontId="0" fillId="89" borderId="0" xfId="0" applyFill="1" applyBorder="1" applyAlignment="1">
      <alignment horizontal="center" vertical="center"/>
    </xf>
    <xf numFmtId="1" fontId="0" fillId="89" borderId="0" xfId="0" applyNumberFormat="1" applyFill="1" applyBorder="1" applyAlignment="1">
      <alignment horizontal="center" vertical="center"/>
    </xf>
    <xf numFmtId="2" fontId="0" fillId="89" borderId="0" xfId="0" applyNumberFormat="1" applyFill="1" applyBorder="1" applyAlignment="1">
      <alignment horizontal="center" vertical="center"/>
    </xf>
    <xf numFmtId="0" fontId="0" fillId="89" borderId="0" xfId="0" applyFill="1" applyBorder="1" applyAlignment="1">
      <alignment horizontal="right" vertical="center"/>
    </xf>
    <xf numFmtId="0" fontId="0" fillId="89" borderId="0" xfId="0" applyFill="1" applyBorder="1"/>
    <xf numFmtId="188" fontId="29" fillId="89" borderId="0" xfId="0" applyNumberFormat="1" applyFont="1" applyFill="1" applyBorder="1" applyAlignment="1">
      <alignment vertical="center"/>
    </xf>
    <xf numFmtId="168" fontId="0" fillId="89" borderId="0" xfId="0" applyNumberFormat="1" applyFill="1" applyBorder="1" applyAlignment="1">
      <alignment vertical="center"/>
    </xf>
    <xf numFmtId="168" fontId="0" fillId="89" borderId="0" xfId="0" applyNumberFormat="1" applyFill="1" applyBorder="1"/>
    <xf numFmtId="0" fontId="136" fillId="89" borderId="0" xfId="0" applyFont="1" applyFill="1" applyBorder="1" applyAlignment="1">
      <alignment horizontal="center" vertical="center"/>
    </xf>
    <xf numFmtId="188" fontId="29" fillId="0" borderId="2" xfId="4" applyNumberFormat="1" applyFont="1" applyFill="1" applyBorder="1" applyAlignment="1">
      <alignment horizontal="left" vertical="center"/>
    </xf>
    <xf numFmtId="188" fontId="29" fillId="0" borderId="0" xfId="4" applyNumberFormat="1" applyFont="1" applyFill="1" applyBorder="1" applyAlignment="1">
      <alignment horizontal="left" vertical="center"/>
    </xf>
    <xf numFmtId="188" fontId="29" fillId="66" borderId="0" xfId="4" applyNumberFormat="1" applyFont="1" applyFill="1" applyBorder="1" applyAlignment="1">
      <alignment horizontal="left" vertical="center"/>
    </xf>
    <xf numFmtId="188" fontId="29" fillId="0" borderId="4" xfId="4" applyNumberFormat="1" applyFont="1" applyFill="1" applyBorder="1" applyAlignment="1">
      <alignment horizontal="left" vertical="center"/>
    </xf>
    <xf numFmtId="9" fontId="0" fillId="0" borderId="0" xfId="0" applyNumberFormat="1" applyFill="1" applyBorder="1" applyAlignment="1">
      <alignment horizontal="center"/>
    </xf>
    <xf numFmtId="0" fontId="29" fillId="72" borderId="0" xfId="0" applyFont="1" applyFill="1"/>
    <xf numFmtId="188" fontId="0" fillId="72" borderId="0" xfId="0" applyNumberFormat="1" applyFill="1" applyBorder="1"/>
    <xf numFmtId="2" fontId="0" fillId="72" borderId="0" xfId="0" applyNumberFormat="1" applyFill="1" applyBorder="1" applyAlignment="1">
      <alignment horizontal="center"/>
    </xf>
    <xf numFmtId="0" fontId="0" fillId="72" borderId="0" xfId="0" applyNumberFormat="1" applyFill="1" applyBorder="1" applyAlignment="1">
      <alignment horizontal="center"/>
    </xf>
    <xf numFmtId="9" fontId="0" fillId="72" borderId="0" xfId="0" applyNumberFormat="1" applyFill="1" applyBorder="1" applyAlignment="1">
      <alignment horizontal="center"/>
    </xf>
    <xf numFmtId="9" fontId="0" fillId="72" borderId="0" xfId="3" applyFont="1" applyFill="1" applyBorder="1" applyAlignment="1">
      <alignment horizontal="center"/>
    </xf>
    <xf numFmtId="168" fontId="0" fillId="72" borderId="0" xfId="0" applyNumberFormat="1" applyFill="1" applyBorder="1" applyAlignment="1">
      <alignment horizontal="center"/>
    </xf>
    <xf numFmtId="2" fontId="136" fillId="72" borderId="0" xfId="0" applyNumberFormat="1" applyFont="1" applyFill="1" applyBorder="1" applyAlignment="1">
      <alignment horizontal="center"/>
    </xf>
    <xf numFmtId="1" fontId="136" fillId="72" borderId="0" xfId="0" applyNumberFormat="1" applyFont="1" applyFill="1" applyBorder="1" applyAlignment="1">
      <alignment horizontal="center"/>
    </xf>
    <xf numFmtId="1" fontId="0" fillId="72" borderId="0" xfId="0" applyNumberFormat="1" applyFill="1" applyBorder="1" applyAlignment="1">
      <alignment horizontal="center"/>
    </xf>
    <xf numFmtId="0" fontId="0" fillId="72" borderId="0" xfId="0" applyFill="1" applyBorder="1"/>
    <xf numFmtId="195" fontId="0" fillId="0" borderId="0" xfId="0" applyNumberFormat="1" applyFill="1" applyBorder="1" applyAlignment="1">
      <alignment horizontal="center"/>
    </xf>
    <xf numFmtId="188" fontId="29" fillId="0" borderId="0" xfId="0" applyNumberFormat="1" applyFont="1" applyFill="1" applyBorder="1" applyAlignment="1">
      <alignment horizontal="right" vertical="center"/>
    </xf>
    <xf numFmtId="0" fontId="0" fillId="174" borderId="0" xfId="0" applyFill="1"/>
    <xf numFmtId="188" fontId="29" fillId="174" borderId="0" xfId="0" applyNumberFormat="1" applyFont="1" applyFill="1" applyBorder="1"/>
    <xf numFmtId="0" fontId="29" fillId="174" borderId="0" xfId="0" applyFont="1" applyFill="1"/>
    <xf numFmtId="0" fontId="142" fillId="0" borderId="0" xfId="0" applyFont="1" applyAlignment="1">
      <alignment horizontal="left"/>
    </xf>
    <xf numFmtId="0" fontId="142" fillId="54" borderId="0" xfId="0" applyFont="1" applyFill="1" applyAlignment="1">
      <alignment horizontal="left"/>
    </xf>
    <xf numFmtId="0" fontId="142" fillId="0" borderId="0" xfId="0" applyFont="1" applyAlignment="1">
      <alignment horizontal="left" vertical="center" wrapText="1"/>
    </xf>
    <xf numFmtId="0" fontId="142" fillId="103" borderId="0" xfId="0" applyFont="1" applyFill="1" applyAlignment="1">
      <alignment horizontal="left"/>
    </xf>
    <xf numFmtId="188" fontId="29" fillId="0" borderId="0" xfId="0" applyNumberFormat="1" applyFont="1" applyAlignment="1">
      <alignment horizontal="left" vertical="center"/>
    </xf>
    <xf numFmtId="0" fontId="142" fillId="100" borderId="0" xfId="33456" applyFont="1" applyFill="1" applyAlignment="1">
      <alignment horizontal="left"/>
    </xf>
    <xf numFmtId="0" fontId="142" fillId="100" borderId="0" xfId="33455" applyFont="1" applyFill="1" applyAlignment="1">
      <alignment horizontal="left"/>
    </xf>
    <xf numFmtId="0" fontId="142" fillId="76" borderId="0" xfId="0" applyFont="1" applyFill="1" applyAlignment="1">
      <alignment horizontal="left"/>
    </xf>
    <xf numFmtId="0" fontId="142" fillId="76" borderId="0" xfId="33455" applyFont="1" applyFill="1" applyAlignment="1">
      <alignment horizontal="left"/>
    </xf>
    <xf numFmtId="0" fontId="142" fillId="0" borderId="0" xfId="33455" applyFont="1" applyAlignment="1">
      <alignment horizontal="left"/>
    </xf>
    <xf numFmtId="0" fontId="142" fillId="102" borderId="0" xfId="33455" applyFont="1" applyFill="1" applyAlignment="1">
      <alignment horizontal="left"/>
    </xf>
    <xf numFmtId="0" fontId="142" fillId="102" borderId="0" xfId="0" applyFont="1" applyFill="1" applyAlignment="1">
      <alignment horizontal="left"/>
    </xf>
    <xf numFmtId="0" fontId="142" fillId="175" borderId="0" xfId="0" applyFont="1" applyFill="1"/>
    <xf numFmtId="0" fontId="142" fillId="175" borderId="0" xfId="33456" applyFont="1" applyFill="1"/>
    <xf numFmtId="0" fontId="142" fillId="175" borderId="0" xfId="0" applyFont="1" applyFill="1" applyAlignment="1">
      <alignment horizontal="left"/>
    </xf>
    <xf numFmtId="0" fontId="142" fillId="176" borderId="0" xfId="0" applyFont="1" applyFill="1"/>
    <xf numFmtId="0" fontId="145" fillId="175" borderId="0" xfId="0" applyFont="1" applyFill="1"/>
    <xf numFmtId="0" fontId="145" fillId="176" borderId="0" xfId="0" applyFont="1" applyFill="1"/>
    <xf numFmtId="0" fontId="142" fillId="175" borderId="40" xfId="0" applyFont="1" applyFill="1" applyBorder="1"/>
    <xf numFmtId="0" fontId="148" fillId="177" borderId="0" xfId="0" applyFont="1" applyFill="1"/>
    <xf numFmtId="2" fontId="142" fillId="175" borderId="0" xfId="0" applyNumberFormat="1" applyFont="1" applyFill="1"/>
    <xf numFmtId="2" fontId="148" fillId="174" borderId="0" xfId="0" applyNumberFormat="1" applyFont="1" applyFill="1"/>
    <xf numFmtId="2" fontId="148" fillId="177" borderId="0" xfId="0" applyNumberFormat="1" applyFont="1" applyFill="1"/>
    <xf numFmtId="0" fontId="142" fillId="175" borderId="0" xfId="0" applyFont="1" applyFill="1" applyAlignment="1">
      <alignment horizontal="center"/>
    </xf>
    <xf numFmtId="189" fontId="142" fillId="175" borderId="0" xfId="0" applyNumberFormat="1" applyFont="1" applyFill="1"/>
    <xf numFmtId="0" fontId="113" fillId="174" borderId="0" xfId="0" applyFont="1" applyFill="1"/>
    <xf numFmtId="11" fontId="142" fillId="0" borderId="0" xfId="0" applyNumberFormat="1" applyFont="1"/>
    <xf numFmtId="191" fontId="0" fillId="174" borderId="0" xfId="0" applyNumberFormat="1" applyFill="1" applyBorder="1" applyAlignment="1">
      <alignment horizontal="center"/>
    </xf>
    <xf numFmtId="0" fontId="2" fillId="0" borderId="0" xfId="33457"/>
    <xf numFmtId="191" fontId="0" fillId="0" borderId="0" xfId="0" applyNumberFormat="1" applyFill="1" applyBorder="1" applyAlignment="1">
      <alignment horizontal="center"/>
    </xf>
    <xf numFmtId="0" fontId="0" fillId="65" borderId="0" xfId="0" applyFill="1"/>
    <xf numFmtId="0" fontId="0" fillId="65" borderId="0" xfId="0" quotePrefix="1" applyFill="1" applyAlignment="1">
      <alignment horizontal="left" wrapText="1"/>
    </xf>
    <xf numFmtId="188" fontId="29" fillId="65" borderId="0" xfId="0" applyNumberFormat="1" applyFont="1" applyFill="1" applyBorder="1"/>
    <xf numFmtId="188" fontId="0" fillId="65" borderId="0" xfId="0" applyNumberFormat="1" applyFill="1" applyBorder="1"/>
    <xf numFmtId="0" fontId="0" fillId="65" borderId="0" xfId="0" applyFill="1" applyBorder="1"/>
    <xf numFmtId="9" fontId="0" fillId="65" borderId="0" xfId="3" applyFont="1" applyFill="1" applyBorder="1" applyAlignment="1">
      <alignment horizontal="center"/>
    </xf>
    <xf numFmtId="195" fontId="0" fillId="65" borderId="0" xfId="0" applyNumberFormat="1" applyFill="1" applyBorder="1" applyAlignment="1">
      <alignment horizontal="center"/>
    </xf>
    <xf numFmtId="1" fontId="0" fillId="65" borderId="0" xfId="0" applyNumberFormat="1" applyFill="1" applyBorder="1" applyAlignment="1">
      <alignment horizontal="center"/>
    </xf>
    <xf numFmtId="0" fontId="0" fillId="65" borderId="0" xfId="0" applyFill="1" applyBorder="1" applyAlignment="1">
      <alignment horizontal="center"/>
    </xf>
    <xf numFmtId="0" fontId="0" fillId="66" borderId="0" xfId="0" quotePrefix="1" applyFill="1" applyAlignment="1">
      <alignment horizontal="left" wrapText="1"/>
    </xf>
    <xf numFmtId="188" fontId="29" fillId="66" borderId="0" xfId="0" applyNumberFormat="1" applyFont="1" applyFill="1" applyBorder="1"/>
    <xf numFmtId="188" fontId="0" fillId="66" borderId="0" xfId="0" applyNumberFormat="1" applyFill="1" applyBorder="1"/>
    <xf numFmtId="0" fontId="0" fillId="66" borderId="0" xfId="0" applyFill="1" applyBorder="1"/>
    <xf numFmtId="0" fontId="0" fillId="66" borderId="0" xfId="0" applyNumberFormat="1" applyFill="1" applyBorder="1" applyAlignment="1">
      <alignment horizontal="center"/>
    </xf>
    <xf numFmtId="9" fontId="0" fillId="66" borderId="0" xfId="3" applyFont="1" applyFill="1" applyBorder="1" applyAlignment="1">
      <alignment horizontal="center"/>
    </xf>
    <xf numFmtId="195" fontId="0" fillId="66" borderId="0" xfId="0" applyNumberFormat="1" applyFill="1" applyBorder="1" applyAlignment="1">
      <alignment horizontal="center"/>
    </xf>
    <xf numFmtId="168" fontId="0" fillId="66" borderId="0" xfId="0" applyNumberFormat="1" applyFill="1" applyBorder="1" applyAlignment="1">
      <alignment horizontal="center"/>
    </xf>
    <xf numFmtId="189" fontId="136" fillId="66" borderId="0" xfId="0" applyNumberFormat="1" applyFont="1" applyFill="1" applyBorder="1" applyAlignment="1">
      <alignment horizontal="center"/>
    </xf>
    <xf numFmtId="1" fontId="0" fillId="66" borderId="0" xfId="0" applyNumberFormat="1" applyFill="1" applyBorder="1" applyAlignment="1">
      <alignment horizontal="center"/>
    </xf>
    <xf numFmtId="0" fontId="0" fillId="66" borderId="0" xfId="0" applyFill="1" applyBorder="1" applyAlignment="1">
      <alignment horizontal="center"/>
    </xf>
    <xf numFmtId="0" fontId="0" fillId="75" borderId="0" xfId="0" quotePrefix="1" applyFill="1" applyAlignment="1">
      <alignment horizontal="left" wrapText="1"/>
    </xf>
    <xf numFmtId="195" fontId="0" fillId="75" borderId="0" xfId="0" applyNumberFormat="1" applyFill="1" applyBorder="1" applyAlignment="1">
      <alignment horizontal="center"/>
    </xf>
    <xf numFmtId="189" fontId="136" fillId="75" borderId="0" xfId="0" applyNumberFormat="1" applyFont="1" applyFill="1" applyBorder="1" applyAlignment="1">
      <alignment horizontal="center"/>
    </xf>
    <xf numFmtId="0" fontId="0" fillId="96" borderId="0" xfId="0" applyFill="1"/>
    <xf numFmtId="0" fontId="0" fillId="96" borderId="0" xfId="0" quotePrefix="1" applyFill="1" applyAlignment="1">
      <alignment horizontal="left" wrapText="1"/>
    </xf>
    <xf numFmtId="188" fontId="29" fillId="96" borderId="0" xfId="0" applyNumberFormat="1" applyFont="1" applyFill="1" applyBorder="1"/>
    <xf numFmtId="188" fontId="0" fillId="96" borderId="0" xfId="0" applyNumberFormat="1" applyFill="1" applyBorder="1"/>
    <xf numFmtId="0" fontId="0" fillId="96" borderId="0" xfId="0" applyFill="1" applyBorder="1"/>
    <xf numFmtId="0" fontId="0" fillId="96" borderId="0" xfId="0" applyNumberFormat="1" applyFill="1" applyBorder="1" applyAlignment="1">
      <alignment horizontal="center"/>
    </xf>
    <xf numFmtId="9" fontId="0" fillId="96" borderId="0" xfId="3" applyFont="1" applyFill="1" applyBorder="1" applyAlignment="1">
      <alignment horizontal="center"/>
    </xf>
    <xf numFmtId="195" fontId="0" fillId="96" borderId="0" xfId="0" applyNumberFormat="1" applyFill="1" applyBorder="1" applyAlignment="1">
      <alignment horizontal="center"/>
    </xf>
    <xf numFmtId="168" fontId="0" fillId="96" borderId="0" xfId="0" applyNumberFormat="1" applyFill="1" applyBorder="1" applyAlignment="1">
      <alignment horizontal="center"/>
    </xf>
    <xf numFmtId="189" fontId="136" fillId="96" borderId="0" xfId="0" applyNumberFormat="1" applyFont="1" applyFill="1" applyBorder="1" applyAlignment="1">
      <alignment horizontal="center"/>
    </xf>
    <xf numFmtId="1" fontId="0" fillId="96" borderId="0" xfId="0" applyNumberFormat="1" applyFill="1" applyBorder="1" applyAlignment="1">
      <alignment horizontal="center"/>
    </xf>
    <xf numFmtId="0" fontId="0" fillId="96" borderId="0" xfId="0" applyFill="1" applyBorder="1" applyAlignment="1">
      <alignment horizontal="center"/>
    </xf>
    <xf numFmtId="0" fontId="0" fillId="179" borderId="0" xfId="0" applyFill="1"/>
    <xf numFmtId="0" fontId="0" fillId="179" borderId="0" xfId="0" quotePrefix="1" applyFill="1" applyAlignment="1">
      <alignment horizontal="left" wrapText="1"/>
    </xf>
    <xf numFmtId="188" fontId="29" fillId="179" borderId="0" xfId="0" applyNumberFormat="1" applyFont="1" applyFill="1" applyBorder="1"/>
    <xf numFmtId="188" fontId="0" fillId="179" borderId="0" xfId="0" applyNumberFormat="1" applyFill="1" applyBorder="1"/>
    <xf numFmtId="0" fontId="0" fillId="179" borderId="0" xfId="0" applyFill="1" applyBorder="1"/>
    <xf numFmtId="0" fontId="0" fillId="179" borderId="0" xfId="0" applyNumberFormat="1" applyFill="1" applyBorder="1" applyAlignment="1">
      <alignment horizontal="center"/>
    </xf>
    <xf numFmtId="9" fontId="0" fillId="179" borderId="0" xfId="3" applyFont="1" applyFill="1" applyBorder="1" applyAlignment="1">
      <alignment horizontal="center"/>
    </xf>
    <xf numFmtId="189" fontId="136" fillId="179" borderId="0" xfId="0" applyNumberFormat="1" applyFont="1" applyFill="1" applyBorder="1" applyAlignment="1">
      <alignment horizontal="center"/>
    </xf>
    <xf numFmtId="168" fontId="0" fillId="179" borderId="0" xfId="0" applyNumberFormat="1" applyFill="1" applyBorder="1" applyAlignment="1">
      <alignment horizontal="center"/>
    </xf>
    <xf numFmtId="1" fontId="0" fillId="179" borderId="0" xfId="0" applyNumberFormat="1" applyFill="1" applyBorder="1" applyAlignment="1">
      <alignment horizontal="center"/>
    </xf>
    <xf numFmtId="0" fontId="0" fillId="179" borderId="0" xfId="0" applyFill="1" applyBorder="1" applyAlignment="1">
      <alignment horizontal="center"/>
    </xf>
    <xf numFmtId="0" fontId="29" fillId="179" borderId="0" xfId="0" applyFont="1" applyFill="1"/>
    <xf numFmtId="0" fontId="0" fillId="62" borderId="0" xfId="0" applyFill="1"/>
    <xf numFmtId="0" fontId="0" fillId="62" borderId="0" xfId="0" quotePrefix="1" applyFill="1" applyAlignment="1">
      <alignment horizontal="left" wrapText="1"/>
    </xf>
    <xf numFmtId="188" fontId="29" fillId="62" borderId="0" xfId="0" applyNumberFormat="1" applyFont="1" applyFill="1" applyBorder="1"/>
    <xf numFmtId="188" fontId="0" fillId="62" borderId="0" xfId="0" applyNumberFormat="1" applyFill="1" applyBorder="1"/>
    <xf numFmtId="0" fontId="0" fillId="62" borderId="0" xfId="0" applyNumberFormat="1" applyFill="1" applyBorder="1" applyAlignment="1">
      <alignment horizontal="center"/>
    </xf>
    <xf numFmtId="9" fontId="0" fillId="62" borderId="0" xfId="3" applyFont="1" applyFill="1" applyBorder="1" applyAlignment="1">
      <alignment horizontal="center"/>
    </xf>
    <xf numFmtId="195" fontId="0" fillId="62" borderId="0" xfId="0" applyNumberFormat="1" applyFill="1" applyBorder="1" applyAlignment="1">
      <alignment horizontal="center"/>
    </xf>
    <xf numFmtId="168" fontId="0" fillId="62" borderId="0" xfId="0" applyNumberFormat="1" applyFill="1" applyBorder="1" applyAlignment="1">
      <alignment horizontal="center"/>
    </xf>
    <xf numFmtId="189" fontId="136" fillId="62" borderId="0" xfId="0" applyNumberFormat="1" applyFont="1" applyFill="1" applyBorder="1" applyAlignment="1">
      <alignment horizontal="center"/>
    </xf>
    <xf numFmtId="1" fontId="0" fillId="62" borderId="0" xfId="0" applyNumberFormat="1" applyFill="1" applyBorder="1" applyAlignment="1">
      <alignment horizontal="center"/>
    </xf>
    <xf numFmtId="0" fontId="0" fillId="62" borderId="0" xfId="0" applyFill="1" applyBorder="1" applyAlignment="1">
      <alignment horizontal="center"/>
    </xf>
    <xf numFmtId="195" fontId="136" fillId="62" borderId="0" xfId="0" applyNumberFormat="1" applyFont="1" applyFill="1" applyBorder="1" applyAlignment="1">
      <alignment horizontal="center"/>
    </xf>
    <xf numFmtId="0" fontId="0" fillId="65" borderId="2" xfId="0" applyFill="1" applyBorder="1"/>
    <xf numFmtId="0" fontId="0" fillId="65" borderId="2" xfId="0" quotePrefix="1" applyFill="1" applyBorder="1" applyAlignment="1">
      <alignment horizontal="left" wrapText="1"/>
    </xf>
    <xf numFmtId="188" fontId="29" fillId="65" borderId="2" xfId="0" applyNumberFormat="1" applyFont="1" applyFill="1" applyBorder="1"/>
    <xf numFmtId="188" fontId="0" fillId="65" borderId="2" xfId="0" applyNumberFormat="1" applyFill="1" applyBorder="1"/>
    <xf numFmtId="0" fontId="0" fillId="65" borderId="2" xfId="0" applyNumberFormat="1" applyFill="1" applyBorder="1" applyAlignment="1">
      <alignment horizontal="center"/>
    </xf>
    <xf numFmtId="9" fontId="0" fillId="65" borderId="2" xfId="3" applyFont="1" applyFill="1" applyBorder="1" applyAlignment="1">
      <alignment horizontal="center"/>
    </xf>
    <xf numFmtId="195" fontId="0" fillId="65" borderId="2" xfId="0" applyNumberFormat="1" applyFill="1" applyBorder="1" applyAlignment="1">
      <alignment horizontal="center"/>
    </xf>
    <xf numFmtId="168" fontId="0" fillId="65" borderId="2" xfId="0" applyNumberFormat="1" applyFill="1" applyBorder="1" applyAlignment="1">
      <alignment horizontal="center"/>
    </xf>
    <xf numFmtId="189" fontId="136" fillId="65" borderId="2" xfId="0" applyNumberFormat="1" applyFont="1" applyFill="1" applyBorder="1" applyAlignment="1">
      <alignment horizontal="center"/>
    </xf>
    <xf numFmtId="1" fontId="0" fillId="65" borderId="2" xfId="0" applyNumberFormat="1" applyFill="1" applyBorder="1" applyAlignment="1">
      <alignment horizontal="center"/>
    </xf>
    <xf numFmtId="0" fontId="0" fillId="65" borderId="2" xfId="0" applyFill="1" applyBorder="1" applyAlignment="1">
      <alignment horizontal="center"/>
    </xf>
    <xf numFmtId="0" fontId="0" fillId="96" borderId="0" xfId="0" applyFill="1" applyBorder="1" applyAlignment="1">
      <alignment horizontal="right" vertical="center"/>
    </xf>
    <xf numFmtId="168" fontId="0" fillId="96" borderId="0" xfId="0" applyNumberFormat="1" applyFill="1" applyBorder="1" applyAlignment="1">
      <alignment vertical="center"/>
    </xf>
    <xf numFmtId="168" fontId="0" fillId="96" borderId="0" xfId="0" applyNumberFormat="1" applyFill="1" applyBorder="1"/>
    <xf numFmtId="188" fontId="29" fillId="96" borderId="0" xfId="0" applyNumberFormat="1" applyFont="1" applyFill="1" applyBorder="1" applyAlignment="1">
      <alignment vertical="center"/>
    </xf>
    <xf numFmtId="0" fontId="0" fillId="98" borderId="0" xfId="0" applyFill="1"/>
    <xf numFmtId="0" fontId="0" fillId="98" borderId="0" xfId="0" quotePrefix="1" applyFill="1" applyAlignment="1">
      <alignment horizontal="left" wrapText="1"/>
    </xf>
    <xf numFmtId="188" fontId="29" fillId="98" borderId="0" xfId="0" applyNumberFormat="1" applyFont="1" applyFill="1" applyBorder="1"/>
    <xf numFmtId="188" fontId="0" fillId="98" borderId="0" xfId="0" applyNumberFormat="1" applyFill="1" applyBorder="1"/>
    <xf numFmtId="2" fontId="0" fillId="98" borderId="0" xfId="0" applyNumberFormat="1" applyFill="1" applyBorder="1" applyAlignment="1">
      <alignment horizontal="center"/>
    </xf>
    <xf numFmtId="0" fontId="0" fillId="98" borderId="0" xfId="0" applyNumberFormat="1" applyFill="1" applyBorder="1" applyAlignment="1">
      <alignment horizontal="center"/>
    </xf>
    <xf numFmtId="9" fontId="0" fillId="98" borderId="0" xfId="3" applyFont="1" applyFill="1" applyBorder="1" applyAlignment="1">
      <alignment horizontal="center"/>
    </xf>
    <xf numFmtId="195" fontId="0" fillId="98" borderId="0" xfId="0" applyNumberFormat="1" applyFill="1" applyBorder="1" applyAlignment="1">
      <alignment horizontal="center"/>
    </xf>
    <xf numFmtId="168" fontId="0" fillId="98" borderId="0" xfId="0" applyNumberFormat="1" applyFill="1" applyBorder="1" applyAlignment="1">
      <alignment horizontal="center"/>
    </xf>
    <xf numFmtId="189" fontId="136" fillId="98" borderId="0" xfId="0" applyNumberFormat="1" applyFont="1" applyFill="1" applyBorder="1" applyAlignment="1">
      <alignment horizontal="center"/>
    </xf>
    <xf numFmtId="1" fontId="0" fillId="98" borderId="0" xfId="0" applyNumberFormat="1" applyFill="1" applyBorder="1" applyAlignment="1">
      <alignment horizontal="center"/>
    </xf>
    <xf numFmtId="0" fontId="0" fillId="98" borderId="0" xfId="0" applyFill="1" applyBorder="1" applyAlignment="1">
      <alignment horizontal="center"/>
    </xf>
    <xf numFmtId="0" fontId="29" fillId="98" borderId="0" xfId="0" applyFont="1" applyFill="1"/>
    <xf numFmtId="0" fontId="29" fillId="98" borderId="0" xfId="0" quotePrefix="1" applyFont="1" applyFill="1" applyAlignment="1">
      <alignment horizontal="left" wrapText="1"/>
    </xf>
    <xf numFmtId="0" fontId="29" fillId="98" borderId="0" xfId="0" applyFont="1" applyFill="1" applyBorder="1"/>
    <xf numFmtId="0" fontId="172" fillId="0" borderId="0" xfId="49744"/>
    <xf numFmtId="0" fontId="142" fillId="0" borderId="0" xfId="0" applyFont="1" applyFill="1" applyAlignment="1">
      <alignment horizontal="center"/>
    </xf>
    <xf numFmtId="0" fontId="142" fillId="0" borderId="0" xfId="0" applyFont="1" applyFill="1" applyAlignment="1">
      <alignment horizontal="center" vertical="center" wrapText="1"/>
    </xf>
    <xf numFmtId="2" fontId="152" fillId="0" borderId="0" xfId="0" applyNumberFormat="1" applyFont="1" applyFill="1"/>
    <xf numFmtId="0" fontId="152" fillId="0" borderId="0" xfId="0" applyFont="1" applyFill="1"/>
    <xf numFmtId="43" fontId="142" fillId="0" borderId="0" xfId="16726" applyFont="1" applyFill="1"/>
    <xf numFmtId="0" fontId="150" fillId="0" borderId="0" xfId="0" applyFont="1" applyFill="1" applyBorder="1" applyAlignment="1">
      <alignment vertical="center"/>
    </xf>
    <xf numFmtId="188" fontId="150" fillId="62" borderId="0" xfId="0" applyNumberFormat="1" applyFont="1" applyFill="1" applyBorder="1" applyAlignment="1">
      <alignment vertical="center"/>
    </xf>
    <xf numFmtId="0" fontId="150" fillId="62" borderId="0" xfId="0" applyFont="1" applyFill="1" applyBorder="1" applyAlignment="1">
      <alignment vertical="center"/>
    </xf>
    <xf numFmtId="0" fontId="150" fillId="62" borderId="0" xfId="0" applyFont="1" applyFill="1" applyBorder="1" applyAlignment="1">
      <alignment horizontal="center" vertical="center"/>
    </xf>
    <xf numFmtId="9" fontId="150" fillId="62" borderId="0" xfId="0" applyNumberFormat="1" applyFont="1" applyFill="1" applyBorder="1" applyAlignment="1">
      <alignment horizontal="center" vertical="center"/>
    </xf>
    <xf numFmtId="168" fontId="150" fillId="62" borderId="0" xfId="0" applyNumberFormat="1" applyFont="1" applyFill="1" applyBorder="1" applyAlignment="1">
      <alignment horizontal="center" vertical="center"/>
    </xf>
    <xf numFmtId="2" fontId="150" fillId="62" borderId="0" xfId="0" applyNumberFormat="1" applyFont="1" applyFill="1" applyBorder="1" applyAlignment="1">
      <alignment horizontal="center" vertical="center"/>
    </xf>
    <xf numFmtId="1" fontId="150" fillId="62" borderId="0" xfId="0" applyNumberFormat="1" applyFont="1" applyFill="1" applyBorder="1" applyAlignment="1">
      <alignment horizontal="center" vertical="center"/>
    </xf>
    <xf numFmtId="188" fontId="150" fillId="62" borderId="0" xfId="0" applyNumberFormat="1" applyFont="1" applyFill="1" applyBorder="1" applyAlignment="1">
      <alignment horizontal="right" vertical="center"/>
    </xf>
    <xf numFmtId="0" fontId="173" fillId="0" borderId="0" xfId="33457" applyFont="1"/>
    <xf numFmtId="1" fontId="142" fillId="100" borderId="0" xfId="0" applyNumberFormat="1" applyFont="1" applyFill="1"/>
    <xf numFmtId="43" fontId="0" fillId="65" borderId="0" xfId="16726" applyFont="1" applyFill="1" applyBorder="1" applyAlignment="1">
      <alignment horizontal="center"/>
    </xf>
    <xf numFmtId="43" fontId="0" fillId="66" borderId="0" xfId="16726" applyFont="1" applyFill="1" applyAlignment="1">
      <alignment horizontal="center"/>
    </xf>
    <xf numFmtId="43" fontId="0" fillId="75" borderId="0" xfId="16726" applyFont="1" applyFill="1" applyBorder="1" applyAlignment="1">
      <alignment horizontal="center"/>
    </xf>
    <xf numFmtId="43" fontId="0" fillId="96" borderId="0" xfId="16726" applyFont="1" applyFill="1" applyAlignment="1">
      <alignment horizontal="center"/>
    </xf>
    <xf numFmtId="43" fontId="0" fillId="179" borderId="0" xfId="16726" applyFont="1" applyFill="1" applyBorder="1" applyAlignment="1">
      <alignment horizontal="center"/>
    </xf>
    <xf numFmtId="43" fontId="0" fillId="62" borderId="0" xfId="16726" applyFont="1" applyFill="1" applyBorder="1" applyAlignment="1">
      <alignment horizontal="center"/>
    </xf>
    <xf numFmtId="43" fontId="0" fillId="66" borderId="0" xfId="0" applyNumberFormat="1" applyFill="1"/>
    <xf numFmtId="0" fontId="0" fillId="180" borderId="0" xfId="0" applyFill="1"/>
    <xf numFmtId="0" fontId="29" fillId="180" borderId="0" xfId="0" applyFont="1" applyFill="1"/>
    <xf numFmtId="190" fontId="0" fillId="0" borderId="0" xfId="0" applyNumberFormat="1" applyFill="1" applyBorder="1" applyAlignment="1">
      <alignment horizontal="center"/>
    </xf>
    <xf numFmtId="198" fontId="0" fillId="72" borderId="0" xfId="0" applyNumberFormat="1" applyFill="1" applyBorder="1" applyAlignment="1">
      <alignment horizontal="center"/>
    </xf>
    <xf numFmtId="0" fontId="0" fillId="179" borderId="0" xfId="0" applyFill="1" applyBorder="1" applyAlignment="1">
      <alignment vertical="center"/>
    </xf>
    <xf numFmtId="188" fontId="29" fillId="179" borderId="0" xfId="0" applyNumberFormat="1" applyFont="1" applyFill="1" applyBorder="1" applyAlignment="1">
      <alignment horizontal="right" vertical="center"/>
    </xf>
    <xf numFmtId="188" fontId="29" fillId="179" borderId="0" xfId="0" applyNumberFormat="1" applyFont="1" applyFill="1" applyBorder="1" applyAlignment="1">
      <alignment vertical="center"/>
    </xf>
    <xf numFmtId="0" fontId="29" fillId="179" borderId="0" xfId="0" applyFont="1" applyFill="1" applyBorder="1" applyAlignment="1">
      <alignment vertical="center"/>
    </xf>
    <xf numFmtId="2" fontId="136" fillId="179" borderId="0" xfId="0" applyNumberFormat="1" applyFont="1" applyFill="1" applyBorder="1" applyAlignment="1">
      <alignment horizontal="center" vertical="center"/>
    </xf>
    <xf numFmtId="188" fontId="0" fillId="179" borderId="0" xfId="0" applyNumberFormat="1" applyFill="1" applyBorder="1" applyAlignment="1">
      <alignment horizontal="right" vertical="center"/>
    </xf>
    <xf numFmtId="188" fontId="0" fillId="179" borderId="0" xfId="0" applyNumberFormat="1" applyFill="1" applyBorder="1" applyAlignment="1">
      <alignment vertical="center"/>
    </xf>
    <xf numFmtId="0" fontId="136" fillId="179" borderId="0" xfId="0" applyFont="1" applyFill="1" applyBorder="1" applyAlignment="1">
      <alignment vertical="center"/>
    </xf>
    <xf numFmtId="2" fontId="0" fillId="179" borderId="0" xfId="0" applyNumberFormat="1" applyFill="1" applyBorder="1" applyAlignment="1">
      <alignment horizontal="center" vertical="center"/>
    </xf>
    <xf numFmtId="9" fontId="0" fillId="179" borderId="0" xfId="0" applyNumberFormat="1" applyFill="1" applyBorder="1" applyAlignment="1">
      <alignment horizontal="center" vertical="center"/>
    </xf>
    <xf numFmtId="168" fontId="136" fillId="179" borderId="0" xfId="0" applyNumberFormat="1" applyFont="1" applyFill="1" applyBorder="1" applyAlignment="1">
      <alignment horizontal="center" vertical="center"/>
    </xf>
    <xf numFmtId="168" fontId="0" fillId="179" borderId="0" xfId="0" applyNumberFormat="1" applyFill="1" applyBorder="1" applyAlignment="1">
      <alignment horizontal="center" vertical="center"/>
    </xf>
    <xf numFmtId="1" fontId="0" fillId="179" borderId="0" xfId="0" applyNumberFormat="1" applyFill="1" applyBorder="1" applyAlignment="1">
      <alignment horizontal="center" vertical="center"/>
    </xf>
    <xf numFmtId="0" fontId="136" fillId="179" borderId="0" xfId="0" applyFont="1" applyFill="1" applyBorder="1" applyAlignment="1">
      <alignment horizontal="center" vertical="center"/>
    </xf>
    <xf numFmtId="0" fontId="0" fillId="179" borderId="0" xfId="0" applyFill="1" applyBorder="1" applyAlignment="1">
      <alignment horizontal="center" vertical="center"/>
    </xf>
    <xf numFmtId="0" fontId="0" fillId="179" borderId="0" xfId="0" applyFill="1" applyBorder="1" applyAlignment="1">
      <alignment horizontal="right" vertical="center"/>
    </xf>
    <xf numFmtId="168" fontId="0" fillId="179" borderId="0" xfId="0" applyNumberFormat="1" applyFill="1" applyBorder="1" applyAlignment="1">
      <alignment vertical="center"/>
    </xf>
    <xf numFmtId="168" fontId="0" fillId="179" borderId="0" xfId="0" applyNumberFormat="1" applyFill="1" applyBorder="1"/>
    <xf numFmtId="0" fontId="0" fillId="136" borderId="0" xfId="0" applyFill="1" applyBorder="1" applyAlignment="1">
      <alignment vertical="center"/>
    </xf>
    <xf numFmtId="188" fontId="0" fillId="136" borderId="0" xfId="0" applyNumberFormat="1" applyFill="1" applyBorder="1" applyAlignment="1">
      <alignment horizontal="right" vertical="center"/>
    </xf>
    <xf numFmtId="188" fontId="0" fillId="136" borderId="0" xfId="0" applyNumberFormat="1" applyFill="1" applyBorder="1" applyAlignment="1">
      <alignment vertical="center"/>
    </xf>
    <xf numFmtId="188" fontId="29" fillId="136" borderId="0" xfId="0" applyNumberFormat="1" applyFont="1" applyFill="1" applyBorder="1" applyAlignment="1">
      <alignment vertical="center"/>
    </xf>
    <xf numFmtId="2" fontId="0" fillId="136" borderId="0" xfId="0" applyNumberFormat="1" applyFill="1" applyBorder="1" applyAlignment="1">
      <alignment horizontal="center" vertical="center"/>
    </xf>
    <xf numFmtId="0" fontId="29" fillId="136" borderId="0" xfId="0" applyFont="1" applyFill="1" applyBorder="1" applyAlignment="1">
      <alignment vertical="center"/>
    </xf>
    <xf numFmtId="0" fontId="0" fillId="179" borderId="4" xfId="0" applyFill="1" applyBorder="1" applyAlignment="1">
      <alignment vertical="center"/>
    </xf>
    <xf numFmtId="188" fontId="0" fillId="179" borderId="4" xfId="0" applyNumberFormat="1" applyFill="1" applyBorder="1" applyAlignment="1">
      <alignment horizontal="right" vertical="center"/>
    </xf>
    <xf numFmtId="188" fontId="0" fillId="179" borderId="4" xfId="0" applyNumberFormat="1" applyFill="1" applyBorder="1" applyAlignment="1">
      <alignment vertical="center"/>
    </xf>
    <xf numFmtId="0" fontId="29" fillId="179" borderId="4" xfId="0" applyFont="1" applyFill="1" applyBorder="1" applyAlignment="1">
      <alignment vertical="center"/>
    </xf>
    <xf numFmtId="2" fontId="136" fillId="179" borderId="4" xfId="0" applyNumberFormat="1" applyFont="1" applyFill="1" applyBorder="1" applyAlignment="1">
      <alignment horizontal="center" vertical="center"/>
    </xf>
    <xf numFmtId="0" fontId="136" fillId="0" borderId="2" xfId="0" applyFont="1" applyFill="1" applyBorder="1" applyAlignment="1">
      <alignment vertical="center"/>
    </xf>
    <xf numFmtId="188" fontId="29" fillId="179" borderId="4" xfId="0" applyNumberFormat="1" applyFont="1" applyFill="1" applyBorder="1" applyAlignment="1">
      <alignment vertical="center"/>
    </xf>
    <xf numFmtId="0" fontId="38" fillId="0" borderId="0" xfId="4" applyFill="1"/>
    <xf numFmtId="188" fontId="29" fillId="0" borderId="0" xfId="4" applyNumberFormat="1" applyFont="1" applyFill="1" applyAlignment="1">
      <alignment horizontal="right" vertical="center"/>
    </xf>
    <xf numFmtId="188" fontId="29" fillId="0" borderId="0" xfId="4" applyNumberFormat="1" applyFont="1" applyFill="1" applyAlignment="1">
      <alignment horizontal="left" vertical="center"/>
    </xf>
    <xf numFmtId="0" fontId="32" fillId="0" borderId="0" xfId="0" applyFont="1" applyFill="1" applyBorder="1" applyAlignment="1">
      <alignment horizontal="right" vertical="center"/>
    </xf>
    <xf numFmtId="0" fontId="32" fillId="0" borderId="0" xfId="0" applyFont="1" applyFill="1" applyBorder="1" applyAlignment="1">
      <alignment horizontal="left" vertical="center"/>
    </xf>
    <xf numFmtId="0" fontId="38" fillId="0" borderId="0" xfId="4" applyFill="1" applyBorder="1"/>
    <xf numFmtId="0" fontId="0" fillId="0" borderId="0" xfId="0" applyFill="1" applyAlignment="1">
      <alignment horizontal="left" vertical="center"/>
    </xf>
    <xf numFmtId="0" fontId="34" fillId="0" borderId="0" xfId="5" applyFont="1" applyFill="1" applyAlignment="1">
      <alignment vertical="center"/>
    </xf>
    <xf numFmtId="188" fontId="0" fillId="0" borderId="0" xfId="0" applyNumberFormat="1" applyFill="1" applyAlignment="1">
      <alignment horizontal="left" vertical="center"/>
    </xf>
    <xf numFmtId="0" fontId="32" fillId="0" borderId="0" xfId="5" applyFill="1"/>
    <xf numFmtId="0" fontId="29" fillId="0" borderId="0" xfId="0" applyFont="1" applyFill="1" applyAlignment="1">
      <alignment horizontal="right" vertical="center"/>
    </xf>
    <xf numFmtId="0" fontId="29" fillId="0" borderId="0" xfId="0" applyFont="1" applyFill="1" applyAlignment="1">
      <alignment horizontal="left" vertical="center"/>
    </xf>
    <xf numFmtId="188" fontId="29" fillId="0" borderId="0" xfId="0" applyNumberFormat="1" applyFont="1" applyFill="1" applyAlignment="1">
      <alignment horizontal="left" vertical="center"/>
    </xf>
    <xf numFmtId="2" fontId="0" fillId="72" borderId="0" xfId="0" applyNumberFormat="1" applyFill="1"/>
    <xf numFmtId="2" fontId="0" fillId="0" borderId="0" xfId="0" applyNumberFormat="1" applyFill="1"/>
    <xf numFmtId="2" fontId="136" fillId="65" borderId="0" xfId="0" applyNumberFormat="1" applyFont="1" applyFill="1" applyBorder="1" applyAlignment="1">
      <alignment horizontal="center" vertical="center"/>
    </xf>
    <xf numFmtId="188" fontId="29" fillId="65" borderId="0" xfId="0" applyNumberFormat="1" applyFont="1" applyFill="1" applyBorder="1" applyAlignment="1">
      <alignment horizontal="right" vertical="center"/>
    </xf>
    <xf numFmtId="0" fontId="0" fillId="65" borderId="4" xfId="0" applyFill="1" applyBorder="1" applyAlignment="1">
      <alignment vertical="center"/>
    </xf>
    <xf numFmtId="188" fontId="0" fillId="65" borderId="4" xfId="0" applyNumberFormat="1" applyFill="1" applyBorder="1" applyAlignment="1">
      <alignment horizontal="right" vertical="center"/>
    </xf>
    <xf numFmtId="188" fontId="0" fillId="65" borderId="4" xfId="0" applyNumberFormat="1" applyFill="1" applyBorder="1" applyAlignment="1">
      <alignment vertical="center"/>
    </xf>
    <xf numFmtId="0" fontId="29" fillId="65" borderId="4" xfId="0" applyFont="1" applyFill="1" applyBorder="1" applyAlignment="1">
      <alignment vertical="center"/>
    </xf>
    <xf numFmtId="2" fontId="136" fillId="65" borderId="4" xfId="0" applyNumberFormat="1" applyFont="1" applyFill="1" applyBorder="1" applyAlignment="1">
      <alignment horizontal="center" vertical="center"/>
    </xf>
    <xf numFmtId="0" fontId="136" fillId="65" borderId="0" xfId="0" applyFont="1" applyFill="1" applyBorder="1" applyAlignment="1">
      <alignment vertical="center"/>
    </xf>
    <xf numFmtId="168" fontId="136" fillId="65" borderId="0" xfId="0" applyNumberFormat="1" applyFont="1" applyFill="1" applyBorder="1" applyAlignment="1">
      <alignment horizontal="center" vertical="center"/>
    </xf>
    <xf numFmtId="188" fontId="29" fillId="65" borderId="4" xfId="0" applyNumberFormat="1" applyFont="1" applyFill="1" applyBorder="1" applyAlignment="1">
      <alignment vertical="center"/>
    </xf>
    <xf numFmtId="188" fontId="29" fillId="65" borderId="2" xfId="0" applyNumberFormat="1" applyFont="1" applyFill="1" applyBorder="1" applyAlignment="1">
      <alignment horizontal="right" vertical="center"/>
    </xf>
    <xf numFmtId="188" fontId="29" fillId="65" borderId="2" xfId="0" applyNumberFormat="1" applyFont="1" applyFill="1" applyBorder="1" applyAlignment="1">
      <alignment vertical="center"/>
    </xf>
    <xf numFmtId="0" fontId="0" fillId="65" borderId="2" xfId="0" applyFill="1" applyBorder="1" applyAlignment="1">
      <alignment vertical="center"/>
    </xf>
    <xf numFmtId="0" fontId="29" fillId="65" borderId="2" xfId="0" applyFont="1" applyFill="1" applyBorder="1" applyAlignment="1">
      <alignment vertical="center"/>
    </xf>
    <xf numFmtId="2" fontId="136" fillId="65" borderId="2" xfId="0" applyNumberFormat="1" applyFont="1" applyFill="1" applyBorder="1" applyAlignment="1">
      <alignment horizontal="center" vertical="center"/>
    </xf>
    <xf numFmtId="0" fontId="0" fillId="65" borderId="0" xfId="0" applyFill="1" applyBorder="1" applyAlignment="1">
      <alignment horizontal="right" vertical="center"/>
    </xf>
    <xf numFmtId="0" fontId="0" fillId="65" borderId="0" xfId="0" applyFill="1" applyBorder="1" applyAlignment="1">
      <alignment horizontal="center" vertical="center"/>
    </xf>
    <xf numFmtId="168" fontId="0" fillId="65" borderId="0" xfId="0" applyNumberFormat="1" applyFill="1" applyBorder="1" applyAlignment="1">
      <alignment vertical="center"/>
    </xf>
    <xf numFmtId="168" fontId="0" fillId="65" borderId="0" xfId="0" applyNumberFormat="1" applyFill="1" applyBorder="1"/>
    <xf numFmtId="0" fontId="136" fillId="65" borderId="0" xfId="0" applyFont="1" applyFill="1" applyBorder="1" applyAlignment="1">
      <alignment horizontal="center" vertical="center"/>
    </xf>
    <xf numFmtId="188" fontId="29" fillId="72" borderId="0" xfId="0" applyNumberFormat="1" applyFont="1" applyFill="1" applyBorder="1" applyAlignment="1">
      <alignment vertical="center"/>
    </xf>
    <xf numFmtId="168" fontId="29" fillId="72" borderId="0" xfId="0" applyNumberFormat="1" applyFont="1" applyFill="1" applyBorder="1" applyAlignment="1">
      <alignment horizontal="center" vertical="center"/>
    </xf>
    <xf numFmtId="0" fontId="29" fillId="181" borderId="0" xfId="0" applyFont="1" applyFill="1" applyAlignment="1">
      <alignment vertical="center"/>
    </xf>
    <xf numFmtId="0" fontId="29" fillId="65" borderId="0" xfId="0" applyFont="1" applyFill="1" applyAlignment="1">
      <alignment vertical="center"/>
    </xf>
    <xf numFmtId="0" fontId="0" fillId="181" borderId="0" xfId="0" applyFill="1" applyAlignment="1">
      <alignment horizontal="center" vertical="center"/>
    </xf>
    <xf numFmtId="43" fontId="136" fillId="181" borderId="0" xfId="16726" applyFont="1" applyFill="1" applyAlignment="1">
      <alignment vertical="center"/>
    </xf>
    <xf numFmtId="169" fontId="136" fillId="181" borderId="0" xfId="3" applyNumberFormat="1" applyFont="1" applyFill="1" applyAlignment="1">
      <alignment vertical="center"/>
    </xf>
    <xf numFmtId="190" fontId="29" fillId="181" borderId="0" xfId="4" applyNumberFormat="1" applyFont="1" applyFill="1" applyBorder="1" applyAlignment="1">
      <alignment horizontal="center" vertical="center"/>
    </xf>
    <xf numFmtId="0" fontId="0" fillId="181" borderId="0" xfId="0" applyFill="1" applyBorder="1" applyAlignment="1">
      <alignment vertical="center"/>
    </xf>
    <xf numFmtId="0" fontId="0" fillId="181" borderId="0" xfId="0" applyFill="1"/>
    <xf numFmtId="0" fontId="0" fillId="181" borderId="0" xfId="0" applyFill="1" applyBorder="1"/>
    <xf numFmtId="43" fontId="136" fillId="182" borderId="0" xfId="16726" applyFont="1" applyFill="1" applyAlignment="1">
      <alignment vertical="center"/>
    </xf>
    <xf numFmtId="169" fontId="136" fillId="182" borderId="0" xfId="3" applyNumberFormat="1" applyFont="1" applyFill="1" applyAlignment="1">
      <alignment vertical="center"/>
    </xf>
    <xf numFmtId="190" fontId="29" fillId="65" borderId="0" xfId="4" applyNumberFormat="1" applyFont="1" applyFill="1" applyBorder="1" applyAlignment="1">
      <alignment horizontal="center" vertical="center"/>
    </xf>
    <xf numFmtId="43" fontId="0" fillId="183" borderId="0" xfId="0" applyNumberFormat="1" applyFill="1"/>
    <xf numFmtId="0" fontId="0" fillId="183" borderId="0" xfId="0" applyFill="1" applyBorder="1"/>
    <xf numFmtId="0" fontId="29" fillId="65" borderId="0" xfId="4" applyFont="1" applyFill="1" applyAlignment="1">
      <alignment vertical="center"/>
    </xf>
    <xf numFmtId="43" fontId="0" fillId="0" borderId="0" xfId="0" applyNumberFormat="1"/>
    <xf numFmtId="0" fontId="0" fillId="66" borderId="0" xfId="0" applyFill="1" applyBorder="1" applyAlignment="1">
      <alignment vertical="center"/>
    </xf>
    <xf numFmtId="188" fontId="0" fillId="66" borderId="0" xfId="0" applyNumberFormat="1" applyFill="1" applyBorder="1" applyAlignment="1">
      <alignment horizontal="right" vertical="center"/>
    </xf>
    <xf numFmtId="188" fontId="29" fillId="66" borderId="0" xfId="0" applyNumberFormat="1" applyFont="1" applyFill="1" applyBorder="1" applyAlignment="1">
      <alignment vertical="center"/>
    </xf>
    <xf numFmtId="0" fontId="29" fillId="66" borderId="0" xfId="0" applyFont="1" applyFill="1" applyBorder="1" applyAlignment="1">
      <alignment vertical="center"/>
    </xf>
    <xf numFmtId="2" fontId="136" fillId="66" borderId="0" xfId="0" applyNumberFormat="1" applyFont="1" applyFill="1" applyBorder="1" applyAlignment="1">
      <alignment horizontal="center" vertical="center"/>
    </xf>
    <xf numFmtId="188" fontId="0" fillId="66" borderId="0" xfId="0" applyNumberFormat="1" applyFill="1" applyBorder="1" applyAlignment="1">
      <alignment vertical="center"/>
    </xf>
    <xf numFmtId="188" fontId="29" fillId="66" borderId="0" xfId="0" applyNumberFormat="1" applyFont="1" applyFill="1" applyBorder="1" applyAlignment="1">
      <alignment horizontal="right" vertical="center"/>
    </xf>
    <xf numFmtId="0" fontId="0" fillId="66" borderId="4" xfId="0" applyFill="1" applyBorder="1" applyAlignment="1">
      <alignment vertical="center"/>
    </xf>
    <xf numFmtId="188" fontId="0" fillId="66" borderId="4" xfId="0" applyNumberFormat="1" applyFill="1" applyBorder="1" applyAlignment="1">
      <alignment horizontal="right" vertical="center"/>
    </xf>
    <xf numFmtId="188" fontId="0" fillId="66" borderId="4" xfId="0" applyNumberFormat="1" applyFill="1" applyBorder="1" applyAlignment="1">
      <alignment vertical="center"/>
    </xf>
    <xf numFmtId="0" fontId="29" fillId="66" borderId="4" xfId="0" applyFont="1" applyFill="1" applyBorder="1" applyAlignment="1">
      <alignment vertical="center"/>
    </xf>
    <xf numFmtId="2" fontId="136" fillId="66" borderId="4" xfId="0" applyNumberFormat="1" applyFont="1" applyFill="1" applyBorder="1" applyAlignment="1">
      <alignment horizontal="center" vertical="center"/>
    </xf>
    <xf numFmtId="0" fontId="154" fillId="0" borderId="0" xfId="0" applyFont="1"/>
    <xf numFmtId="2" fontId="0" fillId="65" borderId="0" xfId="0" applyNumberFormat="1" applyFill="1" applyBorder="1" applyAlignment="1">
      <alignment horizontal="center"/>
    </xf>
    <xf numFmtId="0" fontId="0" fillId="65" borderId="0" xfId="0" applyNumberFormat="1" applyFill="1" applyBorder="1" applyAlignment="1">
      <alignment horizontal="center"/>
    </xf>
    <xf numFmtId="9" fontId="0" fillId="65" borderId="0" xfId="0" applyNumberFormat="1" applyFill="1" applyBorder="1" applyAlignment="1">
      <alignment horizontal="center"/>
    </xf>
    <xf numFmtId="168" fontId="136" fillId="65" borderId="0" xfId="0" applyNumberFormat="1" applyFont="1" applyFill="1" applyBorder="1" applyAlignment="1">
      <alignment horizontal="center"/>
    </xf>
    <xf numFmtId="2" fontId="136" fillId="65" borderId="0" xfId="0" applyNumberFormat="1" applyFont="1" applyFill="1" applyBorder="1" applyAlignment="1">
      <alignment horizontal="center"/>
    </xf>
    <xf numFmtId="0" fontId="29" fillId="65" borderId="0" xfId="0" applyFont="1" applyFill="1"/>
    <xf numFmtId="188" fontId="29" fillId="181" borderId="0" xfId="0" applyNumberFormat="1" applyFont="1" applyFill="1" applyAlignment="1">
      <alignment vertical="center"/>
    </xf>
    <xf numFmtId="0" fontId="29" fillId="66" borderId="0" xfId="0" applyFont="1" applyFill="1"/>
    <xf numFmtId="2" fontId="0" fillId="66" borderId="0" xfId="0" applyNumberFormat="1" applyFill="1" applyBorder="1" applyAlignment="1">
      <alignment horizontal="center"/>
    </xf>
    <xf numFmtId="9" fontId="0" fillId="66" borderId="0" xfId="0" applyNumberFormat="1" applyFill="1" applyBorder="1" applyAlignment="1">
      <alignment horizontal="center"/>
    </xf>
    <xf numFmtId="168" fontId="136" fillId="66" borderId="0" xfId="0" applyNumberFormat="1" applyFont="1" applyFill="1" applyBorder="1" applyAlignment="1">
      <alignment horizontal="center"/>
    </xf>
    <xf numFmtId="1" fontId="136" fillId="66" borderId="0" xfId="0" applyNumberFormat="1" applyFont="1" applyFill="1" applyBorder="1" applyAlignment="1">
      <alignment horizontal="center"/>
    </xf>
    <xf numFmtId="2" fontId="136" fillId="66" borderId="0" xfId="0" applyNumberFormat="1" applyFont="1" applyFill="1" applyBorder="1" applyAlignment="1">
      <alignment horizontal="center"/>
    </xf>
    <xf numFmtId="189" fontId="0" fillId="66" borderId="0" xfId="0" applyNumberFormat="1" applyFill="1" applyBorder="1" applyAlignment="1">
      <alignment horizontal="center"/>
    </xf>
    <xf numFmtId="1" fontId="0" fillId="55" borderId="0" xfId="0" applyNumberFormat="1" applyFill="1" applyBorder="1" applyAlignment="1">
      <alignment horizontal="center"/>
    </xf>
    <xf numFmtId="189" fontId="136" fillId="65" borderId="0" xfId="0" applyNumberFormat="1" applyFont="1" applyFill="1" applyBorder="1" applyAlignment="1">
      <alignment horizontal="center"/>
    </xf>
    <xf numFmtId="43" fontId="5" fillId="0" borderId="0" xfId="16726" applyFont="1"/>
    <xf numFmtId="0" fontId="0" fillId="0" borderId="40" xfId="0" applyBorder="1"/>
    <xf numFmtId="43" fontId="0" fillId="0" borderId="40" xfId="0" applyNumberFormat="1" applyBorder="1"/>
    <xf numFmtId="188" fontId="0" fillId="186" borderId="0" xfId="0" applyNumberFormat="1" applyFill="1" applyAlignment="1">
      <alignment horizontal="left"/>
    </xf>
    <xf numFmtId="0" fontId="0" fillId="187" borderId="0" xfId="0" applyFill="1"/>
    <xf numFmtId="188" fontId="0" fillId="187" borderId="0" xfId="0" applyNumberFormat="1" applyFill="1" applyBorder="1"/>
    <xf numFmtId="188" fontId="29" fillId="187" borderId="0" xfId="0" applyNumberFormat="1" applyFont="1" applyFill="1" applyBorder="1"/>
    <xf numFmtId="168" fontId="0" fillId="187" borderId="0" xfId="0" applyNumberFormat="1" applyFill="1" applyBorder="1" applyAlignment="1">
      <alignment horizontal="center"/>
    </xf>
    <xf numFmtId="0" fontId="0" fillId="187" borderId="0" xfId="0" applyNumberFormat="1" applyFill="1" applyBorder="1" applyAlignment="1">
      <alignment horizontal="center"/>
    </xf>
    <xf numFmtId="9" fontId="0" fillId="187" borderId="0" xfId="3" applyFont="1" applyFill="1" applyBorder="1" applyAlignment="1">
      <alignment horizontal="center"/>
    </xf>
    <xf numFmtId="1" fontId="0" fillId="187" borderId="0" xfId="0" applyNumberFormat="1" applyFill="1" applyBorder="1" applyAlignment="1">
      <alignment horizontal="center"/>
    </xf>
    <xf numFmtId="0" fontId="0" fillId="187" borderId="0" xfId="0" applyFill="1" applyBorder="1"/>
    <xf numFmtId="0" fontId="29" fillId="187" borderId="0" xfId="0" applyFont="1" applyFill="1"/>
    <xf numFmtId="191" fontId="0" fillId="187" borderId="0" xfId="0" applyNumberFormat="1" applyFill="1" applyBorder="1" applyAlignment="1">
      <alignment horizontal="center"/>
    </xf>
    <xf numFmtId="0" fontId="0" fillId="74" borderId="0" xfId="0" applyFill="1"/>
    <xf numFmtId="188" fontId="0" fillId="74" borderId="0" xfId="0" applyNumberFormat="1" applyFill="1" applyBorder="1"/>
    <xf numFmtId="188" fontId="29" fillId="74" borderId="0" xfId="0" applyNumberFormat="1" applyFont="1" applyFill="1" applyBorder="1"/>
    <xf numFmtId="168" fontId="0" fillId="74" borderId="0" xfId="0" applyNumberFormat="1" applyFill="1" applyBorder="1" applyAlignment="1">
      <alignment horizontal="center"/>
    </xf>
    <xf numFmtId="0" fontId="0" fillId="74" borderId="0" xfId="0" applyNumberFormat="1" applyFill="1" applyBorder="1" applyAlignment="1">
      <alignment horizontal="center"/>
    </xf>
    <xf numFmtId="9" fontId="0" fillId="74" borderId="0" xfId="3" applyFont="1" applyFill="1" applyBorder="1" applyAlignment="1">
      <alignment horizontal="center"/>
    </xf>
    <xf numFmtId="1" fontId="0" fillId="74" borderId="0" xfId="0" applyNumberFormat="1" applyFill="1" applyBorder="1" applyAlignment="1">
      <alignment horizontal="center"/>
    </xf>
    <xf numFmtId="0" fontId="0" fillId="74" borderId="0" xfId="0" applyFill="1" applyBorder="1"/>
    <xf numFmtId="0" fontId="29" fillId="74" borderId="0" xfId="0" applyFont="1" applyFill="1"/>
    <xf numFmtId="191" fontId="0" fillId="74" borderId="0" xfId="0" applyNumberFormat="1" applyFill="1" applyBorder="1" applyAlignment="1">
      <alignment horizontal="center"/>
    </xf>
    <xf numFmtId="0" fontId="0" fillId="188" borderId="0" xfId="0" applyFill="1"/>
    <xf numFmtId="188" fontId="0" fillId="188" borderId="0" xfId="0" applyNumberFormat="1" applyFill="1" applyBorder="1"/>
    <xf numFmtId="188" fontId="29" fillId="188" borderId="0" xfId="0" applyNumberFormat="1" applyFont="1" applyFill="1" applyBorder="1"/>
    <xf numFmtId="168" fontId="0" fillId="188" borderId="0" xfId="0" applyNumberFormat="1" applyFill="1" applyBorder="1" applyAlignment="1">
      <alignment horizontal="center"/>
    </xf>
    <xf numFmtId="0" fontId="0" fillId="188" borderId="0" xfId="0" applyNumberFormat="1" applyFill="1" applyBorder="1" applyAlignment="1">
      <alignment horizontal="center"/>
    </xf>
    <xf numFmtId="9" fontId="0" fillId="188" borderId="0" xfId="3" applyFont="1" applyFill="1" applyBorder="1" applyAlignment="1">
      <alignment horizontal="center"/>
    </xf>
    <xf numFmtId="1" fontId="0" fillId="188" borderId="0" xfId="0" applyNumberFormat="1" applyFill="1" applyBorder="1" applyAlignment="1">
      <alignment horizontal="center"/>
    </xf>
    <xf numFmtId="0" fontId="0" fillId="188" borderId="0" xfId="0" applyFill="1" applyBorder="1"/>
    <xf numFmtId="0" fontId="29" fillId="188" borderId="0" xfId="0" applyFont="1" applyFill="1"/>
    <xf numFmtId="191" fontId="0" fillId="188" borderId="0" xfId="0" applyNumberFormat="1" applyFill="1" applyBorder="1" applyAlignment="1">
      <alignment horizontal="center"/>
    </xf>
    <xf numFmtId="0" fontId="0" fillId="84" borderId="0" xfId="0" applyFill="1"/>
    <xf numFmtId="0" fontId="34" fillId="189" borderId="2" xfId="0" applyFont="1" applyFill="1" applyBorder="1" applyAlignment="1">
      <alignment vertical="center"/>
    </xf>
    <xf numFmtId="188" fontId="34" fillId="189" borderId="1" xfId="0" applyNumberFormat="1" applyFont="1" applyFill="1" applyBorder="1" applyAlignment="1">
      <alignment vertical="center"/>
    </xf>
    <xf numFmtId="0" fontId="34" fillId="189" borderId="1" xfId="4" applyFont="1" applyFill="1" applyBorder="1" applyAlignment="1">
      <alignment horizontal="center" vertical="center" wrapText="1"/>
    </xf>
    <xf numFmtId="0" fontId="34" fillId="189" borderId="0" xfId="4" applyFont="1" applyFill="1" applyBorder="1" applyAlignment="1">
      <alignment horizontal="center" vertical="center" wrapText="1"/>
    </xf>
    <xf numFmtId="0" fontId="0" fillId="190" borderId="0" xfId="0" applyFill="1"/>
    <xf numFmtId="0" fontId="29" fillId="190" borderId="0" xfId="0" applyFont="1" applyFill="1"/>
    <xf numFmtId="188" fontId="0" fillId="190" borderId="0" xfId="0" applyNumberFormat="1" applyFill="1" applyBorder="1"/>
    <xf numFmtId="0" fontId="0" fillId="190" borderId="0" xfId="0" applyFill="1" applyBorder="1"/>
    <xf numFmtId="9" fontId="0" fillId="190" borderId="0" xfId="0" applyNumberFormat="1" applyFill="1" applyBorder="1" applyAlignment="1">
      <alignment horizontal="center"/>
    </xf>
    <xf numFmtId="2" fontId="0" fillId="190" borderId="0" xfId="0" applyNumberFormat="1" applyFill="1" applyBorder="1" applyAlignment="1">
      <alignment horizontal="center"/>
    </xf>
    <xf numFmtId="0" fontId="0" fillId="190" borderId="0" xfId="0" applyNumberFormat="1" applyFill="1" applyBorder="1" applyAlignment="1">
      <alignment horizontal="center"/>
    </xf>
    <xf numFmtId="9" fontId="0" fillId="190" borderId="0" xfId="3" applyFont="1" applyFill="1" applyBorder="1" applyAlignment="1">
      <alignment horizontal="center"/>
    </xf>
    <xf numFmtId="168" fontId="136" fillId="190" borderId="0" xfId="0" applyNumberFormat="1" applyFont="1" applyFill="1" applyBorder="1" applyAlignment="1">
      <alignment horizontal="center"/>
    </xf>
    <xf numFmtId="168" fontId="0" fillId="190" borderId="0" xfId="0" applyNumberFormat="1" applyFill="1" applyBorder="1" applyAlignment="1">
      <alignment horizontal="center"/>
    </xf>
    <xf numFmtId="2" fontId="136" fillId="190" borderId="0" xfId="0" applyNumberFormat="1" applyFont="1" applyFill="1" applyBorder="1" applyAlignment="1">
      <alignment horizontal="center"/>
    </xf>
    <xf numFmtId="1" fontId="136" fillId="190" borderId="0" xfId="0" applyNumberFormat="1" applyFont="1" applyFill="1" applyBorder="1" applyAlignment="1">
      <alignment horizontal="center"/>
    </xf>
    <xf numFmtId="1" fontId="0" fillId="190" borderId="0" xfId="0" applyNumberFormat="1" applyFill="1" applyBorder="1" applyAlignment="1">
      <alignment horizontal="center"/>
    </xf>
    <xf numFmtId="0" fontId="0" fillId="190" borderId="0" xfId="0" applyFill="1" applyBorder="1" applyAlignment="1">
      <alignment horizontal="center"/>
    </xf>
    <xf numFmtId="188" fontId="29" fillId="190" borderId="0" xfId="0" applyNumberFormat="1" applyFont="1" applyFill="1" applyBorder="1"/>
    <xf numFmtId="188" fontId="0" fillId="84" borderId="0" xfId="0" applyNumberFormat="1" applyFill="1" applyBorder="1"/>
    <xf numFmtId="190" fontId="0" fillId="84" borderId="0" xfId="0" applyNumberFormat="1" applyFill="1" applyBorder="1" applyAlignment="1">
      <alignment horizontal="center"/>
    </xf>
    <xf numFmtId="0" fontId="0" fillId="142" borderId="0" xfId="0" applyFill="1"/>
    <xf numFmtId="0" fontId="29" fillId="191" borderId="0" xfId="0" applyFont="1" applyFill="1"/>
    <xf numFmtId="188" fontId="29" fillId="191" borderId="0" xfId="0" applyNumberFormat="1" applyFont="1" applyFill="1" applyBorder="1"/>
    <xf numFmtId="188" fontId="0" fillId="191" borderId="0" xfId="0" applyNumberFormat="1" applyFill="1" applyBorder="1"/>
    <xf numFmtId="2" fontId="0" fillId="191" borderId="0" xfId="0" applyNumberFormat="1" applyFill="1" applyBorder="1" applyAlignment="1">
      <alignment horizontal="center"/>
    </xf>
    <xf numFmtId="0" fontId="0" fillId="191" borderId="0" xfId="0" applyNumberFormat="1" applyFill="1" applyBorder="1" applyAlignment="1">
      <alignment horizontal="center"/>
    </xf>
    <xf numFmtId="9" fontId="0" fillId="191" borderId="0" xfId="0" applyNumberFormat="1" applyFill="1" applyBorder="1" applyAlignment="1">
      <alignment horizontal="center"/>
    </xf>
    <xf numFmtId="9" fontId="0" fillId="191" borderId="0" xfId="3" applyFont="1" applyFill="1" applyBorder="1" applyAlignment="1">
      <alignment horizontal="center"/>
    </xf>
    <xf numFmtId="168" fontId="136" fillId="191" borderId="0" xfId="0" applyNumberFormat="1" applyFont="1" applyFill="1" applyBorder="1" applyAlignment="1">
      <alignment horizontal="center"/>
    </xf>
    <xf numFmtId="168" fontId="0" fillId="191" borderId="0" xfId="0" applyNumberFormat="1" applyFill="1" applyBorder="1" applyAlignment="1">
      <alignment horizontal="center"/>
    </xf>
    <xf numFmtId="2" fontId="0" fillId="191" borderId="0" xfId="0" applyNumberFormat="1" applyFill="1"/>
    <xf numFmtId="1" fontId="136" fillId="191" borderId="0" xfId="0" applyNumberFormat="1" applyFont="1" applyFill="1" applyBorder="1" applyAlignment="1">
      <alignment horizontal="center"/>
    </xf>
    <xf numFmtId="1" fontId="0" fillId="191" borderId="0" xfId="0" applyNumberFormat="1" applyFill="1" applyBorder="1" applyAlignment="1">
      <alignment horizontal="center"/>
    </xf>
    <xf numFmtId="0" fontId="0" fillId="191" borderId="0" xfId="0" applyFill="1" applyBorder="1" applyAlignment="1">
      <alignment horizontal="center"/>
    </xf>
    <xf numFmtId="0" fontId="0" fillId="191" borderId="0" xfId="0" applyFill="1"/>
    <xf numFmtId="2" fontId="136" fillId="191" borderId="0" xfId="0" applyNumberFormat="1" applyFont="1" applyFill="1" applyBorder="1" applyAlignment="1">
      <alignment horizontal="center"/>
    </xf>
    <xf numFmtId="0" fontId="0" fillId="191" borderId="0" xfId="0" applyFill="1" applyBorder="1"/>
    <xf numFmtId="189" fontId="0" fillId="191" borderId="0" xfId="0" applyNumberFormat="1" applyFill="1" applyBorder="1" applyAlignment="1">
      <alignment horizontal="center"/>
    </xf>
    <xf numFmtId="188" fontId="0" fillId="176" borderId="0" xfId="0" applyNumberFormat="1" applyFill="1" applyBorder="1"/>
    <xf numFmtId="188" fontId="29" fillId="176" borderId="0" xfId="0" applyNumberFormat="1" applyFont="1" applyFill="1" applyBorder="1"/>
    <xf numFmtId="0" fontId="0" fillId="176" borderId="0" xfId="0" applyFill="1" applyBorder="1"/>
    <xf numFmtId="2" fontId="0" fillId="176" borderId="0" xfId="0" applyNumberFormat="1" applyFill="1" applyBorder="1" applyAlignment="1">
      <alignment horizontal="center"/>
    </xf>
    <xf numFmtId="0" fontId="0" fillId="176" borderId="0" xfId="0" applyNumberFormat="1" applyFill="1" applyBorder="1" applyAlignment="1">
      <alignment horizontal="center"/>
    </xf>
    <xf numFmtId="9" fontId="0" fillId="176" borderId="0" xfId="0" applyNumberFormat="1" applyFill="1" applyBorder="1" applyAlignment="1">
      <alignment horizontal="center"/>
    </xf>
    <xf numFmtId="9" fontId="0" fillId="176" borderId="0" xfId="3" applyFont="1" applyFill="1" applyBorder="1" applyAlignment="1">
      <alignment horizontal="center"/>
    </xf>
    <xf numFmtId="168" fontId="136" fillId="176" borderId="0" xfId="0" applyNumberFormat="1" applyFont="1" applyFill="1" applyBorder="1" applyAlignment="1">
      <alignment horizontal="center"/>
    </xf>
    <xf numFmtId="168" fontId="0" fillId="176" borderId="0" xfId="0" applyNumberFormat="1" applyFill="1" applyBorder="1" applyAlignment="1">
      <alignment horizontal="center"/>
    </xf>
    <xf numFmtId="2" fontId="136" fillId="176" borderId="0" xfId="0" applyNumberFormat="1" applyFont="1" applyFill="1" applyBorder="1" applyAlignment="1">
      <alignment horizontal="center"/>
    </xf>
    <xf numFmtId="1" fontId="136" fillId="176" borderId="0" xfId="0" applyNumberFormat="1" applyFont="1" applyFill="1" applyBorder="1" applyAlignment="1">
      <alignment horizontal="center"/>
    </xf>
    <xf numFmtId="1" fontId="0" fillId="176" borderId="0" xfId="0" applyNumberFormat="1" applyFill="1" applyBorder="1" applyAlignment="1">
      <alignment horizontal="center"/>
    </xf>
    <xf numFmtId="0" fontId="0" fillId="176" borderId="0" xfId="0" applyFill="1" applyBorder="1" applyAlignment="1">
      <alignment horizontal="center"/>
    </xf>
    <xf numFmtId="0" fontId="0" fillId="176" borderId="0" xfId="0" applyFill="1"/>
    <xf numFmtId="0" fontId="29" fillId="176" borderId="0" xfId="0" applyFont="1" applyFill="1"/>
    <xf numFmtId="0" fontId="142" fillId="55" borderId="40" xfId="0" applyFont="1" applyFill="1" applyBorder="1" applyAlignment="1">
      <alignment horizontal="center"/>
    </xf>
    <xf numFmtId="0" fontId="142" fillId="55" borderId="40" xfId="0" applyFont="1" applyFill="1" applyBorder="1" applyAlignment="1">
      <alignment horizontal="center" vertical="center" wrapText="1"/>
    </xf>
    <xf numFmtId="0" fontId="142" fillId="55" borderId="0" xfId="0" applyFont="1" applyFill="1"/>
    <xf numFmtId="2" fontId="152" fillId="192" borderId="0" xfId="0" applyNumberFormat="1" applyFont="1" applyFill="1"/>
    <xf numFmtId="0" fontId="152" fillId="192" borderId="0" xfId="0" applyFont="1" applyFill="1"/>
    <xf numFmtId="0" fontId="142" fillId="192" borderId="0" xfId="0" applyFont="1" applyFill="1"/>
    <xf numFmtId="2" fontId="142" fillId="193" borderId="0" xfId="33456" applyNumberFormat="1" applyFont="1" applyFill="1"/>
    <xf numFmtId="2" fontId="142" fillId="193" borderId="0" xfId="0" applyNumberFormat="1" applyFont="1" applyFill="1"/>
    <xf numFmtId="2" fontId="148" fillId="192" borderId="0" xfId="0" applyNumberFormat="1" applyFont="1" applyFill="1"/>
    <xf numFmtId="2" fontId="142" fillId="164" borderId="0" xfId="0" applyNumberFormat="1" applyFont="1" applyFill="1"/>
    <xf numFmtId="2" fontId="142" fillId="55" borderId="0" xfId="0" applyNumberFormat="1" applyFont="1" applyFill="1"/>
    <xf numFmtId="2" fontId="142" fillId="194" borderId="0" xfId="0" applyNumberFormat="1" applyFont="1" applyFill="1"/>
    <xf numFmtId="2" fontId="174" fillId="194" borderId="0" xfId="0" applyNumberFormat="1" applyFont="1" applyFill="1"/>
    <xf numFmtId="0" fontId="142" fillId="55" borderId="40" xfId="0" applyFont="1" applyFill="1" applyBorder="1"/>
    <xf numFmtId="191" fontId="0" fillId="176" borderId="0" xfId="0" applyNumberFormat="1" applyFill="1" applyBorder="1" applyAlignment="1">
      <alignment horizontal="center"/>
    </xf>
    <xf numFmtId="168" fontId="0" fillId="195" borderId="0" xfId="0" applyNumberFormat="1" applyFill="1" applyBorder="1" applyAlignment="1">
      <alignment horizontal="center"/>
    </xf>
    <xf numFmtId="189" fontId="136" fillId="98" borderId="0" xfId="0" quotePrefix="1" applyNumberFormat="1" applyFont="1" applyFill="1" applyBorder="1" applyAlignment="1">
      <alignment horizontal="center"/>
    </xf>
    <xf numFmtId="2" fontId="136" fillId="55" borderId="0" xfId="0" applyNumberFormat="1" applyFont="1" applyFill="1" applyBorder="1" applyAlignment="1">
      <alignment horizontal="center"/>
    </xf>
    <xf numFmtId="0" fontId="39" fillId="5" borderId="0" xfId="0" applyFont="1" applyFill="1" applyAlignment="1">
      <alignment horizontal="center" wrapText="1"/>
    </xf>
    <xf numFmtId="0" fontId="39" fillId="4" borderId="0" xfId="0" applyFont="1" applyFill="1" applyAlignment="1">
      <alignment horizontal="center" wrapText="1"/>
    </xf>
    <xf numFmtId="0" fontId="39" fillId="4" borderId="13" xfId="0" applyFont="1" applyFill="1" applyBorder="1" applyAlignment="1">
      <alignment horizontal="center" wrapText="1"/>
    </xf>
    <xf numFmtId="0" fontId="138" fillId="0" borderId="13" xfId="28046" applyFont="1" applyFill="1" applyBorder="1" applyAlignment="1">
      <alignment horizontal="center" vertical="center" wrapText="1"/>
    </xf>
    <xf numFmtId="0" fontId="142" fillId="0" borderId="0" xfId="0" applyFont="1" applyAlignment="1">
      <alignment horizontal="center"/>
    </xf>
    <xf numFmtId="0" fontId="142" fillId="72" borderId="0" xfId="0" applyFont="1" applyFill="1" applyAlignment="1">
      <alignment horizontal="center"/>
    </xf>
    <xf numFmtId="0" fontId="124" fillId="56" borderId="46" xfId="0" applyFont="1" applyFill="1" applyBorder="1" applyAlignment="1">
      <alignment vertical="center"/>
    </xf>
    <xf numFmtId="0" fontId="124" fillId="56" borderId="47" xfId="0" applyFont="1" applyFill="1" applyBorder="1" applyAlignment="1">
      <alignment vertical="center"/>
    </xf>
    <xf numFmtId="0" fontId="124" fillId="56" borderId="48" xfId="0" applyFont="1" applyFill="1" applyBorder="1" applyAlignment="1">
      <alignment vertical="center"/>
    </xf>
    <xf numFmtId="0" fontId="124" fillId="56" borderId="52" xfId="0" applyFont="1" applyFill="1" applyBorder="1" applyAlignment="1">
      <alignment vertical="center"/>
    </xf>
    <xf numFmtId="0" fontId="124" fillId="56" borderId="53" xfId="0" applyFont="1" applyFill="1" applyBorder="1" applyAlignment="1">
      <alignment vertical="center"/>
    </xf>
    <xf numFmtId="0" fontId="124" fillId="56" borderId="54" xfId="0" applyFont="1" applyFill="1" applyBorder="1" applyAlignment="1">
      <alignment vertical="center"/>
    </xf>
    <xf numFmtId="0" fontId="126" fillId="58" borderId="52" xfId="0" applyFont="1" applyFill="1" applyBorder="1" applyAlignment="1">
      <alignment horizontal="center" vertical="center"/>
    </xf>
    <xf numFmtId="0" fontId="126" fillId="58" borderId="53" xfId="0" applyFont="1" applyFill="1" applyBorder="1" applyAlignment="1">
      <alignment horizontal="center" vertical="center"/>
    </xf>
    <xf numFmtId="0" fontId="126" fillId="58" borderId="50" xfId="0" applyFont="1" applyFill="1" applyBorder="1" applyAlignment="1">
      <alignment horizontal="center" vertical="center"/>
    </xf>
  </cellXfs>
  <cellStyles count="49882">
    <cellStyle name="???????" xfId="336" xr:uid="{00000000-0005-0000-0000-000000000000}"/>
    <cellStyle name="???????????" xfId="33458" xr:uid="{BFA899EC-C91F-4DAB-BFE2-2EB22EBD229C}"/>
    <cellStyle name="???????_2++" xfId="33459" xr:uid="{A363C22D-DB3A-4A6D-9F9E-0319966EC191}"/>
    <cellStyle name="20 % - Akzent1 2" xfId="33460" xr:uid="{4A8C99CC-BA29-42A9-A174-75C48F6AE75F}"/>
    <cellStyle name="20 % - Akzent1 3" xfId="33461" xr:uid="{D88A3499-545F-43DB-BC86-097A2E7A2EF7}"/>
    <cellStyle name="20 % - Akzent2 2" xfId="33462" xr:uid="{1F7D6E4F-BA30-4010-98A3-FC1870B10CA6}"/>
    <cellStyle name="20 % - Akzent2 3" xfId="33463" xr:uid="{D091898D-BC5E-41E2-B996-EFBD9F707B7A}"/>
    <cellStyle name="20 % - Akzent3 2" xfId="33464" xr:uid="{D2F39F53-27E9-49B0-8358-301BE7E1BE27}"/>
    <cellStyle name="20 % - Akzent3 3" xfId="33465" xr:uid="{11C8041D-13C4-4974-9FD6-9A82B8DDB843}"/>
    <cellStyle name="20 % - Akzent4 2" xfId="33466" xr:uid="{E1E2F300-DAC1-48BB-9D84-325BE24C4FB3}"/>
    <cellStyle name="20 % - Akzent4 3" xfId="33467" xr:uid="{CFAADDEE-3857-4233-92D9-D49F82B293C5}"/>
    <cellStyle name="20 % - Akzent5 2" xfId="33468" xr:uid="{303466C9-AC2D-410C-A4CD-B635E70A4AFA}"/>
    <cellStyle name="20 % - Akzent5 3" xfId="33469" xr:uid="{354D3DAA-C3E0-4626-8680-4F8F8DB734B4}"/>
    <cellStyle name="20 % - Akzent6 2" xfId="33470" xr:uid="{440FD611-EAED-4E2D-9992-79A6F7DEE475}"/>
    <cellStyle name="20 % - Akzent6 3" xfId="33471" xr:uid="{D3B2FB94-08DB-4C05-9400-FC11FDE6B396}"/>
    <cellStyle name="20% - Accent1 10" xfId="337" xr:uid="{00000000-0005-0000-0000-000001000000}"/>
    <cellStyle name="20% - Accent1 10 2" xfId="11256" xr:uid="{00000000-0005-0000-0000-000002000000}"/>
    <cellStyle name="20% - Accent1 11" xfId="338" xr:uid="{00000000-0005-0000-0000-000003000000}"/>
    <cellStyle name="20% - Accent1 11 2" xfId="11255" xr:uid="{00000000-0005-0000-0000-000004000000}"/>
    <cellStyle name="20% - Accent1 12" xfId="339" xr:uid="{00000000-0005-0000-0000-000005000000}"/>
    <cellStyle name="20% - Accent1 12 2" xfId="33472" xr:uid="{AADBAD68-5386-4724-988E-17E29B35CD00}"/>
    <cellStyle name="20% - Accent1 13" xfId="340" xr:uid="{00000000-0005-0000-0000-000006000000}"/>
    <cellStyle name="20% - Accent1 13 2" xfId="33473" xr:uid="{FCDB62D4-ADA3-4C2E-BE05-06FC16D8F29D}"/>
    <cellStyle name="20% - Accent1 14" xfId="341" xr:uid="{00000000-0005-0000-0000-000007000000}"/>
    <cellStyle name="20% - Accent1 14 2" xfId="33474" xr:uid="{E977E7CA-F74D-4AD2-A1F1-93FC752C8D5E}"/>
    <cellStyle name="20% - Accent1 15" xfId="342" xr:uid="{00000000-0005-0000-0000-000008000000}"/>
    <cellStyle name="20% - Accent1 15 2" xfId="33475" xr:uid="{6EFDC99C-0FE8-4E49-8342-F0B0B44471A0}"/>
    <cellStyle name="20% - Accent1 16" xfId="343" xr:uid="{00000000-0005-0000-0000-000009000000}"/>
    <cellStyle name="20% - Accent1 16 2" xfId="33476" xr:uid="{B490264E-119C-4CA0-A2A1-24E30590F873}"/>
    <cellStyle name="20% - Accent1 17" xfId="344" xr:uid="{00000000-0005-0000-0000-00000A000000}"/>
    <cellStyle name="20% - Accent1 17 2" xfId="33477" xr:uid="{8BFF23F4-F8CF-487F-9846-A440F2553BD3}"/>
    <cellStyle name="20% - Accent1 18" xfId="345" xr:uid="{00000000-0005-0000-0000-00000B000000}"/>
    <cellStyle name="20% - Accent1 18 2" xfId="33478" xr:uid="{8053CF65-674D-40FE-8D36-B9D4441F0F1D}"/>
    <cellStyle name="20% - Accent1 19" xfId="346" xr:uid="{00000000-0005-0000-0000-00000C000000}"/>
    <cellStyle name="20% - Accent1 19 2" xfId="33479" xr:uid="{2A411D0B-0497-4DD8-BB77-C046A3C84FAB}"/>
    <cellStyle name="20% - Accent1 2" xfId="9" xr:uid="{00000000-0005-0000-0000-00000D000000}"/>
    <cellStyle name="20% - Accent1 2 10" xfId="3337" xr:uid="{00000000-0005-0000-0000-00000E000000}"/>
    <cellStyle name="20% - Accent1 2 11" xfId="3338" xr:uid="{00000000-0005-0000-0000-00000F000000}"/>
    <cellStyle name="20% - Accent1 2 12" xfId="3339" xr:uid="{00000000-0005-0000-0000-000010000000}"/>
    <cellStyle name="20% - Accent1 2 13" xfId="3340" xr:uid="{00000000-0005-0000-0000-000011000000}"/>
    <cellStyle name="20% - Accent1 2 14" xfId="3341" xr:uid="{00000000-0005-0000-0000-000012000000}"/>
    <cellStyle name="20% - Accent1 2 15" xfId="3342" xr:uid="{00000000-0005-0000-0000-000013000000}"/>
    <cellStyle name="20% - Accent1 2 16" xfId="11254" xr:uid="{00000000-0005-0000-0000-000014000000}"/>
    <cellStyle name="20% - Accent1 2 17" xfId="33480" xr:uid="{B15DD155-B913-4C1F-AEB6-71C74F5A0419}"/>
    <cellStyle name="20% - Accent1 2 2" xfId="3343" xr:uid="{00000000-0005-0000-0000-000015000000}"/>
    <cellStyle name="20% - Accent1 2 2 2" xfId="33482" xr:uid="{9B0632AA-8C30-4C7A-A4FC-E62EF4112DD6}"/>
    <cellStyle name="20% - Accent1 2 2 3" xfId="33481" xr:uid="{B3771BD1-8B7E-4B1A-B972-12039ADEA3FC}"/>
    <cellStyle name="20% - Accent1 2 3" xfId="3344" xr:uid="{00000000-0005-0000-0000-000016000000}"/>
    <cellStyle name="20% - Accent1 2 4" xfId="3345" xr:uid="{00000000-0005-0000-0000-000017000000}"/>
    <cellStyle name="20% - Accent1 2 5" xfId="3346" xr:uid="{00000000-0005-0000-0000-000018000000}"/>
    <cellStyle name="20% - Accent1 2 6" xfId="3347" xr:uid="{00000000-0005-0000-0000-000019000000}"/>
    <cellStyle name="20% - Accent1 2 7" xfId="3348" xr:uid="{00000000-0005-0000-0000-00001A000000}"/>
    <cellStyle name="20% - Accent1 2 8" xfId="3349" xr:uid="{00000000-0005-0000-0000-00001B000000}"/>
    <cellStyle name="20% - Accent1 2 9" xfId="3350" xr:uid="{00000000-0005-0000-0000-00001C000000}"/>
    <cellStyle name="20% - Accent1 20" xfId="347" xr:uid="{00000000-0005-0000-0000-00001D000000}"/>
    <cellStyle name="20% - Accent1 20 2" xfId="33483" xr:uid="{1EDE2B98-0D62-4013-9CE6-83F7B4CC7614}"/>
    <cellStyle name="20% - Accent1 21" xfId="348" xr:uid="{00000000-0005-0000-0000-00001E000000}"/>
    <cellStyle name="20% - Accent1 21 2" xfId="33484" xr:uid="{899949EB-9BF1-42FA-9AD3-EE31234DB4C5}"/>
    <cellStyle name="20% - Accent1 22" xfId="349" xr:uid="{00000000-0005-0000-0000-00001F000000}"/>
    <cellStyle name="20% - Accent1 22 2" xfId="33485" xr:uid="{90CA4F06-77D6-491B-84D2-6B58C5249150}"/>
    <cellStyle name="20% - Accent1 23" xfId="350" xr:uid="{00000000-0005-0000-0000-000020000000}"/>
    <cellStyle name="20% - Accent1 23 2" xfId="33486" xr:uid="{7719546F-2FB1-4263-9C73-9EEF910CC378}"/>
    <cellStyle name="20% - Accent1 24" xfId="351" xr:uid="{00000000-0005-0000-0000-000021000000}"/>
    <cellStyle name="20% - Accent1 24 2" xfId="33487" xr:uid="{6D419B1E-9E30-4C48-B3DF-238FDB3CDCC0}"/>
    <cellStyle name="20% - Accent1 25" xfId="352" xr:uid="{00000000-0005-0000-0000-000022000000}"/>
    <cellStyle name="20% - Accent1 25 2" xfId="33488" xr:uid="{A6E077F2-3124-41C4-9F07-EF3817B52409}"/>
    <cellStyle name="20% - Accent1 26" xfId="353" xr:uid="{00000000-0005-0000-0000-000023000000}"/>
    <cellStyle name="20% - Accent1 26 2" xfId="33489" xr:uid="{55D29CCF-3A76-42A8-A606-0FE3703F2A6E}"/>
    <cellStyle name="20% - Accent1 27" xfId="354" xr:uid="{00000000-0005-0000-0000-000024000000}"/>
    <cellStyle name="20% - Accent1 27 2" xfId="33490" xr:uid="{59685FA5-1760-4E5C-B696-A948B7B2ADA7}"/>
    <cellStyle name="20% - Accent1 28" xfId="355" xr:uid="{00000000-0005-0000-0000-000025000000}"/>
    <cellStyle name="20% - Accent1 28 2" xfId="33491" xr:uid="{9896804B-7E95-4AB5-BFF9-4A4D49F5A0C0}"/>
    <cellStyle name="20% - Accent1 29" xfId="356" xr:uid="{00000000-0005-0000-0000-000026000000}"/>
    <cellStyle name="20% - Accent1 29 2" xfId="33492" xr:uid="{EA18D949-286E-45D2-8D75-C13D13FC5A56}"/>
    <cellStyle name="20% - Accent1 3" xfId="10" xr:uid="{00000000-0005-0000-0000-000027000000}"/>
    <cellStyle name="20% - Accent1 3 2" xfId="357" xr:uid="{00000000-0005-0000-0000-000028000000}"/>
    <cellStyle name="20% - Accent1 3 2 2" xfId="11253" xr:uid="{00000000-0005-0000-0000-000029000000}"/>
    <cellStyle name="20% - Accent1 3 3" xfId="3351" xr:uid="{00000000-0005-0000-0000-00002A000000}"/>
    <cellStyle name="20% - Accent1 3 3 2" xfId="33495" xr:uid="{F119CA1D-8C66-4DE9-AEF4-A7D6EFD5DCBF}"/>
    <cellStyle name="20% - Accent1 3 3 3" xfId="33494" xr:uid="{6F4C8AC2-81EB-4777-BED9-86B10A9FCF92}"/>
    <cellStyle name="20% - Accent1 3 4" xfId="5721" xr:uid="{00000000-0005-0000-0000-00002B000000}"/>
    <cellStyle name="20% - Accent1 3 5" xfId="33493" xr:uid="{3EC44B92-5D87-4BFE-BAB4-3187F3F54231}"/>
    <cellStyle name="20% - Accent1 30" xfId="358" xr:uid="{00000000-0005-0000-0000-00002C000000}"/>
    <cellStyle name="20% - Accent1 30 2" xfId="33496" xr:uid="{8B4E609D-3DF0-45EA-ABEF-CCC014E70955}"/>
    <cellStyle name="20% - Accent1 31" xfId="359" xr:uid="{00000000-0005-0000-0000-00002D000000}"/>
    <cellStyle name="20% - Accent1 31 2" xfId="33497" xr:uid="{33863308-99D6-48EB-A381-DF99D46C452A}"/>
    <cellStyle name="20% - Accent1 32" xfId="360" xr:uid="{00000000-0005-0000-0000-00002E000000}"/>
    <cellStyle name="20% - Accent1 32 2" xfId="33498" xr:uid="{DE0DF879-9EBC-464E-AE55-64C728A79E58}"/>
    <cellStyle name="20% - Accent1 33" xfId="361" xr:uid="{00000000-0005-0000-0000-00002F000000}"/>
    <cellStyle name="20% - Accent1 33 2" xfId="33499" xr:uid="{2B0206A5-E686-4336-9319-D71F4BDD1F0B}"/>
    <cellStyle name="20% - Accent1 34" xfId="362" xr:uid="{00000000-0005-0000-0000-000030000000}"/>
    <cellStyle name="20% - Accent1 34 2" xfId="33500" xr:uid="{C34FAC8F-2B98-467E-BA7B-041C6DB308BE}"/>
    <cellStyle name="20% - Accent1 35" xfId="363" xr:uid="{00000000-0005-0000-0000-000031000000}"/>
    <cellStyle name="20% - Accent1 35 2" xfId="33501" xr:uid="{4019D5E9-AC89-4664-A4BA-A8111D5E533E}"/>
    <cellStyle name="20% - Accent1 36" xfId="364" xr:uid="{00000000-0005-0000-0000-000032000000}"/>
    <cellStyle name="20% - Accent1 36 2" xfId="33502" xr:uid="{D92C43EE-7944-4F42-9FE9-638C77E70C91}"/>
    <cellStyle name="20% - Accent1 37" xfId="365" xr:uid="{00000000-0005-0000-0000-000033000000}"/>
    <cellStyle name="20% - Accent1 37 2" xfId="33503" xr:uid="{A41D89F8-AE3F-4974-9703-85F9C24D5AC2}"/>
    <cellStyle name="20% - Accent1 38" xfId="366" xr:uid="{00000000-0005-0000-0000-000034000000}"/>
    <cellStyle name="20% - Accent1 38 2" xfId="33504" xr:uid="{4A13BE0D-443A-4109-BCB4-B2E7EFFD4C23}"/>
    <cellStyle name="20% - Accent1 39" xfId="367" xr:uid="{00000000-0005-0000-0000-000035000000}"/>
    <cellStyle name="20% - Accent1 39 2" xfId="33505" xr:uid="{C995DB5B-A7B1-4EF4-9828-86A16F269363}"/>
    <cellStyle name="20% - Accent1 4" xfId="368" xr:uid="{00000000-0005-0000-0000-000036000000}"/>
    <cellStyle name="20% - Accent1 4 2" xfId="3352" xr:uid="{00000000-0005-0000-0000-000037000000}"/>
    <cellStyle name="20% - Accent1 4 2 2" xfId="33507" xr:uid="{B610101A-5D12-466E-B9A7-C9F6EB6D1C2F}"/>
    <cellStyle name="20% - Accent1 4 2 3" xfId="33506" xr:uid="{07DC47DC-7151-4BF1-9388-0809877C420C}"/>
    <cellStyle name="20% - Accent1 4 3" xfId="5820" xr:uid="{00000000-0005-0000-0000-000038000000}"/>
    <cellStyle name="20% - Accent1 40" xfId="369" xr:uid="{00000000-0005-0000-0000-000039000000}"/>
    <cellStyle name="20% - Accent1 40 2" xfId="33508" xr:uid="{A3A3EF0D-EC90-44A4-92DE-53D8361A5E36}"/>
    <cellStyle name="20% - Accent1 41" xfId="370" xr:uid="{00000000-0005-0000-0000-00003A000000}"/>
    <cellStyle name="20% - Accent1 41 2" xfId="33509" xr:uid="{F99EA631-1134-4F7A-BBFB-BE7EA1A49EAA}"/>
    <cellStyle name="20% - Accent1 42" xfId="371" xr:uid="{00000000-0005-0000-0000-00003B000000}"/>
    <cellStyle name="20% - Accent1 42 2" xfId="33510" xr:uid="{4864FEB6-881F-43A8-9364-F1A333C02F79}"/>
    <cellStyle name="20% - Accent1 43" xfId="372" xr:uid="{00000000-0005-0000-0000-00003C000000}"/>
    <cellStyle name="20% - Accent1 43 2" xfId="33511" xr:uid="{9C8695FC-5FB5-479F-A094-F552AE4711F6}"/>
    <cellStyle name="20% - Accent1 5" xfId="373" xr:uid="{00000000-0005-0000-0000-00003D000000}"/>
    <cellStyle name="20% - Accent1 5 2" xfId="3353" xr:uid="{00000000-0005-0000-0000-00003E000000}"/>
    <cellStyle name="20% - Accent1 5 2 2" xfId="33513" xr:uid="{A6560185-CDE8-4D51-971F-0AB879F06D99}"/>
    <cellStyle name="20% - Accent1 5 2 3" xfId="33512" xr:uid="{DB4AAB59-A3F5-4A84-AFFB-632D7F602C8B}"/>
    <cellStyle name="20% - Accent1 5 3" xfId="5821" xr:uid="{00000000-0005-0000-0000-00003F000000}"/>
    <cellStyle name="20% - Accent1 6" xfId="374" xr:uid="{00000000-0005-0000-0000-000040000000}"/>
    <cellStyle name="20% - Accent1 6 2" xfId="3354" xr:uid="{00000000-0005-0000-0000-000041000000}"/>
    <cellStyle name="20% - Accent1 6 2 2" xfId="33515" xr:uid="{87B24E13-6A9F-40E3-B03F-8844E9C5DE3B}"/>
    <cellStyle name="20% - Accent1 6 2 3" xfId="33514" xr:uid="{807B0198-DCBD-434C-9D3E-09694D60BCB4}"/>
    <cellStyle name="20% - Accent1 6 3" xfId="5822" xr:uid="{00000000-0005-0000-0000-000042000000}"/>
    <cellStyle name="20% - Accent1 7" xfId="375" xr:uid="{00000000-0005-0000-0000-000043000000}"/>
    <cellStyle name="20% - Accent1 7 2" xfId="3355" xr:uid="{00000000-0005-0000-0000-000044000000}"/>
    <cellStyle name="20% - Accent1 7 2 2" xfId="33517" xr:uid="{9336845B-57EB-41BD-8B6F-9487BF127A94}"/>
    <cellStyle name="20% - Accent1 7 2 3" xfId="33516" xr:uid="{0B45407E-1DCC-46AC-A78F-6F088D852D0E}"/>
    <cellStyle name="20% - Accent1 7 3" xfId="5823" xr:uid="{00000000-0005-0000-0000-000045000000}"/>
    <cellStyle name="20% - Accent1 8" xfId="376" xr:uid="{00000000-0005-0000-0000-000046000000}"/>
    <cellStyle name="20% - Accent1 8 2" xfId="3356" xr:uid="{00000000-0005-0000-0000-000047000000}"/>
    <cellStyle name="20% - Accent1 8 2 2" xfId="33519" xr:uid="{7C0F60A7-DC4D-4A6D-9E91-9A806BAC368A}"/>
    <cellStyle name="20% - Accent1 8 2 3" xfId="33518" xr:uid="{1F388773-39BF-425A-95F8-70CD31AEF500}"/>
    <cellStyle name="20% - Accent1 8 3" xfId="5824" xr:uid="{00000000-0005-0000-0000-000048000000}"/>
    <cellStyle name="20% - Accent1 9" xfId="377" xr:uid="{00000000-0005-0000-0000-000049000000}"/>
    <cellStyle name="20% - Accent1 9 2" xfId="11252" xr:uid="{00000000-0005-0000-0000-00004A000000}"/>
    <cellStyle name="20% - Accent2 10" xfId="378" xr:uid="{00000000-0005-0000-0000-00004B000000}"/>
    <cellStyle name="20% - Accent2 10 2" xfId="11251" xr:uid="{00000000-0005-0000-0000-00004C000000}"/>
    <cellStyle name="20% - Accent2 11" xfId="379" xr:uid="{00000000-0005-0000-0000-00004D000000}"/>
    <cellStyle name="20% - Accent2 11 2" xfId="11250" xr:uid="{00000000-0005-0000-0000-00004E000000}"/>
    <cellStyle name="20% - Accent2 12" xfId="380" xr:uid="{00000000-0005-0000-0000-00004F000000}"/>
    <cellStyle name="20% - Accent2 12 2" xfId="33520" xr:uid="{E1DC8CDE-6F98-4DE3-87A5-EAB1EE78A840}"/>
    <cellStyle name="20% - Accent2 13" xfId="381" xr:uid="{00000000-0005-0000-0000-000050000000}"/>
    <cellStyle name="20% - Accent2 13 2" xfId="33521" xr:uid="{814F2B4C-CEDF-4597-AD56-895F2F46B61B}"/>
    <cellStyle name="20% - Accent2 14" xfId="382" xr:uid="{00000000-0005-0000-0000-000051000000}"/>
    <cellStyle name="20% - Accent2 14 2" xfId="33522" xr:uid="{F4130144-0135-4891-B367-8E105D516EBC}"/>
    <cellStyle name="20% - Accent2 15" xfId="383" xr:uid="{00000000-0005-0000-0000-000052000000}"/>
    <cellStyle name="20% - Accent2 15 2" xfId="33523" xr:uid="{93A08696-8DB3-4B7F-BE84-C90B4FD7DB7C}"/>
    <cellStyle name="20% - Accent2 16" xfId="384" xr:uid="{00000000-0005-0000-0000-000053000000}"/>
    <cellStyle name="20% - Accent2 16 2" xfId="33524" xr:uid="{FF5458AF-6269-404D-B9EF-092EBC084ADA}"/>
    <cellStyle name="20% - Accent2 17" xfId="385" xr:uid="{00000000-0005-0000-0000-000054000000}"/>
    <cellStyle name="20% - Accent2 17 2" xfId="33525" xr:uid="{4BED27F5-18D9-4A30-998F-668E6537A697}"/>
    <cellStyle name="20% - Accent2 18" xfId="386" xr:uid="{00000000-0005-0000-0000-000055000000}"/>
    <cellStyle name="20% - Accent2 18 2" xfId="33526" xr:uid="{ED622775-975D-410D-ADED-3D704FD9CFE3}"/>
    <cellStyle name="20% - Accent2 19" xfId="387" xr:uid="{00000000-0005-0000-0000-000056000000}"/>
    <cellStyle name="20% - Accent2 19 2" xfId="33527" xr:uid="{E880C17D-1027-4F08-9055-F06EA9547DF1}"/>
    <cellStyle name="20% - Accent2 2" xfId="11" xr:uid="{00000000-0005-0000-0000-000057000000}"/>
    <cellStyle name="20% - Accent2 2 10" xfId="3357" xr:uid="{00000000-0005-0000-0000-000058000000}"/>
    <cellStyle name="20% - Accent2 2 11" xfId="3358" xr:uid="{00000000-0005-0000-0000-000059000000}"/>
    <cellStyle name="20% - Accent2 2 12" xfId="3359" xr:uid="{00000000-0005-0000-0000-00005A000000}"/>
    <cellStyle name="20% - Accent2 2 13" xfId="3360" xr:uid="{00000000-0005-0000-0000-00005B000000}"/>
    <cellStyle name="20% - Accent2 2 14" xfId="3361" xr:uid="{00000000-0005-0000-0000-00005C000000}"/>
    <cellStyle name="20% - Accent2 2 15" xfId="3362" xr:uid="{00000000-0005-0000-0000-00005D000000}"/>
    <cellStyle name="20% - Accent2 2 16" xfId="11249" xr:uid="{00000000-0005-0000-0000-00005E000000}"/>
    <cellStyle name="20% - Accent2 2 17" xfId="33528" xr:uid="{E6337424-768E-42BD-9EC9-52B7EAD8F4A9}"/>
    <cellStyle name="20% - Accent2 2 2" xfId="3363" xr:uid="{00000000-0005-0000-0000-00005F000000}"/>
    <cellStyle name="20% - Accent2 2 2 2" xfId="33530" xr:uid="{15B14653-CD1C-41B7-A6A0-1054E60AF655}"/>
    <cellStyle name="20% - Accent2 2 2 3" xfId="33529" xr:uid="{91CEA253-5C5A-4E51-800B-97DD0F4B4D07}"/>
    <cellStyle name="20% - Accent2 2 3" xfId="3364" xr:uid="{00000000-0005-0000-0000-000060000000}"/>
    <cellStyle name="20% - Accent2 2 4" xfId="3365" xr:uid="{00000000-0005-0000-0000-000061000000}"/>
    <cellStyle name="20% - Accent2 2 5" xfId="3366" xr:uid="{00000000-0005-0000-0000-000062000000}"/>
    <cellStyle name="20% - Accent2 2 6" xfId="3367" xr:uid="{00000000-0005-0000-0000-000063000000}"/>
    <cellStyle name="20% - Accent2 2 7" xfId="3368" xr:uid="{00000000-0005-0000-0000-000064000000}"/>
    <cellStyle name="20% - Accent2 2 8" xfId="3369" xr:uid="{00000000-0005-0000-0000-000065000000}"/>
    <cellStyle name="20% - Accent2 2 9" xfId="3370" xr:uid="{00000000-0005-0000-0000-000066000000}"/>
    <cellStyle name="20% - Accent2 20" xfId="388" xr:uid="{00000000-0005-0000-0000-000067000000}"/>
    <cellStyle name="20% - Accent2 20 2" xfId="33531" xr:uid="{BBD18C1E-A790-4ED1-8FD6-3629658A21A1}"/>
    <cellStyle name="20% - Accent2 21" xfId="389" xr:uid="{00000000-0005-0000-0000-000068000000}"/>
    <cellStyle name="20% - Accent2 21 2" xfId="33532" xr:uid="{7D830530-6D6E-4D14-8561-887FFEB769AA}"/>
    <cellStyle name="20% - Accent2 22" xfId="390" xr:uid="{00000000-0005-0000-0000-000069000000}"/>
    <cellStyle name="20% - Accent2 22 2" xfId="33533" xr:uid="{045BF94F-FCEA-4375-B6D7-8369EEDBBDBE}"/>
    <cellStyle name="20% - Accent2 23" xfId="391" xr:uid="{00000000-0005-0000-0000-00006A000000}"/>
    <cellStyle name="20% - Accent2 23 2" xfId="33534" xr:uid="{E8B539A3-B3A7-41CB-A293-FF10B0F7F3BC}"/>
    <cellStyle name="20% - Accent2 24" xfId="392" xr:uid="{00000000-0005-0000-0000-00006B000000}"/>
    <cellStyle name="20% - Accent2 24 2" xfId="33535" xr:uid="{25CB5330-7941-4236-8926-0B6BE5D71852}"/>
    <cellStyle name="20% - Accent2 25" xfId="393" xr:uid="{00000000-0005-0000-0000-00006C000000}"/>
    <cellStyle name="20% - Accent2 25 2" xfId="33536" xr:uid="{62854BC8-F53B-416F-8D77-125B2E2F1CB3}"/>
    <cellStyle name="20% - Accent2 26" xfId="394" xr:uid="{00000000-0005-0000-0000-00006D000000}"/>
    <cellStyle name="20% - Accent2 26 2" xfId="33537" xr:uid="{894B5F2E-2CF7-4D10-8A05-A7ADCA1B3CE9}"/>
    <cellStyle name="20% - Accent2 27" xfId="395" xr:uid="{00000000-0005-0000-0000-00006E000000}"/>
    <cellStyle name="20% - Accent2 27 2" xfId="33538" xr:uid="{9F5BE2CE-6880-448E-9BDC-B690A977AD7F}"/>
    <cellStyle name="20% - Accent2 28" xfId="396" xr:uid="{00000000-0005-0000-0000-00006F000000}"/>
    <cellStyle name="20% - Accent2 28 2" xfId="33539" xr:uid="{BD8322C0-0341-401C-81EE-3A147419A1F9}"/>
    <cellStyle name="20% - Accent2 29" xfId="397" xr:uid="{00000000-0005-0000-0000-000070000000}"/>
    <cellStyle name="20% - Accent2 29 2" xfId="33540" xr:uid="{AD45B1AA-8F54-4026-9D6F-B800939E2D26}"/>
    <cellStyle name="20% - Accent2 3" xfId="12" xr:uid="{00000000-0005-0000-0000-000071000000}"/>
    <cellStyle name="20% - Accent2 3 2" xfId="398" xr:uid="{00000000-0005-0000-0000-000072000000}"/>
    <cellStyle name="20% - Accent2 3 2 2" xfId="11248" xr:uid="{00000000-0005-0000-0000-000073000000}"/>
    <cellStyle name="20% - Accent2 3 3" xfId="3371" xr:uid="{00000000-0005-0000-0000-000074000000}"/>
    <cellStyle name="20% - Accent2 3 3 2" xfId="33543" xr:uid="{C0A4784D-43B3-46D7-BED3-B24D2325CC99}"/>
    <cellStyle name="20% - Accent2 3 3 3" xfId="33542" xr:uid="{7B6543E0-6A46-4E5A-9359-B7E06EADE507}"/>
    <cellStyle name="20% - Accent2 3 4" xfId="5722" xr:uid="{00000000-0005-0000-0000-000075000000}"/>
    <cellStyle name="20% - Accent2 3 5" xfId="33541" xr:uid="{61FA2322-2C4E-48A7-B536-F38334A9FF2A}"/>
    <cellStyle name="20% - Accent2 30" xfId="399" xr:uid="{00000000-0005-0000-0000-000076000000}"/>
    <cellStyle name="20% - Accent2 30 2" xfId="33544" xr:uid="{EA490491-633A-4861-AF70-7ECA76688DE7}"/>
    <cellStyle name="20% - Accent2 31" xfId="400" xr:uid="{00000000-0005-0000-0000-000077000000}"/>
    <cellStyle name="20% - Accent2 31 2" xfId="33545" xr:uid="{EE699792-08CA-44B1-8E86-FF78AF3699F0}"/>
    <cellStyle name="20% - Accent2 32" xfId="401" xr:uid="{00000000-0005-0000-0000-000078000000}"/>
    <cellStyle name="20% - Accent2 32 2" xfId="33546" xr:uid="{BD80F320-7135-4A34-BF97-7FF6551AC9E0}"/>
    <cellStyle name="20% - Accent2 33" xfId="402" xr:uid="{00000000-0005-0000-0000-000079000000}"/>
    <cellStyle name="20% - Accent2 33 2" xfId="33547" xr:uid="{874B6C3D-813C-4694-9A95-2940ACB4A7C7}"/>
    <cellStyle name="20% - Accent2 34" xfId="403" xr:uid="{00000000-0005-0000-0000-00007A000000}"/>
    <cellStyle name="20% - Accent2 34 2" xfId="33548" xr:uid="{88923352-B266-4BEE-9FEB-6E381702E33A}"/>
    <cellStyle name="20% - Accent2 35" xfId="404" xr:uid="{00000000-0005-0000-0000-00007B000000}"/>
    <cellStyle name="20% - Accent2 35 2" xfId="33549" xr:uid="{8BA7D344-ACE0-4AA6-B591-BF50F969609B}"/>
    <cellStyle name="20% - Accent2 36" xfId="405" xr:uid="{00000000-0005-0000-0000-00007C000000}"/>
    <cellStyle name="20% - Accent2 36 2" xfId="33550" xr:uid="{C57CF114-59A9-4F7F-81E7-89732BF2FD40}"/>
    <cellStyle name="20% - Accent2 37" xfId="406" xr:uid="{00000000-0005-0000-0000-00007D000000}"/>
    <cellStyle name="20% - Accent2 37 2" xfId="33551" xr:uid="{21B0C27A-916B-45B0-8790-F08CF8197CA0}"/>
    <cellStyle name="20% - Accent2 38" xfId="407" xr:uid="{00000000-0005-0000-0000-00007E000000}"/>
    <cellStyle name="20% - Accent2 38 2" xfId="33552" xr:uid="{4A56ADF9-8D86-4578-9F94-06FAD0D1FC3E}"/>
    <cellStyle name="20% - Accent2 39" xfId="408" xr:uid="{00000000-0005-0000-0000-00007F000000}"/>
    <cellStyle name="20% - Accent2 39 2" xfId="33553" xr:uid="{408F547A-168E-498F-A7F8-F24262AE3F6A}"/>
    <cellStyle name="20% - Accent2 4" xfId="409" xr:uid="{00000000-0005-0000-0000-000080000000}"/>
    <cellStyle name="20% - Accent2 4 2" xfId="3372" xr:uid="{00000000-0005-0000-0000-000081000000}"/>
    <cellStyle name="20% - Accent2 4 2 2" xfId="33555" xr:uid="{70A0947C-026A-422C-A4C7-035194AEB738}"/>
    <cellStyle name="20% - Accent2 4 2 3" xfId="33554" xr:uid="{617B2BAE-5EFC-4265-A2B5-EBCEB7886F02}"/>
    <cellStyle name="20% - Accent2 4 3" xfId="5825" xr:uid="{00000000-0005-0000-0000-000082000000}"/>
    <cellStyle name="20% - Accent2 40" xfId="410" xr:uid="{00000000-0005-0000-0000-000083000000}"/>
    <cellStyle name="20% - Accent2 40 2" xfId="33556" xr:uid="{89031CD4-DEF5-4399-97C8-88C46DA107AA}"/>
    <cellStyle name="20% - Accent2 41" xfId="411" xr:uid="{00000000-0005-0000-0000-000084000000}"/>
    <cellStyle name="20% - Accent2 41 2" xfId="33557" xr:uid="{EBE42F22-0A50-4A49-81CC-08266BA7823F}"/>
    <cellStyle name="20% - Accent2 42" xfId="412" xr:uid="{00000000-0005-0000-0000-000085000000}"/>
    <cellStyle name="20% - Accent2 42 2" xfId="33558" xr:uid="{828F459A-5E9E-42CB-B9E9-35C8C1D50D46}"/>
    <cellStyle name="20% - Accent2 43" xfId="413" xr:uid="{00000000-0005-0000-0000-000086000000}"/>
    <cellStyle name="20% - Accent2 43 2" xfId="33559" xr:uid="{6F9867D9-2D0C-40CA-8AAD-BB2C6D18FF1D}"/>
    <cellStyle name="20% - Accent2 5" xfId="414" xr:uid="{00000000-0005-0000-0000-000087000000}"/>
    <cellStyle name="20% - Accent2 5 2" xfId="3373" xr:uid="{00000000-0005-0000-0000-000088000000}"/>
    <cellStyle name="20% - Accent2 5 2 2" xfId="33561" xr:uid="{B53E6F32-10C3-4B95-B80F-9E9C84050D9A}"/>
    <cellStyle name="20% - Accent2 5 2 3" xfId="33560" xr:uid="{E2252FE3-BC89-4EEB-8305-3B399824D587}"/>
    <cellStyle name="20% - Accent2 5 3" xfId="5826" xr:uid="{00000000-0005-0000-0000-000089000000}"/>
    <cellStyle name="20% - Accent2 6" xfId="415" xr:uid="{00000000-0005-0000-0000-00008A000000}"/>
    <cellStyle name="20% - Accent2 6 2" xfId="3374" xr:uid="{00000000-0005-0000-0000-00008B000000}"/>
    <cellStyle name="20% - Accent2 6 2 2" xfId="33563" xr:uid="{4AB81675-65B2-4540-A58A-F1FB2CCF21DE}"/>
    <cellStyle name="20% - Accent2 6 2 3" xfId="33562" xr:uid="{AD268A03-151F-4D6E-87AB-785AF7B50373}"/>
    <cellStyle name="20% - Accent2 6 3" xfId="5827" xr:uid="{00000000-0005-0000-0000-00008C000000}"/>
    <cellStyle name="20% - Accent2 7" xfId="416" xr:uid="{00000000-0005-0000-0000-00008D000000}"/>
    <cellStyle name="20% - Accent2 7 2" xfId="3375" xr:uid="{00000000-0005-0000-0000-00008E000000}"/>
    <cellStyle name="20% - Accent2 7 2 2" xfId="33565" xr:uid="{9746B695-A602-4090-B54D-40567720AD44}"/>
    <cellStyle name="20% - Accent2 7 2 3" xfId="33564" xr:uid="{2FACBED5-8AD1-4011-85A4-311E300A5352}"/>
    <cellStyle name="20% - Accent2 7 3" xfId="5828" xr:uid="{00000000-0005-0000-0000-00008F000000}"/>
    <cellStyle name="20% - Accent2 8" xfId="417" xr:uid="{00000000-0005-0000-0000-000090000000}"/>
    <cellStyle name="20% - Accent2 8 2" xfId="3376" xr:uid="{00000000-0005-0000-0000-000091000000}"/>
    <cellStyle name="20% - Accent2 8 2 2" xfId="33567" xr:uid="{40403ED1-274C-420E-B9DD-B9ACDC8E7EED}"/>
    <cellStyle name="20% - Accent2 8 2 3" xfId="33566" xr:uid="{024495D0-6EC6-4E9E-A180-9E0D18D75797}"/>
    <cellStyle name="20% - Accent2 8 3" xfId="5829" xr:uid="{00000000-0005-0000-0000-000092000000}"/>
    <cellStyle name="20% - Accent2 9" xfId="418" xr:uid="{00000000-0005-0000-0000-000093000000}"/>
    <cellStyle name="20% - Accent2 9 2" xfId="11247" xr:uid="{00000000-0005-0000-0000-000094000000}"/>
    <cellStyle name="20% - Accent3 10" xfId="419" xr:uid="{00000000-0005-0000-0000-000095000000}"/>
    <cellStyle name="20% - Accent3 10 2" xfId="11246" xr:uid="{00000000-0005-0000-0000-000096000000}"/>
    <cellStyle name="20% - Accent3 11" xfId="420" xr:uid="{00000000-0005-0000-0000-000097000000}"/>
    <cellStyle name="20% - Accent3 11 2" xfId="11245" xr:uid="{00000000-0005-0000-0000-000098000000}"/>
    <cellStyle name="20% - Accent3 12" xfId="421" xr:uid="{00000000-0005-0000-0000-000099000000}"/>
    <cellStyle name="20% - Accent3 12 2" xfId="33568" xr:uid="{24C366F8-74DE-4C3F-8FCC-DF6D5FFA1FB8}"/>
    <cellStyle name="20% - Accent3 13" xfId="422" xr:uid="{00000000-0005-0000-0000-00009A000000}"/>
    <cellStyle name="20% - Accent3 13 2" xfId="33569" xr:uid="{2EB75D26-775B-4C9D-AF9C-1C716E98F88E}"/>
    <cellStyle name="20% - Accent3 14" xfId="423" xr:uid="{00000000-0005-0000-0000-00009B000000}"/>
    <cellStyle name="20% - Accent3 14 2" xfId="33570" xr:uid="{D87E4346-7159-4BD5-BAC9-B9ADD334C3FA}"/>
    <cellStyle name="20% - Accent3 15" xfId="424" xr:uid="{00000000-0005-0000-0000-00009C000000}"/>
    <cellStyle name="20% - Accent3 15 2" xfId="33571" xr:uid="{8F217F8F-F33B-41D8-B5A4-B6F10D9AC32A}"/>
    <cellStyle name="20% - Accent3 16" xfId="425" xr:uid="{00000000-0005-0000-0000-00009D000000}"/>
    <cellStyle name="20% - Accent3 16 2" xfId="33572" xr:uid="{D64F67CB-8890-4E66-B69C-B220F78725F9}"/>
    <cellStyle name="20% - Accent3 17" xfId="426" xr:uid="{00000000-0005-0000-0000-00009E000000}"/>
    <cellStyle name="20% - Accent3 17 2" xfId="33573" xr:uid="{1791CF32-7AB5-4A03-AAA2-BA08D622E0CE}"/>
    <cellStyle name="20% - Accent3 18" xfId="427" xr:uid="{00000000-0005-0000-0000-00009F000000}"/>
    <cellStyle name="20% - Accent3 18 2" xfId="33574" xr:uid="{E82A9B9B-1F59-4E1C-ADEC-E30F2501E5F1}"/>
    <cellStyle name="20% - Accent3 19" xfId="428" xr:uid="{00000000-0005-0000-0000-0000A0000000}"/>
    <cellStyle name="20% - Accent3 19 2" xfId="33575" xr:uid="{41A45269-24C4-45B5-803B-4FEA2E7F4A86}"/>
    <cellStyle name="20% - Accent3 2" xfId="13" xr:uid="{00000000-0005-0000-0000-0000A1000000}"/>
    <cellStyle name="20% - Accent3 2 10" xfId="3377" xr:uid="{00000000-0005-0000-0000-0000A2000000}"/>
    <cellStyle name="20% - Accent3 2 11" xfId="3378" xr:uid="{00000000-0005-0000-0000-0000A3000000}"/>
    <cellStyle name="20% - Accent3 2 12" xfId="3379" xr:uid="{00000000-0005-0000-0000-0000A4000000}"/>
    <cellStyle name="20% - Accent3 2 13" xfId="3380" xr:uid="{00000000-0005-0000-0000-0000A5000000}"/>
    <cellStyle name="20% - Accent3 2 14" xfId="3381" xr:uid="{00000000-0005-0000-0000-0000A6000000}"/>
    <cellStyle name="20% - Accent3 2 15" xfId="3382" xr:uid="{00000000-0005-0000-0000-0000A7000000}"/>
    <cellStyle name="20% - Accent3 2 16" xfId="11244" xr:uid="{00000000-0005-0000-0000-0000A8000000}"/>
    <cellStyle name="20% - Accent3 2 17" xfId="33576" xr:uid="{B4776261-2A14-4D0E-98B2-65655BFD81EE}"/>
    <cellStyle name="20% - Accent3 2 2" xfId="3383" xr:uid="{00000000-0005-0000-0000-0000A9000000}"/>
    <cellStyle name="20% - Accent3 2 2 2" xfId="33578" xr:uid="{72101BEE-CA3C-4154-B42E-F9E8E24AE994}"/>
    <cellStyle name="20% - Accent3 2 2 3" xfId="33577" xr:uid="{D1C67CF6-BEE8-45CE-90FA-9AD76E2EE679}"/>
    <cellStyle name="20% - Accent3 2 3" xfId="3384" xr:uid="{00000000-0005-0000-0000-0000AA000000}"/>
    <cellStyle name="20% - Accent3 2 4" xfId="3385" xr:uid="{00000000-0005-0000-0000-0000AB000000}"/>
    <cellStyle name="20% - Accent3 2 5" xfId="3386" xr:uid="{00000000-0005-0000-0000-0000AC000000}"/>
    <cellStyle name="20% - Accent3 2 6" xfId="3387" xr:uid="{00000000-0005-0000-0000-0000AD000000}"/>
    <cellStyle name="20% - Accent3 2 7" xfId="3388" xr:uid="{00000000-0005-0000-0000-0000AE000000}"/>
    <cellStyle name="20% - Accent3 2 8" xfId="3389" xr:uid="{00000000-0005-0000-0000-0000AF000000}"/>
    <cellStyle name="20% - Accent3 2 9" xfId="3390" xr:uid="{00000000-0005-0000-0000-0000B0000000}"/>
    <cellStyle name="20% - Accent3 20" xfId="429" xr:uid="{00000000-0005-0000-0000-0000B1000000}"/>
    <cellStyle name="20% - Accent3 20 2" xfId="33579" xr:uid="{84EB3420-355B-4B0A-BFC5-9BE5F4705221}"/>
    <cellStyle name="20% - Accent3 21" xfId="430" xr:uid="{00000000-0005-0000-0000-0000B2000000}"/>
    <cellStyle name="20% - Accent3 21 2" xfId="33580" xr:uid="{99FC4CC3-A63B-4BC2-9DF1-6F9777E439D9}"/>
    <cellStyle name="20% - Accent3 22" xfId="431" xr:uid="{00000000-0005-0000-0000-0000B3000000}"/>
    <cellStyle name="20% - Accent3 22 2" xfId="33581" xr:uid="{31CFCDE8-B71B-482C-9501-EA8FC9DC57BD}"/>
    <cellStyle name="20% - Accent3 23" xfId="432" xr:uid="{00000000-0005-0000-0000-0000B4000000}"/>
    <cellStyle name="20% - Accent3 23 2" xfId="33582" xr:uid="{BAD01DDB-2D3B-46B6-8343-62CFD3959CAE}"/>
    <cellStyle name="20% - Accent3 24" xfId="433" xr:uid="{00000000-0005-0000-0000-0000B5000000}"/>
    <cellStyle name="20% - Accent3 24 2" xfId="33583" xr:uid="{D885CBD2-B588-4990-A06A-C8E84E0DE38E}"/>
    <cellStyle name="20% - Accent3 25" xfId="434" xr:uid="{00000000-0005-0000-0000-0000B6000000}"/>
    <cellStyle name="20% - Accent3 25 2" xfId="33584" xr:uid="{8ECF4E96-E1AE-4B56-954A-9AB4FAA7FA5E}"/>
    <cellStyle name="20% - Accent3 26" xfId="435" xr:uid="{00000000-0005-0000-0000-0000B7000000}"/>
    <cellStyle name="20% - Accent3 26 2" xfId="33585" xr:uid="{C38E9153-9BC5-4E25-9022-2C923FEA325E}"/>
    <cellStyle name="20% - Accent3 27" xfId="436" xr:uid="{00000000-0005-0000-0000-0000B8000000}"/>
    <cellStyle name="20% - Accent3 27 2" xfId="33586" xr:uid="{A0BCF5BB-9867-48D0-A9FF-9D1A575E9E1F}"/>
    <cellStyle name="20% - Accent3 28" xfId="437" xr:uid="{00000000-0005-0000-0000-0000B9000000}"/>
    <cellStyle name="20% - Accent3 28 2" xfId="33587" xr:uid="{A5EEB35E-0AC2-4445-B380-A7EF3E9D3111}"/>
    <cellStyle name="20% - Accent3 29" xfId="438" xr:uid="{00000000-0005-0000-0000-0000BA000000}"/>
    <cellStyle name="20% - Accent3 29 2" xfId="33588" xr:uid="{197192F3-E7FB-4B97-8741-9B1B67225B19}"/>
    <cellStyle name="20% - Accent3 3" xfId="14" xr:uid="{00000000-0005-0000-0000-0000BB000000}"/>
    <cellStyle name="20% - Accent3 3 2" xfId="439" xr:uid="{00000000-0005-0000-0000-0000BC000000}"/>
    <cellStyle name="20% - Accent3 3 2 2" xfId="11243" xr:uid="{00000000-0005-0000-0000-0000BD000000}"/>
    <cellStyle name="20% - Accent3 3 3" xfId="3391" xr:uid="{00000000-0005-0000-0000-0000BE000000}"/>
    <cellStyle name="20% - Accent3 3 3 2" xfId="33591" xr:uid="{5B054A50-1415-4406-99CA-2D35F8576D7B}"/>
    <cellStyle name="20% - Accent3 3 3 3" xfId="33590" xr:uid="{98CC5CF9-262E-406E-B65B-89E34563949E}"/>
    <cellStyle name="20% - Accent3 3 4" xfId="5723" xr:uid="{00000000-0005-0000-0000-0000BF000000}"/>
    <cellStyle name="20% - Accent3 3 5" xfId="33589" xr:uid="{E9EA58EF-73AA-406C-BE2F-3D95C70D5968}"/>
    <cellStyle name="20% - Accent3 30" xfId="440" xr:uid="{00000000-0005-0000-0000-0000C0000000}"/>
    <cellStyle name="20% - Accent3 30 2" xfId="33592" xr:uid="{522B457B-4A3E-4EE1-B1F7-6AE84B7E9374}"/>
    <cellStyle name="20% - Accent3 31" xfId="441" xr:uid="{00000000-0005-0000-0000-0000C1000000}"/>
    <cellStyle name="20% - Accent3 31 2" xfId="33593" xr:uid="{8F0DF7BF-5995-46FB-B59E-4EB00C710C2A}"/>
    <cellStyle name="20% - Accent3 32" xfId="442" xr:uid="{00000000-0005-0000-0000-0000C2000000}"/>
    <cellStyle name="20% - Accent3 32 2" xfId="33594" xr:uid="{0D338FE9-6FF9-4DB4-A6EA-531014842712}"/>
    <cellStyle name="20% - Accent3 33" xfId="443" xr:uid="{00000000-0005-0000-0000-0000C3000000}"/>
    <cellStyle name="20% - Accent3 33 2" xfId="33595" xr:uid="{BC9E4703-832A-4C19-ADCC-5BFE83061151}"/>
    <cellStyle name="20% - Accent3 34" xfId="444" xr:uid="{00000000-0005-0000-0000-0000C4000000}"/>
    <cellStyle name="20% - Accent3 34 2" xfId="33596" xr:uid="{FEDB45D1-7FBF-4E9C-8B88-3529336AE896}"/>
    <cellStyle name="20% - Accent3 35" xfId="445" xr:uid="{00000000-0005-0000-0000-0000C5000000}"/>
    <cellStyle name="20% - Accent3 35 2" xfId="33597" xr:uid="{A26A158E-FDD8-440F-8698-72F1A67AD473}"/>
    <cellStyle name="20% - Accent3 36" xfId="446" xr:uid="{00000000-0005-0000-0000-0000C6000000}"/>
    <cellStyle name="20% - Accent3 36 2" xfId="33598" xr:uid="{8E2E70D8-7C94-4C5B-854A-53F5257BEEF4}"/>
    <cellStyle name="20% - Accent3 37" xfId="447" xr:uid="{00000000-0005-0000-0000-0000C7000000}"/>
    <cellStyle name="20% - Accent3 37 2" xfId="33599" xr:uid="{5C44B7D3-7803-4BC2-BCEC-CCC05131D466}"/>
    <cellStyle name="20% - Accent3 38" xfId="448" xr:uid="{00000000-0005-0000-0000-0000C8000000}"/>
    <cellStyle name="20% - Accent3 38 2" xfId="33600" xr:uid="{1D5FF39F-47D1-42FF-8A64-F293334D4DD8}"/>
    <cellStyle name="20% - Accent3 39" xfId="449" xr:uid="{00000000-0005-0000-0000-0000C9000000}"/>
    <cellStyle name="20% - Accent3 39 2" xfId="33601" xr:uid="{7B5D24C7-4D0C-4240-96C2-B91681674C97}"/>
    <cellStyle name="20% - Accent3 4" xfId="450" xr:uid="{00000000-0005-0000-0000-0000CA000000}"/>
    <cellStyle name="20% - Accent3 4 2" xfId="3392" xr:uid="{00000000-0005-0000-0000-0000CB000000}"/>
    <cellStyle name="20% - Accent3 4 2 2" xfId="33603" xr:uid="{9F308D93-7B0B-4E12-B183-58435F888F69}"/>
    <cellStyle name="20% - Accent3 4 2 3" xfId="33602" xr:uid="{AF4F805E-A799-41E1-A9CB-62CABCDE9282}"/>
    <cellStyle name="20% - Accent3 4 3" xfId="5830" xr:uid="{00000000-0005-0000-0000-0000CC000000}"/>
    <cellStyle name="20% - Accent3 40" xfId="451" xr:uid="{00000000-0005-0000-0000-0000CD000000}"/>
    <cellStyle name="20% - Accent3 40 2" xfId="33604" xr:uid="{3EA874D5-AC25-49DB-8A78-CA2701137F2E}"/>
    <cellStyle name="20% - Accent3 41" xfId="452" xr:uid="{00000000-0005-0000-0000-0000CE000000}"/>
    <cellStyle name="20% - Accent3 41 2" xfId="33605" xr:uid="{E89BF84F-5B63-45C4-B486-5FA7FA924A3D}"/>
    <cellStyle name="20% - Accent3 42" xfId="453" xr:uid="{00000000-0005-0000-0000-0000CF000000}"/>
    <cellStyle name="20% - Accent3 42 2" xfId="33606" xr:uid="{2BB8E1D6-0565-4A8E-9057-6189582E4295}"/>
    <cellStyle name="20% - Accent3 43" xfId="454" xr:uid="{00000000-0005-0000-0000-0000D0000000}"/>
    <cellStyle name="20% - Accent3 43 2" xfId="33607" xr:uid="{A19CB7D6-919F-4C29-BF05-0C2658ABCB74}"/>
    <cellStyle name="20% - Accent3 44" xfId="12161" xr:uid="{00000000-0005-0000-0000-0000D1000000}"/>
    <cellStyle name="20% - Accent3 44 2" xfId="25643" xr:uid="{5E06C0EF-C08C-44E8-AC5E-0F3BBBD17BAD}"/>
    <cellStyle name="20% - Accent3 44 3" xfId="19983" xr:uid="{066BAF68-0654-40E4-997B-8D7DC874F54D}"/>
    <cellStyle name="20% - Accent3 44 4" xfId="31293" xr:uid="{4463FEA4-A613-46E7-AD79-87C25C285ADC}"/>
    <cellStyle name="20% - Accent3 44 5" xfId="33608" xr:uid="{BC3E05BF-FA7C-4B0C-A07C-D9C62EDD2407}"/>
    <cellStyle name="20% - Accent3 5" xfId="455" xr:uid="{00000000-0005-0000-0000-0000D2000000}"/>
    <cellStyle name="20% - Accent3 5 2" xfId="3393" xr:uid="{00000000-0005-0000-0000-0000D3000000}"/>
    <cellStyle name="20% - Accent3 5 2 2" xfId="33610" xr:uid="{ABC14EB8-9ED0-47E7-908D-E6C618EA35E9}"/>
    <cellStyle name="20% - Accent3 5 2 3" xfId="33609" xr:uid="{6262CEBF-CDB0-43D0-837A-4A790FE086E2}"/>
    <cellStyle name="20% - Accent3 5 3" xfId="5831" xr:uid="{00000000-0005-0000-0000-0000D4000000}"/>
    <cellStyle name="20% - Accent3 6" xfId="456" xr:uid="{00000000-0005-0000-0000-0000D5000000}"/>
    <cellStyle name="20% - Accent3 6 2" xfId="3394" xr:uid="{00000000-0005-0000-0000-0000D6000000}"/>
    <cellStyle name="20% - Accent3 6 2 2" xfId="33612" xr:uid="{FCF526E2-0094-455A-85D2-67698951391B}"/>
    <cellStyle name="20% - Accent3 6 2 3" xfId="33611" xr:uid="{33DF125B-7EB9-4D1F-91D8-505CE8413DDD}"/>
    <cellStyle name="20% - Accent3 6 3" xfId="5832" xr:uid="{00000000-0005-0000-0000-0000D7000000}"/>
    <cellStyle name="20% - Accent3 7" xfId="457" xr:uid="{00000000-0005-0000-0000-0000D8000000}"/>
    <cellStyle name="20% - Accent3 7 2" xfId="3395" xr:uid="{00000000-0005-0000-0000-0000D9000000}"/>
    <cellStyle name="20% - Accent3 7 2 2" xfId="33614" xr:uid="{EC5EE9DC-DCAD-4F8A-86B0-BEE3875552EB}"/>
    <cellStyle name="20% - Accent3 7 2 3" xfId="33613" xr:uid="{159112C8-EEB7-4C42-8555-1064A429B9EA}"/>
    <cellStyle name="20% - Accent3 7 3" xfId="5833" xr:uid="{00000000-0005-0000-0000-0000DA000000}"/>
    <cellStyle name="20% - Accent3 8" xfId="458" xr:uid="{00000000-0005-0000-0000-0000DB000000}"/>
    <cellStyle name="20% - Accent3 8 2" xfId="3396" xr:uid="{00000000-0005-0000-0000-0000DC000000}"/>
    <cellStyle name="20% - Accent3 8 2 2" xfId="33616" xr:uid="{5A010E4C-5A2A-49C1-81A7-17FE4913C062}"/>
    <cellStyle name="20% - Accent3 8 2 3" xfId="33615" xr:uid="{32A725B1-D56C-4037-B5B9-95DA33D00B0A}"/>
    <cellStyle name="20% - Accent3 8 3" xfId="5834" xr:uid="{00000000-0005-0000-0000-0000DD000000}"/>
    <cellStyle name="20% - Accent3 9" xfId="459" xr:uid="{00000000-0005-0000-0000-0000DE000000}"/>
    <cellStyle name="20% - Accent3 9 2" xfId="11242" xr:uid="{00000000-0005-0000-0000-0000DF000000}"/>
    <cellStyle name="20% - Accent4 10" xfId="460" xr:uid="{00000000-0005-0000-0000-0000E0000000}"/>
    <cellStyle name="20% - Accent4 10 2" xfId="11241" xr:uid="{00000000-0005-0000-0000-0000E1000000}"/>
    <cellStyle name="20% - Accent4 11" xfId="461" xr:uid="{00000000-0005-0000-0000-0000E2000000}"/>
    <cellStyle name="20% - Accent4 11 2" xfId="11240" xr:uid="{00000000-0005-0000-0000-0000E3000000}"/>
    <cellStyle name="20% - Accent4 12" xfId="462" xr:uid="{00000000-0005-0000-0000-0000E4000000}"/>
    <cellStyle name="20% - Accent4 12 2" xfId="33617" xr:uid="{A6D53982-3199-435A-83E9-35FF27736F41}"/>
    <cellStyle name="20% - Accent4 13" xfId="463" xr:uid="{00000000-0005-0000-0000-0000E5000000}"/>
    <cellStyle name="20% - Accent4 13 2" xfId="33618" xr:uid="{53D4838F-2828-4A65-A6B5-955EF66086D3}"/>
    <cellStyle name="20% - Accent4 14" xfId="464" xr:uid="{00000000-0005-0000-0000-0000E6000000}"/>
    <cellStyle name="20% - Accent4 14 2" xfId="33619" xr:uid="{5AEABC71-5CD2-4C92-B588-4A7820C842E6}"/>
    <cellStyle name="20% - Accent4 15" xfId="465" xr:uid="{00000000-0005-0000-0000-0000E7000000}"/>
    <cellStyle name="20% - Accent4 15 2" xfId="33620" xr:uid="{07253521-54EC-4682-B1CD-9BEE7DDA326B}"/>
    <cellStyle name="20% - Accent4 16" xfId="466" xr:uid="{00000000-0005-0000-0000-0000E8000000}"/>
    <cellStyle name="20% - Accent4 16 2" xfId="33621" xr:uid="{36C34423-2F91-45D8-A5B5-EE9DA84F1ECD}"/>
    <cellStyle name="20% - Accent4 17" xfId="467" xr:uid="{00000000-0005-0000-0000-0000E9000000}"/>
    <cellStyle name="20% - Accent4 17 2" xfId="33622" xr:uid="{BB04AE75-1DB8-438B-B906-44654B2661A4}"/>
    <cellStyle name="20% - Accent4 18" xfId="468" xr:uid="{00000000-0005-0000-0000-0000EA000000}"/>
    <cellStyle name="20% - Accent4 18 2" xfId="33623" xr:uid="{13CA68CA-2C84-4D4B-9BC0-F202946E45DA}"/>
    <cellStyle name="20% - Accent4 19" xfId="469" xr:uid="{00000000-0005-0000-0000-0000EB000000}"/>
    <cellStyle name="20% - Accent4 19 2" xfId="33624" xr:uid="{6AFAC17C-7464-46C1-A0A8-AE4A2EBFCA72}"/>
    <cellStyle name="20% - Accent4 2" xfId="15" xr:uid="{00000000-0005-0000-0000-0000EC000000}"/>
    <cellStyle name="20% - Accent4 2 10" xfId="3397" xr:uid="{00000000-0005-0000-0000-0000ED000000}"/>
    <cellStyle name="20% - Accent4 2 11" xfId="3398" xr:uid="{00000000-0005-0000-0000-0000EE000000}"/>
    <cellStyle name="20% - Accent4 2 12" xfId="3399" xr:uid="{00000000-0005-0000-0000-0000EF000000}"/>
    <cellStyle name="20% - Accent4 2 13" xfId="3400" xr:uid="{00000000-0005-0000-0000-0000F0000000}"/>
    <cellStyle name="20% - Accent4 2 14" xfId="3401" xr:uid="{00000000-0005-0000-0000-0000F1000000}"/>
    <cellStyle name="20% - Accent4 2 15" xfId="3402" xr:uid="{00000000-0005-0000-0000-0000F2000000}"/>
    <cellStyle name="20% - Accent4 2 16" xfId="11239" xr:uid="{00000000-0005-0000-0000-0000F3000000}"/>
    <cellStyle name="20% - Accent4 2 17" xfId="33625" xr:uid="{09589CB1-601F-4752-809D-F04B514C6BE4}"/>
    <cellStyle name="20% - Accent4 2 2" xfId="3403" xr:uid="{00000000-0005-0000-0000-0000F4000000}"/>
    <cellStyle name="20% - Accent4 2 2 2" xfId="33627" xr:uid="{31A23940-7C4B-4AB0-BFA3-7E21EB7313CC}"/>
    <cellStyle name="20% - Accent4 2 2 3" xfId="33626" xr:uid="{828B6BED-750F-4E66-A6C4-FA7AA481F65C}"/>
    <cellStyle name="20% - Accent4 2 3" xfId="3404" xr:uid="{00000000-0005-0000-0000-0000F5000000}"/>
    <cellStyle name="20% - Accent4 2 4" xfId="3405" xr:uid="{00000000-0005-0000-0000-0000F6000000}"/>
    <cellStyle name="20% - Accent4 2 5" xfId="3406" xr:uid="{00000000-0005-0000-0000-0000F7000000}"/>
    <cellStyle name="20% - Accent4 2 6" xfId="3407" xr:uid="{00000000-0005-0000-0000-0000F8000000}"/>
    <cellStyle name="20% - Accent4 2 7" xfId="3408" xr:uid="{00000000-0005-0000-0000-0000F9000000}"/>
    <cellStyle name="20% - Accent4 2 8" xfId="3409" xr:uid="{00000000-0005-0000-0000-0000FA000000}"/>
    <cellStyle name="20% - Accent4 2 9" xfId="3410" xr:uid="{00000000-0005-0000-0000-0000FB000000}"/>
    <cellStyle name="20% - Accent4 20" xfId="470" xr:uid="{00000000-0005-0000-0000-0000FC000000}"/>
    <cellStyle name="20% - Accent4 20 2" xfId="33628" xr:uid="{3F755B7F-285C-4C21-AF94-70054B02ED8F}"/>
    <cellStyle name="20% - Accent4 21" xfId="471" xr:uid="{00000000-0005-0000-0000-0000FD000000}"/>
    <cellStyle name="20% - Accent4 21 2" xfId="33629" xr:uid="{021F5ED5-BEDF-41B3-947E-2E91040C9B46}"/>
    <cellStyle name="20% - Accent4 22" xfId="472" xr:uid="{00000000-0005-0000-0000-0000FE000000}"/>
    <cellStyle name="20% - Accent4 22 2" xfId="33630" xr:uid="{CFDEC38F-7DDF-495B-A340-BEDDE9B73335}"/>
    <cellStyle name="20% - Accent4 23" xfId="473" xr:uid="{00000000-0005-0000-0000-0000FF000000}"/>
    <cellStyle name="20% - Accent4 23 2" xfId="33631" xr:uid="{6B3A8C86-C981-4586-9DD0-0FF2E586B226}"/>
    <cellStyle name="20% - Accent4 24" xfId="474" xr:uid="{00000000-0005-0000-0000-000000010000}"/>
    <cellStyle name="20% - Accent4 24 2" xfId="33632" xr:uid="{EB9D6231-8BD3-4952-93B5-F30EF05B2A56}"/>
    <cellStyle name="20% - Accent4 25" xfId="475" xr:uid="{00000000-0005-0000-0000-000001010000}"/>
    <cellStyle name="20% - Accent4 25 2" xfId="33633" xr:uid="{13F92D54-AFFB-4B13-BBA4-CD468AA025EE}"/>
    <cellStyle name="20% - Accent4 26" xfId="476" xr:uid="{00000000-0005-0000-0000-000002010000}"/>
    <cellStyle name="20% - Accent4 26 2" xfId="33634" xr:uid="{57952634-0AA6-40A4-825D-8FBA47B291FE}"/>
    <cellStyle name="20% - Accent4 27" xfId="477" xr:uid="{00000000-0005-0000-0000-000003010000}"/>
    <cellStyle name="20% - Accent4 27 2" xfId="33635" xr:uid="{34F63EED-1A2B-4C42-9F57-84055AA72FC6}"/>
    <cellStyle name="20% - Accent4 28" xfId="478" xr:uid="{00000000-0005-0000-0000-000004010000}"/>
    <cellStyle name="20% - Accent4 28 2" xfId="33636" xr:uid="{2334CF32-5B26-4350-8C9D-96172027EE22}"/>
    <cellStyle name="20% - Accent4 29" xfId="479" xr:uid="{00000000-0005-0000-0000-000005010000}"/>
    <cellStyle name="20% - Accent4 29 2" xfId="33637" xr:uid="{B9F15FEA-CA8E-407D-947F-10E36DA7D1F6}"/>
    <cellStyle name="20% - Accent4 3" xfId="16" xr:uid="{00000000-0005-0000-0000-000006010000}"/>
    <cellStyle name="20% - Accent4 3 2" xfId="480" xr:uid="{00000000-0005-0000-0000-000007010000}"/>
    <cellStyle name="20% - Accent4 3 2 2" xfId="9457" xr:uid="{00000000-0005-0000-0000-000008010000}"/>
    <cellStyle name="20% - Accent4 3 3" xfId="3411" xr:uid="{00000000-0005-0000-0000-000009010000}"/>
    <cellStyle name="20% - Accent4 3 3 2" xfId="33640" xr:uid="{AD14A688-074F-477E-AE02-AD40ABC554AC}"/>
    <cellStyle name="20% - Accent4 3 3 3" xfId="33639" xr:uid="{E961969A-04EC-41F7-A8CA-DD7DF0F07186}"/>
    <cellStyle name="20% - Accent4 3 4" xfId="5724" xr:uid="{00000000-0005-0000-0000-00000A010000}"/>
    <cellStyle name="20% - Accent4 3 5" xfId="33638" xr:uid="{2D48ED74-C30F-4835-9B3A-867A95156F80}"/>
    <cellStyle name="20% - Accent4 30" xfId="481" xr:uid="{00000000-0005-0000-0000-00000B010000}"/>
    <cellStyle name="20% - Accent4 30 2" xfId="33641" xr:uid="{0EE59A23-C520-4A77-8C0B-9277F2600369}"/>
    <cellStyle name="20% - Accent4 31" xfId="482" xr:uid="{00000000-0005-0000-0000-00000C010000}"/>
    <cellStyle name="20% - Accent4 31 2" xfId="33642" xr:uid="{0201DC96-28B0-4BF7-B97A-8361E98D9191}"/>
    <cellStyle name="20% - Accent4 32" xfId="483" xr:uid="{00000000-0005-0000-0000-00000D010000}"/>
    <cellStyle name="20% - Accent4 32 2" xfId="33643" xr:uid="{495B7D17-B3C4-49C4-8D0D-623E85B351A9}"/>
    <cellStyle name="20% - Accent4 33" xfId="484" xr:uid="{00000000-0005-0000-0000-00000E010000}"/>
    <cellStyle name="20% - Accent4 33 2" xfId="33644" xr:uid="{5CF58CD2-8EF6-4A9A-9BD8-AF02915D74F5}"/>
    <cellStyle name="20% - Accent4 34" xfId="485" xr:uid="{00000000-0005-0000-0000-00000F010000}"/>
    <cellStyle name="20% - Accent4 34 2" xfId="33645" xr:uid="{5B543DAC-FE5B-42D9-BF3C-D55BE0961449}"/>
    <cellStyle name="20% - Accent4 35" xfId="486" xr:uid="{00000000-0005-0000-0000-000010010000}"/>
    <cellStyle name="20% - Accent4 35 2" xfId="33646" xr:uid="{1A82D049-3406-489D-8F0D-4AD643404350}"/>
    <cellStyle name="20% - Accent4 36" xfId="487" xr:uid="{00000000-0005-0000-0000-000011010000}"/>
    <cellStyle name="20% - Accent4 36 2" xfId="33647" xr:uid="{6AC0A8C6-DE28-486B-B559-37F39C2651BA}"/>
    <cellStyle name="20% - Accent4 37" xfId="488" xr:uid="{00000000-0005-0000-0000-000012010000}"/>
    <cellStyle name="20% - Accent4 37 2" xfId="33648" xr:uid="{F776F53C-6A5D-4C77-8293-77DD6EC98369}"/>
    <cellStyle name="20% - Accent4 38" xfId="489" xr:uid="{00000000-0005-0000-0000-000013010000}"/>
    <cellStyle name="20% - Accent4 38 2" xfId="33649" xr:uid="{0A5D00B6-14C0-4191-8FB9-A14A4A01903D}"/>
    <cellStyle name="20% - Accent4 39" xfId="490" xr:uid="{00000000-0005-0000-0000-000014010000}"/>
    <cellStyle name="20% - Accent4 39 2" xfId="33650" xr:uid="{55A3203D-0669-49F0-9981-60219207500B}"/>
    <cellStyle name="20% - Accent4 4" xfId="491" xr:uid="{00000000-0005-0000-0000-000015010000}"/>
    <cellStyle name="20% - Accent4 4 2" xfId="3412" xr:uid="{00000000-0005-0000-0000-000016010000}"/>
    <cellStyle name="20% - Accent4 4 2 2" xfId="33652" xr:uid="{91DCD90E-319E-4F0D-8401-4E626F038705}"/>
    <cellStyle name="20% - Accent4 4 2 3" xfId="33651" xr:uid="{96919F42-2C51-4397-9BA7-7B1831311EF9}"/>
    <cellStyle name="20% - Accent4 4 3" xfId="5835" xr:uid="{00000000-0005-0000-0000-000017010000}"/>
    <cellStyle name="20% - Accent4 40" xfId="492" xr:uid="{00000000-0005-0000-0000-000018010000}"/>
    <cellStyle name="20% - Accent4 40 2" xfId="33653" xr:uid="{B130083B-6155-4C74-8FB6-D73644201FEB}"/>
    <cellStyle name="20% - Accent4 41" xfId="493" xr:uid="{00000000-0005-0000-0000-000019010000}"/>
    <cellStyle name="20% - Accent4 41 2" xfId="33654" xr:uid="{8B0D6454-2ABF-4D73-A18C-0209903321E6}"/>
    <cellStyle name="20% - Accent4 42" xfId="494" xr:uid="{00000000-0005-0000-0000-00001A010000}"/>
    <cellStyle name="20% - Accent4 42 2" xfId="33655" xr:uid="{76723A09-6909-426A-ADB7-ACA6B72916AE}"/>
    <cellStyle name="20% - Accent4 43" xfId="495" xr:uid="{00000000-0005-0000-0000-00001B010000}"/>
    <cellStyle name="20% - Accent4 43 2" xfId="33656" xr:uid="{48DBF8D5-DEA7-4C93-8251-DD518040E805}"/>
    <cellStyle name="20% - Accent4 5" xfId="496" xr:uid="{00000000-0005-0000-0000-00001C010000}"/>
    <cellStyle name="20% - Accent4 5 2" xfId="3413" xr:uid="{00000000-0005-0000-0000-00001D010000}"/>
    <cellStyle name="20% - Accent4 5 2 2" xfId="33658" xr:uid="{8059FC2B-9F88-48C2-82C0-54A356484B21}"/>
    <cellStyle name="20% - Accent4 5 2 3" xfId="33657" xr:uid="{D2334E60-936D-416C-9B8A-65E70EC29D04}"/>
    <cellStyle name="20% - Accent4 5 3" xfId="5836" xr:uid="{00000000-0005-0000-0000-00001E010000}"/>
    <cellStyle name="20% - Accent4 6" xfId="497" xr:uid="{00000000-0005-0000-0000-00001F010000}"/>
    <cellStyle name="20% - Accent4 6 2" xfId="3414" xr:uid="{00000000-0005-0000-0000-000020010000}"/>
    <cellStyle name="20% - Accent4 6 2 2" xfId="33660" xr:uid="{828DF384-FCED-4C1B-8CD7-F2A7234358F8}"/>
    <cellStyle name="20% - Accent4 6 2 3" xfId="33659" xr:uid="{1EF3513C-7648-4F34-B6CD-49355D8139BE}"/>
    <cellStyle name="20% - Accent4 6 3" xfId="5837" xr:uid="{00000000-0005-0000-0000-000021010000}"/>
    <cellStyle name="20% - Accent4 7" xfId="498" xr:uid="{00000000-0005-0000-0000-000022010000}"/>
    <cellStyle name="20% - Accent4 7 2" xfId="3415" xr:uid="{00000000-0005-0000-0000-000023010000}"/>
    <cellStyle name="20% - Accent4 7 2 2" xfId="33662" xr:uid="{F321C45A-A511-4CF3-AF91-D7199337075C}"/>
    <cellStyle name="20% - Accent4 7 2 3" xfId="33661" xr:uid="{E94EA838-B28B-4E3D-AB2F-B35A5406F12C}"/>
    <cellStyle name="20% - Accent4 7 3" xfId="5838" xr:uid="{00000000-0005-0000-0000-000024010000}"/>
    <cellStyle name="20% - Accent4 8" xfId="499" xr:uid="{00000000-0005-0000-0000-000025010000}"/>
    <cellStyle name="20% - Accent4 8 2" xfId="3416" xr:uid="{00000000-0005-0000-0000-000026010000}"/>
    <cellStyle name="20% - Accent4 8 2 2" xfId="33664" xr:uid="{10FFA797-02EB-423F-A223-DE438E5ED371}"/>
    <cellStyle name="20% - Accent4 8 2 3" xfId="33663" xr:uid="{381EB969-BC6E-4186-A529-BF53BDF3C6BD}"/>
    <cellStyle name="20% - Accent4 8 3" xfId="5839" xr:uid="{00000000-0005-0000-0000-000027010000}"/>
    <cellStyle name="20% - Accent4 9" xfId="500" xr:uid="{00000000-0005-0000-0000-000028010000}"/>
    <cellStyle name="20% - Accent4 9 2" xfId="9458" xr:uid="{00000000-0005-0000-0000-000029010000}"/>
    <cellStyle name="20% - Accent5 10" xfId="501" xr:uid="{00000000-0005-0000-0000-00002A010000}"/>
    <cellStyle name="20% - Accent5 10 2" xfId="9459" xr:uid="{00000000-0005-0000-0000-00002B010000}"/>
    <cellStyle name="20% - Accent5 11" xfId="502" xr:uid="{00000000-0005-0000-0000-00002C010000}"/>
    <cellStyle name="20% - Accent5 11 2" xfId="9460" xr:uid="{00000000-0005-0000-0000-00002D010000}"/>
    <cellStyle name="20% - Accent5 12" xfId="503" xr:uid="{00000000-0005-0000-0000-00002E010000}"/>
    <cellStyle name="20% - Accent5 12 2" xfId="33665" xr:uid="{4946174E-105F-4F7C-B2DE-E2586B94FFF8}"/>
    <cellStyle name="20% - Accent5 13" xfId="504" xr:uid="{00000000-0005-0000-0000-00002F010000}"/>
    <cellStyle name="20% - Accent5 13 2" xfId="33666" xr:uid="{4E276ED4-C7AF-4F08-B9B7-00CE41A200F5}"/>
    <cellStyle name="20% - Accent5 14" xfId="505" xr:uid="{00000000-0005-0000-0000-000030010000}"/>
    <cellStyle name="20% - Accent5 14 2" xfId="33667" xr:uid="{2F66AB0D-9239-4A44-A0A5-A72B8257E10B}"/>
    <cellStyle name="20% - Accent5 15" xfId="506" xr:uid="{00000000-0005-0000-0000-000031010000}"/>
    <cellStyle name="20% - Accent5 15 2" xfId="33668" xr:uid="{9806E9F9-141D-447B-B7A0-BCFA2EDD291E}"/>
    <cellStyle name="20% - Accent5 16" xfId="507" xr:uid="{00000000-0005-0000-0000-000032010000}"/>
    <cellStyle name="20% - Accent5 16 2" xfId="33669" xr:uid="{035D90C0-7624-4BD0-8AC2-E7DA29D52CD4}"/>
    <cellStyle name="20% - Accent5 17" xfId="508" xr:uid="{00000000-0005-0000-0000-000033010000}"/>
    <cellStyle name="20% - Accent5 17 2" xfId="33670" xr:uid="{3DDB43FE-790F-496A-AD3A-E9C117258B18}"/>
    <cellStyle name="20% - Accent5 18" xfId="509" xr:uid="{00000000-0005-0000-0000-000034010000}"/>
    <cellStyle name="20% - Accent5 18 2" xfId="33671" xr:uid="{6173C947-2A2F-4E1C-8793-75812A25C568}"/>
    <cellStyle name="20% - Accent5 19" xfId="510" xr:uid="{00000000-0005-0000-0000-000035010000}"/>
    <cellStyle name="20% - Accent5 19 2" xfId="33672" xr:uid="{E18AD66C-96DB-49CC-9E58-1DD7449B694F}"/>
    <cellStyle name="20% - Accent5 2" xfId="17" xr:uid="{00000000-0005-0000-0000-000036010000}"/>
    <cellStyle name="20% - Accent5 2 10" xfId="3417" xr:uid="{00000000-0005-0000-0000-000037010000}"/>
    <cellStyle name="20% - Accent5 2 11" xfId="3418" xr:uid="{00000000-0005-0000-0000-000038010000}"/>
    <cellStyle name="20% - Accent5 2 12" xfId="3419" xr:uid="{00000000-0005-0000-0000-000039010000}"/>
    <cellStyle name="20% - Accent5 2 13" xfId="3420" xr:uid="{00000000-0005-0000-0000-00003A010000}"/>
    <cellStyle name="20% - Accent5 2 14" xfId="3421" xr:uid="{00000000-0005-0000-0000-00003B010000}"/>
    <cellStyle name="20% - Accent5 2 15" xfId="3422" xr:uid="{00000000-0005-0000-0000-00003C010000}"/>
    <cellStyle name="20% - Accent5 2 16" xfId="33673" xr:uid="{DDEFF131-1CAF-411A-88D1-C48004156819}"/>
    <cellStyle name="20% - Accent5 2 2" xfId="3423" xr:uid="{00000000-0005-0000-0000-00003D010000}"/>
    <cellStyle name="20% - Accent5 2 3" xfId="3424" xr:uid="{00000000-0005-0000-0000-00003E010000}"/>
    <cellStyle name="20% - Accent5 2 4" xfId="3425" xr:uid="{00000000-0005-0000-0000-00003F010000}"/>
    <cellStyle name="20% - Accent5 2 5" xfId="3426" xr:uid="{00000000-0005-0000-0000-000040010000}"/>
    <cellStyle name="20% - Accent5 2 6" xfId="3427" xr:uid="{00000000-0005-0000-0000-000041010000}"/>
    <cellStyle name="20% - Accent5 2 7" xfId="3428" xr:uid="{00000000-0005-0000-0000-000042010000}"/>
    <cellStyle name="20% - Accent5 2 8" xfId="3429" xr:uid="{00000000-0005-0000-0000-000043010000}"/>
    <cellStyle name="20% - Accent5 2 9" xfId="3430" xr:uid="{00000000-0005-0000-0000-000044010000}"/>
    <cellStyle name="20% - Accent5 20" xfId="511" xr:uid="{00000000-0005-0000-0000-000045010000}"/>
    <cellStyle name="20% - Accent5 20 2" xfId="33674" xr:uid="{614D69CB-4579-4C16-8611-B4146E8A175E}"/>
    <cellStyle name="20% - Accent5 21" xfId="512" xr:uid="{00000000-0005-0000-0000-000046010000}"/>
    <cellStyle name="20% - Accent5 21 2" xfId="33675" xr:uid="{9E061951-8B45-4DB9-BA9D-8A99372EC186}"/>
    <cellStyle name="20% - Accent5 22" xfId="513" xr:uid="{00000000-0005-0000-0000-000047010000}"/>
    <cellStyle name="20% - Accent5 22 2" xfId="33676" xr:uid="{55014F5D-21CC-4D1D-A79B-0F649110BF31}"/>
    <cellStyle name="20% - Accent5 23" xfId="514" xr:uid="{00000000-0005-0000-0000-000048010000}"/>
    <cellStyle name="20% - Accent5 23 2" xfId="33677" xr:uid="{0DB101E8-7087-4244-B7A8-571113821349}"/>
    <cellStyle name="20% - Accent5 24" xfId="515" xr:uid="{00000000-0005-0000-0000-000049010000}"/>
    <cellStyle name="20% - Accent5 24 2" xfId="33678" xr:uid="{3978A879-2CBB-47D8-A0A0-06C58FC44277}"/>
    <cellStyle name="20% - Accent5 25" xfId="516" xr:uid="{00000000-0005-0000-0000-00004A010000}"/>
    <cellStyle name="20% - Accent5 25 2" xfId="33679" xr:uid="{822326C6-FB68-4E1C-AE26-E3BE91F244B3}"/>
    <cellStyle name="20% - Accent5 26" xfId="517" xr:uid="{00000000-0005-0000-0000-00004B010000}"/>
    <cellStyle name="20% - Accent5 26 2" xfId="33680" xr:uid="{763D2D37-E059-4B1B-A094-54C7658A117D}"/>
    <cellStyle name="20% - Accent5 27" xfId="518" xr:uid="{00000000-0005-0000-0000-00004C010000}"/>
    <cellStyle name="20% - Accent5 27 2" xfId="33681" xr:uid="{6262561D-9709-4690-BE52-1CE20B6F07EA}"/>
    <cellStyle name="20% - Accent5 28" xfId="519" xr:uid="{00000000-0005-0000-0000-00004D010000}"/>
    <cellStyle name="20% - Accent5 28 2" xfId="33682" xr:uid="{6E93BA92-3B5D-40A6-A65E-7787E3830E5C}"/>
    <cellStyle name="20% - Accent5 29" xfId="520" xr:uid="{00000000-0005-0000-0000-00004E010000}"/>
    <cellStyle name="20% - Accent5 29 2" xfId="33683" xr:uid="{BD054E6B-8ADA-4190-85A6-6E535B0CC2F4}"/>
    <cellStyle name="20% - Accent5 3" xfId="18" xr:uid="{00000000-0005-0000-0000-00004F010000}"/>
    <cellStyle name="20% - Accent5 3 2" xfId="521" xr:uid="{00000000-0005-0000-0000-000050010000}"/>
    <cellStyle name="20% - Accent5 3 3" xfId="33685" xr:uid="{99007686-CE29-4FF7-A7BC-C59DA1F229AB}"/>
    <cellStyle name="20% - Accent5 3 4" xfId="33684" xr:uid="{623DEFBE-030B-4C80-A29D-C26EC0ADF534}"/>
    <cellStyle name="20% - Accent5 30" xfId="522" xr:uid="{00000000-0005-0000-0000-000051010000}"/>
    <cellStyle name="20% - Accent5 30 2" xfId="33686" xr:uid="{9384C5D9-151C-457F-84DF-CA0E72EBF67D}"/>
    <cellStyle name="20% - Accent5 31" xfId="523" xr:uid="{00000000-0005-0000-0000-000052010000}"/>
    <cellStyle name="20% - Accent5 31 2" xfId="33687" xr:uid="{FBCE7DAA-6060-46DC-9FFA-9248ED013ABA}"/>
    <cellStyle name="20% - Accent5 32" xfId="524" xr:uid="{00000000-0005-0000-0000-000053010000}"/>
    <cellStyle name="20% - Accent5 32 2" xfId="33688" xr:uid="{ADC72BD9-96A2-4102-A194-8F2960BAE974}"/>
    <cellStyle name="20% - Accent5 33" xfId="525" xr:uid="{00000000-0005-0000-0000-000054010000}"/>
    <cellStyle name="20% - Accent5 33 2" xfId="33689" xr:uid="{B19D372B-B6A8-4057-85D4-F07299AA80D1}"/>
    <cellStyle name="20% - Accent5 34" xfId="526" xr:uid="{00000000-0005-0000-0000-000055010000}"/>
    <cellStyle name="20% - Accent5 34 2" xfId="33690" xr:uid="{800FE17A-CCC1-4D18-925E-C0C90675F3C0}"/>
    <cellStyle name="20% - Accent5 35" xfId="527" xr:uid="{00000000-0005-0000-0000-000056010000}"/>
    <cellStyle name="20% - Accent5 35 2" xfId="33691" xr:uid="{EACBE026-C757-4CB0-9157-CB2AC9153745}"/>
    <cellStyle name="20% - Accent5 36" xfId="528" xr:uid="{00000000-0005-0000-0000-000057010000}"/>
    <cellStyle name="20% - Accent5 36 2" xfId="33692" xr:uid="{1B4BC723-CAE0-4D6B-9195-EC76AE196454}"/>
    <cellStyle name="20% - Accent5 37" xfId="529" xr:uid="{00000000-0005-0000-0000-000058010000}"/>
    <cellStyle name="20% - Accent5 37 2" xfId="33693" xr:uid="{D5389732-CB9C-488E-A495-7CB3BF2BF354}"/>
    <cellStyle name="20% - Accent5 38" xfId="530" xr:uid="{00000000-0005-0000-0000-000059010000}"/>
    <cellStyle name="20% - Accent5 38 2" xfId="33694" xr:uid="{BB5902DA-BD81-44E5-8D0F-B3887027C09E}"/>
    <cellStyle name="20% - Accent5 39" xfId="531" xr:uid="{00000000-0005-0000-0000-00005A010000}"/>
    <cellStyle name="20% - Accent5 39 2" xfId="33695" xr:uid="{2663DC9B-D081-444A-942E-90BE29E1B69A}"/>
    <cellStyle name="20% - Accent5 4" xfId="532" xr:uid="{00000000-0005-0000-0000-00005B010000}"/>
    <cellStyle name="20% - Accent5 4 2" xfId="33696" xr:uid="{691E197D-E9E3-46ED-9BE2-321B40FDCEB1}"/>
    <cellStyle name="20% - Accent5 40" xfId="533" xr:uid="{00000000-0005-0000-0000-00005C010000}"/>
    <cellStyle name="20% - Accent5 40 2" xfId="33697" xr:uid="{C5DA712A-D786-48F4-B114-B33236F59DA7}"/>
    <cellStyle name="20% - Accent5 41" xfId="534" xr:uid="{00000000-0005-0000-0000-00005D010000}"/>
    <cellStyle name="20% - Accent5 41 2" xfId="33698" xr:uid="{677E47B3-1A5E-43BF-8DEF-18C430A087C7}"/>
    <cellStyle name="20% - Accent5 42" xfId="535" xr:uid="{00000000-0005-0000-0000-00005E010000}"/>
    <cellStyle name="20% - Accent5 42 2" xfId="33699" xr:uid="{CFB47DAE-1321-4BAA-BF38-57854E270434}"/>
    <cellStyle name="20% - Accent5 43" xfId="536" xr:uid="{00000000-0005-0000-0000-00005F010000}"/>
    <cellStyle name="20% - Accent5 43 2" xfId="33700" xr:uid="{4346780A-A9EB-4B21-82E3-F980BA3F6410}"/>
    <cellStyle name="20% - Accent5 5" xfId="537" xr:uid="{00000000-0005-0000-0000-000060010000}"/>
    <cellStyle name="20% - Accent5 5 2" xfId="33701" xr:uid="{DD111AF2-CA89-436E-8FE5-9D6FB9A37AA1}"/>
    <cellStyle name="20% - Accent5 6" xfId="538" xr:uid="{00000000-0005-0000-0000-000061010000}"/>
    <cellStyle name="20% - Accent5 6 2" xfId="33702" xr:uid="{8609A007-EA57-441D-8BED-D2D52672D74F}"/>
    <cellStyle name="20% - Accent5 7" xfId="539" xr:uid="{00000000-0005-0000-0000-000062010000}"/>
    <cellStyle name="20% - Accent5 7 2" xfId="33703" xr:uid="{FFCAFEB7-AF78-440B-BF4F-F7859689C80C}"/>
    <cellStyle name="20% - Accent5 8" xfId="540" xr:uid="{00000000-0005-0000-0000-000063010000}"/>
    <cellStyle name="20% - Accent5 8 2" xfId="33704" xr:uid="{58E7D2B6-4B46-4886-8D22-93BB005D7A9D}"/>
    <cellStyle name="20% - Accent5 9" xfId="541" xr:uid="{00000000-0005-0000-0000-000064010000}"/>
    <cellStyle name="20% - Accent5 9 2" xfId="9461" xr:uid="{00000000-0005-0000-0000-000065010000}"/>
    <cellStyle name="20% - Accent6 10" xfId="542" xr:uid="{00000000-0005-0000-0000-000066010000}"/>
    <cellStyle name="20% - Accent6 10 2" xfId="9462" xr:uid="{00000000-0005-0000-0000-000067010000}"/>
    <cellStyle name="20% - Accent6 11" xfId="543" xr:uid="{00000000-0005-0000-0000-000068010000}"/>
    <cellStyle name="20% - Accent6 11 2" xfId="9463" xr:uid="{00000000-0005-0000-0000-000069010000}"/>
    <cellStyle name="20% - Accent6 12" xfId="544" xr:uid="{00000000-0005-0000-0000-00006A010000}"/>
    <cellStyle name="20% - Accent6 12 2" xfId="33705" xr:uid="{0842FD2F-E3F8-4CFB-996E-4F94DBF94073}"/>
    <cellStyle name="20% - Accent6 13" xfId="545" xr:uid="{00000000-0005-0000-0000-00006B010000}"/>
    <cellStyle name="20% - Accent6 13 2" xfId="33706" xr:uid="{5632AA69-0559-4FF0-A191-5EAE31EB334B}"/>
    <cellStyle name="20% - Accent6 14" xfId="546" xr:uid="{00000000-0005-0000-0000-00006C010000}"/>
    <cellStyle name="20% - Accent6 14 2" xfId="33707" xr:uid="{3C87B8F3-B89B-4DBA-AA25-4759B90D1C22}"/>
    <cellStyle name="20% - Accent6 15" xfId="547" xr:uid="{00000000-0005-0000-0000-00006D010000}"/>
    <cellStyle name="20% - Accent6 15 2" xfId="33708" xr:uid="{DF758E52-F70E-4556-8A58-6AF5182CDAB1}"/>
    <cellStyle name="20% - Accent6 16" xfId="548" xr:uid="{00000000-0005-0000-0000-00006E010000}"/>
    <cellStyle name="20% - Accent6 16 2" xfId="33709" xr:uid="{80BA0078-0FD1-4DB8-90FD-D9C10D320595}"/>
    <cellStyle name="20% - Accent6 17" xfId="549" xr:uid="{00000000-0005-0000-0000-00006F010000}"/>
    <cellStyle name="20% - Accent6 17 2" xfId="33710" xr:uid="{066A6EC4-264C-40A7-B59F-B75BE1080EFE}"/>
    <cellStyle name="20% - Accent6 18" xfId="550" xr:uid="{00000000-0005-0000-0000-000070010000}"/>
    <cellStyle name="20% - Accent6 18 2" xfId="33711" xr:uid="{6929138A-E4CF-4969-9036-3A5CD3D7E092}"/>
    <cellStyle name="20% - Accent6 19" xfId="551" xr:uid="{00000000-0005-0000-0000-000071010000}"/>
    <cellStyle name="20% - Accent6 19 2" xfId="33712" xr:uid="{6EDB3B3B-FEDE-4CE1-9BA3-370E474B247A}"/>
    <cellStyle name="20% - Accent6 2" xfId="19" xr:uid="{00000000-0005-0000-0000-000072010000}"/>
    <cellStyle name="20% - Accent6 2 10" xfId="3431" xr:uid="{00000000-0005-0000-0000-000073010000}"/>
    <cellStyle name="20% - Accent6 2 11" xfId="3432" xr:uid="{00000000-0005-0000-0000-000074010000}"/>
    <cellStyle name="20% - Accent6 2 12" xfId="3433" xr:uid="{00000000-0005-0000-0000-000075010000}"/>
    <cellStyle name="20% - Accent6 2 13" xfId="3434" xr:uid="{00000000-0005-0000-0000-000076010000}"/>
    <cellStyle name="20% - Accent6 2 14" xfId="3435" xr:uid="{00000000-0005-0000-0000-000077010000}"/>
    <cellStyle name="20% - Accent6 2 15" xfId="3436" xr:uid="{00000000-0005-0000-0000-000078010000}"/>
    <cellStyle name="20% - Accent6 2 16" xfId="9464" xr:uid="{00000000-0005-0000-0000-000079010000}"/>
    <cellStyle name="20% - Accent6 2 17" xfId="33713" xr:uid="{6AB1167A-82F3-4C75-8540-4AA023ABD163}"/>
    <cellStyle name="20% - Accent6 2 2" xfId="3437" xr:uid="{00000000-0005-0000-0000-00007A010000}"/>
    <cellStyle name="20% - Accent6 2 2 2" xfId="33715" xr:uid="{8DC4645D-3FA0-410E-96C9-F6A75C897DCA}"/>
    <cellStyle name="20% - Accent6 2 2 3" xfId="33714" xr:uid="{1C348C3B-285A-48F7-AC91-9D8A47BD34E9}"/>
    <cellStyle name="20% - Accent6 2 3" xfId="3438" xr:uid="{00000000-0005-0000-0000-00007B010000}"/>
    <cellStyle name="20% - Accent6 2 4" xfId="3439" xr:uid="{00000000-0005-0000-0000-00007C010000}"/>
    <cellStyle name="20% - Accent6 2 5" xfId="3440" xr:uid="{00000000-0005-0000-0000-00007D010000}"/>
    <cellStyle name="20% - Accent6 2 6" xfId="3441" xr:uid="{00000000-0005-0000-0000-00007E010000}"/>
    <cellStyle name="20% - Accent6 2 7" xfId="3442" xr:uid="{00000000-0005-0000-0000-00007F010000}"/>
    <cellStyle name="20% - Accent6 2 8" xfId="3443" xr:uid="{00000000-0005-0000-0000-000080010000}"/>
    <cellStyle name="20% - Accent6 2 9" xfId="3444" xr:uid="{00000000-0005-0000-0000-000081010000}"/>
    <cellStyle name="20% - Accent6 20" xfId="552" xr:uid="{00000000-0005-0000-0000-000082010000}"/>
    <cellStyle name="20% - Accent6 20 2" xfId="33716" xr:uid="{C9CDC379-C543-4841-82E2-93F126AC3665}"/>
    <cellStyle name="20% - Accent6 21" xfId="553" xr:uid="{00000000-0005-0000-0000-000083010000}"/>
    <cellStyle name="20% - Accent6 21 2" xfId="33717" xr:uid="{90219FD7-4CF6-439E-8C07-1A3353A1FC23}"/>
    <cellStyle name="20% - Accent6 22" xfId="554" xr:uid="{00000000-0005-0000-0000-000084010000}"/>
    <cellStyle name="20% - Accent6 22 2" xfId="33718" xr:uid="{CB3941AF-28DC-4D10-8F27-ED19D3DCEE5E}"/>
    <cellStyle name="20% - Accent6 23" xfId="555" xr:uid="{00000000-0005-0000-0000-000085010000}"/>
    <cellStyle name="20% - Accent6 23 2" xfId="33719" xr:uid="{D80271A9-30F7-4F53-8FA4-A14E8426D2F1}"/>
    <cellStyle name="20% - Accent6 24" xfId="556" xr:uid="{00000000-0005-0000-0000-000086010000}"/>
    <cellStyle name="20% - Accent6 24 2" xfId="33720" xr:uid="{C21503E7-6DD7-4576-8D84-CFBECD9D572C}"/>
    <cellStyle name="20% - Accent6 25" xfId="557" xr:uid="{00000000-0005-0000-0000-000087010000}"/>
    <cellStyle name="20% - Accent6 25 2" xfId="33721" xr:uid="{A8C905E4-6EC4-404D-8FB5-9103EDE26C8F}"/>
    <cellStyle name="20% - Accent6 26" xfId="558" xr:uid="{00000000-0005-0000-0000-000088010000}"/>
    <cellStyle name="20% - Accent6 26 2" xfId="33722" xr:uid="{24FDF31F-61B9-4480-B4E5-CED06CE71FA9}"/>
    <cellStyle name="20% - Accent6 27" xfId="559" xr:uid="{00000000-0005-0000-0000-000089010000}"/>
    <cellStyle name="20% - Accent6 27 2" xfId="33723" xr:uid="{0B67D22A-F6D8-4CFB-A35B-AD50427D2CAE}"/>
    <cellStyle name="20% - Accent6 28" xfId="560" xr:uid="{00000000-0005-0000-0000-00008A010000}"/>
    <cellStyle name="20% - Accent6 28 2" xfId="33724" xr:uid="{3958C459-FA77-41BC-BECC-46A1E3BA08F3}"/>
    <cellStyle name="20% - Accent6 29" xfId="561" xr:uid="{00000000-0005-0000-0000-00008B010000}"/>
    <cellStyle name="20% - Accent6 29 2" xfId="33725" xr:uid="{AA493F2A-675A-4065-99C5-CCF87AC8700B}"/>
    <cellStyle name="20% - Accent6 3" xfId="20" xr:uid="{00000000-0005-0000-0000-00008C010000}"/>
    <cellStyle name="20% - Accent6 3 2" xfId="562" xr:uid="{00000000-0005-0000-0000-00008D010000}"/>
    <cellStyle name="20% - Accent6 3 2 2" xfId="9465" xr:uid="{00000000-0005-0000-0000-00008E010000}"/>
    <cellStyle name="20% - Accent6 3 3" xfId="3445" xr:uid="{00000000-0005-0000-0000-00008F010000}"/>
    <cellStyle name="20% - Accent6 3 3 2" xfId="33728" xr:uid="{2A5E2885-6FE2-40FD-BD1E-702A15B13EE0}"/>
    <cellStyle name="20% - Accent6 3 3 3" xfId="33727" xr:uid="{315180AB-ACFA-45E4-A064-8D52C1C0A93C}"/>
    <cellStyle name="20% - Accent6 3 4" xfId="5725" xr:uid="{00000000-0005-0000-0000-000090010000}"/>
    <cellStyle name="20% - Accent6 3 5" xfId="33726" xr:uid="{BF1EF97D-B26A-4049-B666-4F3B9A415010}"/>
    <cellStyle name="20% - Accent6 30" xfId="563" xr:uid="{00000000-0005-0000-0000-000091010000}"/>
    <cellStyle name="20% - Accent6 30 2" xfId="33729" xr:uid="{15EE650D-738A-41B7-A84D-E762543A485A}"/>
    <cellStyle name="20% - Accent6 31" xfId="564" xr:uid="{00000000-0005-0000-0000-000092010000}"/>
    <cellStyle name="20% - Accent6 31 2" xfId="33730" xr:uid="{AFA2AC85-C06F-4430-B8D6-8BDA886267D8}"/>
    <cellStyle name="20% - Accent6 32" xfId="565" xr:uid="{00000000-0005-0000-0000-000093010000}"/>
    <cellStyle name="20% - Accent6 32 2" xfId="33731" xr:uid="{B52448BA-D408-4498-9A29-0446FE3C8D93}"/>
    <cellStyle name="20% - Accent6 33" xfId="566" xr:uid="{00000000-0005-0000-0000-000094010000}"/>
    <cellStyle name="20% - Accent6 33 2" xfId="33732" xr:uid="{5D38AE74-B591-44DD-B23C-CCB1E8701BAF}"/>
    <cellStyle name="20% - Accent6 34" xfId="567" xr:uid="{00000000-0005-0000-0000-000095010000}"/>
    <cellStyle name="20% - Accent6 34 2" xfId="33733" xr:uid="{11642860-7C47-4FEE-A013-8B50A67FA0F4}"/>
    <cellStyle name="20% - Accent6 35" xfId="568" xr:uid="{00000000-0005-0000-0000-000096010000}"/>
    <cellStyle name="20% - Accent6 35 2" xfId="33734" xr:uid="{2A969725-BB65-4FBB-949C-B0C44BDE1250}"/>
    <cellStyle name="20% - Accent6 36" xfId="569" xr:uid="{00000000-0005-0000-0000-000097010000}"/>
    <cellStyle name="20% - Accent6 36 2" xfId="33735" xr:uid="{0240BF02-FEDA-4B82-975E-612D5699CAFC}"/>
    <cellStyle name="20% - Accent6 37" xfId="570" xr:uid="{00000000-0005-0000-0000-000098010000}"/>
    <cellStyle name="20% - Accent6 37 2" xfId="33736" xr:uid="{1CC65AAD-2631-4467-AA39-70B2236F43DC}"/>
    <cellStyle name="20% - Accent6 38" xfId="571" xr:uid="{00000000-0005-0000-0000-000099010000}"/>
    <cellStyle name="20% - Accent6 38 2" xfId="33737" xr:uid="{9E300630-1DDB-4D1F-9B54-ABC560E4781C}"/>
    <cellStyle name="20% - Accent6 39" xfId="572" xr:uid="{00000000-0005-0000-0000-00009A010000}"/>
    <cellStyle name="20% - Accent6 39 2" xfId="33738" xr:uid="{E6736097-BA7A-4460-BC82-9307EA8AE66D}"/>
    <cellStyle name="20% - Accent6 4" xfId="573" xr:uid="{00000000-0005-0000-0000-00009B010000}"/>
    <cellStyle name="20% - Accent6 4 2" xfId="3446" xr:uid="{00000000-0005-0000-0000-00009C010000}"/>
    <cellStyle name="20% - Accent6 4 2 2" xfId="33740" xr:uid="{6C5B124F-7F9F-430D-8C71-45D149868932}"/>
    <cellStyle name="20% - Accent6 4 2 3" xfId="33739" xr:uid="{9C057062-8ADE-4BE1-8DB1-BE026F429BE7}"/>
    <cellStyle name="20% - Accent6 4 3" xfId="5840" xr:uid="{00000000-0005-0000-0000-00009D010000}"/>
    <cellStyle name="20% - Accent6 40" xfId="574" xr:uid="{00000000-0005-0000-0000-00009E010000}"/>
    <cellStyle name="20% - Accent6 40 2" xfId="33741" xr:uid="{641572C2-5E78-4C12-AC41-6DB6226127D7}"/>
    <cellStyle name="20% - Accent6 41" xfId="575" xr:uid="{00000000-0005-0000-0000-00009F010000}"/>
    <cellStyle name="20% - Accent6 41 2" xfId="33742" xr:uid="{5B839FCF-FB4C-469D-913D-339E071A76C0}"/>
    <cellStyle name="20% - Accent6 42" xfId="576" xr:uid="{00000000-0005-0000-0000-0000A0010000}"/>
    <cellStyle name="20% - Accent6 42 2" xfId="33743" xr:uid="{9CC9CBF7-C0F2-4182-8CF7-64D8042AB164}"/>
    <cellStyle name="20% - Accent6 43" xfId="577" xr:uid="{00000000-0005-0000-0000-0000A1010000}"/>
    <cellStyle name="20% - Accent6 43 2" xfId="33744" xr:uid="{172D0ECE-3627-4493-962D-84F01B9C49B9}"/>
    <cellStyle name="20% - Accent6 44" xfId="578" xr:uid="{00000000-0005-0000-0000-0000A2010000}"/>
    <cellStyle name="20% - Accent6 44 10" xfId="33745" xr:uid="{F52E9C06-DA2D-463F-B482-FC280B538EB7}"/>
    <cellStyle name="20% - Accent6 44 2" xfId="4839" xr:uid="{00000000-0005-0000-0000-0000A3010000}"/>
    <cellStyle name="20% - Accent6 44 2 2" xfId="5258" xr:uid="{00000000-0005-0000-0000-0000A4010000}"/>
    <cellStyle name="20% - Accent6 44 2 2 2" xfId="7121" xr:uid="{00000000-0005-0000-0000-0000A5010000}"/>
    <cellStyle name="20% - Accent6 44 2 2 2 2" xfId="15554" xr:uid="{00000000-0005-0000-0000-0000A6010000}"/>
    <cellStyle name="20% - Accent6 44 2 2 2 2 2" xfId="27448" xr:uid="{DC2C1779-5247-47FC-94EC-4A698AD2934F}"/>
    <cellStyle name="20% - Accent6 44 2 2 2 2 3" xfId="21788" xr:uid="{3B4F6FF0-6E1E-41C2-B00D-F292EE82B324}"/>
    <cellStyle name="20% - Accent6 44 2 2 2 2 4" xfId="32828" xr:uid="{9142553D-F7E1-4328-900A-4BF47DA11DAF}"/>
    <cellStyle name="20% - Accent6 44 2 2 2 2 5" xfId="33749" xr:uid="{D865844B-2D2B-4793-B969-5ED11C4EBAE4}"/>
    <cellStyle name="20% - Accent6 44 2 2 2 3" xfId="24615" xr:uid="{FD08230B-53C0-47A2-86C2-6655C640B197}"/>
    <cellStyle name="20% - Accent6 44 2 2 2 4" xfId="18955" xr:uid="{A907F752-603F-43CA-AA8A-33AB8662F065}"/>
    <cellStyle name="20% - Accent6 44 2 2 2 5" xfId="30276" xr:uid="{7919406F-0D4C-448C-91C7-35BBBE77380A}"/>
    <cellStyle name="20% - Accent6 44 2 2 2 6" xfId="33748" xr:uid="{F0709504-B1B3-4C4D-9A4F-8A96C4EDD25D}"/>
    <cellStyle name="20% - Accent6 44 2 2 3" xfId="14144" xr:uid="{00000000-0005-0000-0000-0000A7010000}"/>
    <cellStyle name="20% - Accent6 44 2 2 3 2" xfId="26183" xr:uid="{8C22ADBF-2E2B-41C4-A1B9-E131BD62972C}"/>
    <cellStyle name="20% - Accent6 44 2 2 3 3" xfId="20523" xr:uid="{AC99C5A8-97CC-4BE9-BBB3-3AED1EA173B1}"/>
    <cellStyle name="20% - Accent6 44 2 2 3 4" xfId="31563" xr:uid="{0FC58014-A5BA-439A-8C48-5125FE9C5D1C}"/>
    <cellStyle name="20% - Accent6 44 2 2 3 5" xfId="33750" xr:uid="{6A284AAA-3814-4D80-AD66-3B9A0834A2EA}"/>
    <cellStyle name="20% - Accent6 44 2 2 4" xfId="23053" xr:uid="{526C3319-DAF8-43D7-B6B4-AC6754D7EE2C}"/>
    <cellStyle name="20% - Accent6 44 2 2 5" xfId="17393" xr:uid="{2FCC5175-91B4-44CB-A930-C4B465E412AE}"/>
    <cellStyle name="20% - Accent6 44 2 2 6" xfId="28714" xr:uid="{C3AD7E10-2CE6-4823-A9F3-96D52AB8C33C}"/>
    <cellStyle name="20% - Accent6 44 2 2 7" xfId="33747" xr:uid="{117DCCC6-169E-4BA9-BD3C-8AF935B65610}"/>
    <cellStyle name="20% - Accent6 44 2 3" xfId="5842" xr:uid="{00000000-0005-0000-0000-0000A8010000}"/>
    <cellStyle name="20% - Accent6 44 2 3 2" xfId="7310" xr:uid="{00000000-0005-0000-0000-0000A9010000}"/>
    <cellStyle name="20% - Accent6 44 2 3 2 2" xfId="15743" xr:uid="{00000000-0005-0000-0000-0000AA010000}"/>
    <cellStyle name="20% - Accent6 44 2 3 2 2 2" xfId="27637" xr:uid="{D02864B3-B76A-4078-83E0-F70E01CFB96B}"/>
    <cellStyle name="20% - Accent6 44 2 3 2 2 3" xfId="21977" xr:uid="{56A7E3BC-2698-490E-9BE2-EED0480BAD3E}"/>
    <cellStyle name="20% - Accent6 44 2 3 2 2 4" xfId="33017" xr:uid="{AB12C642-8D23-4684-B4AF-FAE78A22A69F}"/>
    <cellStyle name="20% - Accent6 44 2 3 2 2 5" xfId="33753" xr:uid="{99BF47A3-DA12-43D8-A581-2A22706C8E0E}"/>
    <cellStyle name="20% - Accent6 44 2 3 2 3" xfId="24804" xr:uid="{C0ED0070-0BD3-437D-998E-F766A909B076}"/>
    <cellStyle name="20% - Accent6 44 2 3 2 4" xfId="19144" xr:uid="{4978D204-4905-4A81-8F73-34E639840D79}"/>
    <cellStyle name="20% - Accent6 44 2 3 2 5" xfId="30465" xr:uid="{8C2D2EA9-E3FC-46FF-855E-02E71EA5F94F}"/>
    <cellStyle name="20% - Accent6 44 2 3 2 6" xfId="33752" xr:uid="{B7864563-229E-44B5-A4A5-F26538083F1A}"/>
    <cellStyle name="20% - Accent6 44 2 3 3" xfId="14401" xr:uid="{00000000-0005-0000-0000-0000AB010000}"/>
    <cellStyle name="20% - Accent6 44 2 3 3 2" xfId="26379" xr:uid="{7660D983-91B7-4924-96BD-318D861B6075}"/>
    <cellStyle name="20% - Accent6 44 2 3 3 3" xfId="20719" xr:uid="{218D6AA0-1A0B-4E83-A591-C39D416527EA}"/>
    <cellStyle name="20% - Accent6 44 2 3 3 4" xfId="31759" xr:uid="{07222D67-AD6E-496C-95BB-F05F0E6743DB}"/>
    <cellStyle name="20% - Accent6 44 2 3 3 5" xfId="33754" xr:uid="{78D06D11-9417-448B-B5C7-961ED580787C}"/>
    <cellStyle name="20% - Accent6 44 2 3 4" xfId="23463" xr:uid="{E79FD03A-A699-4EAD-AD67-66C99DE09B9F}"/>
    <cellStyle name="20% - Accent6 44 2 3 5" xfId="17803" xr:uid="{56087AF2-3733-43F3-A338-A0FCD2E48488}"/>
    <cellStyle name="20% - Accent6 44 2 3 6" xfId="29124" xr:uid="{C174F144-AD93-434C-AA02-2106E32152DE}"/>
    <cellStyle name="20% - Accent6 44 2 3 7" xfId="33751" xr:uid="{F3BA3B9A-E7B2-4B75-BC24-08C9FC30B19D}"/>
    <cellStyle name="20% - Accent6 44 2 4" xfId="6703" xr:uid="{00000000-0005-0000-0000-0000AC010000}"/>
    <cellStyle name="20% - Accent6 44 2 4 2" xfId="15136" xr:uid="{00000000-0005-0000-0000-0000AD010000}"/>
    <cellStyle name="20% - Accent6 44 2 4 2 2" xfId="27030" xr:uid="{9D37AAC5-93B5-4B96-A8ED-6BA7393D5D46}"/>
    <cellStyle name="20% - Accent6 44 2 4 2 3" xfId="21370" xr:uid="{E0408153-6448-4AD9-A7F5-AA3F225BD8EA}"/>
    <cellStyle name="20% - Accent6 44 2 4 2 4" xfId="32410" xr:uid="{ED69AD8C-1F10-42A0-84F7-D6288430EF01}"/>
    <cellStyle name="20% - Accent6 44 2 4 2 5" xfId="33756" xr:uid="{DDECBBA8-484D-44C7-A0DC-B5DCF9C03F93}"/>
    <cellStyle name="20% - Accent6 44 2 4 3" xfId="24197" xr:uid="{1318A69A-4F45-42AF-83BA-9DF6C8D83E51}"/>
    <cellStyle name="20% - Accent6 44 2 4 4" xfId="18537" xr:uid="{FB02FEE9-1D78-416B-845D-880DB3000013}"/>
    <cellStyle name="20% - Accent6 44 2 4 5" xfId="29858" xr:uid="{640E873B-D22C-488E-880B-98383553007E}"/>
    <cellStyle name="20% - Accent6 44 2 4 6" xfId="33755" xr:uid="{E494D067-21DF-47A1-BE57-46459E831D6D}"/>
    <cellStyle name="20% - Accent6 44 2 5" xfId="7715" xr:uid="{00000000-0005-0000-0000-0000AE010000}"/>
    <cellStyle name="20% - Accent6 44 2 5 2" xfId="25208" xr:uid="{8432B531-6AE6-4307-B9BB-0AC9ADE0BE93}"/>
    <cellStyle name="20% - Accent6 44 2 5 3" xfId="19548" xr:uid="{B48B46A7-41A5-4BA1-B11A-152E66F28736}"/>
    <cellStyle name="20% - Accent6 44 2 5 4" xfId="30869" xr:uid="{E4B712FA-249C-4D59-B81F-35C38F1BC1ED}"/>
    <cellStyle name="20% - Accent6 44 2 5 5" xfId="33757" xr:uid="{84EEF3B8-66C1-4D7C-BBCE-B4EE7C675744}"/>
    <cellStyle name="20% - Accent6 44 2 6" xfId="22635" xr:uid="{0F8A53C5-7F0C-4634-B4AA-0FE767340991}"/>
    <cellStyle name="20% - Accent6 44 2 7" xfId="16975" xr:uid="{DE27413E-B36D-419B-A2CC-A94D0EE9011B}"/>
    <cellStyle name="20% - Accent6 44 2 8" xfId="28296" xr:uid="{A39A1906-BF66-4E30-A87A-45FED96B6F7B}"/>
    <cellStyle name="20% - Accent6 44 2 9" xfId="33746" xr:uid="{C6CA83DE-A034-4D68-A91A-DA590B2AAA02}"/>
    <cellStyle name="20% - Accent6 44 3" xfId="5049" xr:uid="{00000000-0005-0000-0000-0000AF010000}"/>
    <cellStyle name="20% - Accent6 44 3 2" xfId="6912" xr:uid="{00000000-0005-0000-0000-0000B0010000}"/>
    <cellStyle name="20% - Accent6 44 3 2 2" xfId="15345" xr:uid="{00000000-0005-0000-0000-0000B1010000}"/>
    <cellStyle name="20% - Accent6 44 3 2 2 2" xfId="27239" xr:uid="{76B7FA39-584B-47DF-A70A-64D2F97518B3}"/>
    <cellStyle name="20% - Accent6 44 3 2 2 3" xfId="21579" xr:uid="{86DB85DA-B7F6-4173-BCFB-300B2BDF968F}"/>
    <cellStyle name="20% - Accent6 44 3 2 2 4" xfId="32619" xr:uid="{765115FB-755F-451E-AB06-526B81137B0E}"/>
    <cellStyle name="20% - Accent6 44 3 2 2 5" xfId="33760" xr:uid="{2DFDB589-4E3D-4B12-A8AF-6FFC8A0B60CE}"/>
    <cellStyle name="20% - Accent6 44 3 2 3" xfId="24406" xr:uid="{1E1E82B7-E9EF-4512-B856-D01DFC0E1CA4}"/>
    <cellStyle name="20% - Accent6 44 3 2 4" xfId="18746" xr:uid="{370C0853-95ED-436D-AE09-57C07085F720}"/>
    <cellStyle name="20% - Accent6 44 3 2 5" xfId="30067" xr:uid="{6B1612BA-62E5-4E12-9E27-6583D5A02DDF}"/>
    <cellStyle name="20% - Accent6 44 3 2 6" xfId="33759" xr:uid="{7FC8F45C-852E-4EAC-A840-1BBB4D9E170B}"/>
    <cellStyle name="20% - Accent6 44 3 3" xfId="13945" xr:uid="{00000000-0005-0000-0000-0000B2010000}"/>
    <cellStyle name="20% - Accent6 44 3 3 2" xfId="25986" xr:uid="{0CAD0618-1E82-4095-8779-5C23E092A8EF}"/>
    <cellStyle name="20% - Accent6 44 3 3 3" xfId="20326" xr:uid="{DA014196-3DB4-4428-B54D-C10D6C0AB28C}"/>
    <cellStyle name="20% - Accent6 44 3 3 4" xfId="31366" xr:uid="{3CC2DF5A-4011-47CB-8672-F91AAE5B7AF7}"/>
    <cellStyle name="20% - Accent6 44 3 3 5" xfId="33761" xr:uid="{96D2B7BF-3734-4F60-AC71-EB5C5DBE9324}"/>
    <cellStyle name="20% - Accent6 44 3 4" xfId="22844" xr:uid="{A4453413-17B1-48AF-A822-710FFC9AFC31}"/>
    <cellStyle name="20% - Accent6 44 3 5" xfId="17184" xr:uid="{5E89D3C0-B0BD-4ED1-95A9-ECF9917B0555}"/>
    <cellStyle name="20% - Accent6 44 3 6" xfId="28505" xr:uid="{C6769D54-439C-418B-8753-5D640D70D9FB}"/>
    <cellStyle name="20% - Accent6 44 3 7" xfId="33758" xr:uid="{BE4199B1-88FD-48A8-9EB8-76D5EFA86D36}"/>
    <cellStyle name="20% - Accent6 44 4" xfId="5841" xr:uid="{00000000-0005-0000-0000-0000B3010000}"/>
    <cellStyle name="20% - Accent6 44 4 2" xfId="7309" xr:uid="{00000000-0005-0000-0000-0000B4010000}"/>
    <cellStyle name="20% - Accent6 44 4 2 2" xfId="15742" xr:uid="{00000000-0005-0000-0000-0000B5010000}"/>
    <cellStyle name="20% - Accent6 44 4 2 2 2" xfId="27636" xr:uid="{05ACC45B-E71F-4753-9839-65EDF8E4CE8A}"/>
    <cellStyle name="20% - Accent6 44 4 2 2 3" xfId="21976" xr:uid="{1C4DD0BB-E565-44E2-8885-30594FB3D25A}"/>
    <cellStyle name="20% - Accent6 44 4 2 2 4" xfId="33016" xr:uid="{B4F0203E-3D44-4CBF-B939-17AD20C42CFC}"/>
    <cellStyle name="20% - Accent6 44 4 2 2 5" xfId="33764" xr:uid="{20006986-D3FC-494E-B78C-E346EE249E21}"/>
    <cellStyle name="20% - Accent6 44 4 2 3" xfId="24803" xr:uid="{BC4B5C92-0588-4600-89F4-4BC355E1BB86}"/>
    <cellStyle name="20% - Accent6 44 4 2 4" xfId="19143" xr:uid="{01F1E175-3FA0-4628-A81A-913C4B1CBE4A}"/>
    <cellStyle name="20% - Accent6 44 4 2 5" xfId="30464" xr:uid="{249F1DE9-A5EC-4FE9-81E7-9C6673B26C5C}"/>
    <cellStyle name="20% - Accent6 44 4 2 6" xfId="33763" xr:uid="{716D4576-0ECB-4043-AE58-FA6EFAE656E9}"/>
    <cellStyle name="20% - Accent6 44 4 3" xfId="14400" xr:uid="{00000000-0005-0000-0000-0000B6010000}"/>
    <cellStyle name="20% - Accent6 44 4 3 2" xfId="26378" xr:uid="{5636F76A-E0B3-4383-AFB9-B463A487A717}"/>
    <cellStyle name="20% - Accent6 44 4 3 3" xfId="20718" xr:uid="{9D2B018A-FCB5-434B-BC34-1A9B2BCBC939}"/>
    <cellStyle name="20% - Accent6 44 4 3 4" xfId="31758" xr:uid="{1A0A9A54-E361-4C56-9D52-4C6A5F9FB7C9}"/>
    <cellStyle name="20% - Accent6 44 4 3 5" xfId="33765" xr:uid="{06BD5627-FD8B-42C3-B014-089B896D633A}"/>
    <cellStyle name="20% - Accent6 44 4 4" xfId="23462" xr:uid="{EF0C2748-9367-4446-A7B7-CF6D6F67A94F}"/>
    <cellStyle name="20% - Accent6 44 4 5" xfId="17802" xr:uid="{08CC67E3-7B07-4459-BB57-AF43ED739E25}"/>
    <cellStyle name="20% - Accent6 44 4 6" xfId="29123" xr:uid="{1F3EE0A3-C088-4D3B-8DB5-131482C406BF}"/>
    <cellStyle name="20% - Accent6 44 4 7" xfId="33762" xr:uid="{42149230-40FE-422C-B2D4-7B71BCA9994C}"/>
    <cellStyle name="20% - Accent6 44 5" xfId="6494" xr:uid="{00000000-0005-0000-0000-0000B7010000}"/>
    <cellStyle name="20% - Accent6 44 5 2" xfId="14927" xr:uid="{00000000-0005-0000-0000-0000B8010000}"/>
    <cellStyle name="20% - Accent6 44 5 2 2" xfId="26821" xr:uid="{C2353B3E-FB6E-4BE0-B8D5-7341E590BC64}"/>
    <cellStyle name="20% - Accent6 44 5 2 3" xfId="21161" xr:uid="{CB67A7C0-D9A0-4A40-AF37-4E2AAE34F721}"/>
    <cellStyle name="20% - Accent6 44 5 2 4" xfId="32201" xr:uid="{26C86B4D-A5C9-4C8D-B9AA-F0B30143245F}"/>
    <cellStyle name="20% - Accent6 44 5 2 5" xfId="33767" xr:uid="{54C6D43F-BD29-474E-94C1-8477832DDD0A}"/>
    <cellStyle name="20% - Accent6 44 5 3" xfId="23988" xr:uid="{0B7BE679-BF32-4564-B18F-E674C1049E6F}"/>
    <cellStyle name="20% - Accent6 44 5 4" xfId="18328" xr:uid="{65939EEC-957D-43F4-A7A0-28729B78FB54}"/>
    <cellStyle name="20% - Accent6 44 5 5" xfId="29649" xr:uid="{61E6D2BA-0863-49FE-8C4E-265D59E5C4CD}"/>
    <cellStyle name="20% - Accent6 44 5 6" xfId="33766" xr:uid="{2C13781E-3549-4BA8-BF69-3D620F0FAA15}"/>
    <cellStyle name="20% - Accent6 44 6" xfId="7714" xr:uid="{00000000-0005-0000-0000-0000B9010000}"/>
    <cellStyle name="20% - Accent6 44 6 2" xfId="25207" xr:uid="{FDDD8324-5446-4802-9B7F-07092D54101D}"/>
    <cellStyle name="20% - Accent6 44 6 3" xfId="19547" xr:uid="{5F92A0CF-C4FC-4549-8FCD-98666F6F3940}"/>
    <cellStyle name="20% - Accent6 44 6 4" xfId="30868" xr:uid="{BFEF134F-A14E-4F18-9241-FA87B53BB42D}"/>
    <cellStyle name="20% - Accent6 44 6 5" xfId="33768" xr:uid="{9F8B08B8-3556-4543-8029-F126BFD22300}"/>
    <cellStyle name="20% - Accent6 44 7" xfId="22426" xr:uid="{7698855D-3232-4161-B563-9CAE7EFEE9F7}"/>
    <cellStyle name="20% - Accent6 44 8" xfId="16766" xr:uid="{E72C5661-1B77-42BF-B876-78C3F0F5219F}"/>
    <cellStyle name="20% - Accent6 44 9" xfId="28087" xr:uid="{A2E9A749-1269-4D6F-A454-0DEC7186D0C8}"/>
    <cellStyle name="20% - Accent6 5" xfId="579" xr:uid="{00000000-0005-0000-0000-0000BA010000}"/>
    <cellStyle name="20% - Accent6 5 2" xfId="3447" xr:uid="{00000000-0005-0000-0000-0000BB010000}"/>
    <cellStyle name="20% - Accent6 5 2 2" xfId="33770" xr:uid="{8DFD969F-5395-42B6-9900-A7BADABFD05B}"/>
    <cellStyle name="20% - Accent6 5 2 3" xfId="33769" xr:uid="{D263887C-379D-4BD2-A80D-042E4F2C4906}"/>
    <cellStyle name="20% - Accent6 5 3" xfId="5843" xr:uid="{00000000-0005-0000-0000-0000BC010000}"/>
    <cellStyle name="20% - Accent6 6" xfId="580" xr:uid="{00000000-0005-0000-0000-0000BD010000}"/>
    <cellStyle name="20% - Accent6 6 2" xfId="3448" xr:uid="{00000000-0005-0000-0000-0000BE010000}"/>
    <cellStyle name="20% - Accent6 6 2 2" xfId="33772" xr:uid="{19790725-1746-478F-B2FB-8960433DA5F6}"/>
    <cellStyle name="20% - Accent6 6 2 3" xfId="33771" xr:uid="{EBF599B5-6691-4FFC-A066-EBA1E71D81AF}"/>
    <cellStyle name="20% - Accent6 6 3" xfId="5844" xr:uid="{00000000-0005-0000-0000-0000BF010000}"/>
    <cellStyle name="20% - Accent6 7" xfId="581" xr:uid="{00000000-0005-0000-0000-0000C0010000}"/>
    <cellStyle name="20% - Accent6 7 2" xfId="3449" xr:uid="{00000000-0005-0000-0000-0000C1010000}"/>
    <cellStyle name="20% - Accent6 7 2 2" xfId="33774" xr:uid="{9BFFBA2C-9E1C-45B7-AF8A-DA7276335EC8}"/>
    <cellStyle name="20% - Accent6 7 2 3" xfId="33773" xr:uid="{B7518B9D-8914-42CD-911F-A91EB38FCB50}"/>
    <cellStyle name="20% - Accent6 7 3" xfId="5845" xr:uid="{00000000-0005-0000-0000-0000C2010000}"/>
    <cellStyle name="20% - Accent6 8" xfId="582" xr:uid="{00000000-0005-0000-0000-0000C3010000}"/>
    <cellStyle name="20% - Accent6 8 2" xfId="3450" xr:uid="{00000000-0005-0000-0000-0000C4010000}"/>
    <cellStyle name="20% - Accent6 8 2 2" xfId="33776" xr:uid="{3967159A-FF0D-4589-B8E8-27367E1CFD41}"/>
    <cellStyle name="20% - Accent6 8 2 3" xfId="33775" xr:uid="{FC4DA560-67A1-4CA5-8AE1-063F068C6B1A}"/>
    <cellStyle name="20% - Accent6 8 3" xfId="5846" xr:uid="{00000000-0005-0000-0000-0000C5010000}"/>
    <cellStyle name="20% - Accent6 9" xfId="583" xr:uid="{00000000-0005-0000-0000-0000C6010000}"/>
    <cellStyle name="20% - Accent6 9 2" xfId="9466" xr:uid="{00000000-0005-0000-0000-0000C7010000}"/>
    <cellStyle name="20% - Akzent1" xfId="584" xr:uid="{00000000-0005-0000-0000-0000C8010000}"/>
    <cellStyle name="20% - Akzent2" xfId="585" xr:uid="{00000000-0005-0000-0000-0000C9010000}"/>
    <cellStyle name="20% - Akzent3" xfId="586" xr:uid="{00000000-0005-0000-0000-0000CA010000}"/>
    <cellStyle name="20% - Akzent4" xfId="587" xr:uid="{00000000-0005-0000-0000-0000CB010000}"/>
    <cellStyle name="20% - Akzent5" xfId="588" xr:uid="{00000000-0005-0000-0000-0000CC010000}"/>
    <cellStyle name="20% - Akzent6" xfId="589" xr:uid="{00000000-0005-0000-0000-0000CD010000}"/>
    <cellStyle name="2x indented GHG Textfiels" xfId="590" xr:uid="{00000000-0005-0000-0000-0000CE010000}"/>
    <cellStyle name="2x indented GHG Textfiels 2" xfId="33778" xr:uid="{200EA5BE-ECAC-4839-86B6-8DDE60291A9A}"/>
    <cellStyle name="2x indented GHG Textfiels 2 2" xfId="33779" xr:uid="{CB436E94-1218-494D-BC08-5F03F96644DA}"/>
    <cellStyle name="2x indented GHG Textfiels 3" xfId="33780" xr:uid="{E5328FEA-CF60-4E82-B21B-7C1EF8F40863}"/>
    <cellStyle name="2x indented GHG Textfiels 3 2" xfId="33781" xr:uid="{944DE199-8FC9-41BE-950D-F46A372DB94E}"/>
    <cellStyle name="2x indented GHG Textfiels 3 2 2" xfId="33782" xr:uid="{DFA691D3-A50C-4047-B676-AEC2A26F6189}"/>
    <cellStyle name="2x indented GHG Textfiels 3 2 2 2" xfId="33783" xr:uid="{6EB1F23F-B21A-427D-B214-EA8B921D4F14}"/>
    <cellStyle name="2x indented GHG Textfiels 3 2 3" xfId="33784" xr:uid="{E9B4C4FC-2AA8-42F4-811B-414D7971D657}"/>
    <cellStyle name="2x indented GHG Textfiels 3 3" xfId="33785" xr:uid="{61F1250D-3C82-4FE6-BC0F-5339F3950895}"/>
    <cellStyle name="2x indented GHG Textfiels 3 3 2" xfId="33786" xr:uid="{322F86DA-05DE-455A-BD80-BB4302ECF698}"/>
    <cellStyle name="2x indented GHG Textfiels 3 3 2 2" xfId="33787" xr:uid="{9B4A2BCD-FABA-4C13-ADC5-948699C358A7}"/>
    <cellStyle name="2x indented GHG Textfiels 3 3 3" xfId="33788" xr:uid="{6361B71A-058E-4EB8-A667-849DC42F6D7C}"/>
    <cellStyle name="2x indented GHG Textfiels 3 3 3 2" xfId="33789" xr:uid="{21E5BDE4-EE3C-40AE-A811-3067D2E52B0C}"/>
    <cellStyle name="2x indented GHG Textfiels 3 3 4" xfId="33790" xr:uid="{815EACE8-F016-4FCE-8D28-C06C9FC7BE37}"/>
    <cellStyle name="2x indented GHG Textfiels 3 3 4 2" xfId="33791" xr:uid="{33F584AF-F44F-4C8F-B2CB-3259BA80EEDC}"/>
    <cellStyle name="2x indented GHG Textfiels 4" xfId="33777" xr:uid="{F8086FD5-0761-411A-A68B-8BAAA440C1F1}"/>
    <cellStyle name="40 % - Akzent1 2" xfId="33792" xr:uid="{63998C06-94A3-435B-8767-039D3FBFD150}"/>
    <cellStyle name="40 % - Akzent1 3" xfId="33793" xr:uid="{961C1771-E7AF-4EB5-A523-BB6D3B4FD608}"/>
    <cellStyle name="40 % - Akzent2 2" xfId="33794" xr:uid="{9FB8544D-0E8B-43F4-A809-D43C3E18D964}"/>
    <cellStyle name="40 % - Akzent2 3" xfId="33795" xr:uid="{248D0A20-6F3C-48C3-8E68-FCA671EFBEAE}"/>
    <cellStyle name="40 % - Akzent3 2" xfId="33796" xr:uid="{14F183DC-2E3C-4675-AE26-A54DC1F70066}"/>
    <cellStyle name="40 % - Akzent3 3" xfId="33797" xr:uid="{088FB258-A474-4A5B-9D5A-899417F992B6}"/>
    <cellStyle name="40 % - Akzent4 2" xfId="33798" xr:uid="{F30166EC-2CC6-4C9F-BEC3-C4F6C8498AB1}"/>
    <cellStyle name="40 % - Akzent4 3" xfId="33799" xr:uid="{4A80F89E-C8B3-4C36-A40A-A9A2B002FE4A}"/>
    <cellStyle name="40 % - Akzent5 2" xfId="33800" xr:uid="{B6611C9E-63BC-4B13-9F92-5A05C5DB15A5}"/>
    <cellStyle name="40 % - Akzent5 3" xfId="33801" xr:uid="{3DC0316A-6C0A-4161-870F-8E69B2228615}"/>
    <cellStyle name="40 % - Akzent6 2" xfId="33802" xr:uid="{B432624C-744D-4E2F-816C-268853B107FF}"/>
    <cellStyle name="40 % - Akzent6 3" xfId="33803" xr:uid="{22F42DD9-2C32-488F-9417-7C79DA5F7287}"/>
    <cellStyle name="40% - Accent1 10" xfId="591" xr:uid="{00000000-0005-0000-0000-0000CF010000}"/>
    <cellStyle name="40% - Accent1 10 2" xfId="9467" xr:uid="{00000000-0005-0000-0000-0000D0010000}"/>
    <cellStyle name="40% - Accent1 11" xfId="592" xr:uid="{00000000-0005-0000-0000-0000D1010000}"/>
    <cellStyle name="40% - Accent1 11 2" xfId="9468" xr:uid="{00000000-0005-0000-0000-0000D2010000}"/>
    <cellStyle name="40% - Accent1 12" xfId="593" xr:uid="{00000000-0005-0000-0000-0000D3010000}"/>
    <cellStyle name="40% - Accent1 12 2" xfId="33804" xr:uid="{145F2542-4F12-44A1-8D43-745C654DBC5F}"/>
    <cellStyle name="40% - Accent1 13" xfId="594" xr:uid="{00000000-0005-0000-0000-0000D4010000}"/>
    <cellStyle name="40% - Accent1 13 2" xfId="33805" xr:uid="{A7D78303-79C1-4C40-98ED-4EE3D5AB2FE6}"/>
    <cellStyle name="40% - Accent1 14" xfId="595" xr:uid="{00000000-0005-0000-0000-0000D5010000}"/>
    <cellStyle name="40% - Accent1 14 2" xfId="33806" xr:uid="{7FD51ADF-950C-4365-94C8-BC7C7098CEBA}"/>
    <cellStyle name="40% - Accent1 15" xfId="596" xr:uid="{00000000-0005-0000-0000-0000D6010000}"/>
    <cellStyle name="40% - Accent1 15 2" xfId="33807" xr:uid="{0B706C8A-9821-4DB0-A2E8-80A10B8CCEDA}"/>
    <cellStyle name="40% - Accent1 16" xfId="597" xr:uid="{00000000-0005-0000-0000-0000D7010000}"/>
    <cellStyle name="40% - Accent1 16 2" xfId="33808" xr:uid="{F3EC1F72-F639-449F-950C-2B8EB810FD10}"/>
    <cellStyle name="40% - Accent1 17" xfId="598" xr:uid="{00000000-0005-0000-0000-0000D8010000}"/>
    <cellStyle name="40% - Accent1 17 2" xfId="33809" xr:uid="{84E687B9-3F2B-49F2-9697-FF354AC2E68C}"/>
    <cellStyle name="40% - Accent1 18" xfId="599" xr:uid="{00000000-0005-0000-0000-0000D9010000}"/>
    <cellStyle name="40% - Accent1 18 2" xfId="33810" xr:uid="{4308744D-53A5-4121-AD8C-0C960EEEE1BA}"/>
    <cellStyle name="40% - Accent1 19" xfId="600" xr:uid="{00000000-0005-0000-0000-0000DA010000}"/>
    <cellStyle name="40% - Accent1 19 2" xfId="33811" xr:uid="{DCBA9B58-CE87-432B-90C7-A28E00062EED}"/>
    <cellStyle name="40% - Accent1 2" xfId="21" xr:uid="{00000000-0005-0000-0000-0000DB010000}"/>
    <cellStyle name="40% - Accent1 2 10" xfId="3451" xr:uid="{00000000-0005-0000-0000-0000DC010000}"/>
    <cellStyle name="40% - Accent1 2 11" xfId="3452" xr:uid="{00000000-0005-0000-0000-0000DD010000}"/>
    <cellStyle name="40% - Accent1 2 12" xfId="3453" xr:uid="{00000000-0005-0000-0000-0000DE010000}"/>
    <cellStyle name="40% - Accent1 2 13" xfId="3454" xr:uid="{00000000-0005-0000-0000-0000DF010000}"/>
    <cellStyle name="40% - Accent1 2 14" xfId="3455" xr:uid="{00000000-0005-0000-0000-0000E0010000}"/>
    <cellStyle name="40% - Accent1 2 15" xfId="3456" xr:uid="{00000000-0005-0000-0000-0000E1010000}"/>
    <cellStyle name="40% - Accent1 2 16" xfId="9469" xr:uid="{00000000-0005-0000-0000-0000E2010000}"/>
    <cellStyle name="40% - Accent1 2 17" xfId="33812" xr:uid="{5F46928E-BB66-43CE-BD5F-7B60534C274D}"/>
    <cellStyle name="40% - Accent1 2 2" xfId="3457" xr:uid="{00000000-0005-0000-0000-0000E3010000}"/>
    <cellStyle name="40% - Accent1 2 2 2" xfId="33814" xr:uid="{05C6B086-62FB-473A-93F8-1571A303C4F0}"/>
    <cellStyle name="40% - Accent1 2 2 3" xfId="33813" xr:uid="{BA0AA7F7-C8A4-4BC2-A87F-6C471C807195}"/>
    <cellStyle name="40% - Accent1 2 3" xfId="3458" xr:uid="{00000000-0005-0000-0000-0000E4010000}"/>
    <cellStyle name="40% - Accent1 2 4" xfId="3459" xr:uid="{00000000-0005-0000-0000-0000E5010000}"/>
    <cellStyle name="40% - Accent1 2 5" xfId="3460" xr:uid="{00000000-0005-0000-0000-0000E6010000}"/>
    <cellStyle name="40% - Accent1 2 6" xfId="3461" xr:uid="{00000000-0005-0000-0000-0000E7010000}"/>
    <cellStyle name="40% - Accent1 2 7" xfId="3462" xr:uid="{00000000-0005-0000-0000-0000E8010000}"/>
    <cellStyle name="40% - Accent1 2 8" xfId="3463" xr:uid="{00000000-0005-0000-0000-0000E9010000}"/>
    <cellStyle name="40% - Accent1 2 9" xfId="3464" xr:uid="{00000000-0005-0000-0000-0000EA010000}"/>
    <cellStyle name="40% - Accent1 20" xfId="601" xr:uid="{00000000-0005-0000-0000-0000EB010000}"/>
    <cellStyle name="40% - Accent1 20 2" xfId="33815" xr:uid="{2A8DA085-1692-43C1-B594-E8C75F148962}"/>
    <cellStyle name="40% - Accent1 21" xfId="602" xr:uid="{00000000-0005-0000-0000-0000EC010000}"/>
    <cellStyle name="40% - Accent1 21 2" xfId="33816" xr:uid="{6407A876-927D-4430-9EB2-A005CC3C729A}"/>
    <cellStyle name="40% - Accent1 22" xfId="603" xr:uid="{00000000-0005-0000-0000-0000ED010000}"/>
    <cellStyle name="40% - Accent1 22 2" xfId="33817" xr:uid="{9583352E-91BE-4827-B24E-DA9042F2195F}"/>
    <cellStyle name="40% - Accent1 23" xfId="604" xr:uid="{00000000-0005-0000-0000-0000EE010000}"/>
    <cellStyle name="40% - Accent1 23 2" xfId="33818" xr:uid="{560E77E4-E52B-4172-9AD0-C8071F013FF9}"/>
    <cellStyle name="40% - Accent1 24" xfId="605" xr:uid="{00000000-0005-0000-0000-0000EF010000}"/>
    <cellStyle name="40% - Accent1 24 2" xfId="33819" xr:uid="{E204D0EF-73A0-48AF-BF98-323684663CC7}"/>
    <cellStyle name="40% - Accent1 25" xfId="606" xr:uid="{00000000-0005-0000-0000-0000F0010000}"/>
    <cellStyle name="40% - Accent1 25 2" xfId="33820" xr:uid="{88A6BA8A-3C77-4EA7-8E17-7139E192576B}"/>
    <cellStyle name="40% - Accent1 26" xfId="607" xr:uid="{00000000-0005-0000-0000-0000F1010000}"/>
    <cellStyle name="40% - Accent1 26 2" xfId="33821" xr:uid="{EC67BB1B-4B7B-43A6-AC1A-3090647E3D4A}"/>
    <cellStyle name="40% - Accent1 27" xfId="608" xr:uid="{00000000-0005-0000-0000-0000F2010000}"/>
    <cellStyle name="40% - Accent1 27 2" xfId="33822" xr:uid="{95E7C224-5689-487E-959D-267A1A851498}"/>
    <cellStyle name="40% - Accent1 28" xfId="609" xr:uid="{00000000-0005-0000-0000-0000F3010000}"/>
    <cellStyle name="40% - Accent1 28 2" xfId="33823" xr:uid="{A113F353-2471-4F92-A474-93FF83BD52D9}"/>
    <cellStyle name="40% - Accent1 29" xfId="610" xr:uid="{00000000-0005-0000-0000-0000F4010000}"/>
    <cellStyle name="40% - Accent1 29 2" xfId="33824" xr:uid="{2493EDBB-6580-4122-B953-E672A006C1E1}"/>
    <cellStyle name="40% - Accent1 3" xfId="22" xr:uid="{00000000-0005-0000-0000-0000F5010000}"/>
    <cellStyle name="40% - Accent1 3 2" xfId="611" xr:uid="{00000000-0005-0000-0000-0000F6010000}"/>
    <cellStyle name="40% - Accent1 3 2 2" xfId="9470" xr:uid="{00000000-0005-0000-0000-0000F7010000}"/>
    <cellStyle name="40% - Accent1 3 3" xfId="3465" xr:uid="{00000000-0005-0000-0000-0000F8010000}"/>
    <cellStyle name="40% - Accent1 3 3 2" xfId="33827" xr:uid="{BEB057C7-4D3F-4D16-B79F-BE237B6FE21A}"/>
    <cellStyle name="40% - Accent1 3 3 3" xfId="33826" xr:uid="{D6584785-A4A9-4BCC-91F6-324D5991126A}"/>
    <cellStyle name="40% - Accent1 3 4" xfId="5726" xr:uid="{00000000-0005-0000-0000-0000F9010000}"/>
    <cellStyle name="40% - Accent1 3 5" xfId="33825" xr:uid="{D3B944F6-3D3E-4D4D-BE3E-67722227971A}"/>
    <cellStyle name="40% - Accent1 30" xfId="612" xr:uid="{00000000-0005-0000-0000-0000FA010000}"/>
    <cellStyle name="40% - Accent1 30 2" xfId="33828" xr:uid="{652A62C2-1913-4C9E-B02B-B36A870A60E6}"/>
    <cellStyle name="40% - Accent1 31" xfId="613" xr:uid="{00000000-0005-0000-0000-0000FB010000}"/>
    <cellStyle name="40% - Accent1 31 2" xfId="33829" xr:uid="{AF4A693D-9BA3-45B4-ADB6-4E06D2D78EAA}"/>
    <cellStyle name="40% - Accent1 32" xfId="614" xr:uid="{00000000-0005-0000-0000-0000FC010000}"/>
    <cellStyle name="40% - Accent1 32 2" xfId="33830" xr:uid="{F08F3E91-8020-48A5-B564-176D620BC783}"/>
    <cellStyle name="40% - Accent1 33" xfId="615" xr:uid="{00000000-0005-0000-0000-0000FD010000}"/>
    <cellStyle name="40% - Accent1 33 2" xfId="33831" xr:uid="{5CBE59DE-CB41-4DA5-8317-9CD606C42C58}"/>
    <cellStyle name="40% - Accent1 34" xfId="616" xr:uid="{00000000-0005-0000-0000-0000FE010000}"/>
    <cellStyle name="40% - Accent1 34 2" xfId="33832" xr:uid="{F3044672-E11E-4B62-A56F-8C54DA428160}"/>
    <cellStyle name="40% - Accent1 35" xfId="617" xr:uid="{00000000-0005-0000-0000-0000FF010000}"/>
    <cellStyle name="40% - Accent1 35 2" xfId="33833" xr:uid="{41E3F62C-2037-40BC-A2C5-D84DE875314D}"/>
    <cellStyle name="40% - Accent1 36" xfId="618" xr:uid="{00000000-0005-0000-0000-000000020000}"/>
    <cellStyle name="40% - Accent1 36 2" xfId="33834" xr:uid="{07FC23DB-40E8-4686-9630-1C39DAB6C783}"/>
    <cellStyle name="40% - Accent1 37" xfId="619" xr:uid="{00000000-0005-0000-0000-000001020000}"/>
    <cellStyle name="40% - Accent1 37 2" xfId="33835" xr:uid="{E7942539-55C9-42A2-9DA6-A611DF0077F6}"/>
    <cellStyle name="40% - Accent1 38" xfId="620" xr:uid="{00000000-0005-0000-0000-000002020000}"/>
    <cellStyle name="40% - Accent1 38 2" xfId="33836" xr:uid="{0D601576-56E1-42BF-8EC5-157FFEE8D74B}"/>
    <cellStyle name="40% - Accent1 39" xfId="621" xr:uid="{00000000-0005-0000-0000-000003020000}"/>
    <cellStyle name="40% - Accent1 39 2" xfId="33837" xr:uid="{5DC1BB5C-7080-4597-880B-4170AA34C768}"/>
    <cellStyle name="40% - Accent1 4" xfId="622" xr:uid="{00000000-0005-0000-0000-000004020000}"/>
    <cellStyle name="40% - Accent1 4 2" xfId="3466" xr:uid="{00000000-0005-0000-0000-000005020000}"/>
    <cellStyle name="40% - Accent1 4 2 2" xfId="33839" xr:uid="{F5BE89EB-19EF-4618-9827-DEFE3E676D05}"/>
    <cellStyle name="40% - Accent1 4 2 3" xfId="33838" xr:uid="{7A92F976-B23D-457C-9851-CB25E128098A}"/>
    <cellStyle name="40% - Accent1 4 3" xfId="5847" xr:uid="{00000000-0005-0000-0000-000006020000}"/>
    <cellStyle name="40% - Accent1 40" xfId="623" xr:uid="{00000000-0005-0000-0000-000007020000}"/>
    <cellStyle name="40% - Accent1 40 2" xfId="33840" xr:uid="{F060368A-9E1E-40BB-8A87-AA8D3C70936C}"/>
    <cellStyle name="40% - Accent1 41" xfId="624" xr:uid="{00000000-0005-0000-0000-000008020000}"/>
    <cellStyle name="40% - Accent1 41 2" xfId="33841" xr:uid="{A06D7884-22FA-4886-B032-EA9B979F1789}"/>
    <cellStyle name="40% - Accent1 42" xfId="625" xr:uid="{00000000-0005-0000-0000-000009020000}"/>
    <cellStyle name="40% - Accent1 42 2" xfId="33842" xr:uid="{3CEF1BF4-DE3D-4F7B-BA92-59543C574895}"/>
    <cellStyle name="40% - Accent1 43" xfId="626" xr:uid="{00000000-0005-0000-0000-00000A020000}"/>
    <cellStyle name="40% - Accent1 43 2" xfId="33843" xr:uid="{C2B1E3F9-83FA-4237-8C07-DC7C983D4448}"/>
    <cellStyle name="40% - Accent1 5" xfId="627" xr:uid="{00000000-0005-0000-0000-00000B020000}"/>
    <cellStyle name="40% - Accent1 5 2" xfId="3467" xr:uid="{00000000-0005-0000-0000-00000C020000}"/>
    <cellStyle name="40% - Accent1 5 2 2" xfId="33845" xr:uid="{BCCE3B42-5994-43D6-80B9-632EF8637155}"/>
    <cellStyle name="40% - Accent1 5 2 3" xfId="33844" xr:uid="{1E53F29A-C697-4B14-BEAF-A9E2AFB383A6}"/>
    <cellStyle name="40% - Accent1 5 3" xfId="5848" xr:uid="{00000000-0005-0000-0000-00000D020000}"/>
    <cellStyle name="40% - Accent1 6" xfId="628" xr:uid="{00000000-0005-0000-0000-00000E020000}"/>
    <cellStyle name="40% - Accent1 6 2" xfId="3468" xr:uid="{00000000-0005-0000-0000-00000F020000}"/>
    <cellStyle name="40% - Accent1 6 2 2" xfId="33847" xr:uid="{E76CF97C-4F61-4B54-81DE-E07E2818A0CC}"/>
    <cellStyle name="40% - Accent1 6 2 3" xfId="33846" xr:uid="{ACAD533D-DE38-4AB4-BC4A-43868D3D8CBA}"/>
    <cellStyle name="40% - Accent1 6 3" xfId="5849" xr:uid="{00000000-0005-0000-0000-000010020000}"/>
    <cellStyle name="40% - Accent1 7" xfId="629" xr:uid="{00000000-0005-0000-0000-000011020000}"/>
    <cellStyle name="40% - Accent1 7 2" xfId="3469" xr:uid="{00000000-0005-0000-0000-000012020000}"/>
    <cellStyle name="40% - Accent1 7 2 2" xfId="33849" xr:uid="{F6273AE8-374E-4B64-A3A9-E0EE02D96AC6}"/>
    <cellStyle name="40% - Accent1 7 2 3" xfId="33848" xr:uid="{E3EA6B7B-42DB-4736-936A-2DE2954CD7CF}"/>
    <cellStyle name="40% - Accent1 7 3" xfId="5850" xr:uid="{00000000-0005-0000-0000-000013020000}"/>
    <cellStyle name="40% - Accent1 8" xfId="630" xr:uid="{00000000-0005-0000-0000-000014020000}"/>
    <cellStyle name="40% - Accent1 8 2" xfId="3470" xr:uid="{00000000-0005-0000-0000-000015020000}"/>
    <cellStyle name="40% - Accent1 8 2 2" xfId="33851" xr:uid="{C105FEFB-BF9E-475B-9165-5DEC9A8A7B26}"/>
    <cellStyle name="40% - Accent1 8 2 3" xfId="33850" xr:uid="{05986F60-F6FB-46FE-B9A9-301A096F493F}"/>
    <cellStyle name="40% - Accent1 8 3" xfId="5851" xr:uid="{00000000-0005-0000-0000-000016020000}"/>
    <cellStyle name="40% - Accent1 9" xfId="631" xr:uid="{00000000-0005-0000-0000-000017020000}"/>
    <cellStyle name="40% - Accent1 9 2" xfId="9471" xr:uid="{00000000-0005-0000-0000-000018020000}"/>
    <cellStyle name="40% - Accent2 10" xfId="632" xr:uid="{00000000-0005-0000-0000-000019020000}"/>
    <cellStyle name="40% - Accent2 10 2" xfId="9472" xr:uid="{00000000-0005-0000-0000-00001A020000}"/>
    <cellStyle name="40% - Accent2 11" xfId="633" xr:uid="{00000000-0005-0000-0000-00001B020000}"/>
    <cellStyle name="40% - Accent2 11 2" xfId="9473" xr:uid="{00000000-0005-0000-0000-00001C020000}"/>
    <cellStyle name="40% - Accent2 12" xfId="634" xr:uid="{00000000-0005-0000-0000-00001D020000}"/>
    <cellStyle name="40% - Accent2 12 2" xfId="33852" xr:uid="{E45E6F37-739E-4B69-A32C-3A623516834D}"/>
    <cellStyle name="40% - Accent2 13" xfId="635" xr:uid="{00000000-0005-0000-0000-00001E020000}"/>
    <cellStyle name="40% - Accent2 13 2" xfId="33853" xr:uid="{95262612-51C2-46A6-941E-2EF9D32BF0F9}"/>
    <cellStyle name="40% - Accent2 14" xfId="636" xr:uid="{00000000-0005-0000-0000-00001F020000}"/>
    <cellStyle name="40% - Accent2 14 2" xfId="33854" xr:uid="{EF06C3D3-D4CF-43B3-8195-CDA8606A28A4}"/>
    <cellStyle name="40% - Accent2 15" xfId="637" xr:uid="{00000000-0005-0000-0000-000020020000}"/>
    <cellStyle name="40% - Accent2 15 2" xfId="33855" xr:uid="{E730F4F3-D684-42AF-886B-735ADA4816A8}"/>
    <cellStyle name="40% - Accent2 16" xfId="638" xr:uid="{00000000-0005-0000-0000-000021020000}"/>
    <cellStyle name="40% - Accent2 16 2" xfId="33856" xr:uid="{7D2990A6-9984-4BC5-8CD8-5E2BD5AA914F}"/>
    <cellStyle name="40% - Accent2 17" xfId="639" xr:uid="{00000000-0005-0000-0000-000022020000}"/>
    <cellStyle name="40% - Accent2 17 2" xfId="33857" xr:uid="{ECF4FB8A-4DC2-4BF2-9FC6-35F5492325FA}"/>
    <cellStyle name="40% - Accent2 18" xfId="640" xr:uid="{00000000-0005-0000-0000-000023020000}"/>
    <cellStyle name="40% - Accent2 18 2" xfId="33858" xr:uid="{935ED23B-6459-4368-A6E2-EB302A7AB884}"/>
    <cellStyle name="40% - Accent2 19" xfId="641" xr:uid="{00000000-0005-0000-0000-000024020000}"/>
    <cellStyle name="40% - Accent2 19 2" xfId="33859" xr:uid="{832D8F37-EF45-43CD-A4F0-2F15C9EBBD0F}"/>
    <cellStyle name="40% - Accent2 2" xfId="23" xr:uid="{00000000-0005-0000-0000-000025020000}"/>
    <cellStyle name="40% - Accent2 2 10" xfId="3471" xr:uid="{00000000-0005-0000-0000-000026020000}"/>
    <cellStyle name="40% - Accent2 2 11" xfId="3472" xr:uid="{00000000-0005-0000-0000-000027020000}"/>
    <cellStyle name="40% - Accent2 2 12" xfId="3473" xr:uid="{00000000-0005-0000-0000-000028020000}"/>
    <cellStyle name="40% - Accent2 2 13" xfId="3474" xr:uid="{00000000-0005-0000-0000-000029020000}"/>
    <cellStyle name="40% - Accent2 2 14" xfId="3475" xr:uid="{00000000-0005-0000-0000-00002A020000}"/>
    <cellStyle name="40% - Accent2 2 15" xfId="3476" xr:uid="{00000000-0005-0000-0000-00002B020000}"/>
    <cellStyle name="40% - Accent2 2 16" xfId="33860" xr:uid="{12E649BB-5F2C-4F7D-92FC-FF07B5987866}"/>
    <cellStyle name="40% - Accent2 2 2" xfId="3477" xr:uid="{00000000-0005-0000-0000-00002C020000}"/>
    <cellStyle name="40% - Accent2 2 3" xfId="3478" xr:uid="{00000000-0005-0000-0000-00002D020000}"/>
    <cellStyle name="40% - Accent2 2 4" xfId="3479" xr:uid="{00000000-0005-0000-0000-00002E020000}"/>
    <cellStyle name="40% - Accent2 2 5" xfId="3480" xr:uid="{00000000-0005-0000-0000-00002F020000}"/>
    <cellStyle name="40% - Accent2 2 6" xfId="3481" xr:uid="{00000000-0005-0000-0000-000030020000}"/>
    <cellStyle name="40% - Accent2 2 7" xfId="3482" xr:uid="{00000000-0005-0000-0000-000031020000}"/>
    <cellStyle name="40% - Accent2 2 8" xfId="3483" xr:uid="{00000000-0005-0000-0000-000032020000}"/>
    <cellStyle name="40% - Accent2 2 9" xfId="3484" xr:uid="{00000000-0005-0000-0000-000033020000}"/>
    <cellStyle name="40% - Accent2 20" xfId="642" xr:uid="{00000000-0005-0000-0000-000034020000}"/>
    <cellStyle name="40% - Accent2 20 2" xfId="33861" xr:uid="{C424AFE5-A7A8-4714-8E34-399542C6D1F2}"/>
    <cellStyle name="40% - Accent2 21" xfId="643" xr:uid="{00000000-0005-0000-0000-000035020000}"/>
    <cellStyle name="40% - Accent2 21 2" xfId="33862" xr:uid="{266849CC-1D03-4586-919D-A75BB78C8C18}"/>
    <cellStyle name="40% - Accent2 22" xfId="644" xr:uid="{00000000-0005-0000-0000-000036020000}"/>
    <cellStyle name="40% - Accent2 22 2" xfId="33863" xr:uid="{45DB9BEA-E510-47AB-8914-991EE6A26A56}"/>
    <cellStyle name="40% - Accent2 23" xfId="645" xr:uid="{00000000-0005-0000-0000-000037020000}"/>
    <cellStyle name="40% - Accent2 23 2" xfId="33864" xr:uid="{B4A51EBD-8398-48A9-8062-BA4DC841A782}"/>
    <cellStyle name="40% - Accent2 24" xfId="646" xr:uid="{00000000-0005-0000-0000-000038020000}"/>
    <cellStyle name="40% - Accent2 24 2" xfId="33865" xr:uid="{8DC74373-503C-449F-9E3C-74A4AD54CCF8}"/>
    <cellStyle name="40% - Accent2 25" xfId="647" xr:uid="{00000000-0005-0000-0000-000039020000}"/>
    <cellStyle name="40% - Accent2 25 2" xfId="33866" xr:uid="{D5812D0B-D84E-421E-A06A-2431371A92B4}"/>
    <cellStyle name="40% - Accent2 26" xfId="648" xr:uid="{00000000-0005-0000-0000-00003A020000}"/>
    <cellStyle name="40% - Accent2 26 2" xfId="33867" xr:uid="{C0CE90F1-4811-40CA-B2B9-83B887130729}"/>
    <cellStyle name="40% - Accent2 27" xfId="649" xr:uid="{00000000-0005-0000-0000-00003B020000}"/>
    <cellStyle name="40% - Accent2 27 2" xfId="33868" xr:uid="{DFF221F4-9D20-4558-88D4-8E9338559473}"/>
    <cellStyle name="40% - Accent2 28" xfId="650" xr:uid="{00000000-0005-0000-0000-00003C020000}"/>
    <cellStyle name="40% - Accent2 28 2" xfId="33869" xr:uid="{B883A9D2-04E6-4282-A4F8-9E4F5F8CC63A}"/>
    <cellStyle name="40% - Accent2 29" xfId="651" xr:uid="{00000000-0005-0000-0000-00003D020000}"/>
    <cellStyle name="40% - Accent2 29 2" xfId="33870" xr:uid="{9313D797-245A-47BB-8861-788F2BEED3BF}"/>
    <cellStyle name="40% - Accent2 3" xfId="24" xr:uid="{00000000-0005-0000-0000-00003E020000}"/>
    <cellStyle name="40% - Accent2 3 2" xfId="652" xr:uid="{00000000-0005-0000-0000-00003F020000}"/>
    <cellStyle name="40% - Accent2 3 3" xfId="33872" xr:uid="{44E4ABA2-ED2E-4AB0-BBD7-38A1E2A5C20F}"/>
    <cellStyle name="40% - Accent2 3 4" xfId="33871" xr:uid="{F5C86AE1-17AB-4DDF-8259-BA6DDD5BD8CA}"/>
    <cellStyle name="40% - Accent2 30" xfId="653" xr:uid="{00000000-0005-0000-0000-000040020000}"/>
    <cellStyle name="40% - Accent2 30 2" xfId="33873" xr:uid="{E3679A5C-6C70-457D-8EB7-45815D0A6B49}"/>
    <cellStyle name="40% - Accent2 31" xfId="654" xr:uid="{00000000-0005-0000-0000-000041020000}"/>
    <cellStyle name="40% - Accent2 31 2" xfId="33874" xr:uid="{FC7C56D4-1D23-43C8-9CB2-89DA82FD25A2}"/>
    <cellStyle name="40% - Accent2 32" xfId="655" xr:uid="{00000000-0005-0000-0000-000042020000}"/>
    <cellStyle name="40% - Accent2 32 2" xfId="33875" xr:uid="{1A504FDB-C951-4EF9-836E-EB890B325BEC}"/>
    <cellStyle name="40% - Accent2 33" xfId="656" xr:uid="{00000000-0005-0000-0000-000043020000}"/>
    <cellStyle name="40% - Accent2 33 2" xfId="33876" xr:uid="{FE3605B6-D313-4B65-A989-FE191DA9CDEA}"/>
    <cellStyle name="40% - Accent2 34" xfId="657" xr:uid="{00000000-0005-0000-0000-000044020000}"/>
    <cellStyle name="40% - Accent2 34 2" xfId="33877" xr:uid="{7A642D09-B133-44A4-998D-2751A9720819}"/>
    <cellStyle name="40% - Accent2 35" xfId="658" xr:uid="{00000000-0005-0000-0000-000045020000}"/>
    <cellStyle name="40% - Accent2 35 2" xfId="33878" xr:uid="{88F24ACC-FE84-47DB-8829-E9010CE75DF0}"/>
    <cellStyle name="40% - Accent2 36" xfId="659" xr:uid="{00000000-0005-0000-0000-000046020000}"/>
    <cellStyle name="40% - Accent2 36 2" xfId="33879" xr:uid="{F1C6372D-E5D0-4819-AF86-D257D05BE3DB}"/>
    <cellStyle name="40% - Accent2 37" xfId="660" xr:uid="{00000000-0005-0000-0000-000047020000}"/>
    <cellStyle name="40% - Accent2 37 2" xfId="33880" xr:uid="{7FE1EF98-D024-407C-8979-FC8F6EC31D5D}"/>
    <cellStyle name="40% - Accent2 38" xfId="661" xr:uid="{00000000-0005-0000-0000-000048020000}"/>
    <cellStyle name="40% - Accent2 38 2" xfId="33881" xr:uid="{0F07162E-1DDF-4EB3-B916-66B555C594C2}"/>
    <cellStyle name="40% - Accent2 39" xfId="662" xr:uid="{00000000-0005-0000-0000-000049020000}"/>
    <cellStyle name="40% - Accent2 39 2" xfId="33882" xr:uid="{BD545899-702F-464E-9B30-D0B1E022587A}"/>
    <cellStyle name="40% - Accent2 4" xfId="663" xr:uid="{00000000-0005-0000-0000-00004A020000}"/>
    <cellStyle name="40% - Accent2 4 2" xfId="33883" xr:uid="{173FE1DC-0C26-412D-A169-9F25D0203094}"/>
    <cellStyle name="40% - Accent2 40" xfId="664" xr:uid="{00000000-0005-0000-0000-00004B020000}"/>
    <cellStyle name="40% - Accent2 40 2" xfId="33884" xr:uid="{41B1BFB8-25B6-458B-B868-E661C2098325}"/>
    <cellStyle name="40% - Accent2 41" xfId="665" xr:uid="{00000000-0005-0000-0000-00004C020000}"/>
    <cellStyle name="40% - Accent2 41 2" xfId="33885" xr:uid="{A0313F40-A32F-404A-A859-D34A1432132E}"/>
    <cellStyle name="40% - Accent2 42" xfId="666" xr:uid="{00000000-0005-0000-0000-00004D020000}"/>
    <cellStyle name="40% - Accent2 42 2" xfId="33886" xr:uid="{248E5396-E1F1-4A8C-A850-633F516B5BD4}"/>
    <cellStyle name="40% - Accent2 43" xfId="667" xr:uid="{00000000-0005-0000-0000-00004E020000}"/>
    <cellStyle name="40% - Accent2 43 2" xfId="33887" xr:uid="{D05334A4-0940-4911-BC31-CEC227C98B8A}"/>
    <cellStyle name="40% - Accent2 5" xfId="668" xr:uid="{00000000-0005-0000-0000-00004F020000}"/>
    <cellStyle name="40% - Accent2 5 2" xfId="33888" xr:uid="{8B43FD4F-BE44-445C-9EAA-65AAD706992A}"/>
    <cellStyle name="40% - Accent2 6" xfId="669" xr:uid="{00000000-0005-0000-0000-000050020000}"/>
    <cellStyle name="40% - Accent2 6 2" xfId="33889" xr:uid="{3AC98A72-4793-466C-BAE0-60354379971D}"/>
    <cellStyle name="40% - Accent2 7" xfId="670" xr:uid="{00000000-0005-0000-0000-000051020000}"/>
    <cellStyle name="40% - Accent2 7 2" xfId="33890" xr:uid="{1711667C-D877-4271-B1B0-62C2262AB346}"/>
    <cellStyle name="40% - Accent2 8" xfId="671" xr:uid="{00000000-0005-0000-0000-000052020000}"/>
    <cellStyle name="40% - Accent2 8 2" xfId="33891" xr:uid="{69C9822B-A9F6-4B99-A0A1-D75C224A6012}"/>
    <cellStyle name="40% - Accent2 9" xfId="672" xr:uid="{00000000-0005-0000-0000-000053020000}"/>
    <cellStyle name="40% - Accent2 9 2" xfId="9474" xr:uid="{00000000-0005-0000-0000-000054020000}"/>
    <cellStyle name="40% - Accent3 10" xfId="673" xr:uid="{00000000-0005-0000-0000-000055020000}"/>
    <cellStyle name="40% - Accent3 10 2" xfId="9475" xr:uid="{00000000-0005-0000-0000-000056020000}"/>
    <cellStyle name="40% - Accent3 11" xfId="674" xr:uid="{00000000-0005-0000-0000-000057020000}"/>
    <cellStyle name="40% - Accent3 11 2" xfId="9476" xr:uid="{00000000-0005-0000-0000-000058020000}"/>
    <cellStyle name="40% - Accent3 12" xfId="675" xr:uid="{00000000-0005-0000-0000-000059020000}"/>
    <cellStyle name="40% - Accent3 12 2" xfId="33892" xr:uid="{F78191E0-B5C9-46C2-8908-D29709B54C4C}"/>
    <cellStyle name="40% - Accent3 13" xfId="676" xr:uid="{00000000-0005-0000-0000-00005A020000}"/>
    <cellStyle name="40% - Accent3 13 2" xfId="33893" xr:uid="{364E2498-C755-4C3C-9530-720F7E61A00D}"/>
    <cellStyle name="40% - Accent3 14" xfId="677" xr:uid="{00000000-0005-0000-0000-00005B020000}"/>
    <cellStyle name="40% - Accent3 14 2" xfId="33894" xr:uid="{D67E6D3E-90A0-4812-83F9-21BBBB8BE634}"/>
    <cellStyle name="40% - Accent3 15" xfId="678" xr:uid="{00000000-0005-0000-0000-00005C020000}"/>
    <cellStyle name="40% - Accent3 15 2" xfId="33895" xr:uid="{28E40FA8-CEE8-4CC6-918A-14A7ECD010E6}"/>
    <cellStyle name="40% - Accent3 16" xfId="679" xr:uid="{00000000-0005-0000-0000-00005D020000}"/>
    <cellStyle name="40% - Accent3 16 2" xfId="33896" xr:uid="{24D52D43-7A46-4A8F-AE27-A0933A94B237}"/>
    <cellStyle name="40% - Accent3 17" xfId="680" xr:uid="{00000000-0005-0000-0000-00005E020000}"/>
    <cellStyle name="40% - Accent3 17 2" xfId="33897" xr:uid="{3B6CEAD8-8F0E-4F6D-BEA6-7930D23D8A7A}"/>
    <cellStyle name="40% - Accent3 18" xfId="681" xr:uid="{00000000-0005-0000-0000-00005F020000}"/>
    <cellStyle name="40% - Accent3 18 2" xfId="33898" xr:uid="{B0204FA9-C2C5-453E-BB73-4EDE0BD12660}"/>
    <cellStyle name="40% - Accent3 19" xfId="682" xr:uid="{00000000-0005-0000-0000-000060020000}"/>
    <cellStyle name="40% - Accent3 19 2" xfId="33899" xr:uid="{3EFA9D39-2858-49EA-8293-F23A4333D4AB}"/>
    <cellStyle name="40% - Accent3 2" xfId="25" xr:uid="{00000000-0005-0000-0000-000061020000}"/>
    <cellStyle name="40% - Accent3 2 10" xfId="3485" xr:uid="{00000000-0005-0000-0000-000062020000}"/>
    <cellStyle name="40% - Accent3 2 11" xfId="3486" xr:uid="{00000000-0005-0000-0000-000063020000}"/>
    <cellStyle name="40% - Accent3 2 12" xfId="3487" xr:uid="{00000000-0005-0000-0000-000064020000}"/>
    <cellStyle name="40% - Accent3 2 13" xfId="3488" xr:uid="{00000000-0005-0000-0000-000065020000}"/>
    <cellStyle name="40% - Accent3 2 14" xfId="3489" xr:uid="{00000000-0005-0000-0000-000066020000}"/>
    <cellStyle name="40% - Accent3 2 15" xfId="3490" xr:uid="{00000000-0005-0000-0000-000067020000}"/>
    <cellStyle name="40% - Accent3 2 16" xfId="9477" xr:uid="{00000000-0005-0000-0000-000068020000}"/>
    <cellStyle name="40% - Accent3 2 17" xfId="33900" xr:uid="{2D0CD7CD-99B0-4C36-8AAA-FBB2A9B9AA72}"/>
    <cellStyle name="40% - Accent3 2 2" xfId="3491" xr:uid="{00000000-0005-0000-0000-000069020000}"/>
    <cellStyle name="40% - Accent3 2 2 2" xfId="33902" xr:uid="{8CCEE3DE-3430-491C-A2B4-2380B599AB09}"/>
    <cellStyle name="40% - Accent3 2 2 3" xfId="33901" xr:uid="{C5144D44-1ABD-4AE7-ADDD-2104E6FFD1BA}"/>
    <cellStyle name="40% - Accent3 2 3" xfId="3492" xr:uid="{00000000-0005-0000-0000-00006A020000}"/>
    <cellStyle name="40% - Accent3 2 4" xfId="3493" xr:uid="{00000000-0005-0000-0000-00006B020000}"/>
    <cellStyle name="40% - Accent3 2 5" xfId="3494" xr:uid="{00000000-0005-0000-0000-00006C020000}"/>
    <cellStyle name="40% - Accent3 2 6" xfId="3495" xr:uid="{00000000-0005-0000-0000-00006D020000}"/>
    <cellStyle name="40% - Accent3 2 7" xfId="3496" xr:uid="{00000000-0005-0000-0000-00006E020000}"/>
    <cellStyle name="40% - Accent3 2 8" xfId="3497" xr:uid="{00000000-0005-0000-0000-00006F020000}"/>
    <cellStyle name="40% - Accent3 2 9" xfId="3498" xr:uid="{00000000-0005-0000-0000-000070020000}"/>
    <cellStyle name="40% - Accent3 20" xfId="683" xr:uid="{00000000-0005-0000-0000-000071020000}"/>
    <cellStyle name="40% - Accent3 20 2" xfId="33903" xr:uid="{DA825B71-FCD2-40CF-9C24-B963A045EEBD}"/>
    <cellStyle name="40% - Accent3 21" xfId="684" xr:uid="{00000000-0005-0000-0000-000072020000}"/>
    <cellStyle name="40% - Accent3 21 2" xfId="33904" xr:uid="{7FF85226-B5BF-4121-98AF-5F371C8D8587}"/>
    <cellStyle name="40% - Accent3 22" xfId="685" xr:uid="{00000000-0005-0000-0000-000073020000}"/>
    <cellStyle name="40% - Accent3 22 2" xfId="33905" xr:uid="{0145485B-A1D3-4057-BC9E-C1C0E02A4366}"/>
    <cellStyle name="40% - Accent3 23" xfId="686" xr:uid="{00000000-0005-0000-0000-000074020000}"/>
    <cellStyle name="40% - Accent3 23 2" xfId="33906" xr:uid="{BB888F16-4FE8-42E6-90A0-B55CAA3F6966}"/>
    <cellStyle name="40% - Accent3 24" xfId="687" xr:uid="{00000000-0005-0000-0000-000075020000}"/>
    <cellStyle name="40% - Accent3 24 2" xfId="33907" xr:uid="{684A8974-EE6D-4F7B-BF32-73A5D4EBA7F5}"/>
    <cellStyle name="40% - Accent3 25" xfId="688" xr:uid="{00000000-0005-0000-0000-000076020000}"/>
    <cellStyle name="40% - Accent3 25 2" xfId="33908" xr:uid="{C352766C-52F3-48F2-8DD8-77575BD0C34D}"/>
    <cellStyle name="40% - Accent3 26" xfId="689" xr:uid="{00000000-0005-0000-0000-000077020000}"/>
    <cellStyle name="40% - Accent3 26 2" xfId="33909" xr:uid="{2EEFEA77-A05A-4782-A1F3-6D321159D173}"/>
    <cellStyle name="40% - Accent3 27" xfId="690" xr:uid="{00000000-0005-0000-0000-000078020000}"/>
    <cellStyle name="40% - Accent3 27 2" xfId="33910" xr:uid="{A479E201-3F8A-4E63-80AB-F42DE38DB5E5}"/>
    <cellStyle name="40% - Accent3 28" xfId="691" xr:uid="{00000000-0005-0000-0000-000079020000}"/>
    <cellStyle name="40% - Accent3 28 2" xfId="33911" xr:uid="{09C99D00-9AE0-436D-AE4A-B54C5229F17B}"/>
    <cellStyle name="40% - Accent3 29" xfId="692" xr:uid="{00000000-0005-0000-0000-00007A020000}"/>
    <cellStyle name="40% - Accent3 29 2" xfId="33912" xr:uid="{98FC1EE8-C39D-43EE-B5A3-3CD757BA04CB}"/>
    <cellStyle name="40% - Accent3 3" xfId="26" xr:uid="{00000000-0005-0000-0000-00007B020000}"/>
    <cellStyle name="40% - Accent3 3 2" xfId="693" xr:uid="{00000000-0005-0000-0000-00007C020000}"/>
    <cellStyle name="40% - Accent3 3 2 2" xfId="9478" xr:uid="{00000000-0005-0000-0000-00007D020000}"/>
    <cellStyle name="40% - Accent3 3 3" xfId="3499" xr:uid="{00000000-0005-0000-0000-00007E020000}"/>
    <cellStyle name="40% - Accent3 3 3 2" xfId="33915" xr:uid="{567886B9-F82A-4F4B-80EE-635BB3D00D94}"/>
    <cellStyle name="40% - Accent3 3 3 3" xfId="33914" xr:uid="{92C5155C-3FC5-4BC2-9AB6-44EBE60AE8E7}"/>
    <cellStyle name="40% - Accent3 3 4" xfId="5727" xr:uid="{00000000-0005-0000-0000-00007F020000}"/>
    <cellStyle name="40% - Accent3 3 5" xfId="33913" xr:uid="{398B9445-C91F-494F-97C2-12958208203E}"/>
    <cellStyle name="40% - Accent3 30" xfId="694" xr:uid="{00000000-0005-0000-0000-000080020000}"/>
    <cellStyle name="40% - Accent3 30 2" xfId="33916" xr:uid="{19E8FB19-34BE-4334-9163-4D43961806B6}"/>
    <cellStyle name="40% - Accent3 31" xfId="695" xr:uid="{00000000-0005-0000-0000-000081020000}"/>
    <cellStyle name="40% - Accent3 31 2" xfId="33917" xr:uid="{A94AF758-9C2C-4D09-9248-E8B0FCC59F79}"/>
    <cellStyle name="40% - Accent3 32" xfId="696" xr:uid="{00000000-0005-0000-0000-000082020000}"/>
    <cellStyle name="40% - Accent3 32 2" xfId="33918" xr:uid="{5975DCF2-698C-4EEA-BB36-0E2AB02086C4}"/>
    <cellStyle name="40% - Accent3 33" xfId="697" xr:uid="{00000000-0005-0000-0000-000083020000}"/>
    <cellStyle name="40% - Accent3 33 2" xfId="33919" xr:uid="{A2CEF71D-A1AE-4C5D-886E-9359D7F3AC87}"/>
    <cellStyle name="40% - Accent3 34" xfId="698" xr:uid="{00000000-0005-0000-0000-000084020000}"/>
    <cellStyle name="40% - Accent3 34 2" xfId="33920" xr:uid="{D8049C2A-D2EB-4E2A-8DEA-E939977878EA}"/>
    <cellStyle name="40% - Accent3 35" xfId="699" xr:uid="{00000000-0005-0000-0000-000085020000}"/>
    <cellStyle name="40% - Accent3 35 2" xfId="33921" xr:uid="{5799DE98-4C62-4D46-8859-1D9E9D13F044}"/>
    <cellStyle name="40% - Accent3 36" xfId="700" xr:uid="{00000000-0005-0000-0000-000086020000}"/>
    <cellStyle name="40% - Accent3 36 2" xfId="33922" xr:uid="{4F232F6D-310C-4A51-8B66-17E0440ABFD7}"/>
    <cellStyle name="40% - Accent3 37" xfId="701" xr:uid="{00000000-0005-0000-0000-000087020000}"/>
    <cellStyle name="40% - Accent3 37 2" xfId="33923" xr:uid="{1B6768E1-DDCA-415E-821F-84D6BDD53D58}"/>
    <cellStyle name="40% - Accent3 38" xfId="702" xr:uid="{00000000-0005-0000-0000-000088020000}"/>
    <cellStyle name="40% - Accent3 38 2" xfId="33924" xr:uid="{F94813C4-5C05-4D62-B881-E3BA3C63C92E}"/>
    <cellStyle name="40% - Accent3 39" xfId="703" xr:uid="{00000000-0005-0000-0000-000089020000}"/>
    <cellStyle name="40% - Accent3 39 2" xfId="33925" xr:uid="{1ADD4C79-2D5B-4B63-A7B3-E4DD89BEC695}"/>
    <cellStyle name="40% - Accent3 4" xfId="704" xr:uid="{00000000-0005-0000-0000-00008A020000}"/>
    <cellStyle name="40% - Accent3 4 2" xfId="3500" xr:uid="{00000000-0005-0000-0000-00008B020000}"/>
    <cellStyle name="40% - Accent3 4 2 2" xfId="33927" xr:uid="{610357FE-056D-4A4A-9D75-4E43F6F044FF}"/>
    <cellStyle name="40% - Accent3 4 2 3" xfId="33926" xr:uid="{6488DEB9-2223-48B2-BA2E-05383F9335E0}"/>
    <cellStyle name="40% - Accent3 4 3" xfId="5852" xr:uid="{00000000-0005-0000-0000-00008C020000}"/>
    <cellStyle name="40% - Accent3 40" xfId="705" xr:uid="{00000000-0005-0000-0000-00008D020000}"/>
    <cellStyle name="40% - Accent3 40 2" xfId="33928" xr:uid="{DD76F5A3-0BD0-4B6C-B6B1-73E222413E73}"/>
    <cellStyle name="40% - Accent3 41" xfId="706" xr:uid="{00000000-0005-0000-0000-00008E020000}"/>
    <cellStyle name="40% - Accent3 41 2" xfId="33929" xr:uid="{22E800DF-0F10-4D52-98F3-E611049C3E7D}"/>
    <cellStyle name="40% - Accent3 42" xfId="707" xr:uid="{00000000-0005-0000-0000-00008F020000}"/>
    <cellStyle name="40% - Accent3 42 2" xfId="33930" xr:uid="{F247CBF5-865C-4F0C-9CEA-3CE2FAB11C0D}"/>
    <cellStyle name="40% - Accent3 43" xfId="708" xr:uid="{00000000-0005-0000-0000-000090020000}"/>
    <cellStyle name="40% - Accent3 43 2" xfId="33931" xr:uid="{7882F6BC-506C-4CD9-B95E-FB8E7647AE10}"/>
    <cellStyle name="40% - Accent3 5" xfId="709" xr:uid="{00000000-0005-0000-0000-000091020000}"/>
    <cellStyle name="40% - Accent3 5 2" xfId="3501" xr:uid="{00000000-0005-0000-0000-000092020000}"/>
    <cellStyle name="40% - Accent3 5 2 2" xfId="33933" xr:uid="{C2ECDAB8-941B-4EBD-981A-4A05F35140DD}"/>
    <cellStyle name="40% - Accent3 5 2 3" xfId="33932" xr:uid="{A514EE34-AB00-47E7-884C-81D2AD0060E0}"/>
    <cellStyle name="40% - Accent3 5 3" xfId="5853" xr:uid="{00000000-0005-0000-0000-000093020000}"/>
    <cellStyle name="40% - Accent3 6" xfId="710" xr:uid="{00000000-0005-0000-0000-000094020000}"/>
    <cellStyle name="40% - Accent3 6 2" xfId="3502" xr:uid="{00000000-0005-0000-0000-000095020000}"/>
    <cellStyle name="40% - Accent3 6 2 2" xfId="33935" xr:uid="{6A47DE20-A9DB-497D-A24D-172EF0E0D2FE}"/>
    <cellStyle name="40% - Accent3 6 2 3" xfId="33934" xr:uid="{9D2F75B7-7F26-4E1A-B6EA-692E03A004AC}"/>
    <cellStyle name="40% - Accent3 6 3" xfId="5854" xr:uid="{00000000-0005-0000-0000-000096020000}"/>
    <cellStyle name="40% - Accent3 7" xfId="711" xr:uid="{00000000-0005-0000-0000-000097020000}"/>
    <cellStyle name="40% - Accent3 7 2" xfId="3503" xr:uid="{00000000-0005-0000-0000-000098020000}"/>
    <cellStyle name="40% - Accent3 7 2 2" xfId="33937" xr:uid="{4D570825-5AD1-4180-ABE5-72C3A95BA1A2}"/>
    <cellStyle name="40% - Accent3 7 2 3" xfId="33936" xr:uid="{DF8E81C0-4A9A-42FE-9E9D-FB7543ED0A1D}"/>
    <cellStyle name="40% - Accent3 7 3" xfId="5855" xr:uid="{00000000-0005-0000-0000-000099020000}"/>
    <cellStyle name="40% - Accent3 8" xfId="712" xr:uid="{00000000-0005-0000-0000-00009A020000}"/>
    <cellStyle name="40% - Accent3 8 2" xfId="3504" xr:uid="{00000000-0005-0000-0000-00009B020000}"/>
    <cellStyle name="40% - Accent3 8 2 2" xfId="33939" xr:uid="{AE2E9EB3-5A98-4BF1-865F-849245F8F687}"/>
    <cellStyle name="40% - Accent3 8 2 3" xfId="33938" xr:uid="{DD854834-D617-45F3-AD25-FCACC5AA5C08}"/>
    <cellStyle name="40% - Accent3 8 3" xfId="5856" xr:uid="{00000000-0005-0000-0000-00009C020000}"/>
    <cellStyle name="40% - Accent3 9" xfId="713" xr:uid="{00000000-0005-0000-0000-00009D020000}"/>
    <cellStyle name="40% - Accent3 9 2" xfId="9479" xr:uid="{00000000-0005-0000-0000-00009E020000}"/>
    <cellStyle name="40% - Accent4 10" xfId="714" xr:uid="{00000000-0005-0000-0000-00009F020000}"/>
    <cellStyle name="40% - Accent4 10 2" xfId="9480" xr:uid="{00000000-0005-0000-0000-0000A0020000}"/>
    <cellStyle name="40% - Accent4 11" xfId="715" xr:uid="{00000000-0005-0000-0000-0000A1020000}"/>
    <cellStyle name="40% - Accent4 11 2" xfId="9481" xr:uid="{00000000-0005-0000-0000-0000A2020000}"/>
    <cellStyle name="40% - Accent4 12" xfId="716" xr:uid="{00000000-0005-0000-0000-0000A3020000}"/>
    <cellStyle name="40% - Accent4 12 2" xfId="33940" xr:uid="{7F4EDDC3-A05E-47DD-8076-4E7F16387C63}"/>
    <cellStyle name="40% - Accent4 13" xfId="717" xr:uid="{00000000-0005-0000-0000-0000A4020000}"/>
    <cellStyle name="40% - Accent4 13 2" xfId="33941" xr:uid="{2C3A504B-DE6D-48D0-8F77-947FE41CADB3}"/>
    <cellStyle name="40% - Accent4 14" xfId="718" xr:uid="{00000000-0005-0000-0000-0000A5020000}"/>
    <cellStyle name="40% - Accent4 14 2" xfId="33942" xr:uid="{39047CE4-DA17-4276-9A7C-4CA1E580907D}"/>
    <cellStyle name="40% - Accent4 15" xfId="719" xr:uid="{00000000-0005-0000-0000-0000A6020000}"/>
    <cellStyle name="40% - Accent4 15 2" xfId="33943" xr:uid="{D68F8AC4-8BBF-4895-AE49-18367B1A2362}"/>
    <cellStyle name="40% - Accent4 16" xfId="720" xr:uid="{00000000-0005-0000-0000-0000A7020000}"/>
    <cellStyle name="40% - Accent4 16 2" xfId="33944" xr:uid="{CC24E7C1-AA99-4CC8-BEA6-B03308A0D27C}"/>
    <cellStyle name="40% - Accent4 17" xfId="721" xr:uid="{00000000-0005-0000-0000-0000A8020000}"/>
    <cellStyle name="40% - Accent4 17 2" xfId="33945" xr:uid="{523F4AB1-004E-4B71-BFCB-714E356FC8AC}"/>
    <cellStyle name="40% - Accent4 18" xfId="722" xr:uid="{00000000-0005-0000-0000-0000A9020000}"/>
    <cellStyle name="40% - Accent4 18 2" xfId="33946" xr:uid="{EFD84929-6E6C-4F0A-BDE3-F2379A11B1FF}"/>
    <cellStyle name="40% - Accent4 19" xfId="723" xr:uid="{00000000-0005-0000-0000-0000AA020000}"/>
    <cellStyle name="40% - Accent4 19 2" xfId="33947" xr:uid="{798DEAD1-B3B3-4397-8915-9C28B14FE6A9}"/>
    <cellStyle name="40% - Accent4 2" xfId="27" xr:uid="{00000000-0005-0000-0000-0000AB020000}"/>
    <cellStyle name="40% - Accent4 2 10" xfId="3505" xr:uid="{00000000-0005-0000-0000-0000AC020000}"/>
    <cellStyle name="40% - Accent4 2 11" xfId="3506" xr:uid="{00000000-0005-0000-0000-0000AD020000}"/>
    <cellStyle name="40% - Accent4 2 12" xfId="3507" xr:uid="{00000000-0005-0000-0000-0000AE020000}"/>
    <cellStyle name="40% - Accent4 2 13" xfId="3508" xr:uid="{00000000-0005-0000-0000-0000AF020000}"/>
    <cellStyle name="40% - Accent4 2 14" xfId="3509" xr:uid="{00000000-0005-0000-0000-0000B0020000}"/>
    <cellStyle name="40% - Accent4 2 15" xfId="3510" xr:uid="{00000000-0005-0000-0000-0000B1020000}"/>
    <cellStyle name="40% - Accent4 2 16" xfId="9482" xr:uid="{00000000-0005-0000-0000-0000B2020000}"/>
    <cellStyle name="40% - Accent4 2 17" xfId="33948" xr:uid="{984240AC-D542-4C37-9BD6-27E5020F5283}"/>
    <cellStyle name="40% - Accent4 2 2" xfId="3511" xr:uid="{00000000-0005-0000-0000-0000B3020000}"/>
    <cellStyle name="40% - Accent4 2 2 2" xfId="33950" xr:uid="{BC02002A-B445-4148-AA0E-F9D14A667E77}"/>
    <cellStyle name="40% - Accent4 2 2 3" xfId="33949" xr:uid="{7E09FE7E-5070-47B6-95BC-FB284ACDADCA}"/>
    <cellStyle name="40% - Accent4 2 3" xfId="3512" xr:uid="{00000000-0005-0000-0000-0000B4020000}"/>
    <cellStyle name="40% - Accent4 2 4" xfId="3513" xr:uid="{00000000-0005-0000-0000-0000B5020000}"/>
    <cellStyle name="40% - Accent4 2 5" xfId="3514" xr:uid="{00000000-0005-0000-0000-0000B6020000}"/>
    <cellStyle name="40% - Accent4 2 6" xfId="3515" xr:uid="{00000000-0005-0000-0000-0000B7020000}"/>
    <cellStyle name="40% - Accent4 2 7" xfId="3516" xr:uid="{00000000-0005-0000-0000-0000B8020000}"/>
    <cellStyle name="40% - Accent4 2 8" xfId="3517" xr:uid="{00000000-0005-0000-0000-0000B9020000}"/>
    <cellStyle name="40% - Accent4 2 9" xfId="3518" xr:uid="{00000000-0005-0000-0000-0000BA020000}"/>
    <cellStyle name="40% - Accent4 20" xfId="724" xr:uid="{00000000-0005-0000-0000-0000BB020000}"/>
    <cellStyle name="40% - Accent4 20 2" xfId="33951" xr:uid="{0A9D3283-E3BD-42FA-AB5C-5BB10BB8E4A5}"/>
    <cellStyle name="40% - Accent4 21" xfId="725" xr:uid="{00000000-0005-0000-0000-0000BC020000}"/>
    <cellStyle name="40% - Accent4 21 2" xfId="33952" xr:uid="{06190663-F418-4244-9150-E16EE82F5FFC}"/>
    <cellStyle name="40% - Accent4 22" xfId="726" xr:uid="{00000000-0005-0000-0000-0000BD020000}"/>
    <cellStyle name="40% - Accent4 22 2" xfId="33953" xr:uid="{1D9AD620-CB4D-4BA8-A9A8-943DF074CFDA}"/>
    <cellStyle name="40% - Accent4 23" xfId="727" xr:uid="{00000000-0005-0000-0000-0000BE020000}"/>
    <cellStyle name="40% - Accent4 23 2" xfId="33954" xr:uid="{7E85EC63-0E8C-44AF-979D-57069BBDB98F}"/>
    <cellStyle name="40% - Accent4 24" xfId="728" xr:uid="{00000000-0005-0000-0000-0000BF020000}"/>
    <cellStyle name="40% - Accent4 24 2" xfId="33955" xr:uid="{51AD51CE-EC4E-4CBC-86C4-E6CAB6D0C4AA}"/>
    <cellStyle name="40% - Accent4 25" xfId="729" xr:uid="{00000000-0005-0000-0000-0000C0020000}"/>
    <cellStyle name="40% - Accent4 25 2" xfId="33956" xr:uid="{1E51F940-6ED0-4367-8B58-B683A624DD64}"/>
    <cellStyle name="40% - Accent4 26" xfId="730" xr:uid="{00000000-0005-0000-0000-0000C1020000}"/>
    <cellStyle name="40% - Accent4 26 2" xfId="33957" xr:uid="{9708FB52-329C-4F83-8C59-442D46BA033E}"/>
    <cellStyle name="40% - Accent4 27" xfId="731" xr:uid="{00000000-0005-0000-0000-0000C2020000}"/>
    <cellStyle name="40% - Accent4 27 2" xfId="33958" xr:uid="{56A16785-2882-4E1C-B71F-F2A2305DE556}"/>
    <cellStyle name="40% - Accent4 28" xfId="732" xr:uid="{00000000-0005-0000-0000-0000C3020000}"/>
    <cellStyle name="40% - Accent4 28 2" xfId="33959" xr:uid="{9D08F4BC-CBB9-4CF9-A1B4-0E3419F936A7}"/>
    <cellStyle name="40% - Accent4 29" xfId="733" xr:uid="{00000000-0005-0000-0000-0000C4020000}"/>
    <cellStyle name="40% - Accent4 29 2" xfId="33960" xr:uid="{B62A104E-9E1B-4D29-8A26-0873676B610F}"/>
    <cellStyle name="40% - Accent4 3" xfId="28" xr:uid="{00000000-0005-0000-0000-0000C5020000}"/>
    <cellStyle name="40% - Accent4 3 2" xfId="734" xr:uid="{00000000-0005-0000-0000-0000C6020000}"/>
    <cellStyle name="40% - Accent4 3 2 2" xfId="9483" xr:uid="{00000000-0005-0000-0000-0000C7020000}"/>
    <cellStyle name="40% - Accent4 3 3" xfId="3519" xr:uid="{00000000-0005-0000-0000-0000C8020000}"/>
    <cellStyle name="40% - Accent4 3 3 2" xfId="33963" xr:uid="{02EA47CD-32A5-460D-AC52-51ED48337730}"/>
    <cellStyle name="40% - Accent4 3 3 3" xfId="33962" xr:uid="{2575AEED-112D-4E61-9E18-878F93136ADF}"/>
    <cellStyle name="40% - Accent4 3 4" xfId="5728" xr:uid="{00000000-0005-0000-0000-0000C9020000}"/>
    <cellStyle name="40% - Accent4 3 5" xfId="33961" xr:uid="{4A23CE4A-CA25-41FB-8995-583F9D1B67C0}"/>
    <cellStyle name="40% - Accent4 30" xfId="735" xr:uid="{00000000-0005-0000-0000-0000CA020000}"/>
    <cellStyle name="40% - Accent4 30 2" xfId="33964" xr:uid="{A3C798AF-D9FE-469C-86CB-2DA9A906D0BA}"/>
    <cellStyle name="40% - Accent4 31" xfId="736" xr:uid="{00000000-0005-0000-0000-0000CB020000}"/>
    <cellStyle name="40% - Accent4 31 2" xfId="33965" xr:uid="{BD8E02A4-2DB7-4661-993E-23922A7C7C64}"/>
    <cellStyle name="40% - Accent4 32" xfId="737" xr:uid="{00000000-0005-0000-0000-0000CC020000}"/>
    <cellStyle name="40% - Accent4 32 2" xfId="33966" xr:uid="{C1CD64E5-A0A6-464D-A17C-650BC9F92A3C}"/>
    <cellStyle name="40% - Accent4 33" xfId="738" xr:uid="{00000000-0005-0000-0000-0000CD020000}"/>
    <cellStyle name="40% - Accent4 33 2" xfId="33967" xr:uid="{7739384C-749A-4F99-BE66-F24466343E62}"/>
    <cellStyle name="40% - Accent4 34" xfId="739" xr:uid="{00000000-0005-0000-0000-0000CE020000}"/>
    <cellStyle name="40% - Accent4 34 2" xfId="33968" xr:uid="{4B74F399-DD39-4229-BBF7-CEFB711F2148}"/>
    <cellStyle name="40% - Accent4 35" xfId="740" xr:uid="{00000000-0005-0000-0000-0000CF020000}"/>
    <cellStyle name="40% - Accent4 35 2" xfId="33969" xr:uid="{3A46B4EA-130B-40D6-B666-160DE38B8DCD}"/>
    <cellStyle name="40% - Accent4 36" xfId="741" xr:uid="{00000000-0005-0000-0000-0000D0020000}"/>
    <cellStyle name="40% - Accent4 36 2" xfId="33970" xr:uid="{66B07412-C60B-4C40-A5DE-A048D2F1F9E2}"/>
    <cellStyle name="40% - Accent4 37" xfId="742" xr:uid="{00000000-0005-0000-0000-0000D1020000}"/>
    <cellStyle name="40% - Accent4 37 2" xfId="33971" xr:uid="{5A60704F-C7CE-4EB0-A6E0-3EE5DBD4BD1F}"/>
    <cellStyle name="40% - Accent4 38" xfId="743" xr:uid="{00000000-0005-0000-0000-0000D2020000}"/>
    <cellStyle name="40% - Accent4 38 2" xfId="33972" xr:uid="{FF5FC3F7-BEDB-4A8E-B58A-D900E63EB3A8}"/>
    <cellStyle name="40% - Accent4 39" xfId="744" xr:uid="{00000000-0005-0000-0000-0000D3020000}"/>
    <cellStyle name="40% - Accent4 39 2" xfId="33973" xr:uid="{33CA03A4-ED51-4928-9831-B817F1A782A9}"/>
    <cellStyle name="40% - Accent4 4" xfId="745" xr:uid="{00000000-0005-0000-0000-0000D4020000}"/>
    <cellStyle name="40% - Accent4 4 2" xfId="3520" xr:uid="{00000000-0005-0000-0000-0000D5020000}"/>
    <cellStyle name="40% - Accent4 4 2 2" xfId="33975" xr:uid="{75F9CACF-58A1-47EE-BD9A-5EC5EDCCD4D8}"/>
    <cellStyle name="40% - Accent4 4 2 3" xfId="33974" xr:uid="{43340F2A-D4FD-4C5B-94DB-B0D85AE92887}"/>
    <cellStyle name="40% - Accent4 4 3" xfId="5857" xr:uid="{00000000-0005-0000-0000-0000D6020000}"/>
    <cellStyle name="40% - Accent4 40" xfId="746" xr:uid="{00000000-0005-0000-0000-0000D7020000}"/>
    <cellStyle name="40% - Accent4 40 2" xfId="33976" xr:uid="{D73D22FC-E2B8-4EF8-AD4D-EC4773509238}"/>
    <cellStyle name="40% - Accent4 41" xfId="747" xr:uid="{00000000-0005-0000-0000-0000D8020000}"/>
    <cellStyle name="40% - Accent4 41 2" xfId="33977" xr:uid="{76DFD886-2C4C-428E-88CF-739DCDA02B2C}"/>
    <cellStyle name="40% - Accent4 42" xfId="748" xr:uid="{00000000-0005-0000-0000-0000D9020000}"/>
    <cellStyle name="40% - Accent4 42 2" xfId="33978" xr:uid="{AF375748-F5D0-476A-9E2D-D191AB846755}"/>
    <cellStyle name="40% - Accent4 43" xfId="749" xr:uid="{00000000-0005-0000-0000-0000DA020000}"/>
    <cellStyle name="40% - Accent4 43 2" xfId="33979" xr:uid="{8F2A7321-75BB-40CC-9987-18AD7839CDD0}"/>
    <cellStyle name="40% - Accent4 5" xfId="750" xr:uid="{00000000-0005-0000-0000-0000DB020000}"/>
    <cellStyle name="40% - Accent4 5 2" xfId="3521" xr:uid="{00000000-0005-0000-0000-0000DC020000}"/>
    <cellStyle name="40% - Accent4 5 2 2" xfId="33981" xr:uid="{F77AA115-A681-4313-B6C9-C19BEF1B51D6}"/>
    <cellStyle name="40% - Accent4 5 2 3" xfId="33980" xr:uid="{C61CF1FA-17BE-4D2B-8ACE-BB7312DC249B}"/>
    <cellStyle name="40% - Accent4 5 3" xfId="5858" xr:uid="{00000000-0005-0000-0000-0000DD020000}"/>
    <cellStyle name="40% - Accent4 6" xfId="751" xr:uid="{00000000-0005-0000-0000-0000DE020000}"/>
    <cellStyle name="40% - Accent4 6 2" xfId="3522" xr:uid="{00000000-0005-0000-0000-0000DF020000}"/>
    <cellStyle name="40% - Accent4 6 2 2" xfId="33983" xr:uid="{55B13A6F-EADC-401E-819E-08671B6126E8}"/>
    <cellStyle name="40% - Accent4 6 2 3" xfId="33982" xr:uid="{5B5FFDCB-9254-4323-8ABA-19B1511DA43F}"/>
    <cellStyle name="40% - Accent4 6 3" xfId="5859" xr:uid="{00000000-0005-0000-0000-0000E0020000}"/>
    <cellStyle name="40% - Accent4 7" xfId="752" xr:uid="{00000000-0005-0000-0000-0000E1020000}"/>
    <cellStyle name="40% - Accent4 7 2" xfId="3523" xr:uid="{00000000-0005-0000-0000-0000E2020000}"/>
    <cellStyle name="40% - Accent4 7 2 2" xfId="33985" xr:uid="{C69AC87D-3F47-44A4-81E4-FC6C655652D3}"/>
    <cellStyle name="40% - Accent4 7 2 3" xfId="33984" xr:uid="{9D09167F-951F-43C6-8236-5661E81B21A1}"/>
    <cellStyle name="40% - Accent4 7 3" xfId="5860" xr:uid="{00000000-0005-0000-0000-0000E3020000}"/>
    <cellStyle name="40% - Accent4 8" xfId="753" xr:uid="{00000000-0005-0000-0000-0000E4020000}"/>
    <cellStyle name="40% - Accent4 8 2" xfId="3524" xr:uid="{00000000-0005-0000-0000-0000E5020000}"/>
    <cellStyle name="40% - Accent4 8 2 2" xfId="33987" xr:uid="{EC4F2075-445B-4D46-B6A1-CCE704924AEF}"/>
    <cellStyle name="40% - Accent4 8 2 3" xfId="33986" xr:uid="{3D1AA2F6-FD4E-4FEB-8E8E-65E2DE37A7D6}"/>
    <cellStyle name="40% - Accent4 8 3" xfId="5861" xr:uid="{00000000-0005-0000-0000-0000E6020000}"/>
    <cellStyle name="40% - Accent4 9" xfId="754" xr:uid="{00000000-0005-0000-0000-0000E7020000}"/>
    <cellStyle name="40% - Accent4 9 2" xfId="9484" xr:uid="{00000000-0005-0000-0000-0000E8020000}"/>
    <cellStyle name="40% - Accent5 10" xfId="755" xr:uid="{00000000-0005-0000-0000-0000E9020000}"/>
    <cellStyle name="40% - Accent5 10 2" xfId="9485" xr:uid="{00000000-0005-0000-0000-0000EA020000}"/>
    <cellStyle name="40% - Accent5 11" xfId="756" xr:uid="{00000000-0005-0000-0000-0000EB020000}"/>
    <cellStyle name="40% - Accent5 11 2" xfId="9486" xr:uid="{00000000-0005-0000-0000-0000EC020000}"/>
    <cellStyle name="40% - Accent5 12" xfId="757" xr:uid="{00000000-0005-0000-0000-0000ED020000}"/>
    <cellStyle name="40% - Accent5 12 2" xfId="33988" xr:uid="{169ED875-E656-4C5B-8C87-E4F57AD2CD5E}"/>
    <cellStyle name="40% - Accent5 13" xfId="758" xr:uid="{00000000-0005-0000-0000-0000EE020000}"/>
    <cellStyle name="40% - Accent5 13 2" xfId="33989" xr:uid="{28BE1718-EAEF-4B98-A33D-C604836519AD}"/>
    <cellStyle name="40% - Accent5 14" xfId="759" xr:uid="{00000000-0005-0000-0000-0000EF020000}"/>
    <cellStyle name="40% - Accent5 14 2" xfId="33990" xr:uid="{923F2EB9-B8F9-4E64-8816-3FDF17619785}"/>
    <cellStyle name="40% - Accent5 15" xfId="760" xr:uid="{00000000-0005-0000-0000-0000F0020000}"/>
    <cellStyle name="40% - Accent5 15 2" xfId="33991" xr:uid="{8F1C2A87-A867-4B43-9840-E9AD546A4677}"/>
    <cellStyle name="40% - Accent5 16" xfId="761" xr:uid="{00000000-0005-0000-0000-0000F1020000}"/>
    <cellStyle name="40% - Accent5 16 2" xfId="33992" xr:uid="{F118A524-D6DC-4607-A228-30B3AB47EB71}"/>
    <cellStyle name="40% - Accent5 17" xfId="762" xr:uid="{00000000-0005-0000-0000-0000F2020000}"/>
    <cellStyle name="40% - Accent5 17 2" xfId="33993" xr:uid="{EFC4C820-C08E-4864-9B3C-B95492767518}"/>
    <cellStyle name="40% - Accent5 18" xfId="763" xr:uid="{00000000-0005-0000-0000-0000F3020000}"/>
    <cellStyle name="40% - Accent5 18 2" xfId="33994" xr:uid="{B59B203E-3598-4449-970D-C4C2ABEDA7AC}"/>
    <cellStyle name="40% - Accent5 19" xfId="764" xr:uid="{00000000-0005-0000-0000-0000F4020000}"/>
    <cellStyle name="40% - Accent5 19 2" xfId="33995" xr:uid="{8A678424-5D9E-44D3-9433-BFBC16BE2626}"/>
    <cellStyle name="40% - Accent5 2" xfId="29" xr:uid="{00000000-0005-0000-0000-0000F5020000}"/>
    <cellStyle name="40% - Accent5 2 10" xfId="3525" xr:uid="{00000000-0005-0000-0000-0000F6020000}"/>
    <cellStyle name="40% - Accent5 2 11" xfId="3526" xr:uid="{00000000-0005-0000-0000-0000F7020000}"/>
    <cellStyle name="40% - Accent5 2 12" xfId="3527" xr:uid="{00000000-0005-0000-0000-0000F8020000}"/>
    <cellStyle name="40% - Accent5 2 13" xfId="3528" xr:uid="{00000000-0005-0000-0000-0000F9020000}"/>
    <cellStyle name="40% - Accent5 2 14" xfId="3529" xr:uid="{00000000-0005-0000-0000-0000FA020000}"/>
    <cellStyle name="40% - Accent5 2 15" xfId="3530" xr:uid="{00000000-0005-0000-0000-0000FB020000}"/>
    <cellStyle name="40% - Accent5 2 16" xfId="9487" xr:uid="{00000000-0005-0000-0000-0000FC020000}"/>
    <cellStyle name="40% - Accent5 2 17" xfId="33996" xr:uid="{0268F5C6-FAE3-47DA-AB80-BBA0DEF70827}"/>
    <cellStyle name="40% - Accent5 2 2" xfId="3531" xr:uid="{00000000-0005-0000-0000-0000FD020000}"/>
    <cellStyle name="40% - Accent5 2 2 2" xfId="33998" xr:uid="{F06BC1FC-DBE8-4315-959F-0271B036364F}"/>
    <cellStyle name="40% - Accent5 2 2 3" xfId="33997" xr:uid="{9A343CD8-643D-43F8-A65A-CB56C86AB5A7}"/>
    <cellStyle name="40% - Accent5 2 3" xfId="3532" xr:uid="{00000000-0005-0000-0000-0000FE020000}"/>
    <cellStyle name="40% - Accent5 2 4" xfId="3533" xr:uid="{00000000-0005-0000-0000-0000FF020000}"/>
    <cellStyle name="40% - Accent5 2 5" xfId="3534" xr:uid="{00000000-0005-0000-0000-000000030000}"/>
    <cellStyle name="40% - Accent5 2 6" xfId="3535" xr:uid="{00000000-0005-0000-0000-000001030000}"/>
    <cellStyle name="40% - Accent5 2 7" xfId="3536" xr:uid="{00000000-0005-0000-0000-000002030000}"/>
    <cellStyle name="40% - Accent5 2 8" xfId="3537" xr:uid="{00000000-0005-0000-0000-000003030000}"/>
    <cellStyle name="40% - Accent5 2 9" xfId="3538" xr:uid="{00000000-0005-0000-0000-000004030000}"/>
    <cellStyle name="40% - Accent5 20" xfId="765" xr:uid="{00000000-0005-0000-0000-000005030000}"/>
    <cellStyle name="40% - Accent5 20 2" xfId="33999" xr:uid="{80FB51DB-8A8D-4D36-9AFA-FD42462BFF9C}"/>
    <cellStyle name="40% - Accent5 21" xfId="766" xr:uid="{00000000-0005-0000-0000-000006030000}"/>
    <cellStyle name="40% - Accent5 21 2" xfId="34000" xr:uid="{90EC39AB-3059-4111-92CB-16E76745BE39}"/>
    <cellStyle name="40% - Accent5 22" xfId="767" xr:uid="{00000000-0005-0000-0000-000007030000}"/>
    <cellStyle name="40% - Accent5 22 2" xfId="34001" xr:uid="{E48EC6DB-B940-403B-ACB2-05227867D56E}"/>
    <cellStyle name="40% - Accent5 23" xfId="768" xr:uid="{00000000-0005-0000-0000-000008030000}"/>
    <cellStyle name="40% - Accent5 23 2" xfId="34002" xr:uid="{8BF85C29-817E-45D8-8F14-686037F37A85}"/>
    <cellStyle name="40% - Accent5 24" xfId="769" xr:uid="{00000000-0005-0000-0000-000009030000}"/>
    <cellStyle name="40% - Accent5 24 2" xfId="34003" xr:uid="{BF78C773-D8C1-4F9E-A3EA-12A6FD758C8C}"/>
    <cellStyle name="40% - Accent5 25" xfId="770" xr:uid="{00000000-0005-0000-0000-00000A030000}"/>
    <cellStyle name="40% - Accent5 25 2" xfId="34004" xr:uid="{E5F8DBC6-D485-492A-8B7B-C4E8D44F1C9F}"/>
    <cellStyle name="40% - Accent5 26" xfId="771" xr:uid="{00000000-0005-0000-0000-00000B030000}"/>
    <cellStyle name="40% - Accent5 26 2" xfId="34005" xr:uid="{4BCACE08-F6C0-4FFC-92F2-BB90D430BF4C}"/>
    <cellStyle name="40% - Accent5 27" xfId="772" xr:uid="{00000000-0005-0000-0000-00000C030000}"/>
    <cellStyle name="40% - Accent5 27 2" xfId="34006" xr:uid="{22AD6C1E-5441-44BF-8C9C-248D7D3C10C0}"/>
    <cellStyle name="40% - Accent5 28" xfId="773" xr:uid="{00000000-0005-0000-0000-00000D030000}"/>
    <cellStyle name="40% - Accent5 28 2" xfId="34007" xr:uid="{D2BBD44D-9636-4BBA-9E6A-840ED1F504B4}"/>
    <cellStyle name="40% - Accent5 29" xfId="774" xr:uid="{00000000-0005-0000-0000-00000E030000}"/>
    <cellStyle name="40% - Accent5 29 2" xfId="34008" xr:uid="{AD8CDE37-C233-48F1-B2F9-11FE500B6D15}"/>
    <cellStyle name="40% - Accent5 3" xfId="30" xr:uid="{00000000-0005-0000-0000-00000F030000}"/>
    <cellStyle name="40% - Accent5 3 2" xfId="775" xr:uid="{00000000-0005-0000-0000-000010030000}"/>
    <cellStyle name="40% - Accent5 3 2 2" xfId="9488" xr:uid="{00000000-0005-0000-0000-000011030000}"/>
    <cellStyle name="40% - Accent5 3 3" xfId="3539" xr:uid="{00000000-0005-0000-0000-000012030000}"/>
    <cellStyle name="40% - Accent5 3 3 2" xfId="34011" xr:uid="{3A5C8688-5893-4F54-9733-6CB21114D33E}"/>
    <cellStyle name="40% - Accent5 3 3 3" xfId="34010" xr:uid="{F564070D-7519-455D-B6B1-7EEE5C916E4A}"/>
    <cellStyle name="40% - Accent5 3 4" xfId="5729" xr:uid="{00000000-0005-0000-0000-000013030000}"/>
    <cellStyle name="40% - Accent5 3 5" xfId="34009" xr:uid="{C7619A47-0005-473E-BDBE-0F183F07B5B4}"/>
    <cellStyle name="40% - Accent5 30" xfId="776" xr:uid="{00000000-0005-0000-0000-000014030000}"/>
    <cellStyle name="40% - Accent5 30 2" xfId="34012" xr:uid="{392D2CD2-6C0F-4BE6-AC7E-871EF6851C91}"/>
    <cellStyle name="40% - Accent5 31" xfId="777" xr:uid="{00000000-0005-0000-0000-000015030000}"/>
    <cellStyle name="40% - Accent5 31 2" xfId="34013" xr:uid="{12B0E3E9-CC80-4357-B0EF-0F4EE561B935}"/>
    <cellStyle name="40% - Accent5 32" xfId="778" xr:uid="{00000000-0005-0000-0000-000016030000}"/>
    <cellStyle name="40% - Accent5 32 2" xfId="34014" xr:uid="{B643E5E2-14D8-4E7B-9703-A62E427B1088}"/>
    <cellStyle name="40% - Accent5 33" xfId="779" xr:uid="{00000000-0005-0000-0000-000017030000}"/>
    <cellStyle name="40% - Accent5 33 2" xfId="34015" xr:uid="{D1D0B831-77E4-482C-834B-966417ACE847}"/>
    <cellStyle name="40% - Accent5 34" xfId="780" xr:uid="{00000000-0005-0000-0000-000018030000}"/>
    <cellStyle name="40% - Accent5 34 2" xfId="34016" xr:uid="{FF080CA4-D996-4272-A5E4-F571A8E54AD6}"/>
    <cellStyle name="40% - Accent5 35" xfId="781" xr:uid="{00000000-0005-0000-0000-000019030000}"/>
    <cellStyle name="40% - Accent5 35 2" xfId="34017" xr:uid="{25B266A0-A6DA-4401-80ED-5A1B5C0D55AD}"/>
    <cellStyle name="40% - Accent5 36" xfId="782" xr:uid="{00000000-0005-0000-0000-00001A030000}"/>
    <cellStyle name="40% - Accent5 36 2" xfId="34018" xr:uid="{311A993A-F518-4E8B-B519-8CE93E943106}"/>
    <cellStyle name="40% - Accent5 37" xfId="783" xr:uid="{00000000-0005-0000-0000-00001B030000}"/>
    <cellStyle name="40% - Accent5 37 2" xfId="34019" xr:uid="{57FA9036-B000-4A73-96D1-5C17503D0CE2}"/>
    <cellStyle name="40% - Accent5 38" xfId="784" xr:uid="{00000000-0005-0000-0000-00001C030000}"/>
    <cellStyle name="40% - Accent5 38 2" xfId="34020" xr:uid="{CE2A7861-64BD-4D66-8F4E-D38A79EAAE88}"/>
    <cellStyle name="40% - Accent5 39" xfId="785" xr:uid="{00000000-0005-0000-0000-00001D030000}"/>
    <cellStyle name="40% - Accent5 39 2" xfId="34021" xr:uid="{EDB2BD7A-0F43-4895-99C5-02366BE6A9DC}"/>
    <cellStyle name="40% - Accent5 4" xfId="786" xr:uid="{00000000-0005-0000-0000-00001E030000}"/>
    <cellStyle name="40% - Accent5 4 2" xfId="3540" xr:uid="{00000000-0005-0000-0000-00001F030000}"/>
    <cellStyle name="40% - Accent5 4 2 2" xfId="34023" xr:uid="{BCA4923F-1CBC-4065-8DC6-43C2AC8B4891}"/>
    <cellStyle name="40% - Accent5 4 2 3" xfId="34022" xr:uid="{478EFF43-1314-4543-BA7D-5005266CFF41}"/>
    <cellStyle name="40% - Accent5 4 3" xfId="5862" xr:uid="{00000000-0005-0000-0000-000020030000}"/>
    <cellStyle name="40% - Accent5 40" xfId="787" xr:uid="{00000000-0005-0000-0000-000021030000}"/>
    <cellStyle name="40% - Accent5 40 2" xfId="34024" xr:uid="{2C664A2B-32E9-4AF0-8B33-B1A8D95A63F7}"/>
    <cellStyle name="40% - Accent5 41" xfId="788" xr:uid="{00000000-0005-0000-0000-000022030000}"/>
    <cellStyle name="40% - Accent5 41 2" xfId="34025" xr:uid="{8C402221-A7C0-4766-B75B-4484BC671405}"/>
    <cellStyle name="40% - Accent5 42" xfId="789" xr:uid="{00000000-0005-0000-0000-000023030000}"/>
    <cellStyle name="40% - Accent5 42 2" xfId="34026" xr:uid="{27E08E12-E3DE-4C8E-AD7E-A299C48ED385}"/>
    <cellStyle name="40% - Accent5 43" xfId="790" xr:uid="{00000000-0005-0000-0000-000024030000}"/>
    <cellStyle name="40% - Accent5 43 2" xfId="34027" xr:uid="{BF791824-3C72-42C9-8E57-945EDF508288}"/>
    <cellStyle name="40% - Accent5 5" xfId="791" xr:uid="{00000000-0005-0000-0000-000025030000}"/>
    <cellStyle name="40% - Accent5 5 2" xfId="3541" xr:uid="{00000000-0005-0000-0000-000026030000}"/>
    <cellStyle name="40% - Accent5 5 2 2" xfId="34029" xr:uid="{B710CDC0-ED3D-4227-971E-72FE55FC867C}"/>
    <cellStyle name="40% - Accent5 5 2 3" xfId="34028" xr:uid="{AE5CC5F2-CA6C-4174-9E91-6491E89FE1B3}"/>
    <cellStyle name="40% - Accent5 5 3" xfId="5863" xr:uid="{00000000-0005-0000-0000-000027030000}"/>
    <cellStyle name="40% - Accent5 6" xfId="792" xr:uid="{00000000-0005-0000-0000-000028030000}"/>
    <cellStyle name="40% - Accent5 6 2" xfId="3542" xr:uid="{00000000-0005-0000-0000-000029030000}"/>
    <cellStyle name="40% - Accent5 6 2 2" xfId="34031" xr:uid="{E37F1418-B9B4-40C6-A0A0-AF2109CCECD3}"/>
    <cellStyle name="40% - Accent5 6 2 3" xfId="34030" xr:uid="{013B7D56-02CA-48C4-ACB4-2C7E0CA7E025}"/>
    <cellStyle name="40% - Accent5 6 3" xfId="5864" xr:uid="{00000000-0005-0000-0000-00002A030000}"/>
    <cellStyle name="40% - Accent5 7" xfId="793" xr:uid="{00000000-0005-0000-0000-00002B030000}"/>
    <cellStyle name="40% - Accent5 7 2" xfId="3543" xr:uid="{00000000-0005-0000-0000-00002C030000}"/>
    <cellStyle name="40% - Accent5 7 2 2" xfId="34033" xr:uid="{45E06F1C-1599-46DC-8112-B974BFEB9224}"/>
    <cellStyle name="40% - Accent5 7 2 3" xfId="34032" xr:uid="{C69970ED-54E2-468F-8E50-A3944A4A6B3C}"/>
    <cellStyle name="40% - Accent5 7 3" xfId="5865" xr:uid="{00000000-0005-0000-0000-00002D030000}"/>
    <cellStyle name="40% - Accent5 8" xfId="794" xr:uid="{00000000-0005-0000-0000-00002E030000}"/>
    <cellStyle name="40% - Accent5 8 2" xfId="3544" xr:uid="{00000000-0005-0000-0000-00002F030000}"/>
    <cellStyle name="40% - Accent5 8 2 2" xfId="34035" xr:uid="{2C634254-D7FE-4A24-A22D-92EAA898AEA5}"/>
    <cellStyle name="40% - Accent5 8 2 3" xfId="34034" xr:uid="{816849D7-6822-4B48-90F4-08D46C9C34F1}"/>
    <cellStyle name="40% - Accent5 8 3" xfId="5866" xr:uid="{00000000-0005-0000-0000-000030030000}"/>
    <cellStyle name="40% - Accent5 9" xfId="795" xr:uid="{00000000-0005-0000-0000-000031030000}"/>
    <cellStyle name="40% - Accent5 9 2" xfId="9489" xr:uid="{00000000-0005-0000-0000-000032030000}"/>
    <cellStyle name="40% - Accent6 10" xfId="796" xr:uid="{00000000-0005-0000-0000-000033030000}"/>
    <cellStyle name="40% - Accent6 10 2" xfId="9490" xr:uid="{00000000-0005-0000-0000-000034030000}"/>
    <cellStyle name="40% - Accent6 11" xfId="797" xr:uid="{00000000-0005-0000-0000-000035030000}"/>
    <cellStyle name="40% - Accent6 11 2" xfId="9491" xr:uid="{00000000-0005-0000-0000-000036030000}"/>
    <cellStyle name="40% - Accent6 12" xfId="798" xr:uid="{00000000-0005-0000-0000-000037030000}"/>
    <cellStyle name="40% - Accent6 12 2" xfId="34036" xr:uid="{3B97BD0F-D85B-4058-8882-C247CEB7D6C1}"/>
    <cellStyle name="40% - Accent6 13" xfId="799" xr:uid="{00000000-0005-0000-0000-000038030000}"/>
    <cellStyle name="40% - Accent6 13 2" xfId="34037" xr:uid="{46B3C5A3-46B0-4A0A-A39F-B89B1634BDD2}"/>
    <cellStyle name="40% - Accent6 14" xfId="800" xr:uid="{00000000-0005-0000-0000-000039030000}"/>
    <cellStyle name="40% - Accent6 14 2" xfId="34038" xr:uid="{77F65CD3-D868-4B49-A005-DD6B607CE416}"/>
    <cellStyle name="40% - Accent6 15" xfId="801" xr:uid="{00000000-0005-0000-0000-00003A030000}"/>
    <cellStyle name="40% - Accent6 15 2" xfId="34039" xr:uid="{BCDC1378-ACA3-4D6F-A5EA-5E566103B00A}"/>
    <cellStyle name="40% - Accent6 16" xfId="802" xr:uid="{00000000-0005-0000-0000-00003B030000}"/>
    <cellStyle name="40% - Accent6 16 2" xfId="34040" xr:uid="{EE663D7F-EC0C-4BC0-8A06-205409922833}"/>
    <cellStyle name="40% - Accent6 17" xfId="803" xr:uid="{00000000-0005-0000-0000-00003C030000}"/>
    <cellStyle name="40% - Accent6 17 2" xfId="34041" xr:uid="{1BA9E4A7-5CAA-4B2A-8737-655460A24558}"/>
    <cellStyle name="40% - Accent6 18" xfId="804" xr:uid="{00000000-0005-0000-0000-00003D030000}"/>
    <cellStyle name="40% - Accent6 18 2" xfId="34042" xr:uid="{4702D5AE-A938-4F8B-B812-3AE4166A100C}"/>
    <cellStyle name="40% - Accent6 19" xfId="805" xr:uid="{00000000-0005-0000-0000-00003E030000}"/>
    <cellStyle name="40% - Accent6 19 2" xfId="34043" xr:uid="{2E20690B-7724-416A-BA9C-06C340AC8737}"/>
    <cellStyle name="40% - Accent6 2" xfId="31" xr:uid="{00000000-0005-0000-0000-00003F030000}"/>
    <cellStyle name="40% - Accent6 2 10" xfId="3545" xr:uid="{00000000-0005-0000-0000-000040030000}"/>
    <cellStyle name="40% - Accent6 2 11" xfId="3546" xr:uid="{00000000-0005-0000-0000-000041030000}"/>
    <cellStyle name="40% - Accent6 2 12" xfId="3547" xr:uid="{00000000-0005-0000-0000-000042030000}"/>
    <cellStyle name="40% - Accent6 2 13" xfId="3548" xr:uid="{00000000-0005-0000-0000-000043030000}"/>
    <cellStyle name="40% - Accent6 2 14" xfId="3549" xr:uid="{00000000-0005-0000-0000-000044030000}"/>
    <cellStyle name="40% - Accent6 2 15" xfId="3550" xr:uid="{00000000-0005-0000-0000-000045030000}"/>
    <cellStyle name="40% - Accent6 2 16" xfId="9492" xr:uid="{00000000-0005-0000-0000-000046030000}"/>
    <cellStyle name="40% - Accent6 2 17" xfId="34044" xr:uid="{BD91654B-C4CA-4D01-9789-9E65FABB23A0}"/>
    <cellStyle name="40% - Accent6 2 2" xfId="3551" xr:uid="{00000000-0005-0000-0000-000047030000}"/>
    <cellStyle name="40% - Accent6 2 2 2" xfId="34046" xr:uid="{03B62A59-7660-4539-991D-D4013CBED6EB}"/>
    <cellStyle name="40% - Accent6 2 2 3" xfId="34045" xr:uid="{9E4BFC80-CB2D-4D11-B27E-1649EE33DF82}"/>
    <cellStyle name="40% - Accent6 2 3" xfId="3552" xr:uid="{00000000-0005-0000-0000-000048030000}"/>
    <cellStyle name="40% - Accent6 2 4" xfId="3553" xr:uid="{00000000-0005-0000-0000-000049030000}"/>
    <cellStyle name="40% - Accent6 2 5" xfId="3554" xr:uid="{00000000-0005-0000-0000-00004A030000}"/>
    <cellStyle name="40% - Accent6 2 6" xfId="3555" xr:uid="{00000000-0005-0000-0000-00004B030000}"/>
    <cellStyle name="40% - Accent6 2 7" xfId="3556" xr:uid="{00000000-0005-0000-0000-00004C030000}"/>
    <cellStyle name="40% - Accent6 2 8" xfId="3557" xr:uid="{00000000-0005-0000-0000-00004D030000}"/>
    <cellStyle name="40% - Accent6 2 9" xfId="3558" xr:uid="{00000000-0005-0000-0000-00004E030000}"/>
    <cellStyle name="40% - Accent6 20" xfId="806" xr:uid="{00000000-0005-0000-0000-00004F030000}"/>
    <cellStyle name="40% - Accent6 20 2" xfId="34047" xr:uid="{7A3A658B-8967-4204-9FD2-98852CB06B32}"/>
    <cellStyle name="40% - Accent6 21" xfId="807" xr:uid="{00000000-0005-0000-0000-000050030000}"/>
    <cellStyle name="40% - Accent6 21 2" xfId="34048" xr:uid="{BD86D58A-C2BE-4507-BA69-D440AEB0AA2A}"/>
    <cellStyle name="40% - Accent6 22" xfId="808" xr:uid="{00000000-0005-0000-0000-000051030000}"/>
    <cellStyle name="40% - Accent6 22 2" xfId="34049" xr:uid="{A070B7ED-C480-4F65-874D-18BDAF7BAAA1}"/>
    <cellStyle name="40% - Accent6 23" xfId="809" xr:uid="{00000000-0005-0000-0000-000052030000}"/>
    <cellStyle name="40% - Accent6 23 2" xfId="34050" xr:uid="{05CCF526-DAE4-4850-909B-B939AF16F969}"/>
    <cellStyle name="40% - Accent6 24" xfId="810" xr:uid="{00000000-0005-0000-0000-000053030000}"/>
    <cellStyle name="40% - Accent6 24 2" xfId="34051" xr:uid="{AC14318D-5ADE-46D0-9BBE-A0E8AEEC4F60}"/>
    <cellStyle name="40% - Accent6 25" xfId="811" xr:uid="{00000000-0005-0000-0000-000054030000}"/>
    <cellStyle name="40% - Accent6 25 2" xfId="34052" xr:uid="{BFD6DC04-B0E1-4628-8BBB-C629EEB1C93E}"/>
    <cellStyle name="40% - Accent6 26" xfId="812" xr:uid="{00000000-0005-0000-0000-000055030000}"/>
    <cellStyle name="40% - Accent6 26 2" xfId="34053" xr:uid="{2099B390-FFDB-4589-ADC5-3B6300FC74F9}"/>
    <cellStyle name="40% - Accent6 27" xfId="813" xr:uid="{00000000-0005-0000-0000-000056030000}"/>
    <cellStyle name="40% - Accent6 27 2" xfId="34054" xr:uid="{F5CED024-F33A-4174-A845-866FDA7B8274}"/>
    <cellStyle name="40% - Accent6 28" xfId="814" xr:uid="{00000000-0005-0000-0000-000057030000}"/>
    <cellStyle name="40% - Accent6 28 2" xfId="34055" xr:uid="{F83C8D4D-130E-4C00-9E83-56277A2A3948}"/>
    <cellStyle name="40% - Accent6 29" xfId="815" xr:uid="{00000000-0005-0000-0000-000058030000}"/>
    <cellStyle name="40% - Accent6 29 2" xfId="34056" xr:uid="{3BE341F7-5DF8-491F-AEA3-2378E4160415}"/>
    <cellStyle name="40% - Accent6 3" xfId="32" xr:uid="{00000000-0005-0000-0000-000059030000}"/>
    <cellStyle name="40% - Accent6 3 2" xfId="816" xr:uid="{00000000-0005-0000-0000-00005A030000}"/>
    <cellStyle name="40% - Accent6 3 2 2" xfId="9493" xr:uid="{00000000-0005-0000-0000-00005B030000}"/>
    <cellStyle name="40% - Accent6 3 3" xfId="3559" xr:uid="{00000000-0005-0000-0000-00005C030000}"/>
    <cellStyle name="40% - Accent6 3 3 2" xfId="34059" xr:uid="{612B7934-5296-4F25-A843-0E13EE882897}"/>
    <cellStyle name="40% - Accent6 3 3 3" xfId="34058" xr:uid="{1C1163F9-EDF3-4F4D-BC85-C35F95A7B92B}"/>
    <cellStyle name="40% - Accent6 3 4" xfId="5730" xr:uid="{00000000-0005-0000-0000-00005D030000}"/>
    <cellStyle name="40% - Accent6 3 5" xfId="34057" xr:uid="{BF01A061-43AD-46D4-9CE5-96C0DFFB12A6}"/>
    <cellStyle name="40% - Accent6 30" xfId="817" xr:uid="{00000000-0005-0000-0000-00005E030000}"/>
    <cellStyle name="40% - Accent6 30 2" xfId="34060" xr:uid="{5837A7CD-99B7-42A3-B87D-49076E661996}"/>
    <cellStyle name="40% - Accent6 31" xfId="818" xr:uid="{00000000-0005-0000-0000-00005F030000}"/>
    <cellStyle name="40% - Accent6 31 2" xfId="34061" xr:uid="{3511E349-AC8E-45FB-8470-B5246AF0EE93}"/>
    <cellStyle name="40% - Accent6 32" xfId="819" xr:uid="{00000000-0005-0000-0000-000060030000}"/>
    <cellStyle name="40% - Accent6 32 2" xfId="34062" xr:uid="{816A3231-096E-4116-B317-DAD20E8BE3A4}"/>
    <cellStyle name="40% - Accent6 33" xfId="820" xr:uid="{00000000-0005-0000-0000-000061030000}"/>
    <cellStyle name="40% - Accent6 33 2" xfId="34063" xr:uid="{B00B2E69-127D-4056-A0C7-EF20308243BF}"/>
    <cellStyle name="40% - Accent6 34" xfId="821" xr:uid="{00000000-0005-0000-0000-000062030000}"/>
    <cellStyle name="40% - Accent6 34 2" xfId="34064" xr:uid="{F86CA15C-BADC-4293-9067-08C51366BA26}"/>
    <cellStyle name="40% - Accent6 35" xfId="822" xr:uid="{00000000-0005-0000-0000-000063030000}"/>
    <cellStyle name="40% - Accent6 35 2" xfId="34065" xr:uid="{78400F5F-45E4-44F3-BA00-4D90AE1C09C0}"/>
    <cellStyle name="40% - Accent6 36" xfId="823" xr:uid="{00000000-0005-0000-0000-000064030000}"/>
    <cellStyle name="40% - Accent6 36 2" xfId="34066" xr:uid="{3121E4C7-ACEF-4218-85DD-725B4A904274}"/>
    <cellStyle name="40% - Accent6 37" xfId="824" xr:uid="{00000000-0005-0000-0000-000065030000}"/>
    <cellStyle name="40% - Accent6 37 2" xfId="34067" xr:uid="{0FCD39B5-FE79-414C-84DE-7C4113A5554A}"/>
    <cellStyle name="40% - Accent6 38" xfId="825" xr:uid="{00000000-0005-0000-0000-000066030000}"/>
    <cellStyle name="40% - Accent6 38 2" xfId="34068" xr:uid="{6ECEA20D-2E6A-4362-9CD4-00DE200CE8CB}"/>
    <cellStyle name="40% - Accent6 39" xfId="826" xr:uid="{00000000-0005-0000-0000-000067030000}"/>
    <cellStyle name="40% - Accent6 39 2" xfId="34069" xr:uid="{348206AD-750D-4157-A859-3A6833C37CB2}"/>
    <cellStyle name="40% - Accent6 4" xfId="827" xr:uid="{00000000-0005-0000-0000-000068030000}"/>
    <cellStyle name="40% - Accent6 4 2" xfId="3560" xr:uid="{00000000-0005-0000-0000-000069030000}"/>
    <cellStyle name="40% - Accent6 4 2 2" xfId="34071" xr:uid="{BBB7FBF8-D29B-4065-8D2D-656B0811C427}"/>
    <cellStyle name="40% - Accent6 4 2 3" xfId="34070" xr:uid="{4E209074-9B89-4711-9526-06F1228AD54F}"/>
    <cellStyle name="40% - Accent6 4 3" xfId="5867" xr:uid="{00000000-0005-0000-0000-00006A030000}"/>
    <cellStyle name="40% - Accent6 40" xfId="828" xr:uid="{00000000-0005-0000-0000-00006B030000}"/>
    <cellStyle name="40% - Accent6 40 2" xfId="34072" xr:uid="{D1C3F85B-A82C-4607-BCF1-397837AAC535}"/>
    <cellStyle name="40% - Accent6 41" xfId="829" xr:uid="{00000000-0005-0000-0000-00006C030000}"/>
    <cellStyle name="40% - Accent6 41 2" xfId="34073" xr:uid="{EB66E895-E9E0-49A5-83FF-0487DA239A0D}"/>
    <cellStyle name="40% - Accent6 42" xfId="830" xr:uid="{00000000-0005-0000-0000-00006D030000}"/>
    <cellStyle name="40% - Accent6 42 2" xfId="34074" xr:uid="{30E03946-1E6C-49C0-814B-3A772B397804}"/>
    <cellStyle name="40% - Accent6 43" xfId="831" xr:uid="{00000000-0005-0000-0000-00006E030000}"/>
    <cellStyle name="40% - Accent6 43 2" xfId="34075" xr:uid="{DEAA05AC-3429-48AB-BEC7-7D17594A0759}"/>
    <cellStyle name="40% - Accent6 5" xfId="832" xr:uid="{00000000-0005-0000-0000-00006F030000}"/>
    <cellStyle name="40% - Accent6 5 2" xfId="3561" xr:uid="{00000000-0005-0000-0000-000070030000}"/>
    <cellStyle name="40% - Accent6 5 2 2" xfId="34077" xr:uid="{0690E077-5ABD-44B3-AF77-E2EE5142F19E}"/>
    <cellStyle name="40% - Accent6 5 2 3" xfId="34076" xr:uid="{29BAB5C2-FC9F-4EE3-A530-F12E8FBA1C7B}"/>
    <cellStyle name="40% - Accent6 5 3" xfId="5868" xr:uid="{00000000-0005-0000-0000-000071030000}"/>
    <cellStyle name="40% - Accent6 6" xfId="833" xr:uid="{00000000-0005-0000-0000-000072030000}"/>
    <cellStyle name="40% - Accent6 6 2" xfId="3562" xr:uid="{00000000-0005-0000-0000-000073030000}"/>
    <cellStyle name="40% - Accent6 6 2 2" xfId="34079" xr:uid="{AB8D12A7-94BC-4AED-AAE2-255E8F6BE3CF}"/>
    <cellStyle name="40% - Accent6 6 2 3" xfId="34078" xr:uid="{7768089A-D9E4-4EF9-90E3-425961A16C3A}"/>
    <cellStyle name="40% - Accent6 6 3" xfId="5869" xr:uid="{00000000-0005-0000-0000-000074030000}"/>
    <cellStyle name="40% - Accent6 7" xfId="834" xr:uid="{00000000-0005-0000-0000-000075030000}"/>
    <cellStyle name="40% - Accent6 7 2" xfId="3563" xr:uid="{00000000-0005-0000-0000-000076030000}"/>
    <cellStyle name="40% - Accent6 7 2 2" xfId="34081" xr:uid="{4A5B2651-B65E-4BDD-B9B1-EA54861E67E0}"/>
    <cellStyle name="40% - Accent6 7 2 3" xfId="34080" xr:uid="{CCE343DB-9CFF-41FA-9F3C-8A2D2D1CA942}"/>
    <cellStyle name="40% - Accent6 7 3" xfId="5870" xr:uid="{00000000-0005-0000-0000-000077030000}"/>
    <cellStyle name="40% - Accent6 8" xfId="835" xr:uid="{00000000-0005-0000-0000-000078030000}"/>
    <cellStyle name="40% - Accent6 8 2" xfId="3564" xr:uid="{00000000-0005-0000-0000-000079030000}"/>
    <cellStyle name="40% - Accent6 8 2 2" xfId="34083" xr:uid="{B292E264-9755-48B5-9AB5-67216F3DD484}"/>
    <cellStyle name="40% - Accent6 8 2 3" xfId="34082" xr:uid="{CA4EDADF-B443-4E00-A911-7404D58E7166}"/>
    <cellStyle name="40% - Accent6 8 3" xfId="5871" xr:uid="{00000000-0005-0000-0000-00007A030000}"/>
    <cellStyle name="40% - Accent6 9" xfId="836" xr:uid="{00000000-0005-0000-0000-00007B030000}"/>
    <cellStyle name="40% - Accent6 9 2" xfId="9494" xr:uid="{00000000-0005-0000-0000-00007C030000}"/>
    <cellStyle name="40% - Akzent1" xfId="837" xr:uid="{00000000-0005-0000-0000-00007D030000}"/>
    <cellStyle name="40% - Akzent2" xfId="838" xr:uid="{00000000-0005-0000-0000-00007E030000}"/>
    <cellStyle name="40% - Akzent3" xfId="839" xr:uid="{00000000-0005-0000-0000-00007F030000}"/>
    <cellStyle name="40% - Akzent4" xfId="840" xr:uid="{00000000-0005-0000-0000-000080030000}"/>
    <cellStyle name="40% - Akzent5" xfId="841" xr:uid="{00000000-0005-0000-0000-000081030000}"/>
    <cellStyle name="40% - Akzent6" xfId="842" xr:uid="{00000000-0005-0000-0000-000082030000}"/>
    <cellStyle name="5x indented GHG Textfiels" xfId="843" xr:uid="{00000000-0005-0000-0000-000083030000}"/>
    <cellStyle name="5x indented GHG Textfiels 2" xfId="34084" xr:uid="{8B13003F-F527-48F4-8848-71323AAB78B6}"/>
    <cellStyle name="5x indented GHG Textfiels 2 2" xfId="34085" xr:uid="{78ACA490-AAFC-499A-970B-3F77EBCC8C0B}"/>
    <cellStyle name="5x indented GHG Textfiels 3" xfId="34086" xr:uid="{E73EEA20-845A-485A-B9DD-F977E9DDC046}"/>
    <cellStyle name="5x indented GHG Textfiels 3 2" xfId="34087" xr:uid="{87BD446F-0B67-42B3-AEC2-99E46B7D33C7}"/>
    <cellStyle name="5x indented GHG Textfiels 3 3" xfId="34088" xr:uid="{B732D4EC-F231-4D12-A5FA-67232C3F1C00}"/>
    <cellStyle name="5x indented GHG Textfiels 3 3 2" xfId="34089" xr:uid="{674A5504-7AD2-48D7-9078-408450B4D38B}"/>
    <cellStyle name="5x indented GHG Textfiels 3 3 2 2" xfId="34090" xr:uid="{FEF8BF52-D0FE-4245-BF2C-D4B6D99007FC}"/>
    <cellStyle name="5x indented GHG Textfiels 3 3 3" xfId="34091" xr:uid="{ED8C511C-B9CA-4B67-A773-E0CFF7C1A5CB}"/>
    <cellStyle name="5x indented GHG Textfiels 3 3 3 2" xfId="34092" xr:uid="{FF994A90-BC13-49A6-B39B-76869D28B3A9}"/>
    <cellStyle name="5x indented GHG Textfiels 3 3 4" xfId="34093" xr:uid="{7E4412C5-6322-45FF-AA0C-746402E112BD}"/>
    <cellStyle name="5x indented GHG Textfiels 3 3 4 2" xfId="34094" xr:uid="{2EE4EEF2-9DF0-4842-A6AB-1A14953D299B}"/>
    <cellStyle name="5x indented GHG Textfiels 3 3 5" xfId="34095" xr:uid="{A8A03E0A-8B2B-4EA0-99A5-F2D850FD8969}"/>
    <cellStyle name="5x indented GHG Textfiels_Table 4(II)" xfId="34096" xr:uid="{3D16AD4A-1E62-4DA4-B4D0-02901F6236B9}"/>
    <cellStyle name="60 % - Akzent1 2" xfId="34097" xr:uid="{F0F1896F-6E9E-4D0B-A6DA-3B96CF1AA767}"/>
    <cellStyle name="60 % - Akzent1 3" xfId="34098" xr:uid="{E65EE7FC-15D8-4710-88C9-264ED6916A51}"/>
    <cellStyle name="60 % - Akzent2 2" xfId="34099" xr:uid="{DA30C4A9-3951-4649-B59E-B3D0E853A06B}"/>
    <cellStyle name="60 % - Akzent2 3" xfId="34100" xr:uid="{3E7CF42F-B7EE-470B-A8A4-A6F530BD8209}"/>
    <cellStyle name="60 % - Akzent3 2" xfId="34101" xr:uid="{02A8BD0A-9D3C-4D03-A4AA-100A6E578A22}"/>
    <cellStyle name="60 % - Akzent3 3" xfId="34102" xr:uid="{63A6E8DC-606C-41F3-A1EA-EBD7FF3BE071}"/>
    <cellStyle name="60 % - Akzent4 2" xfId="34103" xr:uid="{967CF6C0-29CB-4F31-901A-D04E8B707C01}"/>
    <cellStyle name="60 % - Akzent4 3" xfId="34104" xr:uid="{E234E81F-9E59-4419-A50E-EDA9C81431A5}"/>
    <cellStyle name="60 % - Akzent5 2" xfId="34105" xr:uid="{8CCB5A75-AB37-4B19-902F-E3F45FE70D61}"/>
    <cellStyle name="60 % - Akzent5 3" xfId="34106" xr:uid="{54CAA5AE-82BE-4331-B4E1-AFD2373F8181}"/>
    <cellStyle name="60 % - Akzent6 2" xfId="34107" xr:uid="{D8CE74DF-4FBE-4EFB-85B9-1F9A7685951D}"/>
    <cellStyle name="60 % - Akzent6 3" xfId="34108" xr:uid="{28A86087-3FC8-4E02-9DE8-881E19BF47A7}"/>
    <cellStyle name="60% - Accent1 10" xfId="844" xr:uid="{00000000-0005-0000-0000-000084030000}"/>
    <cellStyle name="60% - Accent1 11" xfId="845" xr:uid="{00000000-0005-0000-0000-000085030000}"/>
    <cellStyle name="60% - Accent1 12" xfId="846" xr:uid="{00000000-0005-0000-0000-000086030000}"/>
    <cellStyle name="60% - Accent1 13" xfId="847" xr:uid="{00000000-0005-0000-0000-000087030000}"/>
    <cellStyle name="60% - Accent1 14" xfId="848" xr:uid="{00000000-0005-0000-0000-000088030000}"/>
    <cellStyle name="60% - Accent1 15" xfId="849" xr:uid="{00000000-0005-0000-0000-000089030000}"/>
    <cellStyle name="60% - Accent1 16" xfId="850" xr:uid="{00000000-0005-0000-0000-00008A030000}"/>
    <cellStyle name="60% - Accent1 17" xfId="851" xr:uid="{00000000-0005-0000-0000-00008B030000}"/>
    <cellStyle name="60% - Accent1 18" xfId="852" xr:uid="{00000000-0005-0000-0000-00008C030000}"/>
    <cellStyle name="60% - Accent1 19" xfId="853" xr:uid="{00000000-0005-0000-0000-00008D030000}"/>
    <cellStyle name="60% - Accent1 2" xfId="33" xr:uid="{00000000-0005-0000-0000-00008E030000}"/>
    <cellStyle name="60% - Accent1 2 10" xfId="3565" xr:uid="{00000000-0005-0000-0000-00008F030000}"/>
    <cellStyle name="60% - Accent1 2 11" xfId="9495" xr:uid="{00000000-0005-0000-0000-000090030000}"/>
    <cellStyle name="60% - Accent1 2 12" xfId="34109" xr:uid="{E201D521-8659-4063-8F7C-A0D956B34A0C}"/>
    <cellStyle name="60% - Accent1 2 2" xfId="3566" xr:uid="{00000000-0005-0000-0000-000091030000}"/>
    <cellStyle name="60% - Accent1 2 2 2" xfId="34111" xr:uid="{755574AB-8487-46FB-87AE-60C38935399C}"/>
    <cellStyle name="60% - Accent1 2 2 3" xfId="34110" xr:uid="{0B134875-DD25-4227-BD79-3F4D6B8F0966}"/>
    <cellStyle name="60% - Accent1 2 3" xfId="3567" xr:uid="{00000000-0005-0000-0000-000092030000}"/>
    <cellStyle name="60% - Accent1 2 4" xfId="3568" xr:uid="{00000000-0005-0000-0000-000093030000}"/>
    <cellStyle name="60% - Accent1 2 5" xfId="3569" xr:uid="{00000000-0005-0000-0000-000094030000}"/>
    <cellStyle name="60% - Accent1 2 6" xfId="3570" xr:uid="{00000000-0005-0000-0000-000095030000}"/>
    <cellStyle name="60% - Accent1 2 7" xfId="3571" xr:uid="{00000000-0005-0000-0000-000096030000}"/>
    <cellStyle name="60% - Accent1 2 8" xfId="3572" xr:uid="{00000000-0005-0000-0000-000097030000}"/>
    <cellStyle name="60% - Accent1 2 9" xfId="3573" xr:uid="{00000000-0005-0000-0000-000098030000}"/>
    <cellStyle name="60% - Accent1 20" xfId="854" xr:uid="{00000000-0005-0000-0000-000099030000}"/>
    <cellStyle name="60% - Accent1 21" xfId="855" xr:uid="{00000000-0005-0000-0000-00009A030000}"/>
    <cellStyle name="60% - Accent1 22" xfId="856" xr:uid="{00000000-0005-0000-0000-00009B030000}"/>
    <cellStyle name="60% - Accent1 23" xfId="857" xr:uid="{00000000-0005-0000-0000-00009C030000}"/>
    <cellStyle name="60% - Accent1 24" xfId="858" xr:uid="{00000000-0005-0000-0000-00009D030000}"/>
    <cellStyle name="60% - Accent1 25" xfId="859" xr:uid="{00000000-0005-0000-0000-00009E030000}"/>
    <cellStyle name="60% - Accent1 26" xfId="860" xr:uid="{00000000-0005-0000-0000-00009F030000}"/>
    <cellStyle name="60% - Accent1 27" xfId="861" xr:uid="{00000000-0005-0000-0000-0000A0030000}"/>
    <cellStyle name="60% - Accent1 28" xfId="862" xr:uid="{00000000-0005-0000-0000-0000A1030000}"/>
    <cellStyle name="60% - Accent1 29" xfId="863" xr:uid="{00000000-0005-0000-0000-0000A2030000}"/>
    <cellStyle name="60% - Accent1 3" xfId="34" xr:uid="{00000000-0005-0000-0000-0000A3030000}"/>
    <cellStyle name="60% - Accent1 3 2" xfId="864" xr:uid="{00000000-0005-0000-0000-0000A4030000}"/>
    <cellStyle name="60% - Accent1 3 2 2" xfId="9496" xr:uid="{00000000-0005-0000-0000-0000A5030000}"/>
    <cellStyle name="60% - Accent1 3 3" xfId="3574" xr:uid="{00000000-0005-0000-0000-0000A6030000}"/>
    <cellStyle name="60% - Accent1 3 4" xfId="5731" xr:uid="{00000000-0005-0000-0000-0000A7030000}"/>
    <cellStyle name="60% - Accent1 3 5" xfId="34112" xr:uid="{9ACF7DE4-702E-4BDA-BD59-5D35B22CA9D6}"/>
    <cellStyle name="60% - Accent1 30" xfId="865" xr:uid="{00000000-0005-0000-0000-0000A8030000}"/>
    <cellStyle name="60% - Accent1 31" xfId="866" xr:uid="{00000000-0005-0000-0000-0000A9030000}"/>
    <cellStyle name="60% - Accent1 32" xfId="867" xr:uid="{00000000-0005-0000-0000-0000AA030000}"/>
    <cellStyle name="60% - Accent1 33" xfId="868" xr:uid="{00000000-0005-0000-0000-0000AB030000}"/>
    <cellStyle name="60% - Accent1 34" xfId="869" xr:uid="{00000000-0005-0000-0000-0000AC030000}"/>
    <cellStyle name="60% - Accent1 35" xfId="870" xr:uid="{00000000-0005-0000-0000-0000AD030000}"/>
    <cellStyle name="60% - Accent1 36" xfId="871" xr:uid="{00000000-0005-0000-0000-0000AE030000}"/>
    <cellStyle name="60% - Accent1 37" xfId="872" xr:uid="{00000000-0005-0000-0000-0000AF030000}"/>
    <cellStyle name="60% - Accent1 38" xfId="873" xr:uid="{00000000-0005-0000-0000-0000B0030000}"/>
    <cellStyle name="60% - Accent1 39" xfId="874" xr:uid="{00000000-0005-0000-0000-0000B1030000}"/>
    <cellStyle name="60% - Accent1 4" xfId="875" xr:uid="{00000000-0005-0000-0000-0000B2030000}"/>
    <cellStyle name="60% - Accent1 4 2" xfId="9497" xr:uid="{00000000-0005-0000-0000-0000B3030000}"/>
    <cellStyle name="60% - Accent1 40" xfId="876" xr:uid="{00000000-0005-0000-0000-0000B4030000}"/>
    <cellStyle name="60% - Accent1 41" xfId="877" xr:uid="{00000000-0005-0000-0000-0000B5030000}"/>
    <cellStyle name="60% - Accent1 42" xfId="878" xr:uid="{00000000-0005-0000-0000-0000B6030000}"/>
    <cellStyle name="60% - Accent1 43" xfId="879" xr:uid="{00000000-0005-0000-0000-0000B7030000}"/>
    <cellStyle name="60% - Accent1 5" xfId="880" xr:uid="{00000000-0005-0000-0000-0000B8030000}"/>
    <cellStyle name="60% - Accent1 5 2" xfId="9498" xr:uid="{00000000-0005-0000-0000-0000B9030000}"/>
    <cellStyle name="60% - Accent1 6" xfId="881" xr:uid="{00000000-0005-0000-0000-0000BA030000}"/>
    <cellStyle name="60% - Accent1 6 2" xfId="9499" xr:uid="{00000000-0005-0000-0000-0000BB030000}"/>
    <cellStyle name="60% - Accent1 7" xfId="882" xr:uid="{00000000-0005-0000-0000-0000BC030000}"/>
    <cellStyle name="60% - Accent1 8" xfId="883" xr:uid="{00000000-0005-0000-0000-0000BD030000}"/>
    <cellStyle name="60% - Accent1 9" xfId="884" xr:uid="{00000000-0005-0000-0000-0000BE030000}"/>
    <cellStyle name="60% - Accent2 10" xfId="885" xr:uid="{00000000-0005-0000-0000-0000BF030000}"/>
    <cellStyle name="60% - Accent2 11" xfId="886" xr:uid="{00000000-0005-0000-0000-0000C0030000}"/>
    <cellStyle name="60% - Accent2 12" xfId="887" xr:uid="{00000000-0005-0000-0000-0000C1030000}"/>
    <cellStyle name="60% - Accent2 13" xfId="888" xr:uid="{00000000-0005-0000-0000-0000C2030000}"/>
    <cellStyle name="60% - Accent2 14" xfId="889" xr:uid="{00000000-0005-0000-0000-0000C3030000}"/>
    <cellStyle name="60% - Accent2 15" xfId="890" xr:uid="{00000000-0005-0000-0000-0000C4030000}"/>
    <cellStyle name="60% - Accent2 16" xfId="891" xr:uid="{00000000-0005-0000-0000-0000C5030000}"/>
    <cellStyle name="60% - Accent2 17" xfId="892" xr:uid="{00000000-0005-0000-0000-0000C6030000}"/>
    <cellStyle name="60% - Accent2 18" xfId="893" xr:uid="{00000000-0005-0000-0000-0000C7030000}"/>
    <cellStyle name="60% - Accent2 19" xfId="894" xr:uid="{00000000-0005-0000-0000-0000C8030000}"/>
    <cellStyle name="60% - Accent2 2" xfId="35" xr:uid="{00000000-0005-0000-0000-0000C9030000}"/>
    <cellStyle name="60% - Accent2 2 10" xfId="3575" xr:uid="{00000000-0005-0000-0000-0000CA030000}"/>
    <cellStyle name="60% - Accent2 2 11" xfId="9500" xr:uid="{00000000-0005-0000-0000-0000CB030000}"/>
    <cellStyle name="60% - Accent2 2 12" xfId="34113" xr:uid="{FE471379-6F5D-405C-AF8F-08BCD87FDA76}"/>
    <cellStyle name="60% - Accent2 2 2" xfId="3576" xr:uid="{00000000-0005-0000-0000-0000CC030000}"/>
    <cellStyle name="60% - Accent2 2 2 2" xfId="34115" xr:uid="{5DEB98B5-14C6-4117-81AC-FEECD5BA8E71}"/>
    <cellStyle name="60% - Accent2 2 2 3" xfId="34114" xr:uid="{4F4E893F-CFDB-4F8B-984D-51C206C15CC9}"/>
    <cellStyle name="60% - Accent2 2 3" xfId="3577" xr:uid="{00000000-0005-0000-0000-0000CD030000}"/>
    <cellStyle name="60% - Accent2 2 4" xfId="3578" xr:uid="{00000000-0005-0000-0000-0000CE030000}"/>
    <cellStyle name="60% - Accent2 2 5" xfId="3579" xr:uid="{00000000-0005-0000-0000-0000CF030000}"/>
    <cellStyle name="60% - Accent2 2 6" xfId="3580" xr:uid="{00000000-0005-0000-0000-0000D0030000}"/>
    <cellStyle name="60% - Accent2 2 7" xfId="3581" xr:uid="{00000000-0005-0000-0000-0000D1030000}"/>
    <cellStyle name="60% - Accent2 2 8" xfId="3582" xr:uid="{00000000-0005-0000-0000-0000D2030000}"/>
    <cellStyle name="60% - Accent2 2 9" xfId="3583" xr:uid="{00000000-0005-0000-0000-0000D3030000}"/>
    <cellStyle name="60% - Accent2 20" xfId="895" xr:uid="{00000000-0005-0000-0000-0000D4030000}"/>
    <cellStyle name="60% - Accent2 21" xfId="896" xr:uid="{00000000-0005-0000-0000-0000D5030000}"/>
    <cellStyle name="60% - Accent2 22" xfId="897" xr:uid="{00000000-0005-0000-0000-0000D6030000}"/>
    <cellStyle name="60% - Accent2 23" xfId="898" xr:uid="{00000000-0005-0000-0000-0000D7030000}"/>
    <cellStyle name="60% - Accent2 24" xfId="899" xr:uid="{00000000-0005-0000-0000-0000D8030000}"/>
    <cellStyle name="60% - Accent2 25" xfId="900" xr:uid="{00000000-0005-0000-0000-0000D9030000}"/>
    <cellStyle name="60% - Accent2 26" xfId="901" xr:uid="{00000000-0005-0000-0000-0000DA030000}"/>
    <cellStyle name="60% - Accent2 27" xfId="902" xr:uid="{00000000-0005-0000-0000-0000DB030000}"/>
    <cellStyle name="60% - Accent2 28" xfId="903" xr:uid="{00000000-0005-0000-0000-0000DC030000}"/>
    <cellStyle name="60% - Accent2 29" xfId="904" xr:uid="{00000000-0005-0000-0000-0000DD030000}"/>
    <cellStyle name="60% - Accent2 3" xfId="36" xr:uid="{00000000-0005-0000-0000-0000DE030000}"/>
    <cellStyle name="60% - Accent2 3 2" xfId="905" xr:uid="{00000000-0005-0000-0000-0000DF030000}"/>
    <cellStyle name="60% - Accent2 3 2 2" xfId="9501" xr:uid="{00000000-0005-0000-0000-0000E0030000}"/>
    <cellStyle name="60% - Accent2 3 3" xfId="3584" xr:uid="{00000000-0005-0000-0000-0000E1030000}"/>
    <cellStyle name="60% - Accent2 3 4" xfId="5732" xr:uid="{00000000-0005-0000-0000-0000E2030000}"/>
    <cellStyle name="60% - Accent2 3 5" xfId="34116" xr:uid="{8E685EBE-9B76-4523-ACD1-734150249D86}"/>
    <cellStyle name="60% - Accent2 30" xfId="906" xr:uid="{00000000-0005-0000-0000-0000E3030000}"/>
    <cellStyle name="60% - Accent2 31" xfId="907" xr:uid="{00000000-0005-0000-0000-0000E4030000}"/>
    <cellStyle name="60% - Accent2 32" xfId="908" xr:uid="{00000000-0005-0000-0000-0000E5030000}"/>
    <cellStyle name="60% - Accent2 33" xfId="909" xr:uid="{00000000-0005-0000-0000-0000E6030000}"/>
    <cellStyle name="60% - Accent2 34" xfId="910" xr:uid="{00000000-0005-0000-0000-0000E7030000}"/>
    <cellStyle name="60% - Accent2 35" xfId="911" xr:uid="{00000000-0005-0000-0000-0000E8030000}"/>
    <cellStyle name="60% - Accent2 36" xfId="912" xr:uid="{00000000-0005-0000-0000-0000E9030000}"/>
    <cellStyle name="60% - Accent2 37" xfId="913" xr:uid="{00000000-0005-0000-0000-0000EA030000}"/>
    <cellStyle name="60% - Accent2 38" xfId="914" xr:uid="{00000000-0005-0000-0000-0000EB030000}"/>
    <cellStyle name="60% - Accent2 39" xfId="915" xr:uid="{00000000-0005-0000-0000-0000EC030000}"/>
    <cellStyle name="60% - Accent2 4" xfId="916" xr:uid="{00000000-0005-0000-0000-0000ED030000}"/>
    <cellStyle name="60% - Accent2 4 2" xfId="9502" xr:uid="{00000000-0005-0000-0000-0000EE030000}"/>
    <cellStyle name="60% - Accent2 40" xfId="917" xr:uid="{00000000-0005-0000-0000-0000EF030000}"/>
    <cellStyle name="60% - Accent2 41" xfId="918" xr:uid="{00000000-0005-0000-0000-0000F0030000}"/>
    <cellStyle name="60% - Accent2 42" xfId="919" xr:uid="{00000000-0005-0000-0000-0000F1030000}"/>
    <cellStyle name="60% - Accent2 43" xfId="920" xr:uid="{00000000-0005-0000-0000-0000F2030000}"/>
    <cellStyle name="60% - Accent2 5" xfId="921" xr:uid="{00000000-0005-0000-0000-0000F3030000}"/>
    <cellStyle name="60% - Accent2 5 2" xfId="9503" xr:uid="{00000000-0005-0000-0000-0000F4030000}"/>
    <cellStyle name="60% - Accent2 6" xfId="922" xr:uid="{00000000-0005-0000-0000-0000F5030000}"/>
    <cellStyle name="60% - Accent2 6 2" xfId="9504" xr:uid="{00000000-0005-0000-0000-0000F6030000}"/>
    <cellStyle name="60% - Accent2 7" xfId="923" xr:uid="{00000000-0005-0000-0000-0000F7030000}"/>
    <cellStyle name="60% - Accent2 8" xfId="924" xr:uid="{00000000-0005-0000-0000-0000F8030000}"/>
    <cellStyle name="60% - Accent2 9" xfId="925" xr:uid="{00000000-0005-0000-0000-0000F9030000}"/>
    <cellStyle name="60% - Accent3 10" xfId="926" xr:uid="{00000000-0005-0000-0000-0000FA030000}"/>
    <cellStyle name="60% - Accent3 11" xfId="927" xr:uid="{00000000-0005-0000-0000-0000FB030000}"/>
    <cellStyle name="60% - Accent3 12" xfId="928" xr:uid="{00000000-0005-0000-0000-0000FC030000}"/>
    <cellStyle name="60% - Accent3 13" xfId="929" xr:uid="{00000000-0005-0000-0000-0000FD030000}"/>
    <cellStyle name="60% - Accent3 14" xfId="930" xr:uid="{00000000-0005-0000-0000-0000FE030000}"/>
    <cellStyle name="60% - Accent3 15" xfId="931" xr:uid="{00000000-0005-0000-0000-0000FF030000}"/>
    <cellStyle name="60% - Accent3 16" xfId="932" xr:uid="{00000000-0005-0000-0000-000000040000}"/>
    <cellStyle name="60% - Accent3 17" xfId="933" xr:uid="{00000000-0005-0000-0000-000001040000}"/>
    <cellStyle name="60% - Accent3 18" xfId="934" xr:uid="{00000000-0005-0000-0000-000002040000}"/>
    <cellStyle name="60% - Accent3 19" xfId="935" xr:uid="{00000000-0005-0000-0000-000003040000}"/>
    <cellStyle name="60% - Accent3 2" xfId="37" xr:uid="{00000000-0005-0000-0000-000004040000}"/>
    <cellStyle name="60% - Accent3 2 10" xfId="3585" xr:uid="{00000000-0005-0000-0000-000005040000}"/>
    <cellStyle name="60% - Accent3 2 11" xfId="9505" xr:uid="{00000000-0005-0000-0000-000006040000}"/>
    <cellStyle name="60% - Accent3 2 12" xfId="34117" xr:uid="{DE6F30D8-2294-4888-9990-1EA1C9CE6743}"/>
    <cellStyle name="60% - Accent3 2 2" xfId="3586" xr:uid="{00000000-0005-0000-0000-000007040000}"/>
    <cellStyle name="60% - Accent3 2 2 2" xfId="34119" xr:uid="{8437C14A-503A-4843-9BE8-DA49C3A99C04}"/>
    <cellStyle name="60% - Accent3 2 2 3" xfId="34118" xr:uid="{7FEBCF30-6A91-4CA2-B664-82D4CEDF292A}"/>
    <cellStyle name="60% - Accent3 2 3" xfId="3587" xr:uid="{00000000-0005-0000-0000-000008040000}"/>
    <cellStyle name="60% - Accent3 2 4" xfId="3588" xr:uid="{00000000-0005-0000-0000-000009040000}"/>
    <cellStyle name="60% - Accent3 2 5" xfId="3589" xr:uid="{00000000-0005-0000-0000-00000A040000}"/>
    <cellStyle name="60% - Accent3 2 6" xfId="3590" xr:uid="{00000000-0005-0000-0000-00000B040000}"/>
    <cellStyle name="60% - Accent3 2 7" xfId="3591" xr:uid="{00000000-0005-0000-0000-00000C040000}"/>
    <cellStyle name="60% - Accent3 2 8" xfId="3592" xr:uid="{00000000-0005-0000-0000-00000D040000}"/>
    <cellStyle name="60% - Accent3 2 9" xfId="3593" xr:uid="{00000000-0005-0000-0000-00000E040000}"/>
    <cellStyle name="60% - Accent3 20" xfId="936" xr:uid="{00000000-0005-0000-0000-00000F040000}"/>
    <cellStyle name="60% - Accent3 21" xfId="937" xr:uid="{00000000-0005-0000-0000-000010040000}"/>
    <cellStyle name="60% - Accent3 22" xfId="938" xr:uid="{00000000-0005-0000-0000-000011040000}"/>
    <cellStyle name="60% - Accent3 23" xfId="939" xr:uid="{00000000-0005-0000-0000-000012040000}"/>
    <cellStyle name="60% - Accent3 24" xfId="940" xr:uid="{00000000-0005-0000-0000-000013040000}"/>
    <cellStyle name="60% - Accent3 25" xfId="941" xr:uid="{00000000-0005-0000-0000-000014040000}"/>
    <cellStyle name="60% - Accent3 26" xfId="942" xr:uid="{00000000-0005-0000-0000-000015040000}"/>
    <cellStyle name="60% - Accent3 27" xfId="943" xr:uid="{00000000-0005-0000-0000-000016040000}"/>
    <cellStyle name="60% - Accent3 28" xfId="944" xr:uid="{00000000-0005-0000-0000-000017040000}"/>
    <cellStyle name="60% - Accent3 29" xfId="945" xr:uid="{00000000-0005-0000-0000-000018040000}"/>
    <cellStyle name="60% - Accent3 3" xfId="38" xr:uid="{00000000-0005-0000-0000-000019040000}"/>
    <cellStyle name="60% - Accent3 3 2" xfId="946" xr:uid="{00000000-0005-0000-0000-00001A040000}"/>
    <cellStyle name="60% - Accent3 3 2 2" xfId="9506" xr:uid="{00000000-0005-0000-0000-00001B040000}"/>
    <cellStyle name="60% - Accent3 3 3" xfId="3594" xr:uid="{00000000-0005-0000-0000-00001C040000}"/>
    <cellStyle name="60% - Accent3 3 4" xfId="5733" xr:uid="{00000000-0005-0000-0000-00001D040000}"/>
    <cellStyle name="60% - Accent3 3 5" xfId="34120" xr:uid="{F7C56C21-4758-4AA4-A657-F78ED670070E}"/>
    <cellStyle name="60% - Accent3 30" xfId="947" xr:uid="{00000000-0005-0000-0000-00001E040000}"/>
    <cellStyle name="60% - Accent3 31" xfId="948" xr:uid="{00000000-0005-0000-0000-00001F040000}"/>
    <cellStyle name="60% - Accent3 32" xfId="949" xr:uid="{00000000-0005-0000-0000-000020040000}"/>
    <cellStyle name="60% - Accent3 33" xfId="950" xr:uid="{00000000-0005-0000-0000-000021040000}"/>
    <cellStyle name="60% - Accent3 34" xfId="951" xr:uid="{00000000-0005-0000-0000-000022040000}"/>
    <cellStyle name="60% - Accent3 35" xfId="952" xr:uid="{00000000-0005-0000-0000-000023040000}"/>
    <cellStyle name="60% - Accent3 36" xfId="953" xr:uid="{00000000-0005-0000-0000-000024040000}"/>
    <cellStyle name="60% - Accent3 37" xfId="954" xr:uid="{00000000-0005-0000-0000-000025040000}"/>
    <cellStyle name="60% - Accent3 38" xfId="955" xr:uid="{00000000-0005-0000-0000-000026040000}"/>
    <cellStyle name="60% - Accent3 39" xfId="956" xr:uid="{00000000-0005-0000-0000-000027040000}"/>
    <cellStyle name="60% - Accent3 4" xfId="957" xr:uid="{00000000-0005-0000-0000-000028040000}"/>
    <cellStyle name="60% - Accent3 4 2" xfId="9507" xr:uid="{00000000-0005-0000-0000-000029040000}"/>
    <cellStyle name="60% - Accent3 40" xfId="958" xr:uid="{00000000-0005-0000-0000-00002A040000}"/>
    <cellStyle name="60% - Accent3 41" xfId="959" xr:uid="{00000000-0005-0000-0000-00002B040000}"/>
    <cellStyle name="60% - Accent3 42" xfId="960" xr:uid="{00000000-0005-0000-0000-00002C040000}"/>
    <cellStyle name="60% - Accent3 43" xfId="961" xr:uid="{00000000-0005-0000-0000-00002D040000}"/>
    <cellStyle name="60% - Accent3 5" xfId="962" xr:uid="{00000000-0005-0000-0000-00002E040000}"/>
    <cellStyle name="60% - Accent3 5 2" xfId="9508" xr:uid="{00000000-0005-0000-0000-00002F040000}"/>
    <cellStyle name="60% - Accent3 6" xfId="963" xr:uid="{00000000-0005-0000-0000-000030040000}"/>
    <cellStyle name="60% - Accent3 6 2" xfId="9509" xr:uid="{00000000-0005-0000-0000-000031040000}"/>
    <cellStyle name="60% - Accent3 7" xfId="964" xr:uid="{00000000-0005-0000-0000-000032040000}"/>
    <cellStyle name="60% - Accent3 8" xfId="965" xr:uid="{00000000-0005-0000-0000-000033040000}"/>
    <cellStyle name="60% - Accent3 9" xfId="966" xr:uid="{00000000-0005-0000-0000-000034040000}"/>
    <cellStyle name="60% - Accent4 10" xfId="967" xr:uid="{00000000-0005-0000-0000-000035040000}"/>
    <cellStyle name="60% - Accent4 11" xfId="968" xr:uid="{00000000-0005-0000-0000-000036040000}"/>
    <cellStyle name="60% - Accent4 12" xfId="969" xr:uid="{00000000-0005-0000-0000-000037040000}"/>
    <cellStyle name="60% - Accent4 13" xfId="970" xr:uid="{00000000-0005-0000-0000-000038040000}"/>
    <cellStyle name="60% - Accent4 14" xfId="971" xr:uid="{00000000-0005-0000-0000-000039040000}"/>
    <cellStyle name="60% - Accent4 15" xfId="972" xr:uid="{00000000-0005-0000-0000-00003A040000}"/>
    <cellStyle name="60% - Accent4 16" xfId="973" xr:uid="{00000000-0005-0000-0000-00003B040000}"/>
    <cellStyle name="60% - Accent4 17" xfId="974" xr:uid="{00000000-0005-0000-0000-00003C040000}"/>
    <cellStyle name="60% - Accent4 18" xfId="975" xr:uid="{00000000-0005-0000-0000-00003D040000}"/>
    <cellStyle name="60% - Accent4 19" xfId="976" xr:uid="{00000000-0005-0000-0000-00003E040000}"/>
    <cellStyle name="60% - Accent4 2" xfId="39" xr:uid="{00000000-0005-0000-0000-00003F040000}"/>
    <cellStyle name="60% - Accent4 2 10" xfId="3595" xr:uid="{00000000-0005-0000-0000-000040040000}"/>
    <cellStyle name="60% - Accent4 2 11" xfId="9510" xr:uid="{00000000-0005-0000-0000-000041040000}"/>
    <cellStyle name="60% - Accent4 2 12" xfId="34121" xr:uid="{C10DBD58-A0CF-42D1-B316-DFD946F4A1DB}"/>
    <cellStyle name="60% - Accent4 2 2" xfId="3596" xr:uid="{00000000-0005-0000-0000-000042040000}"/>
    <cellStyle name="60% - Accent4 2 2 2" xfId="34123" xr:uid="{AFB63276-8250-48B1-AA85-70DF82B70914}"/>
    <cellStyle name="60% - Accent4 2 2 3" xfId="34122" xr:uid="{D6FD7C16-88AA-40FD-AFDF-587CB3896525}"/>
    <cellStyle name="60% - Accent4 2 3" xfId="3597" xr:uid="{00000000-0005-0000-0000-000043040000}"/>
    <cellStyle name="60% - Accent4 2 4" xfId="3598" xr:uid="{00000000-0005-0000-0000-000044040000}"/>
    <cellStyle name="60% - Accent4 2 5" xfId="3599" xr:uid="{00000000-0005-0000-0000-000045040000}"/>
    <cellStyle name="60% - Accent4 2 6" xfId="3600" xr:uid="{00000000-0005-0000-0000-000046040000}"/>
    <cellStyle name="60% - Accent4 2 7" xfId="3601" xr:uid="{00000000-0005-0000-0000-000047040000}"/>
    <cellStyle name="60% - Accent4 2 8" xfId="3602" xr:uid="{00000000-0005-0000-0000-000048040000}"/>
    <cellStyle name="60% - Accent4 2 9" xfId="3603" xr:uid="{00000000-0005-0000-0000-000049040000}"/>
    <cellStyle name="60% - Accent4 20" xfId="977" xr:uid="{00000000-0005-0000-0000-00004A040000}"/>
    <cellStyle name="60% - Accent4 21" xfId="978" xr:uid="{00000000-0005-0000-0000-00004B040000}"/>
    <cellStyle name="60% - Accent4 22" xfId="979" xr:uid="{00000000-0005-0000-0000-00004C040000}"/>
    <cellStyle name="60% - Accent4 23" xfId="980" xr:uid="{00000000-0005-0000-0000-00004D040000}"/>
    <cellStyle name="60% - Accent4 24" xfId="981" xr:uid="{00000000-0005-0000-0000-00004E040000}"/>
    <cellStyle name="60% - Accent4 25" xfId="982" xr:uid="{00000000-0005-0000-0000-00004F040000}"/>
    <cellStyle name="60% - Accent4 26" xfId="983" xr:uid="{00000000-0005-0000-0000-000050040000}"/>
    <cellStyle name="60% - Accent4 27" xfId="984" xr:uid="{00000000-0005-0000-0000-000051040000}"/>
    <cellStyle name="60% - Accent4 28" xfId="985" xr:uid="{00000000-0005-0000-0000-000052040000}"/>
    <cellStyle name="60% - Accent4 29" xfId="986" xr:uid="{00000000-0005-0000-0000-000053040000}"/>
    <cellStyle name="60% - Accent4 3" xfId="40" xr:uid="{00000000-0005-0000-0000-000054040000}"/>
    <cellStyle name="60% - Accent4 3 2" xfId="987" xr:uid="{00000000-0005-0000-0000-000055040000}"/>
    <cellStyle name="60% - Accent4 3 2 2" xfId="9511" xr:uid="{00000000-0005-0000-0000-000056040000}"/>
    <cellStyle name="60% - Accent4 3 3" xfId="3604" xr:uid="{00000000-0005-0000-0000-000057040000}"/>
    <cellStyle name="60% - Accent4 3 4" xfId="5734" xr:uid="{00000000-0005-0000-0000-000058040000}"/>
    <cellStyle name="60% - Accent4 3 5" xfId="34124" xr:uid="{D6F719DC-FBC0-4537-8452-0AFEB99E6011}"/>
    <cellStyle name="60% - Accent4 30" xfId="988" xr:uid="{00000000-0005-0000-0000-000059040000}"/>
    <cellStyle name="60% - Accent4 31" xfId="989" xr:uid="{00000000-0005-0000-0000-00005A040000}"/>
    <cellStyle name="60% - Accent4 32" xfId="990" xr:uid="{00000000-0005-0000-0000-00005B040000}"/>
    <cellStyle name="60% - Accent4 33" xfId="991" xr:uid="{00000000-0005-0000-0000-00005C040000}"/>
    <cellStyle name="60% - Accent4 34" xfId="992" xr:uid="{00000000-0005-0000-0000-00005D040000}"/>
    <cellStyle name="60% - Accent4 35" xfId="993" xr:uid="{00000000-0005-0000-0000-00005E040000}"/>
    <cellStyle name="60% - Accent4 36" xfId="994" xr:uid="{00000000-0005-0000-0000-00005F040000}"/>
    <cellStyle name="60% - Accent4 37" xfId="995" xr:uid="{00000000-0005-0000-0000-000060040000}"/>
    <cellStyle name="60% - Accent4 38" xfId="996" xr:uid="{00000000-0005-0000-0000-000061040000}"/>
    <cellStyle name="60% - Accent4 39" xfId="997" xr:uid="{00000000-0005-0000-0000-000062040000}"/>
    <cellStyle name="60% - Accent4 4" xfId="998" xr:uid="{00000000-0005-0000-0000-000063040000}"/>
    <cellStyle name="60% - Accent4 4 2" xfId="9512" xr:uid="{00000000-0005-0000-0000-000064040000}"/>
    <cellStyle name="60% - Accent4 40" xfId="999" xr:uid="{00000000-0005-0000-0000-000065040000}"/>
    <cellStyle name="60% - Accent4 41" xfId="1000" xr:uid="{00000000-0005-0000-0000-000066040000}"/>
    <cellStyle name="60% - Accent4 42" xfId="1001" xr:uid="{00000000-0005-0000-0000-000067040000}"/>
    <cellStyle name="60% - Accent4 43" xfId="1002" xr:uid="{00000000-0005-0000-0000-000068040000}"/>
    <cellStyle name="60% - Accent4 5" xfId="1003" xr:uid="{00000000-0005-0000-0000-000069040000}"/>
    <cellStyle name="60% - Accent4 5 2" xfId="9513" xr:uid="{00000000-0005-0000-0000-00006A040000}"/>
    <cellStyle name="60% - Accent4 6" xfId="1004" xr:uid="{00000000-0005-0000-0000-00006B040000}"/>
    <cellStyle name="60% - Accent4 6 2" xfId="9514" xr:uid="{00000000-0005-0000-0000-00006C040000}"/>
    <cellStyle name="60% - Accent4 7" xfId="1005" xr:uid="{00000000-0005-0000-0000-00006D040000}"/>
    <cellStyle name="60% - Accent4 8" xfId="1006" xr:uid="{00000000-0005-0000-0000-00006E040000}"/>
    <cellStyle name="60% - Accent4 9" xfId="1007" xr:uid="{00000000-0005-0000-0000-00006F040000}"/>
    <cellStyle name="60% - Accent5 10" xfId="1008" xr:uid="{00000000-0005-0000-0000-000070040000}"/>
    <cellStyle name="60% - Accent5 11" xfId="1009" xr:uid="{00000000-0005-0000-0000-000071040000}"/>
    <cellStyle name="60% - Accent5 12" xfId="1010" xr:uid="{00000000-0005-0000-0000-000072040000}"/>
    <cellStyle name="60% - Accent5 13" xfId="1011" xr:uid="{00000000-0005-0000-0000-000073040000}"/>
    <cellStyle name="60% - Accent5 14" xfId="1012" xr:uid="{00000000-0005-0000-0000-000074040000}"/>
    <cellStyle name="60% - Accent5 15" xfId="1013" xr:uid="{00000000-0005-0000-0000-000075040000}"/>
    <cellStyle name="60% - Accent5 16" xfId="1014" xr:uid="{00000000-0005-0000-0000-000076040000}"/>
    <cellStyle name="60% - Accent5 17" xfId="1015" xr:uid="{00000000-0005-0000-0000-000077040000}"/>
    <cellStyle name="60% - Accent5 18" xfId="1016" xr:uid="{00000000-0005-0000-0000-000078040000}"/>
    <cellStyle name="60% - Accent5 19" xfId="1017" xr:uid="{00000000-0005-0000-0000-000079040000}"/>
    <cellStyle name="60% - Accent5 2" xfId="41" xr:uid="{00000000-0005-0000-0000-00007A040000}"/>
    <cellStyle name="60% - Accent5 2 10" xfId="3605" xr:uid="{00000000-0005-0000-0000-00007B040000}"/>
    <cellStyle name="60% - Accent5 2 11" xfId="9515" xr:uid="{00000000-0005-0000-0000-00007C040000}"/>
    <cellStyle name="60% - Accent5 2 12" xfId="34125" xr:uid="{95D8E839-5827-44C2-A578-4F50AC2865EB}"/>
    <cellStyle name="60% - Accent5 2 2" xfId="3606" xr:uid="{00000000-0005-0000-0000-00007D040000}"/>
    <cellStyle name="60% - Accent5 2 2 2" xfId="34127" xr:uid="{2EDD08B2-F0C6-45B8-B333-454751E02317}"/>
    <cellStyle name="60% - Accent5 2 2 3" xfId="34126" xr:uid="{B6307398-58F8-4488-8E6B-473E78471200}"/>
    <cellStyle name="60% - Accent5 2 3" xfId="3607" xr:uid="{00000000-0005-0000-0000-00007E040000}"/>
    <cellStyle name="60% - Accent5 2 4" xfId="3608" xr:uid="{00000000-0005-0000-0000-00007F040000}"/>
    <cellStyle name="60% - Accent5 2 5" xfId="3609" xr:uid="{00000000-0005-0000-0000-000080040000}"/>
    <cellStyle name="60% - Accent5 2 6" xfId="3610" xr:uid="{00000000-0005-0000-0000-000081040000}"/>
    <cellStyle name="60% - Accent5 2 7" xfId="3611" xr:uid="{00000000-0005-0000-0000-000082040000}"/>
    <cellStyle name="60% - Accent5 2 8" xfId="3612" xr:uid="{00000000-0005-0000-0000-000083040000}"/>
    <cellStyle name="60% - Accent5 2 9" xfId="3613" xr:uid="{00000000-0005-0000-0000-000084040000}"/>
    <cellStyle name="60% - Accent5 20" xfId="1018" xr:uid="{00000000-0005-0000-0000-000085040000}"/>
    <cellStyle name="60% - Accent5 21" xfId="1019" xr:uid="{00000000-0005-0000-0000-000086040000}"/>
    <cellStyle name="60% - Accent5 22" xfId="1020" xr:uid="{00000000-0005-0000-0000-000087040000}"/>
    <cellStyle name="60% - Accent5 23" xfId="1021" xr:uid="{00000000-0005-0000-0000-000088040000}"/>
    <cellStyle name="60% - Accent5 24" xfId="1022" xr:uid="{00000000-0005-0000-0000-000089040000}"/>
    <cellStyle name="60% - Accent5 25" xfId="1023" xr:uid="{00000000-0005-0000-0000-00008A040000}"/>
    <cellStyle name="60% - Accent5 26" xfId="1024" xr:uid="{00000000-0005-0000-0000-00008B040000}"/>
    <cellStyle name="60% - Accent5 27" xfId="1025" xr:uid="{00000000-0005-0000-0000-00008C040000}"/>
    <cellStyle name="60% - Accent5 28" xfId="1026" xr:uid="{00000000-0005-0000-0000-00008D040000}"/>
    <cellStyle name="60% - Accent5 29" xfId="1027" xr:uid="{00000000-0005-0000-0000-00008E040000}"/>
    <cellStyle name="60% - Accent5 3" xfId="42" xr:uid="{00000000-0005-0000-0000-00008F040000}"/>
    <cellStyle name="60% - Accent5 3 2" xfId="1028" xr:uid="{00000000-0005-0000-0000-000090040000}"/>
    <cellStyle name="60% - Accent5 3 2 2" xfId="9516" xr:uid="{00000000-0005-0000-0000-000091040000}"/>
    <cellStyle name="60% - Accent5 3 3" xfId="3614" xr:uid="{00000000-0005-0000-0000-000092040000}"/>
    <cellStyle name="60% - Accent5 3 4" xfId="5735" xr:uid="{00000000-0005-0000-0000-000093040000}"/>
    <cellStyle name="60% - Accent5 3 5" xfId="34128" xr:uid="{9E0ED12D-DCD6-4EE9-92F6-5D07991B4530}"/>
    <cellStyle name="60% - Accent5 30" xfId="1029" xr:uid="{00000000-0005-0000-0000-000094040000}"/>
    <cellStyle name="60% - Accent5 31" xfId="1030" xr:uid="{00000000-0005-0000-0000-000095040000}"/>
    <cellStyle name="60% - Accent5 32" xfId="1031" xr:uid="{00000000-0005-0000-0000-000096040000}"/>
    <cellStyle name="60% - Accent5 33" xfId="1032" xr:uid="{00000000-0005-0000-0000-000097040000}"/>
    <cellStyle name="60% - Accent5 34" xfId="1033" xr:uid="{00000000-0005-0000-0000-000098040000}"/>
    <cellStyle name="60% - Accent5 35" xfId="1034" xr:uid="{00000000-0005-0000-0000-000099040000}"/>
    <cellStyle name="60% - Accent5 36" xfId="1035" xr:uid="{00000000-0005-0000-0000-00009A040000}"/>
    <cellStyle name="60% - Accent5 37" xfId="1036" xr:uid="{00000000-0005-0000-0000-00009B040000}"/>
    <cellStyle name="60% - Accent5 38" xfId="1037" xr:uid="{00000000-0005-0000-0000-00009C040000}"/>
    <cellStyle name="60% - Accent5 39" xfId="1038" xr:uid="{00000000-0005-0000-0000-00009D040000}"/>
    <cellStyle name="60% - Accent5 4" xfId="1039" xr:uid="{00000000-0005-0000-0000-00009E040000}"/>
    <cellStyle name="60% - Accent5 4 2" xfId="9517" xr:uid="{00000000-0005-0000-0000-00009F040000}"/>
    <cellStyle name="60% - Accent5 40" xfId="1040" xr:uid="{00000000-0005-0000-0000-0000A0040000}"/>
    <cellStyle name="60% - Accent5 41" xfId="1041" xr:uid="{00000000-0005-0000-0000-0000A1040000}"/>
    <cellStyle name="60% - Accent5 42" xfId="1042" xr:uid="{00000000-0005-0000-0000-0000A2040000}"/>
    <cellStyle name="60% - Accent5 43" xfId="1043" xr:uid="{00000000-0005-0000-0000-0000A3040000}"/>
    <cellStyle name="60% - Accent5 5" xfId="1044" xr:uid="{00000000-0005-0000-0000-0000A4040000}"/>
    <cellStyle name="60% - Accent5 5 2" xfId="9518" xr:uid="{00000000-0005-0000-0000-0000A5040000}"/>
    <cellStyle name="60% - Accent5 6" xfId="1045" xr:uid="{00000000-0005-0000-0000-0000A6040000}"/>
    <cellStyle name="60% - Accent5 6 2" xfId="9519" xr:uid="{00000000-0005-0000-0000-0000A7040000}"/>
    <cellStyle name="60% - Accent5 7" xfId="1046" xr:uid="{00000000-0005-0000-0000-0000A8040000}"/>
    <cellStyle name="60% - Accent5 8" xfId="1047" xr:uid="{00000000-0005-0000-0000-0000A9040000}"/>
    <cellStyle name="60% - Accent5 9" xfId="1048" xr:uid="{00000000-0005-0000-0000-0000AA040000}"/>
    <cellStyle name="60% - Accent6 10" xfId="1049" xr:uid="{00000000-0005-0000-0000-0000AB040000}"/>
    <cellStyle name="60% - Accent6 11" xfId="1050" xr:uid="{00000000-0005-0000-0000-0000AC040000}"/>
    <cellStyle name="60% - Accent6 12" xfId="1051" xr:uid="{00000000-0005-0000-0000-0000AD040000}"/>
    <cellStyle name="60% - Accent6 13" xfId="1052" xr:uid="{00000000-0005-0000-0000-0000AE040000}"/>
    <cellStyle name="60% - Accent6 14" xfId="1053" xr:uid="{00000000-0005-0000-0000-0000AF040000}"/>
    <cellStyle name="60% - Accent6 15" xfId="1054" xr:uid="{00000000-0005-0000-0000-0000B0040000}"/>
    <cellStyle name="60% - Accent6 16" xfId="1055" xr:uid="{00000000-0005-0000-0000-0000B1040000}"/>
    <cellStyle name="60% - Accent6 17" xfId="1056" xr:uid="{00000000-0005-0000-0000-0000B2040000}"/>
    <cellStyle name="60% - Accent6 18" xfId="1057" xr:uid="{00000000-0005-0000-0000-0000B3040000}"/>
    <cellStyle name="60% - Accent6 19" xfId="1058" xr:uid="{00000000-0005-0000-0000-0000B4040000}"/>
    <cellStyle name="60% - Accent6 2" xfId="43" xr:uid="{00000000-0005-0000-0000-0000B5040000}"/>
    <cellStyle name="60% - Accent6 2 10" xfId="3615" xr:uid="{00000000-0005-0000-0000-0000B6040000}"/>
    <cellStyle name="60% - Accent6 2 11" xfId="9520" xr:uid="{00000000-0005-0000-0000-0000B7040000}"/>
    <cellStyle name="60% - Accent6 2 12" xfId="34129" xr:uid="{80F3A339-FAF8-4EB0-A7F2-3C38CC0DC939}"/>
    <cellStyle name="60% - Accent6 2 2" xfId="3616" xr:uid="{00000000-0005-0000-0000-0000B8040000}"/>
    <cellStyle name="60% - Accent6 2 2 2" xfId="34131" xr:uid="{DA547452-8D14-4FFE-9A07-04904C635278}"/>
    <cellStyle name="60% - Accent6 2 2 3" xfId="34130" xr:uid="{49C6A298-6C68-46E9-8202-5E6F954A5F75}"/>
    <cellStyle name="60% - Accent6 2 3" xfId="3617" xr:uid="{00000000-0005-0000-0000-0000B9040000}"/>
    <cellStyle name="60% - Accent6 2 4" xfId="3618" xr:uid="{00000000-0005-0000-0000-0000BA040000}"/>
    <cellStyle name="60% - Accent6 2 5" xfId="3619" xr:uid="{00000000-0005-0000-0000-0000BB040000}"/>
    <cellStyle name="60% - Accent6 2 6" xfId="3620" xr:uid="{00000000-0005-0000-0000-0000BC040000}"/>
    <cellStyle name="60% - Accent6 2 7" xfId="3621" xr:uid="{00000000-0005-0000-0000-0000BD040000}"/>
    <cellStyle name="60% - Accent6 2 8" xfId="3622" xr:uid="{00000000-0005-0000-0000-0000BE040000}"/>
    <cellStyle name="60% - Accent6 2 9" xfId="3623" xr:uid="{00000000-0005-0000-0000-0000BF040000}"/>
    <cellStyle name="60% - Accent6 20" xfId="1059" xr:uid="{00000000-0005-0000-0000-0000C0040000}"/>
    <cellStyle name="60% - Accent6 21" xfId="1060" xr:uid="{00000000-0005-0000-0000-0000C1040000}"/>
    <cellStyle name="60% - Accent6 22" xfId="1061" xr:uid="{00000000-0005-0000-0000-0000C2040000}"/>
    <cellStyle name="60% - Accent6 23" xfId="1062" xr:uid="{00000000-0005-0000-0000-0000C3040000}"/>
    <cellStyle name="60% - Accent6 24" xfId="1063" xr:uid="{00000000-0005-0000-0000-0000C4040000}"/>
    <cellStyle name="60% - Accent6 25" xfId="1064" xr:uid="{00000000-0005-0000-0000-0000C5040000}"/>
    <cellStyle name="60% - Accent6 26" xfId="1065" xr:uid="{00000000-0005-0000-0000-0000C6040000}"/>
    <cellStyle name="60% - Accent6 27" xfId="1066" xr:uid="{00000000-0005-0000-0000-0000C7040000}"/>
    <cellStyle name="60% - Accent6 28" xfId="1067" xr:uid="{00000000-0005-0000-0000-0000C8040000}"/>
    <cellStyle name="60% - Accent6 29" xfId="1068" xr:uid="{00000000-0005-0000-0000-0000C9040000}"/>
    <cellStyle name="60% - Accent6 3" xfId="44" xr:uid="{00000000-0005-0000-0000-0000CA040000}"/>
    <cellStyle name="60% - Accent6 3 2" xfId="1069" xr:uid="{00000000-0005-0000-0000-0000CB040000}"/>
    <cellStyle name="60% - Accent6 3 2 2" xfId="9521" xr:uid="{00000000-0005-0000-0000-0000CC040000}"/>
    <cellStyle name="60% - Accent6 3 3" xfId="3624" xr:uid="{00000000-0005-0000-0000-0000CD040000}"/>
    <cellStyle name="60% - Accent6 3 4" xfId="5736" xr:uid="{00000000-0005-0000-0000-0000CE040000}"/>
    <cellStyle name="60% - Accent6 3 5" xfId="34132" xr:uid="{D2C8DF37-1A9E-445C-87F9-1CB29E714AFE}"/>
    <cellStyle name="60% - Accent6 30" xfId="1070" xr:uid="{00000000-0005-0000-0000-0000CF040000}"/>
    <cellStyle name="60% - Accent6 31" xfId="1071" xr:uid="{00000000-0005-0000-0000-0000D0040000}"/>
    <cellStyle name="60% - Accent6 32" xfId="1072" xr:uid="{00000000-0005-0000-0000-0000D1040000}"/>
    <cellStyle name="60% - Accent6 33" xfId="1073" xr:uid="{00000000-0005-0000-0000-0000D2040000}"/>
    <cellStyle name="60% - Accent6 34" xfId="1074" xr:uid="{00000000-0005-0000-0000-0000D3040000}"/>
    <cellStyle name="60% - Accent6 35" xfId="1075" xr:uid="{00000000-0005-0000-0000-0000D4040000}"/>
    <cellStyle name="60% - Accent6 36" xfId="1076" xr:uid="{00000000-0005-0000-0000-0000D5040000}"/>
    <cellStyle name="60% - Accent6 37" xfId="1077" xr:uid="{00000000-0005-0000-0000-0000D6040000}"/>
    <cellStyle name="60% - Accent6 38" xfId="1078" xr:uid="{00000000-0005-0000-0000-0000D7040000}"/>
    <cellStyle name="60% - Accent6 39" xfId="1079" xr:uid="{00000000-0005-0000-0000-0000D8040000}"/>
    <cellStyle name="60% - Accent6 4" xfId="1080" xr:uid="{00000000-0005-0000-0000-0000D9040000}"/>
    <cellStyle name="60% - Accent6 4 2" xfId="9522" xr:uid="{00000000-0005-0000-0000-0000DA040000}"/>
    <cellStyle name="60% - Accent6 40" xfId="1081" xr:uid="{00000000-0005-0000-0000-0000DB040000}"/>
    <cellStyle name="60% - Accent6 41" xfId="1082" xr:uid="{00000000-0005-0000-0000-0000DC040000}"/>
    <cellStyle name="60% - Accent6 42" xfId="1083" xr:uid="{00000000-0005-0000-0000-0000DD040000}"/>
    <cellStyle name="60% - Accent6 43" xfId="1084" xr:uid="{00000000-0005-0000-0000-0000DE040000}"/>
    <cellStyle name="60% - Accent6 5" xfId="1085" xr:uid="{00000000-0005-0000-0000-0000DF040000}"/>
    <cellStyle name="60% - Accent6 5 2" xfId="9523" xr:uid="{00000000-0005-0000-0000-0000E0040000}"/>
    <cellStyle name="60% - Accent6 6" xfId="1086" xr:uid="{00000000-0005-0000-0000-0000E1040000}"/>
    <cellStyle name="60% - Accent6 6 2" xfId="9524" xr:uid="{00000000-0005-0000-0000-0000E2040000}"/>
    <cellStyle name="60% - Accent6 7" xfId="1087" xr:uid="{00000000-0005-0000-0000-0000E3040000}"/>
    <cellStyle name="60% - Accent6 8" xfId="1088" xr:uid="{00000000-0005-0000-0000-0000E4040000}"/>
    <cellStyle name="60% - Accent6 9" xfId="1089" xr:uid="{00000000-0005-0000-0000-0000E5040000}"/>
    <cellStyle name="60% - Akzent1" xfId="1090" xr:uid="{00000000-0005-0000-0000-0000E6040000}"/>
    <cellStyle name="60% - Akzent2" xfId="1091" xr:uid="{00000000-0005-0000-0000-0000E7040000}"/>
    <cellStyle name="60% - Akzent3" xfId="1092" xr:uid="{00000000-0005-0000-0000-0000E8040000}"/>
    <cellStyle name="60% - Akzent4" xfId="1093" xr:uid="{00000000-0005-0000-0000-0000E9040000}"/>
    <cellStyle name="60% - Akzent5" xfId="1094" xr:uid="{00000000-0005-0000-0000-0000EA040000}"/>
    <cellStyle name="60% - Akzent6" xfId="1095" xr:uid="{00000000-0005-0000-0000-0000EB040000}"/>
    <cellStyle name="60% - Cor4 2" xfId="1096" xr:uid="{00000000-0005-0000-0000-0000EC040000}"/>
    <cellStyle name="60% - Cor4 2 2" xfId="34134" xr:uid="{37C84D8A-0FBF-4E4A-8743-B48E2414115A}"/>
    <cellStyle name="60% - Cor4 2 3" xfId="34133" xr:uid="{FD61AD26-4090-4381-B82D-0A261AF76DE5}"/>
    <cellStyle name="Accent1 10" xfId="1097" xr:uid="{00000000-0005-0000-0000-0000ED040000}"/>
    <cellStyle name="Accent1 11" xfId="1098" xr:uid="{00000000-0005-0000-0000-0000EE040000}"/>
    <cellStyle name="Accent1 12" xfId="1099" xr:uid="{00000000-0005-0000-0000-0000EF040000}"/>
    <cellStyle name="Accent1 13" xfId="1100" xr:uid="{00000000-0005-0000-0000-0000F0040000}"/>
    <cellStyle name="Accent1 14" xfId="1101" xr:uid="{00000000-0005-0000-0000-0000F1040000}"/>
    <cellStyle name="Accent1 15" xfId="1102" xr:uid="{00000000-0005-0000-0000-0000F2040000}"/>
    <cellStyle name="Accent1 16" xfId="1103" xr:uid="{00000000-0005-0000-0000-0000F3040000}"/>
    <cellStyle name="Accent1 17" xfId="1104" xr:uid="{00000000-0005-0000-0000-0000F4040000}"/>
    <cellStyle name="Accent1 18" xfId="1105" xr:uid="{00000000-0005-0000-0000-0000F5040000}"/>
    <cellStyle name="Accent1 19" xfId="1106" xr:uid="{00000000-0005-0000-0000-0000F6040000}"/>
    <cellStyle name="Accent1 2" xfId="45" xr:uid="{00000000-0005-0000-0000-0000F7040000}"/>
    <cellStyle name="Accent1 2 10" xfId="3625" xr:uid="{00000000-0005-0000-0000-0000F8040000}"/>
    <cellStyle name="Accent1 2 11" xfId="9525" xr:uid="{00000000-0005-0000-0000-0000F9040000}"/>
    <cellStyle name="Accent1 2 12" xfId="34135" xr:uid="{8A359995-D3AF-4A8C-BA78-B53315C58E8C}"/>
    <cellStyle name="Accent1 2 2" xfId="3626" xr:uid="{00000000-0005-0000-0000-0000FA040000}"/>
    <cellStyle name="Accent1 2 2 2" xfId="34137" xr:uid="{D3ECB7AE-0B6D-42F0-897E-E0A3C84B30EB}"/>
    <cellStyle name="Accent1 2 2 3" xfId="34136" xr:uid="{54AA529E-9240-417C-95D6-93C2ADC76049}"/>
    <cellStyle name="Accent1 2 3" xfId="3627" xr:uid="{00000000-0005-0000-0000-0000FB040000}"/>
    <cellStyle name="Accent1 2 4" xfId="3628" xr:uid="{00000000-0005-0000-0000-0000FC040000}"/>
    <cellStyle name="Accent1 2 5" xfId="3629" xr:uid="{00000000-0005-0000-0000-0000FD040000}"/>
    <cellStyle name="Accent1 2 6" xfId="3630" xr:uid="{00000000-0005-0000-0000-0000FE040000}"/>
    <cellStyle name="Accent1 2 7" xfId="3631" xr:uid="{00000000-0005-0000-0000-0000FF040000}"/>
    <cellStyle name="Accent1 2 8" xfId="3632" xr:uid="{00000000-0005-0000-0000-000000050000}"/>
    <cellStyle name="Accent1 2 9" xfId="3633" xr:uid="{00000000-0005-0000-0000-000001050000}"/>
    <cellStyle name="Accent1 20" xfId="1107" xr:uid="{00000000-0005-0000-0000-000002050000}"/>
    <cellStyle name="Accent1 21" xfId="1108" xr:uid="{00000000-0005-0000-0000-000003050000}"/>
    <cellStyle name="Accent1 22" xfId="1109" xr:uid="{00000000-0005-0000-0000-000004050000}"/>
    <cellStyle name="Accent1 23" xfId="1110" xr:uid="{00000000-0005-0000-0000-000005050000}"/>
    <cellStyle name="Accent1 24" xfId="1111" xr:uid="{00000000-0005-0000-0000-000006050000}"/>
    <cellStyle name="Accent1 25" xfId="1112" xr:uid="{00000000-0005-0000-0000-000007050000}"/>
    <cellStyle name="Accent1 26" xfId="1113" xr:uid="{00000000-0005-0000-0000-000008050000}"/>
    <cellStyle name="Accent1 27" xfId="1114" xr:uid="{00000000-0005-0000-0000-000009050000}"/>
    <cellStyle name="Accent1 28" xfId="1115" xr:uid="{00000000-0005-0000-0000-00000A050000}"/>
    <cellStyle name="Accent1 29" xfId="1116" xr:uid="{00000000-0005-0000-0000-00000B050000}"/>
    <cellStyle name="Accent1 3" xfId="46" xr:uid="{00000000-0005-0000-0000-00000C050000}"/>
    <cellStyle name="Accent1 3 2" xfId="1117" xr:uid="{00000000-0005-0000-0000-00000D050000}"/>
    <cellStyle name="Accent1 3 2 2" xfId="9526" xr:uid="{00000000-0005-0000-0000-00000E050000}"/>
    <cellStyle name="Accent1 3 3" xfId="3634" xr:uid="{00000000-0005-0000-0000-00000F050000}"/>
    <cellStyle name="Accent1 3 4" xfId="5737" xr:uid="{00000000-0005-0000-0000-000010050000}"/>
    <cellStyle name="Accent1 3 5" xfId="34138" xr:uid="{DAB981B5-7357-48ED-B0E9-F0AB3EDE16F5}"/>
    <cellStyle name="Accent1 30" xfId="1118" xr:uid="{00000000-0005-0000-0000-000011050000}"/>
    <cellStyle name="Accent1 31" xfId="1119" xr:uid="{00000000-0005-0000-0000-000012050000}"/>
    <cellStyle name="Accent1 32" xfId="1120" xr:uid="{00000000-0005-0000-0000-000013050000}"/>
    <cellStyle name="Accent1 33" xfId="1121" xr:uid="{00000000-0005-0000-0000-000014050000}"/>
    <cellStyle name="Accent1 34" xfId="1122" xr:uid="{00000000-0005-0000-0000-000015050000}"/>
    <cellStyle name="Accent1 35" xfId="1123" xr:uid="{00000000-0005-0000-0000-000016050000}"/>
    <cellStyle name="Accent1 36" xfId="1124" xr:uid="{00000000-0005-0000-0000-000017050000}"/>
    <cellStyle name="Accent1 37" xfId="1125" xr:uid="{00000000-0005-0000-0000-000018050000}"/>
    <cellStyle name="Accent1 38" xfId="1126" xr:uid="{00000000-0005-0000-0000-000019050000}"/>
    <cellStyle name="Accent1 39" xfId="1127" xr:uid="{00000000-0005-0000-0000-00001A050000}"/>
    <cellStyle name="Accent1 4" xfId="1128" xr:uid="{00000000-0005-0000-0000-00001B050000}"/>
    <cellStyle name="Accent1 4 2" xfId="9527" xr:uid="{00000000-0005-0000-0000-00001C050000}"/>
    <cellStyle name="Accent1 40" xfId="1129" xr:uid="{00000000-0005-0000-0000-00001D050000}"/>
    <cellStyle name="Accent1 41" xfId="1130" xr:uid="{00000000-0005-0000-0000-00001E050000}"/>
    <cellStyle name="Accent1 42" xfId="1131" xr:uid="{00000000-0005-0000-0000-00001F050000}"/>
    <cellStyle name="Accent1 43" xfId="1132" xr:uid="{00000000-0005-0000-0000-000020050000}"/>
    <cellStyle name="Accent1 44" xfId="49745" xr:uid="{6480FAC0-CBDE-4D15-8176-52F9FE0E52D1}"/>
    <cellStyle name="Accent1 5" xfId="1133" xr:uid="{00000000-0005-0000-0000-000021050000}"/>
    <cellStyle name="Accent1 5 2" xfId="9528" xr:uid="{00000000-0005-0000-0000-000022050000}"/>
    <cellStyle name="Accent1 6" xfId="1134" xr:uid="{00000000-0005-0000-0000-000023050000}"/>
    <cellStyle name="Accent1 6 2" xfId="9529" xr:uid="{00000000-0005-0000-0000-000024050000}"/>
    <cellStyle name="Accent1 7" xfId="1135" xr:uid="{00000000-0005-0000-0000-000025050000}"/>
    <cellStyle name="Accent1 8" xfId="1136" xr:uid="{00000000-0005-0000-0000-000026050000}"/>
    <cellStyle name="Accent1 9" xfId="1137" xr:uid="{00000000-0005-0000-0000-000027050000}"/>
    <cellStyle name="Accent2 10" xfId="1138" xr:uid="{00000000-0005-0000-0000-000028050000}"/>
    <cellStyle name="Accent2 11" xfId="1139" xr:uid="{00000000-0005-0000-0000-000029050000}"/>
    <cellStyle name="Accent2 12" xfId="1140" xr:uid="{00000000-0005-0000-0000-00002A050000}"/>
    <cellStyle name="Accent2 13" xfId="1141" xr:uid="{00000000-0005-0000-0000-00002B050000}"/>
    <cellStyle name="Accent2 14" xfId="1142" xr:uid="{00000000-0005-0000-0000-00002C050000}"/>
    <cellStyle name="Accent2 15" xfId="1143" xr:uid="{00000000-0005-0000-0000-00002D050000}"/>
    <cellStyle name="Accent2 16" xfId="1144" xr:uid="{00000000-0005-0000-0000-00002E050000}"/>
    <cellStyle name="Accent2 17" xfId="1145" xr:uid="{00000000-0005-0000-0000-00002F050000}"/>
    <cellStyle name="Accent2 18" xfId="1146" xr:uid="{00000000-0005-0000-0000-000030050000}"/>
    <cellStyle name="Accent2 19" xfId="1147" xr:uid="{00000000-0005-0000-0000-000031050000}"/>
    <cellStyle name="Accent2 2" xfId="47" xr:uid="{00000000-0005-0000-0000-000032050000}"/>
    <cellStyle name="Accent2 2 10" xfId="3635" xr:uid="{00000000-0005-0000-0000-000033050000}"/>
    <cellStyle name="Accent2 2 11" xfId="9530" xr:uid="{00000000-0005-0000-0000-000034050000}"/>
    <cellStyle name="Accent2 2 12" xfId="34139" xr:uid="{8E0EA688-74C5-4436-9DC2-E10B2DC07B56}"/>
    <cellStyle name="Accent2 2 2" xfId="3636" xr:uid="{00000000-0005-0000-0000-000035050000}"/>
    <cellStyle name="Accent2 2 2 2" xfId="34141" xr:uid="{7504CEEB-EA1C-41C4-955F-BDA93BE823E8}"/>
    <cellStyle name="Accent2 2 2 3" xfId="34140" xr:uid="{17D94396-8C2B-4D04-94CC-7F5E8C8D1B10}"/>
    <cellStyle name="Accent2 2 3" xfId="3637" xr:uid="{00000000-0005-0000-0000-000036050000}"/>
    <cellStyle name="Accent2 2 4" xfId="3638" xr:uid="{00000000-0005-0000-0000-000037050000}"/>
    <cellStyle name="Accent2 2 5" xfId="3639" xr:uid="{00000000-0005-0000-0000-000038050000}"/>
    <cellStyle name="Accent2 2 6" xfId="3640" xr:uid="{00000000-0005-0000-0000-000039050000}"/>
    <cellStyle name="Accent2 2 7" xfId="3641" xr:uid="{00000000-0005-0000-0000-00003A050000}"/>
    <cellStyle name="Accent2 2 8" xfId="3642" xr:uid="{00000000-0005-0000-0000-00003B050000}"/>
    <cellStyle name="Accent2 2 9" xfId="3643" xr:uid="{00000000-0005-0000-0000-00003C050000}"/>
    <cellStyle name="Accent2 20" xfId="1148" xr:uid="{00000000-0005-0000-0000-00003D050000}"/>
    <cellStyle name="Accent2 21" xfId="1149" xr:uid="{00000000-0005-0000-0000-00003E050000}"/>
    <cellStyle name="Accent2 22" xfId="1150" xr:uid="{00000000-0005-0000-0000-00003F050000}"/>
    <cellStyle name="Accent2 23" xfId="1151" xr:uid="{00000000-0005-0000-0000-000040050000}"/>
    <cellStyle name="Accent2 24" xfId="1152" xr:uid="{00000000-0005-0000-0000-000041050000}"/>
    <cellStyle name="Accent2 25" xfId="1153" xr:uid="{00000000-0005-0000-0000-000042050000}"/>
    <cellStyle name="Accent2 26" xfId="1154" xr:uid="{00000000-0005-0000-0000-000043050000}"/>
    <cellStyle name="Accent2 27" xfId="1155" xr:uid="{00000000-0005-0000-0000-000044050000}"/>
    <cellStyle name="Accent2 28" xfId="1156" xr:uid="{00000000-0005-0000-0000-000045050000}"/>
    <cellStyle name="Accent2 29" xfId="1157" xr:uid="{00000000-0005-0000-0000-000046050000}"/>
    <cellStyle name="Accent2 3" xfId="48" xr:uid="{00000000-0005-0000-0000-000047050000}"/>
    <cellStyle name="Accent2 3 2" xfId="1158" xr:uid="{00000000-0005-0000-0000-000048050000}"/>
    <cellStyle name="Accent2 3 2 2" xfId="9531" xr:uid="{00000000-0005-0000-0000-000049050000}"/>
    <cellStyle name="Accent2 3 3" xfId="3644" xr:uid="{00000000-0005-0000-0000-00004A050000}"/>
    <cellStyle name="Accent2 3 4" xfId="5738" xr:uid="{00000000-0005-0000-0000-00004B050000}"/>
    <cellStyle name="Accent2 3 5" xfId="34142" xr:uid="{A434A260-1460-40B7-9ACC-2C8DEF46A576}"/>
    <cellStyle name="Accent2 30" xfId="1159" xr:uid="{00000000-0005-0000-0000-00004C050000}"/>
    <cellStyle name="Accent2 31" xfId="1160" xr:uid="{00000000-0005-0000-0000-00004D050000}"/>
    <cellStyle name="Accent2 32" xfId="1161" xr:uid="{00000000-0005-0000-0000-00004E050000}"/>
    <cellStyle name="Accent2 33" xfId="1162" xr:uid="{00000000-0005-0000-0000-00004F050000}"/>
    <cellStyle name="Accent2 34" xfId="1163" xr:uid="{00000000-0005-0000-0000-000050050000}"/>
    <cellStyle name="Accent2 35" xfId="1164" xr:uid="{00000000-0005-0000-0000-000051050000}"/>
    <cellStyle name="Accent2 36" xfId="1165" xr:uid="{00000000-0005-0000-0000-000052050000}"/>
    <cellStyle name="Accent2 37" xfId="1166" xr:uid="{00000000-0005-0000-0000-000053050000}"/>
    <cellStyle name="Accent2 38" xfId="1167" xr:uid="{00000000-0005-0000-0000-000054050000}"/>
    <cellStyle name="Accent2 39" xfId="1168" xr:uid="{00000000-0005-0000-0000-000055050000}"/>
    <cellStyle name="Accent2 4" xfId="1169" xr:uid="{00000000-0005-0000-0000-000056050000}"/>
    <cellStyle name="Accent2 4 2" xfId="9532" xr:uid="{00000000-0005-0000-0000-000057050000}"/>
    <cellStyle name="Accent2 40" xfId="1170" xr:uid="{00000000-0005-0000-0000-000058050000}"/>
    <cellStyle name="Accent2 41" xfId="1171" xr:uid="{00000000-0005-0000-0000-000059050000}"/>
    <cellStyle name="Accent2 42" xfId="1172" xr:uid="{00000000-0005-0000-0000-00005A050000}"/>
    <cellStyle name="Accent2 43" xfId="1173" xr:uid="{00000000-0005-0000-0000-00005B050000}"/>
    <cellStyle name="Accent2 5" xfId="1174" xr:uid="{00000000-0005-0000-0000-00005C050000}"/>
    <cellStyle name="Accent2 5 2" xfId="9533" xr:uid="{00000000-0005-0000-0000-00005D050000}"/>
    <cellStyle name="Accent2 6" xfId="1175" xr:uid="{00000000-0005-0000-0000-00005E050000}"/>
    <cellStyle name="Accent2 6 2" xfId="9534" xr:uid="{00000000-0005-0000-0000-00005F050000}"/>
    <cellStyle name="Accent2 7" xfId="1176" xr:uid="{00000000-0005-0000-0000-000060050000}"/>
    <cellStyle name="Accent2 8" xfId="1177" xr:uid="{00000000-0005-0000-0000-000061050000}"/>
    <cellStyle name="Accent2 9" xfId="1178" xr:uid="{00000000-0005-0000-0000-000062050000}"/>
    <cellStyle name="Accent3 10" xfId="1179" xr:uid="{00000000-0005-0000-0000-000063050000}"/>
    <cellStyle name="Accent3 11" xfId="1180" xr:uid="{00000000-0005-0000-0000-000064050000}"/>
    <cellStyle name="Accent3 12" xfId="1181" xr:uid="{00000000-0005-0000-0000-000065050000}"/>
    <cellStyle name="Accent3 13" xfId="1182" xr:uid="{00000000-0005-0000-0000-000066050000}"/>
    <cellStyle name="Accent3 14" xfId="1183" xr:uid="{00000000-0005-0000-0000-000067050000}"/>
    <cellStyle name="Accent3 15" xfId="1184" xr:uid="{00000000-0005-0000-0000-000068050000}"/>
    <cellStyle name="Accent3 16" xfId="1185" xr:uid="{00000000-0005-0000-0000-000069050000}"/>
    <cellStyle name="Accent3 17" xfId="1186" xr:uid="{00000000-0005-0000-0000-00006A050000}"/>
    <cellStyle name="Accent3 18" xfId="1187" xr:uid="{00000000-0005-0000-0000-00006B050000}"/>
    <cellStyle name="Accent3 19" xfId="1188" xr:uid="{00000000-0005-0000-0000-00006C050000}"/>
    <cellStyle name="Accent3 2" xfId="49" xr:uid="{00000000-0005-0000-0000-00006D050000}"/>
    <cellStyle name="Accent3 2 10" xfId="3645" xr:uid="{00000000-0005-0000-0000-00006E050000}"/>
    <cellStyle name="Accent3 2 11" xfId="9535" xr:uid="{00000000-0005-0000-0000-00006F050000}"/>
    <cellStyle name="Accent3 2 12" xfId="34143" xr:uid="{84F6CD01-2F0B-4C2A-852D-5C01A13B3875}"/>
    <cellStyle name="Accent3 2 2" xfId="3646" xr:uid="{00000000-0005-0000-0000-000070050000}"/>
    <cellStyle name="Accent3 2 2 2" xfId="34145" xr:uid="{BF27E0B0-75C6-4035-81B4-5F811EAF84F5}"/>
    <cellStyle name="Accent3 2 2 3" xfId="34144" xr:uid="{A1032D59-7E1C-4555-B943-4740E2E5CE03}"/>
    <cellStyle name="Accent3 2 3" xfId="3647" xr:uid="{00000000-0005-0000-0000-000071050000}"/>
    <cellStyle name="Accent3 2 4" xfId="3648" xr:uid="{00000000-0005-0000-0000-000072050000}"/>
    <cellStyle name="Accent3 2 5" xfId="3649" xr:uid="{00000000-0005-0000-0000-000073050000}"/>
    <cellStyle name="Accent3 2 6" xfId="3650" xr:uid="{00000000-0005-0000-0000-000074050000}"/>
    <cellStyle name="Accent3 2 7" xfId="3651" xr:uid="{00000000-0005-0000-0000-000075050000}"/>
    <cellStyle name="Accent3 2 8" xfId="3652" xr:uid="{00000000-0005-0000-0000-000076050000}"/>
    <cellStyle name="Accent3 2 9" xfId="3653" xr:uid="{00000000-0005-0000-0000-000077050000}"/>
    <cellStyle name="Accent3 20" xfId="1189" xr:uid="{00000000-0005-0000-0000-000078050000}"/>
    <cellStyle name="Accent3 21" xfId="1190" xr:uid="{00000000-0005-0000-0000-000079050000}"/>
    <cellStyle name="Accent3 22" xfId="1191" xr:uid="{00000000-0005-0000-0000-00007A050000}"/>
    <cellStyle name="Accent3 23" xfId="1192" xr:uid="{00000000-0005-0000-0000-00007B050000}"/>
    <cellStyle name="Accent3 24" xfId="1193" xr:uid="{00000000-0005-0000-0000-00007C050000}"/>
    <cellStyle name="Accent3 25" xfId="1194" xr:uid="{00000000-0005-0000-0000-00007D050000}"/>
    <cellStyle name="Accent3 26" xfId="1195" xr:uid="{00000000-0005-0000-0000-00007E050000}"/>
    <cellStyle name="Accent3 27" xfId="1196" xr:uid="{00000000-0005-0000-0000-00007F050000}"/>
    <cellStyle name="Accent3 28" xfId="1197" xr:uid="{00000000-0005-0000-0000-000080050000}"/>
    <cellStyle name="Accent3 29" xfId="1198" xr:uid="{00000000-0005-0000-0000-000081050000}"/>
    <cellStyle name="Accent3 3" xfId="50" xr:uid="{00000000-0005-0000-0000-000082050000}"/>
    <cellStyle name="Accent3 3 2" xfId="1199" xr:uid="{00000000-0005-0000-0000-000083050000}"/>
    <cellStyle name="Accent3 3 2 2" xfId="9536" xr:uid="{00000000-0005-0000-0000-000084050000}"/>
    <cellStyle name="Accent3 3 3" xfId="3654" xr:uid="{00000000-0005-0000-0000-000085050000}"/>
    <cellStyle name="Accent3 3 4" xfId="5739" xr:uid="{00000000-0005-0000-0000-000086050000}"/>
    <cellStyle name="Accent3 3 5" xfId="34146" xr:uid="{C952FB0D-6614-4BF5-BFA3-30F1AEE7BDA1}"/>
    <cellStyle name="Accent3 30" xfId="1200" xr:uid="{00000000-0005-0000-0000-000087050000}"/>
    <cellStyle name="Accent3 31" xfId="1201" xr:uid="{00000000-0005-0000-0000-000088050000}"/>
    <cellStyle name="Accent3 32" xfId="1202" xr:uid="{00000000-0005-0000-0000-000089050000}"/>
    <cellStyle name="Accent3 33" xfId="1203" xr:uid="{00000000-0005-0000-0000-00008A050000}"/>
    <cellStyle name="Accent3 34" xfId="1204" xr:uid="{00000000-0005-0000-0000-00008B050000}"/>
    <cellStyle name="Accent3 35" xfId="1205" xr:uid="{00000000-0005-0000-0000-00008C050000}"/>
    <cellStyle name="Accent3 36" xfId="1206" xr:uid="{00000000-0005-0000-0000-00008D050000}"/>
    <cellStyle name="Accent3 37" xfId="1207" xr:uid="{00000000-0005-0000-0000-00008E050000}"/>
    <cellStyle name="Accent3 38" xfId="1208" xr:uid="{00000000-0005-0000-0000-00008F050000}"/>
    <cellStyle name="Accent3 39" xfId="1209" xr:uid="{00000000-0005-0000-0000-000090050000}"/>
    <cellStyle name="Accent3 4" xfId="1210" xr:uid="{00000000-0005-0000-0000-000091050000}"/>
    <cellStyle name="Accent3 4 2" xfId="9537" xr:uid="{00000000-0005-0000-0000-000092050000}"/>
    <cellStyle name="Accent3 40" xfId="1211" xr:uid="{00000000-0005-0000-0000-000093050000}"/>
    <cellStyle name="Accent3 41" xfId="1212" xr:uid="{00000000-0005-0000-0000-000094050000}"/>
    <cellStyle name="Accent3 42" xfId="1213" xr:uid="{00000000-0005-0000-0000-000095050000}"/>
    <cellStyle name="Accent3 43" xfId="1214" xr:uid="{00000000-0005-0000-0000-000096050000}"/>
    <cellStyle name="Accent3 5" xfId="1215" xr:uid="{00000000-0005-0000-0000-000097050000}"/>
    <cellStyle name="Accent3 5 2" xfId="9538" xr:uid="{00000000-0005-0000-0000-000098050000}"/>
    <cellStyle name="Accent3 6" xfId="1216" xr:uid="{00000000-0005-0000-0000-000099050000}"/>
    <cellStyle name="Accent3 6 2" xfId="9539" xr:uid="{00000000-0005-0000-0000-00009A050000}"/>
    <cellStyle name="Accent3 7" xfId="1217" xr:uid="{00000000-0005-0000-0000-00009B050000}"/>
    <cellStyle name="Accent3 8" xfId="1218" xr:uid="{00000000-0005-0000-0000-00009C050000}"/>
    <cellStyle name="Accent3 9" xfId="1219" xr:uid="{00000000-0005-0000-0000-00009D050000}"/>
    <cellStyle name="Accent4 10" xfId="1220" xr:uid="{00000000-0005-0000-0000-00009E050000}"/>
    <cellStyle name="Accent4 11" xfId="1221" xr:uid="{00000000-0005-0000-0000-00009F050000}"/>
    <cellStyle name="Accent4 12" xfId="1222" xr:uid="{00000000-0005-0000-0000-0000A0050000}"/>
    <cellStyle name="Accent4 13" xfId="1223" xr:uid="{00000000-0005-0000-0000-0000A1050000}"/>
    <cellStyle name="Accent4 14" xfId="1224" xr:uid="{00000000-0005-0000-0000-0000A2050000}"/>
    <cellStyle name="Accent4 15" xfId="1225" xr:uid="{00000000-0005-0000-0000-0000A3050000}"/>
    <cellStyle name="Accent4 16" xfId="1226" xr:uid="{00000000-0005-0000-0000-0000A4050000}"/>
    <cellStyle name="Accent4 17" xfId="1227" xr:uid="{00000000-0005-0000-0000-0000A5050000}"/>
    <cellStyle name="Accent4 18" xfId="1228" xr:uid="{00000000-0005-0000-0000-0000A6050000}"/>
    <cellStyle name="Accent4 19" xfId="1229" xr:uid="{00000000-0005-0000-0000-0000A7050000}"/>
    <cellStyle name="Accent4 2" xfId="51" xr:uid="{00000000-0005-0000-0000-0000A8050000}"/>
    <cellStyle name="Accent4 2 10" xfId="3655" xr:uid="{00000000-0005-0000-0000-0000A9050000}"/>
    <cellStyle name="Accent4 2 11" xfId="9540" xr:uid="{00000000-0005-0000-0000-0000AA050000}"/>
    <cellStyle name="Accent4 2 12" xfId="34147" xr:uid="{83D64100-5349-4DAF-B26B-4C047532976E}"/>
    <cellStyle name="Accent4 2 2" xfId="3656" xr:uid="{00000000-0005-0000-0000-0000AB050000}"/>
    <cellStyle name="Accent4 2 2 2" xfId="34149" xr:uid="{5AA4067E-254B-4FE8-8C83-93C4F99A3BB8}"/>
    <cellStyle name="Accent4 2 2 3" xfId="34148" xr:uid="{3B6440DA-C42B-419E-9780-D86D26363BE8}"/>
    <cellStyle name="Accent4 2 3" xfId="3657" xr:uid="{00000000-0005-0000-0000-0000AC050000}"/>
    <cellStyle name="Accent4 2 4" xfId="3658" xr:uid="{00000000-0005-0000-0000-0000AD050000}"/>
    <cellStyle name="Accent4 2 5" xfId="3659" xr:uid="{00000000-0005-0000-0000-0000AE050000}"/>
    <cellStyle name="Accent4 2 6" xfId="3660" xr:uid="{00000000-0005-0000-0000-0000AF050000}"/>
    <cellStyle name="Accent4 2 7" xfId="3661" xr:uid="{00000000-0005-0000-0000-0000B0050000}"/>
    <cellStyle name="Accent4 2 8" xfId="3662" xr:uid="{00000000-0005-0000-0000-0000B1050000}"/>
    <cellStyle name="Accent4 2 9" xfId="3663" xr:uid="{00000000-0005-0000-0000-0000B2050000}"/>
    <cellStyle name="Accent4 20" xfId="1230" xr:uid="{00000000-0005-0000-0000-0000B3050000}"/>
    <cellStyle name="Accent4 21" xfId="1231" xr:uid="{00000000-0005-0000-0000-0000B4050000}"/>
    <cellStyle name="Accent4 22" xfId="1232" xr:uid="{00000000-0005-0000-0000-0000B5050000}"/>
    <cellStyle name="Accent4 23" xfId="1233" xr:uid="{00000000-0005-0000-0000-0000B6050000}"/>
    <cellStyle name="Accent4 24" xfId="1234" xr:uid="{00000000-0005-0000-0000-0000B7050000}"/>
    <cellStyle name="Accent4 25" xfId="1235" xr:uid="{00000000-0005-0000-0000-0000B8050000}"/>
    <cellStyle name="Accent4 26" xfId="1236" xr:uid="{00000000-0005-0000-0000-0000B9050000}"/>
    <cellStyle name="Accent4 27" xfId="1237" xr:uid="{00000000-0005-0000-0000-0000BA050000}"/>
    <cellStyle name="Accent4 28" xfId="1238" xr:uid="{00000000-0005-0000-0000-0000BB050000}"/>
    <cellStyle name="Accent4 29" xfId="1239" xr:uid="{00000000-0005-0000-0000-0000BC050000}"/>
    <cellStyle name="Accent4 3" xfId="52" xr:uid="{00000000-0005-0000-0000-0000BD050000}"/>
    <cellStyle name="Accent4 3 2" xfId="1240" xr:uid="{00000000-0005-0000-0000-0000BE050000}"/>
    <cellStyle name="Accent4 3 2 2" xfId="9541" xr:uid="{00000000-0005-0000-0000-0000BF050000}"/>
    <cellStyle name="Accent4 3 3" xfId="3664" xr:uid="{00000000-0005-0000-0000-0000C0050000}"/>
    <cellStyle name="Accent4 3 4" xfId="5740" xr:uid="{00000000-0005-0000-0000-0000C1050000}"/>
    <cellStyle name="Accent4 3 5" xfId="34150" xr:uid="{A004DE8B-0BEB-4896-8602-7766575738B9}"/>
    <cellStyle name="Accent4 30" xfId="1241" xr:uid="{00000000-0005-0000-0000-0000C2050000}"/>
    <cellStyle name="Accent4 31" xfId="1242" xr:uid="{00000000-0005-0000-0000-0000C3050000}"/>
    <cellStyle name="Accent4 32" xfId="1243" xr:uid="{00000000-0005-0000-0000-0000C4050000}"/>
    <cellStyle name="Accent4 33" xfId="1244" xr:uid="{00000000-0005-0000-0000-0000C5050000}"/>
    <cellStyle name="Accent4 34" xfId="1245" xr:uid="{00000000-0005-0000-0000-0000C6050000}"/>
    <cellStyle name="Accent4 35" xfId="1246" xr:uid="{00000000-0005-0000-0000-0000C7050000}"/>
    <cellStyle name="Accent4 36" xfId="1247" xr:uid="{00000000-0005-0000-0000-0000C8050000}"/>
    <cellStyle name="Accent4 37" xfId="1248" xr:uid="{00000000-0005-0000-0000-0000C9050000}"/>
    <cellStyle name="Accent4 38" xfId="1249" xr:uid="{00000000-0005-0000-0000-0000CA050000}"/>
    <cellStyle name="Accent4 39" xfId="1250" xr:uid="{00000000-0005-0000-0000-0000CB050000}"/>
    <cellStyle name="Accent4 4" xfId="1251" xr:uid="{00000000-0005-0000-0000-0000CC050000}"/>
    <cellStyle name="Accent4 4 2" xfId="9542" xr:uid="{00000000-0005-0000-0000-0000CD050000}"/>
    <cellStyle name="Accent4 40" xfId="1252" xr:uid="{00000000-0005-0000-0000-0000CE050000}"/>
    <cellStyle name="Accent4 41" xfId="1253" xr:uid="{00000000-0005-0000-0000-0000CF050000}"/>
    <cellStyle name="Accent4 42" xfId="1254" xr:uid="{00000000-0005-0000-0000-0000D0050000}"/>
    <cellStyle name="Accent4 43" xfId="1255" xr:uid="{00000000-0005-0000-0000-0000D1050000}"/>
    <cellStyle name="Accent4 5" xfId="1256" xr:uid="{00000000-0005-0000-0000-0000D2050000}"/>
    <cellStyle name="Accent4 5 2" xfId="9543" xr:uid="{00000000-0005-0000-0000-0000D3050000}"/>
    <cellStyle name="Accent4 6" xfId="1257" xr:uid="{00000000-0005-0000-0000-0000D4050000}"/>
    <cellStyle name="Accent4 6 2" xfId="9544" xr:uid="{00000000-0005-0000-0000-0000D5050000}"/>
    <cellStyle name="Accent4 7" xfId="1258" xr:uid="{00000000-0005-0000-0000-0000D6050000}"/>
    <cellStyle name="Accent4 8" xfId="1259" xr:uid="{00000000-0005-0000-0000-0000D7050000}"/>
    <cellStyle name="Accent4 9" xfId="1260" xr:uid="{00000000-0005-0000-0000-0000D8050000}"/>
    <cellStyle name="Accent5 10" xfId="1261" xr:uid="{00000000-0005-0000-0000-0000D9050000}"/>
    <cellStyle name="Accent5 11" xfId="1262" xr:uid="{00000000-0005-0000-0000-0000DA050000}"/>
    <cellStyle name="Accent5 12" xfId="1263" xr:uid="{00000000-0005-0000-0000-0000DB050000}"/>
    <cellStyle name="Accent5 13" xfId="1264" xr:uid="{00000000-0005-0000-0000-0000DC050000}"/>
    <cellStyle name="Accent5 14" xfId="1265" xr:uid="{00000000-0005-0000-0000-0000DD050000}"/>
    <cellStyle name="Accent5 15" xfId="1266" xr:uid="{00000000-0005-0000-0000-0000DE050000}"/>
    <cellStyle name="Accent5 16" xfId="1267" xr:uid="{00000000-0005-0000-0000-0000DF050000}"/>
    <cellStyle name="Accent5 17" xfId="1268" xr:uid="{00000000-0005-0000-0000-0000E0050000}"/>
    <cellStyle name="Accent5 18" xfId="1269" xr:uid="{00000000-0005-0000-0000-0000E1050000}"/>
    <cellStyle name="Accent5 19" xfId="1270" xr:uid="{00000000-0005-0000-0000-0000E2050000}"/>
    <cellStyle name="Accent5 2" xfId="53" xr:uid="{00000000-0005-0000-0000-0000E3050000}"/>
    <cellStyle name="Accent5 2 10" xfId="3665" xr:uid="{00000000-0005-0000-0000-0000E4050000}"/>
    <cellStyle name="Accent5 2 11" xfId="34151" xr:uid="{A98F1B09-7F66-47F9-ADA6-96F14F761506}"/>
    <cellStyle name="Accent5 2 2" xfId="3666" xr:uid="{00000000-0005-0000-0000-0000E5050000}"/>
    <cellStyle name="Accent5 2 3" xfId="3667" xr:uid="{00000000-0005-0000-0000-0000E6050000}"/>
    <cellStyle name="Accent5 2 4" xfId="3668" xr:uid="{00000000-0005-0000-0000-0000E7050000}"/>
    <cellStyle name="Accent5 2 5" xfId="3669" xr:uid="{00000000-0005-0000-0000-0000E8050000}"/>
    <cellStyle name="Accent5 2 6" xfId="3670" xr:uid="{00000000-0005-0000-0000-0000E9050000}"/>
    <cellStyle name="Accent5 2 7" xfId="3671" xr:uid="{00000000-0005-0000-0000-0000EA050000}"/>
    <cellStyle name="Accent5 2 8" xfId="3672" xr:uid="{00000000-0005-0000-0000-0000EB050000}"/>
    <cellStyle name="Accent5 2 9" xfId="3673" xr:uid="{00000000-0005-0000-0000-0000EC050000}"/>
    <cellStyle name="Accent5 20" xfId="1271" xr:uid="{00000000-0005-0000-0000-0000ED050000}"/>
    <cellStyle name="Accent5 21" xfId="1272" xr:uid="{00000000-0005-0000-0000-0000EE050000}"/>
    <cellStyle name="Accent5 22" xfId="1273" xr:uid="{00000000-0005-0000-0000-0000EF050000}"/>
    <cellStyle name="Accent5 23" xfId="1274" xr:uid="{00000000-0005-0000-0000-0000F0050000}"/>
    <cellStyle name="Accent5 24" xfId="1275" xr:uid="{00000000-0005-0000-0000-0000F1050000}"/>
    <cellStyle name="Accent5 25" xfId="1276" xr:uid="{00000000-0005-0000-0000-0000F2050000}"/>
    <cellStyle name="Accent5 26" xfId="1277" xr:uid="{00000000-0005-0000-0000-0000F3050000}"/>
    <cellStyle name="Accent5 27" xfId="1278" xr:uid="{00000000-0005-0000-0000-0000F4050000}"/>
    <cellStyle name="Accent5 28" xfId="1279" xr:uid="{00000000-0005-0000-0000-0000F5050000}"/>
    <cellStyle name="Accent5 29" xfId="1280" xr:uid="{00000000-0005-0000-0000-0000F6050000}"/>
    <cellStyle name="Accent5 3" xfId="54" xr:uid="{00000000-0005-0000-0000-0000F7050000}"/>
    <cellStyle name="Accent5 3 2" xfId="1281" xr:uid="{00000000-0005-0000-0000-0000F8050000}"/>
    <cellStyle name="Accent5 3 3" xfId="34152" xr:uid="{4EF4AC15-A92A-4478-A8CB-9193FD29F154}"/>
    <cellStyle name="Accent5 30" xfId="1282" xr:uid="{00000000-0005-0000-0000-0000F9050000}"/>
    <cellStyle name="Accent5 31" xfId="1283" xr:uid="{00000000-0005-0000-0000-0000FA050000}"/>
    <cellStyle name="Accent5 32" xfId="1284" xr:uid="{00000000-0005-0000-0000-0000FB050000}"/>
    <cellStyle name="Accent5 33" xfId="1285" xr:uid="{00000000-0005-0000-0000-0000FC050000}"/>
    <cellStyle name="Accent5 34" xfId="1286" xr:uid="{00000000-0005-0000-0000-0000FD050000}"/>
    <cellStyle name="Accent5 35" xfId="1287" xr:uid="{00000000-0005-0000-0000-0000FE050000}"/>
    <cellStyle name="Accent5 36" xfId="1288" xr:uid="{00000000-0005-0000-0000-0000FF050000}"/>
    <cellStyle name="Accent5 37" xfId="1289" xr:uid="{00000000-0005-0000-0000-000000060000}"/>
    <cellStyle name="Accent5 38" xfId="1290" xr:uid="{00000000-0005-0000-0000-000001060000}"/>
    <cellStyle name="Accent5 39" xfId="1291" xr:uid="{00000000-0005-0000-0000-000002060000}"/>
    <cellStyle name="Accent5 4" xfId="1292" xr:uid="{00000000-0005-0000-0000-000003060000}"/>
    <cellStyle name="Accent5 4 2" xfId="9545" xr:uid="{00000000-0005-0000-0000-000004060000}"/>
    <cellStyle name="Accent5 40" xfId="1293" xr:uid="{00000000-0005-0000-0000-000005060000}"/>
    <cellStyle name="Accent5 41" xfId="1294" xr:uid="{00000000-0005-0000-0000-000006060000}"/>
    <cellStyle name="Accent5 42" xfId="1295" xr:uid="{00000000-0005-0000-0000-000007060000}"/>
    <cellStyle name="Accent5 43" xfId="1296" xr:uid="{00000000-0005-0000-0000-000008060000}"/>
    <cellStyle name="Accent5 5" xfId="1297" xr:uid="{00000000-0005-0000-0000-000009060000}"/>
    <cellStyle name="Accent5 5 2" xfId="9546" xr:uid="{00000000-0005-0000-0000-00000A060000}"/>
    <cellStyle name="Accent5 6" xfId="1298" xr:uid="{00000000-0005-0000-0000-00000B060000}"/>
    <cellStyle name="Accent5 6 2" xfId="9547" xr:uid="{00000000-0005-0000-0000-00000C060000}"/>
    <cellStyle name="Accent5 7" xfId="1299" xr:uid="{00000000-0005-0000-0000-00000D060000}"/>
    <cellStyle name="Accent5 8" xfId="1300" xr:uid="{00000000-0005-0000-0000-00000E060000}"/>
    <cellStyle name="Accent5 9" xfId="1301" xr:uid="{00000000-0005-0000-0000-00000F060000}"/>
    <cellStyle name="Accent6 10" xfId="1302" xr:uid="{00000000-0005-0000-0000-000010060000}"/>
    <cellStyle name="Accent6 11" xfId="1303" xr:uid="{00000000-0005-0000-0000-000011060000}"/>
    <cellStyle name="Accent6 12" xfId="1304" xr:uid="{00000000-0005-0000-0000-000012060000}"/>
    <cellStyle name="Accent6 13" xfId="1305" xr:uid="{00000000-0005-0000-0000-000013060000}"/>
    <cellStyle name="Accent6 14" xfId="1306" xr:uid="{00000000-0005-0000-0000-000014060000}"/>
    <cellStyle name="Accent6 15" xfId="1307" xr:uid="{00000000-0005-0000-0000-000015060000}"/>
    <cellStyle name="Accent6 16" xfId="1308" xr:uid="{00000000-0005-0000-0000-000016060000}"/>
    <cellStyle name="Accent6 17" xfId="1309" xr:uid="{00000000-0005-0000-0000-000017060000}"/>
    <cellStyle name="Accent6 18" xfId="1310" xr:uid="{00000000-0005-0000-0000-000018060000}"/>
    <cellStyle name="Accent6 19" xfId="1311" xr:uid="{00000000-0005-0000-0000-000019060000}"/>
    <cellStyle name="Accent6 2" xfId="55" xr:uid="{00000000-0005-0000-0000-00001A060000}"/>
    <cellStyle name="Accent6 2 10" xfId="3674" xr:uid="{00000000-0005-0000-0000-00001B060000}"/>
    <cellStyle name="Accent6 2 11" xfId="9548" xr:uid="{00000000-0005-0000-0000-00001C060000}"/>
    <cellStyle name="Accent6 2 12" xfId="34153" xr:uid="{F69DA075-2ADD-4938-972A-BB62D0FC1404}"/>
    <cellStyle name="Accent6 2 2" xfId="3675" xr:uid="{00000000-0005-0000-0000-00001D060000}"/>
    <cellStyle name="Accent6 2 2 2" xfId="34155" xr:uid="{AB405013-E6CA-485B-AA7C-ABAC1E6CA9C0}"/>
    <cellStyle name="Accent6 2 2 3" xfId="34154" xr:uid="{2CC1AAA5-6F2C-4BFF-863C-FA9F092B3D27}"/>
    <cellStyle name="Accent6 2 3" xfId="3676" xr:uid="{00000000-0005-0000-0000-00001E060000}"/>
    <cellStyle name="Accent6 2 4" xfId="3677" xr:uid="{00000000-0005-0000-0000-00001F060000}"/>
    <cellStyle name="Accent6 2 5" xfId="3678" xr:uid="{00000000-0005-0000-0000-000020060000}"/>
    <cellStyle name="Accent6 2 6" xfId="3679" xr:uid="{00000000-0005-0000-0000-000021060000}"/>
    <cellStyle name="Accent6 2 7" xfId="3680" xr:uid="{00000000-0005-0000-0000-000022060000}"/>
    <cellStyle name="Accent6 2 8" xfId="3681" xr:uid="{00000000-0005-0000-0000-000023060000}"/>
    <cellStyle name="Accent6 2 9" xfId="3682" xr:uid="{00000000-0005-0000-0000-000024060000}"/>
    <cellStyle name="Accent6 20" xfId="1312" xr:uid="{00000000-0005-0000-0000-000025060000}"/>
    <cellStyle name="Accent6 21" xfId="1313" xr:uid="{00000000-0005-0000-0000-000026060000}"/>
    <cellStyle name="Accent6 22" xfId="1314" xr:uid="{00000000-0005-0000-0000-000027060000}"/>
    <cellStyle name="Accent6 23" xfId="1315" xr:uid="{00000000-0005-0000-0000-000028060000}"/>
    <cellStyle name="Accent6 24" xfId="1316" xr:uid="{00000000-0005-0000-0000-000029060000}"/>
    <cellStyle name="Accent6 25" xfId="1317" xr:uid="{00000000-0005-0000-0000-00002A060000}"/>
    <cellStyle name="Accent6 26" xfId="1318" xr:uid="{00000000-0005-0000-0000-00002B060000}"/>
    <cellStyle name="Accent6 27" xfId="1319" xr:uid="{00000000-0005-0000-0000-00002C060000}"/>
    <cellStyle name="Accent6 28" xfId="1320" xr:uid="{00000000-0005-0000-0000-00002D060000}"/>
    <cellStyle name="Accent6 29" xfId="1321" xr:uid="{00000000-0005-0000-0000-00002E060000}"/>
    <cellStyle name="Accent6 3" xfId="56" xr:uid="{00000000-0005-0000-0000-00002F060000}"/>
    <cellStyle name="Accent6 3 2" xfId="1322" xr:uid="{00000000-0005-0000-0000-000030060000}"/>
    <cellStyle name="Accent6 3 2 2" xfId="9549" xr:uid="{00000000-0005-0000-0000-000031060000}"/>
    <cellStyle name="Accent6 3 3" xfId="3683" xr:uid="{00000000-0005-0000-0000-000032060000}"/>
    <cellStyle name="Accent6 3 4" xfId="5741" xr:uid="{00000000-0005-0000-0000-000033060000}"/>
    <cellStyle name="Accent6 3 5" xfId="34156" xr:uid="{362D6FEC-F516-458B-839C-678E571DBBA1}"/>
    <cellStyle name="Accent6 30" xfId="1323" xr:uid="{00000000-0005-0000-0000-000034060000}"/>
    <cellStyle name="Accent6 31" xfId="1324" xr:uid="{00000000-0005-0000-0000-000035060000}"/>
    <cellStyle name="Accent6 32" xfId="1325" xr:uid="{00000000-0005-0000-0000-000036060000}"/>
    <cellStyle name="Accent6 33" xfId="1326" xr:uid="{00000000-0005-0000-0000-000037060000}"/>
    <cellStyle name="Accent6 34" xfId="1327" xr:uid="{00000000-0005-0000-0000-000038060000}"/>
    <cellStyle name="Accent6 35" xfId="1328" xr:uid="{00000000-0005-0000-0000-000039060000}"/>
    <cellStyle name="Accent6 36" xfId="1329" xr:uid="{00000000-0005-0000-0000-00003A060000}"/>
    <cellStyle name="Accent6 37" xfId="1330" xr:uid="{00000000-0005-0000-0000-00003B060000}"/>
    <cellStyle name="Accent6 38" xfId="1331" xr:uid="{00000000-0005-0000-0000-00003C060000}"/>
    <cellStyle name="Accent6 39" xfId="1332" xr:uid="{00000000-0005-0000-0000-00003D060000}"/>
    <cellStyle name="Accent6 4" xfId="1333" xr:uid="{00000000-0005-0000-0000-00003E060000}"/>
    <cellStyle name="Accent6 4 2" xfId="9550" xr:uid="{00000000-0005-0000-0000-00003F060000}"/>
    <cellStyle name="Accent6 40" xfId="1334" xr:uid="{00000000-0005-0000-0000-000040060000}"/>
    <cellStyle name="Accent6 41" xfId="1335" xr:uid="{00000000-0005-0000-0000-000041060000}"/>
    <cellStyle name="Accent6 42" xfId="1336" xr:uid="{00000000-0005-0000-0000-000042060000}"/>
    <cellStyle name="Accent6 43" xfId="1337" xr:uid="{00000000-0005-0000-0000-000043060000}"/>
    <cellStyle name="Accent6 5" xfId="1338" xr:uid="{00000000-0005-0000-0000-000044060000}"/>
    <cellStyle name="Accent6 5 2" xfId="9551" xr:uid="{00000000-0005-0000-0000-000045060000}"/>
    <cellStyle name="Accent6 6" xfId="1339" xr:uid="{00000000-0005-0000-0000-000046060000}"/>
    <cellStyle name="Accent6 6 2" xfId="9552" xr:uid="{00000000-0005-0000-0000-000047060000}"/>
    <cellStyle name="Accent6 7" xfId="1340" xr:uid="{00000000-0005-0000-0000-000048060000}"/>
    <cellStyle name="Accent6 8" xfId="1341" xr:uid="{00000000-0005-0000-0000-000049060000}"/>
    <cellStyle name="Accent6 9" xfId="1342" xr:uid="{00000000-0005-0000-0000-00004A060000}"/>
    <cellStyle name="AggblueBoldCels" xfId="1343" xr:uid="{00000000-0005-0000-0000-00004B060000}"/>
    <cellStyle name="AggblueBoldCels 2" xfId="34157" xr:uid="{CFD13098-BB3E-4D47-84CD-74568F9A9709}"/>
    <cellStyle name="AggblueCels" xfId="1344" xr:uid="{00000000-0005-0000-0000-00004C060000}"/>
    <cellStyle name="AggblueCels 2" xfId="34158" xr:uid="{3725351E-476A-47A4-8CA8-D13464DA8587}"/>
    <cellStyle name="AggblueCels_1x" xfId="34159" xr:uid="{64864855-1A4E-4B5F-84F1-E7F8A5D01B94}"/>
    <cellStyle name="AggBoldCells" xfId="1345" xr:uid="{00000000-0005-0000-0000-00004D060000}"/>
    <cellStyle name="AggBoldCells 2" xfId="34160" xr:uid="{1E2F58AD-340B-4673-99FE-DE94AA476FA2}"/>
    <cellStyle name="AggBoldCells 3" xfId="34161" xr:uid="{C79417F7-3557-43F8-B256-C2A8D44859F9}"/>
    <cellStyle name="AggBoldCells 4" xfId="34162" xr:uid="{FEB602B5-42DE-48CA-A07D-5463BCF8E4C4}"/>
    <cellStyle name="AggCels" xfId="1346" xr:uid="{00000000-0005-0000-0000-00004E060000}"/>
    <cellStyle name="AggCels 2" xfId="34163" xr:uid="{2775726F-2203-42A4-B703-7F959EBB3849}"/>
    <cellStyle name="AggCels 3" xfId="34164" xr:uid="{31CD6664-F9B2-4AB4-B003-E33FA3778138}"/>
    <cellStyle name="AggCels 4" xfId="34165" xr:uid="{E8DDA965-3590-4686-92A6-F051E971180C}"/>
    <cellStyle name="AggCels_T(2)" xfId="34166" xr:uid="{72C87510-9A88-411F-BADD-D67862BC1E9A}"/>
    <cellStyle name="AggGreen" xfId="1347" xr:uid="{00000000-0005-0000-0000-00004F060000}"/>
    <cellStyle name="AggGreen 2" xfId="34167" xr:uid="{BFBE55FE-0FDE-4C20-A662-C2FBDCA86F35}"/>
    <cellStyle name="AggGreen 2 2" xfId="34168" xr:uid="{B048B78A-DCEF-4AA0-8B9C-C75FB7B65F97}"/>
    <cellStyle name="AggGreen 2 2 2" xfId="34169" xr:uid="{C5C94ADD-2DC1-42F8-BDB3-B55BCDDF14E6}"/>
    <cellStyle name="AggGreen 2 2 2 2" xfId="34170" xr:uid="{AB3DB4DB-92FD-453B-90F1-C1A01977E2CC}"/>
    <cellStyle name="AggGreen 2 2 3" xfId="34171" xr:uid="{ABECFF2C-0F3A-41F8-B089-AD5D353CD3EE}"/>
    <cellStyle name="AggGreen 2 3" xfId="34172" xr:uid="{39539CD7-E803-4CBD-A720-1C129E4902BF}"/>
    <cellStyle name="AggGreen 2 3 2" xfId="34173" xr:uid="{5FC9DEB7-2639-439A-AEAD-6887130CE65D}"/>
    <cellStyle name="AggGreen 2 3 2 2" xfId="34174" xr:uid="{4F1D82DD-1B62-4915-B18C-60AC2E7A54E4}"/>
    <cellStyle name="AggGreen 2 3 3" xfId="34175" xr:uid="{616DF863-4EC1-40D6-B9D1-7AF9BDCC45C4}"/>
    <cellStyle name="AggGreen 2 3 3 2" xfId="34176" xr:uid="{4B5B65B5-AEE3-4056-AE29-CBBDF3E3EC11}"/>
    <cellStyle name="AggGreen 2 3 4" xfId="34177" xr:uid="{CD75B2FE-70A9-4FF6-BBB2-EA39B5D18EAB}"/>
    <cellStyle name="AggGreen 2 3 4 2" xfId="34178" xr:uid="{D5847C9A-56E0-4C52-9064-936617EC4C87}"/>
    <cellStyle name="AggGreen 3" xfId="34179" xr:uid="{60D1EF32-C021-4E07-9D8E-976816806DD7}"/>
    <cellStyle name="AggGreen 3 2" xfId="34180" xr:uid="{C380935A-3D1B-4222-8AD3-5BB843F9B10A}"/>
    <cellStyle name="AggGreen 3 2 2" xfId="34181" xr:uid="{894B7DAF-F2CA-434E-AAE4-88D8FBF41DEE}"/>
    <cellStyle name="AggGreen 3 3" xfId="34182" xr:uid="{2A9369D3-6F61-4731-8212-019C4D9D7FB0}"/>
    <cellStyle name="AggGreen 4" xfId="34183" xr:uid="{6366CE50-96CD-4DDF-ACB5-2CED058171CE}"/>
    <cellStyle name="AggGreen 4 2" xfId="34184" xr:uid="{2ABC8336-D3F9-4759-82E0-3E5C1714DC87}"/>
    <cellStyle name="AggGreen 4 2 2" xfId="34185" xr:uid="{97C79E53-7A43-46CA-9AAC-84A5AF0A8217}"/>
    <cellStyle name="AggGreen 4 3" xfId="34186" xr:uid="{71EFEA31-8AE2-4EC5-9C22-5582EE33A217}"/>
    <cellStyle name="AggGreen 4 3 2" xfId="34187" xr:uid="{12E83781-386A-4CA1-B353-366DF007B65A}"/>
    <cellStyle name="AggGreen 4 4" xfId="34188" xr:uid="{B4DCB54C-DFAA-40C8-B613-AD7D8352ADE0}"/>
    <cellStyle name="AggGreen 4 4 2" xfId="34189" xr:uid="{80886687-E216-4AD0-9139-D764D18E5EDC}"/>
    <cellStyle name="AggGreen 5" xfId="34190" xr:uid="{35A2A6BB-8182-4D16-ADD3-043F465FF6D4}"/>
    <cellStyle name="AggGreen_Bbdr" xfId="34191" xr:uid="{969ABC1D-C1C2-422C-B129-38D558BC443F}"/>
    <cellStyle name="AggGreen12" xfId="1348" xr:uid="{00000000-0005-0000-0000-000050060000}"/>
    <cellStyle name="AggGreen12 2" xfId="34192" xr:uid="{8C842CDF-AC8F-4EC4-BAC8-65B27765B190}"/>
    <cellStyle name="AggGreen12 2 2" xfId="34193" xr:uid="{0D65EB31-CED8-4680-8CF3-6A3D123C0660}"/>
    <cellStyle name="AggGreen12 2 2 2" xfId="34194" xr:uid="{BED0A955-70FB-4FAD-9E5A-D70000D6716F}"/>
    <cellStyle name="AggGreen12 2 2 2 2" xfId="34195" xr:uid="{62D33ACD-9166-4D95-84AB-214C33668256}"/>
    <cellStyle name="AggGreen12 2 2 3" xfId="34196" xr:uid="{3C1165C1-71A0-49E6-B37C-B7ED169F9A27}"/>
    <cellStyle name="AggGreen12 2 3" xfId="34197" xr:uid="{5ED418C7-78ED-40F9-B46E-BBDDD78B9017}"/>
    <cellStyle name="AggGreen12 2 3 2" xfId="34198" xr:uid="{20681ABE-9421-468B-A161-46AC97C1832A}"/>
    <cellStyle name="AggGreen12 2 3 2 2" xfId="34199" xr:uid="{CBFD9BA2-467B-41FB-A814-0AB0652BDB4B}"/>
    <cellStyle name="AggGreen12 2 3 3" xfId="34200" xr:uid="{43777919-F65B-4FBC-B530-B8747312A9B6}"/>
    <cellStyle name="AggGreen12 2 3 3 2" xfId="34201" xr:uid="{49EA3C58-92A7-4BFD-9292-74EF0BD31A5E}"/>
    <cellStyle name="AggGreen12 2 3 4" xfId="34202" xr:uid="{F0CB3736-8B67-49E5-9BEC-8CD0ACEE51DF}"/>
    <cellStyle name="AggGreen12 2 3 4 2" xfId="34203" xr:uid="{65350B9D-2D92-422E-9478-8DCF3145A4A6}"/>
    <cellStyle name="AggGreen12 3" xfId="34204" xr:uid="{74599133-1B39-4A24-B57D-8F6EF582F126}"/>
    <cellStyle name="AggGreen12 3 2" xfId="34205" xr:uid="{4343833C-911C-4FE2-8353-32C9BFE1BE2F}"/>
    <cellStyle name="AggGreen12 3 2 2" xfId="34206" xr:uid="{AE7B96FA-427B-4FFC-A461-99F5085D678E}"/>
    <cellStyle name="AggGreen12 3 3" xfId="34207" xr:uid="{0DBA5D25-5143-4888-BCB5-B22AC8FD92F5}"/>
    <cellStyle name="AggGreen12 4" xfId="34208" xr:uid="{137BBAA7-53D8-4FD9-BDF1-1876BE86F5DD}"/>
    <cellStyle name="AggGreen12 4 2" xfId="34209" xr:uid="{EB756C31-C3E1-40EC-95EC-9BD0FACF86D7}"/>
    <cellStyle name="AggGreen12 4 2 2" xfId="34210" xr:uid="{F5AF2A02-B8B0-4E35-99DA-EA0D93598841}"/>
    <cellStyle name="AggGreen12 4 3" xfId="34211" xr:uid="{D6196514-585A-441C-9001-D32FC963E232}"/>
    <cellStyle name="AggGreen12 4 3 2" xfId="34212" xr:uid="{C4AEF4F5-A0DE-4062-9CA6-111AF8EB2238}"/>
    <cellStyle name="AggGreen12 4 4" xfId="34213" xr:uid="{5A6E08E4-B38B-43F2-8230-0E495D63F096}"/>
    <cellStyle name="AggGreen12 4 4 2" xfId="34214" xr:uid="{59427900-30D0-4CFE-9439-6613423A319F}"/>
    <cellStyle name="AggGreen12 5" xfId="34215" xr:uid="{4204E54E-5D3B-415B-B5CB-FC37E11EA9F6}"/>
    <cellStyle name="AggOrange" xfId="1349" xr:uid="{00000000-0005-0000-0000-000051060000}"/>
    <cellStyle name="AggOrange 2" xfId="34216" xr:uid="{A0C52770-B336-460D-902A-1DF0C2F83FA8}"/>
    <cellStyle name="AggOrange 2 2" xfId="34217" xr:uid="{5F14FA0D-6EF5-4701-876D-578212E03FBA}"/>
    <cellStyle name="AggOrange 2 2 2" xfId="34218" xr:uid="{55127BC6-F1CF-464E-B10C-D9E6D5CF039C}"/>
    <cellStyle name="AggOrange 2 2 2 2" xfId="34219" xr:uid="{C7B99915-B5F2-4826-AC26-1F1565141AF6}"/>
    <cellStyle name="AggOrange 2 2 3" xfId="34220" xr:uid="{B7B2AD79-59EA-4AA5-A8EA-05BA741C21A1}"/>
    <cellStyle name="AggOrange 2 3" xfId="34221" xr:uid="{12BB1C2D-C913-4CF4-8850-CD73B69FF0E3}"/>
    <cellStyle name="AggOrange 2 3 2" xfId="34222" xr:uid="{3C5D8E48-1EFB-4C44-A23E-E2DA267F1462}"/>
    <cellStyle name="AggOrange 2 3 2 2" xfId="34223" xr:uid="{BB572A86-33DB-407E-9BCB-C9B69447C2CA}"/>
    <cellStyle name="AggOrange 2 3 3" xfId="34224" xr:uid="{0842BD24-167D-4110-A3F8-BAFCB8943C91}"/>
    <cellStyle name="AggOrange 2 3 3 2" xfId="34225" xr:uid="{FCFAE929-4385-4D37-BB33-710B7A7E7B30}"/>
    <cellStyle name="AggOrange 2 3 4" xfId="34226" xr:uid="{B1CFE6DA-9EE0-426E-9DDE-280BA167DA82}"/>
    <cellStyle name="AggOrange 2 3 4 2" xfId="34227" xr:uid="{26B8AA47-7A54-4FDF-A65C-F6AC61555941}"/>
    <cellStyle name="AggOrange 3" xfId="34228" xr:uid="{FFA6B7C7-7ECA-4F52-96EF-C49510726596}"/>
    <cellStyle name="AggOrange 3 2" xfId="34229" xr:uid="{8C71B4AA-8EB7-4145-874F-63D99573CCB6}"/>
    <cellStyle name="AggOrange 3 2 2" xfId="34230" xr:uid="{FBC36908-037F-43C4-90ED-54FF8B13AEB6}"/>
    <cellStyle name="AggOrange 3 3" xfId="34231" xr:uid="{8E389017-9240-4F5A-8596-88A49241E092}"/>
    <cellStyle name="AggOrange 4" xfId="34232" xr:uid="{87E7808B-0802-4C83-8C96-AFC6665864AA}"/>
    <cellStyle name="AggOrange 4 2" xfId="34233" xr:uid="{87923286-2479-402D-8068-511783489706}"/>
    <cellStyle name="AggOrange 4 2 2" xfId="34234" xr:uid="{253E50EE-B52B-4839-8323-5028B6EFF82B}"/>
    <cellStyle name="AggOrange 4 3" xfId="34235" xr:uid="{608DC50E-F7D5-4725-83A6-5A6A21B0ABBA}"/>
    <cellStyle name="AggOrange 4 3 2" xfId="34236" xr:uid="{2EE54E9F-151F-4D4E-B713-B0465B808B2F}"/>
    <cellStyle name="AggOrange 4 4" xfId="34237" xr:uid="{D63BEA3B-0A0E-4BA0-8221-EFB19B3E35BF}"/>
    <cellStyle name="AggOrange 4 4 2" xfId="34238" xr:uid="{27D1AC15-F460-4527-8F91-9EBCC84C9929}"/>
    <cellStyle name="AggOrange 5" xfId="34239" xr:uid="{29B166AD-5DD8-406B-8ACF-5458AB29015C}"/>
    <cellStyle name="AggOrange_B_border" xfId="34240" xr:uid="{9EE515E4-B885-4500-8721-F90BFDB45502}"/>
    <cellStyle name="AggOrange9" xfId="1350" xr:uid="{00000000-0005-0000-0000-000052060000}"/>
    <cellStyle name="AggOrange9 2" xfId="34241" xr:uid="{74F53916-CB16-465D-9E9A-BD869E2C059B}"/>
    <cellStyle name="AggOrange9 2 2" xfId="34242" xr:uid="{AE72FE10-9A1D-4CF3-9077-6F5F8162BEA9}"/>
    <cellStyle name="AggOrange9 2 2 2" xfId="34243" xr:uid="{B1C13EE4-FB22-4981-B9CE-EFA0029533AE}"/>
    <cellStyle name="AggOrange9 2 2 2 2" xfId="34244" xr:uid="{DD743069-2D34-44C1-AF6F-95C9D089AE23}"/>
    <cellStyle name="AggOrange9 2 2 3" xfId="34245" xr:uid="{77C689C1-C967-4378-AF70-C134B923EB2C}"/>
    <cellStyle name="AggOrange9 2 3" xfId="34246" xr:uid="{606C7F70-099F-4600-B295-426464A258F0}"/>
    <cellStyle name="AggOrange9 2 3 2" xfId="34247" xr:uid="{A1C93908-48AF-4014-BCD8-279A1F512EB0}"/>
    <cellStyle name="AggOrange9 2 3 2 2" xfId="34248" xr:uid="{600F05F4-D343-47A1-9939-820C65F3AC5B}"/>
    <cellStyle name="AggOrange9 2 3 3" xfId="34249" xr:uid="{5AB02669-7AAA-4F57-95E7-0DFC00B5AFAC}"/>
    <cellStyle name="AggOrange9 2 3 3 2" xfId="34250" xr:uid="{3949BF3D-968A-4DBD-B6EF-CDED4DEAEAA5}"/>
    <cellStyle name="AggOrange9 2 3 4" xfId="34251" xr:uid="{0F23B857-0FA8-4B35-9E02-21A1ADE5416F}"/>
    <cellStyle name="AggOrange9 2 3 4 2" xfId="34252" xr:uid="{B89E635C-36EA-4DCB-9253-6F0F1C982A34}"/>
    <cellStyle name="AggOrange9 3" xfId="34253" xr:uid="{2C7AA3E5-FC71-436D-9B65-ADB2139E17F8}"/>
    <cellStyle name="AggOrange9 3 2" xfId="34254" xr:uid="{982AE868-86B4-4D9C-B8F0-3CCBBB2673E5}"/>
    <cellStyle name="AggOrange9 3 2 2" xfId="34255" xr:uid="{F47F0656-6762-4DC3-9F57-7DCBDCDAC059}"/>
    <cellStyle name="AggOrange9 3 3" xfId="34256" xr:uid="{E19B2578-D09E-46C8-B9DC-F578046B4034}"/>
    <cellStyle name="AggOrange9 4" xfId="34257" xr:uid="{3C329714-8012-4EAE-A56E-FCFF8BB7A623}"/>
    <cellStyle name="AggOrange9 4 2" xfId="34258" xr:uid="{1C2825CE-5EE8-4DD7-A83A-B2DE11D38B32}"/>
    <cellStyle name="AggOrange9 4 2 2" xfId="34259" xr:uid="{0B7B9DAA-97AE-47FC-AC46-E6EC1C19BF46}"/>
    <cellStyle name="AggOrange9 4 3" xfId="34260" xr:uid="{28F2BD14-56F2-49B1-95B4-AD1CB1FF08A3}"/>
    <cellStyle name="AggOrange9 4 3 2" xfId="34261" xr:uid="{A2FF413D-128A-436B-B86C-63ACD6933AD3}"/>
    <cellStyle name="AggOrange9 4 4" xfId="34262" xr:uid="{340769C8-2615-4B4A-B3F4-4288A834B9D4}"/>
    <cellStyle name="AggOrange9 4 4 2" xfId="34263" xr:uid="{B8E8B152-9E28-4C73-81DC-C8849456D5AA}"/>
    <cellStyle name="AggOrange9 5" xfId="34264" xr:uid="{CA95BAA5-EC8F-4574-97CD-97A02DE89D9D}"/>
    <cellStyle name="AggOrangeLB_2x" xfId="1351" xr:uid="{00000000-0005-0000-0000-000053060000}"/>
    <cellStyle name="AggOrangeLBorder" xfId="1352" xr:uid="{00000000-0005-0000-0000-000054060000}"/>
    <cellStyle name="AggOrangeLBorder 2" xfId="34265" xr:uid="{82E117F4-DF0F-41C0-B45D-4D583EDCDD3A}"/>
    <cellStyle name="AggOrangeLBorder 2 2" xfId="34266" xr:uid="{EB7A7460-FF66-4660-8F9B-A6C64D9B7A38}"/>
    <cellStyle name="AggOrangeLBorder 2 3" xfId="34267" xr:uid="{077D0344-7199-41BE-9315-1267BB903747}"/>
    <cellStyle name="AggOrangeLBorder 2 3 2" xfId="34268" xr:uid="{B6453E8F-C1EA-43E6-8B1A-4239D2BFD13E}"/>
    <cellStyle name="AggOrangeLBorder 2 3 2 2" xfId="34269" xr:uid="{D4002880-FC5B-46BA-B66E-15CF26A16F94}"/>
    <cellStyle name="AggOrangeLBorder 2 3 3" xfId="34270" xr:uid="{E933AFC3-BEC7-4A3C-AC28-66C8E901B25A}"/>
    <cellStyle name="AggOrangeLBorder 2 3 3 2" xfId="34271" xr:uid="{E38E4FC0-5A1A-40BD-B661-C7111AFA0959}"/>
    <cellStyle name="AggOrangeLBorder 2 3 4" xfId="34272" xr:uid="{795867B6-9248-4500-AFEA-25FCA9C1EAA4}"/>
    <cellStyle name="AggOrangeLBorder 2 3 4 2" xfId="34273" xr:uid="{0482CCA7-E341-4322-B960-C216661F8F5D}"/>
    <cellStyle name="AggOrangeLBorder 2 3 5" xfId="34274" xr:uid="{144A219F-2A42-4BC7-BA44-5F939FA150FE}"/>
    <cellStyle name="AggOrangeLBorder 3" xfId="34275" xr:uid="{6E95806B-4886-44E8-AC82-2EB3D859D668}"/>
    <cellStyle name="AggOrangeLBorder 4" xfId="34276" xr:uid="{EEC890BA-DDDE-47A0-85C7-AC252021692D}"/>
    <cellStyle name="AggOrangeLBorder 4 2" xfId="34277" xr:uid="{86DAF5B3-1A1E-444E-9DCB-48BDD0E64694}"/>
    <cellStyle name="AggOrangeLBorder 4 2 2" xfId="34278" xr:uid="{E077DAE6-FD2B-4703-9D07-B1355D041CBB}"/>
    <cellStyle name="AggOrangeLBorder 4 3" xfId="34279" xr:uid="{A5FA8621-2805-4780-A3BC-186AB082D6FA}"/>
    <cellStyle name="AggOrangeLBorder 4 3 2" xfId="34280" xr:uid="{83E5300D-03E6-45FF-A3F0-1514715EED7E}"/>
    <cellStyle name="AggOrangeLBorder 4 4" xfId="34281" xr:uid="{CAE0C09A-5E5E-4EDA-995C-45FFA7228759}"/>
    <cellStyle name="AggOrangeLBorder 4 4 2" xfId="34282" xr:uid="{73F44879-17AE-4F02-80A2-324EC8B873CE}"/>
    <cellStyle name="AggOrangeLBorder 4 5" xfId="34283" xr:uid="{7471E14E-C3C1-4699-9E1B-BF1A3CBFD1B3}"/>
    <cellStyle name="AggOrangeLBorder 5" xfId="34284" xr:uid="{715DA4B9-8FDB-4F6F-A3D4-500C6D9EB2CA}"/>
    <cellStyle name="AggOrangeRBorder" xfId="1353" xr:uid="{00000000-0005-0000-0000-000055060000}"/>
    <cellStyle name="AggOrangeRBorder 2" xfId="34285" xr:uid="{5AB68B8A-B2C1-4DB5-AE8A-7F68635DAFCC}"/>
    <cellStyle name="AggOrangeRBorder 2 2" xfId="34286" xr:uid="{B80B86B8-19D9-43B6-9AA5-4BD4C0BA0671}"/>
    <cellStyle name="AggOrangeRBorder 2 2 2" xfId="34287" xr:uid="{C5428416-7BDD-4224-9331-A6D0713F6058}"/>
    <cellStyle name="AggOrangeRBorder 2 2 2 2" xfId="34288" xr:uid="{C9573DFA-9893-44AB-8089-6809300F3906}"/>
    <cellStyle name="AggOrangeRBorder 2 3" xfId="34289" xr:uid="{4BC422C7-508C-4300-9886-6F3117F9D5EE}"/>
    <cellStyle name="AggOrangeRBorder 2 3 2" xfId="34290" xr:uid="{7B16FC9D-68F6-4B67-A405-A3177D03795C}"/>
    <cellStyle name="AggOrangeRBorder 2 3 2 2" xfId="34291" xr:uid="{BEC58359-8AEA-49D0-A9D2-2848A305D154}"/>
    <cellStyle name="AggOrangeRBorder 2 3 3" xfId="34292" xr:uid="{11A20873-9678-4737-9A58-B3AF36F366F1}"/>
    <cellStyle name="AggOrangeRBorder 2 3 3 2" xfId="34293" xr:uid="{C24D068F-2022-4C51-BD85-90A6786C4D14}"/>
    <cellStyle name="AggOrangeRBorder 2 3 4" xfId="34294" xr:uid="{347FC744-9B53-46D0-B0A1-70461D97D968}"/>
    <cellStyle name="AggOrangeRBorder 2 3 4 2" xfId="34295" xr:uid="{2BFE5BAE-ED61-44C5-8E69-E7BCC2B2ECBF}"/>
    <cellStyle name="AggOrangeRBorder 2 3 5" xfId="34296" xr:uid="{97C89C2F-259B-4D98-9AF6-4E2D4068EA12}"/>
    <cellStyle name="AggOrangeRBorder 3" xfId="34297" xr:uid="{F9666C30-976F-4C6B-BF7F-6F3A3860479E}"/>
    <cellStyle name="AggOrangeRBorder 3 2" xfId="34298" xr:uid="{14327748-DC8F-4A30-BDAB-9DC3EAD2E3D8}"/>
    <cellStyle name="AggOrangeRBorder 3 2 2" xfId="34299" xr:uid="{D9180CF9-B729-4109-8C59-E7965B5C1325}"/>
    <cellStyle name="AggOrangeRBorder 3 2 3" xfId="34300" xr:uid="{2D98B497-20F6-4F90-B78A-A59E24C780B2}"/>
    <cellStyle name="AggOrangeRBorder 4" xfId="34301" xr:uid="{A27CB129-BB53-4447-9995-9F267131AACF}"/>
    <cellStyle name="AggOrangeRBorder 4 2" xfId="34302" xr:uid="{D17F5FFD-34D6-434B-9546-4168ADD37AEA}"/>
    <cellStyle name="AggOrangeRBorder 4 2 2" xfId="34303" xr:uid="{81048F7C-0C43-4200-98BD-49F5D7F16399}"/>
    <cellStyle name="AggOrangeRBorder 4 3" xfId="34304" xr:uid="{790B9CA3-DBA6-4A17-B602-31B7D772EB5E}"/>
    <cellStyle name="AggOrangeRBorder 4 3 2" xfId="34305" xr:uid="{0F797933-E91C-4772-AECF-748F8271809D}"/>
    <cellStyle name="AggOrangeRBorder 4 4" xfId="34306" xr:uid="{B24FA8AA-A0EC-4C2D-B98E-82D9ED30EBFC}"/>
    <cellStyle name="AggOrangeRBorder 4 4 2" xfId="34307" xr:uid="{2273D09E-C0CF-44A0-85C6-DE553F1DB4E7}"/>
    <cellStyle name="AggOrangeRBorder 4 5" xfId="34308" xr:uid="{1FFA614D-758B-454D-B1B3-A3258FD916FD}"/>
    <cellStyle name="AggOrangeRBorder 5" xfId="34309" xr:uid="{28AB0E9C-9D58-4E9D-8E75-FC3CE8CA1A82}"/>
    <cellStyle name="AggOrangeRBorder_CRFReport-template" xfId="34310" xr:uid="{BF32D5B9-F827-418D-A519-1824AC9241F1}"/>
    <cellStyle name="Akzent1" xfId="1354" xr:uid="{00000000-0005-0000-0000-000056060000}"/>
    <cellStyle name="Akzent2" xfId="1355" xr:uid="{00000000-0005-0000-0000-000057060000}"/>
    <cellStyle name="Akzent3" xfId="1356" xr:uid="{00000000-0005-0000-0000-000058060000}"/>
    <cellStyle name="Akzent4" xfId="1357" xr:uid="{00000000-0005-0000-0000-000059060000}"/>
    <cellStyle name="Akzent5" xfId="1358" xr:uid="{00000000-0005-0000-0000-00005A060000}"/>
    <cellStyle name="Akzent6" xfId="1359" xr:uid="{00000000-0005-0000-0000-00005B060000}"/>
    <cellStyle name="Ausgabe" xfId="1360" xr:uid="{00000000-0005-0000-0000-00005C060000}"/>
    <cellStyle name="Ausgabe 2" xfId="34311" xr:uid="{EF126567-DD0B-48BF-85F3-D2CAE2DE88D3}"/>
    <cellStyle name="Ausgabe 2 2" xfId="34312" xr:uid="{BF26960C-ED54-4B1A-A9E7-8484F7D27585}"/>
    <cellStyle name="Ausgabe 2 2 2" xfId="34313" xr:uid="{65D0DC87-C170-4767-98FC-41D07150BB15}"/>
    <cellStyle name="Ausgabe 2 3" xfId="34314" xr:uid="{28D1CE2D-83EF-4092-9003-CA30CD0012F4}"/>
    <cellStyle name="Ausgabe 2 3 2" xfId="34315" xr:uid="{B3E0DFF1-4549-4AB6-BCD4-EA46D2550D8E}"/>
    <cellStyle name="Ausgabe 2 4" xfId="34316" xr:uid="{5E10DAE2-CB4A-451B-8455-634036442BF4}"/>
    <cellStyle name="Ausgabe 3" xfId="34317" xr:uid="{DEF22036-75F0-4AE1-AF2D-C98A895A8DAB}"/>
    <cellStyle name="Ausgabe 3 2" xfId="34318" xr:uid="{1EA09F01-E3E5-4039-ACDA-523AD8862760}"/>
    <cellStyle name="Ausgabe 3 2 2" xfId="34319" xr:uid="{5B5A3DCF-F825-402B-B4C4-54612B4CF10C}"/>
    <cellStyle name="Ausgabe 3 3" xfId="34320" xr:uid="{22755135-8A96-4C82-9046-CEEC5E16A21E}"/>
    <cellStyle name="Ausgabe 3 3 2" xfId="34321" xr:uid="{CE549BA9-4214-45DA-A9BB-A639809471D4}"/>
    <cellStyle name="Ausgabe 3 4" xfId="34322" xr:uid="{76F85560-5CC6-4233-A2B3-E693530574A9}"/>
    <cellStyle name="Ausgabe 4" xfId="34323" xr:uid="{2424886D-BCC3-41D6-8C42-DB3FCD82B0B5}"/>
    <cellStyle name="Ausgabe 4 2" xfId="34324" xr:uid="{6158FEC2-266C-4B4F-B756-74F2464C63BE}"/>
    <cellStyle name="Ausgabe 5" xfId="34325" xr:uid="{53C6C036-C056-4544-BCAF-38AC7E37C88D}"/>
    <cellStyle name="Ausgabe 5 2" xfId="34326" xr:uid="{E84CE582-E889-412E-BB5E-5B2643E93EC8}"/>
    <cellStyle name="Ausgabe 6" xfId="34327" xr:uid="{67726A67-7C3F-49E2-9BFF-FD1D7AED5E54}"/>
    <cellStyle name="Bad 10" xfId="1361" xr:uid="{00000000-0005-0000-0000-00005D060000}"/>
    <cellStyle name="Bad 11" xfId="1362" xr:uid="{00000000-0005-0000-0000-00005E060000}"/>
    <cellStyle name="Bad 12" xfId="1363" xr:uid="{00000000-0005-0000-0000-00005F060000}"/>
    <cellStyle name="Bad 13" xfId="1364" xr:uid="{00000000-0005-0000-0000-000060060000}"/>
    <cellStyle name="Bad 14" xfId="1365" xr:uid="{00000000-0005-0000-0000-000061060000}"/>
    <cellStyle name="Bad 15" xfId="1366" xr:uid="{00000000-0005-0000-0000-000062060000}"/>
    <cellStyle name="Bad 16" xfId="1367" xr:uid="{00000000-0005-0000-0000-000063060000}"/>
    <cellStyle name="Bad 17" xfId="1368" xr:uid="{00000000-0005-0000-0000-000064060000}"/>
    <cellStyle name="Bad 18" xfId="1369" xr:uid="{00000000-0005-0000-0000-000065060000}"/>
    <cellStyle name="Bad 19" xfId="1370" xr:uid="{00000000-0005-0000-0000-000066060000}"/>
    <cellStyle name="Bad 2" xfId="57" xr:uid="{00000000-0005-0000-0000-000067060000}"/>
    <cellStyle name="Bad 2 10" xfId="3684" xr:uid="{00000000-0005-0000-0000-000068060000}"/>
    <cellStyle name="Bad 2 11" xfId="9553" xr:uid="{00000000-0005-0000-0000-000069060000}"/>
    <cellStyle name="Bad 2 12" xfId="34328" xr:uid="{1DC1E944-5DD0-47F7-BF77-C1B034D4994C}"/>
    <cellStyle name="Bad 2 2" xfId="3685" xr:uid="{00000000-0005-0000-0000-00006A060000}"/>
    <cellStyle name="Bad 2 2 2" xfId="34330" xr:uid="{B1D695BE-8233-4E22-8B5D-E8B2BDA88C8D}"/>
    <cellStyle name="Bad 2 2 3" xfId="34329" xr:uid="{0FC8E94D-25B5-447B-9F77-FB2C4D156ECD}"/>
    <cellStyle name="Bad 2 3" xfId="3686" xr:uid="{00000000-0005-0000-0000-00006B060000}"/>
    <cellStyle name="Bad 2 4" xfId="3687" xr:uid="{00000000-0005-0000-0000-00006C060000}"/>
    <cellStyle name="Bad 2 5" xfId="3688" xr:uid="{00000000-0005-0000-0000-00006D060000}"/>
    <cellStyle name="Bad 2 6" xfId="3689" xr:uid="{00000000-0005-0000-0000-00006E060000}"/>
    <cellStyle name="Bad 2 7" xfId="3690" xr:uid="{00000000-0005-0000-0000-00006F060000}"/>
    <cellStyle name="Bad 2 8" xfId="3691" xr:uid="{00000000-0005-0000-0000-000070060000}"/>
    <cellStyle name="Bad 2 9" xfId="3692" xr:uid="{00000000-0005-0000-0000-000071060000}"/>
    <cellStyle name="Bad 20" xfId="1371" xr:uid="{00000000-0005-0000-0000-000072060000}"/>
    <cellStyle name="Bad 21" xfId="1372" xr:uid="{00000000-0005-0000-0000-000073060000}"/>
    <cellStyle name="Bad 22" xfId="1373" xr:uid="{00000000-0005-0000-0000-000074060000}"/>
    <cellStyle name="Bad 23" xfId="1374" xr:uid="{00000000-0005-0000-0000-000075060000}"/>
    <cellStyle name="Bad 24" xfId="1375" xr:uid="{00000000-0005-0000-0000-000076060000}"/>
    <cellStyle name="Bad 25" xfId="1376" xr:uid="{00000000-0005-0000-0000-000077060000}"/>
    <cellStyle name="Bad 26" xfId="1377" xr:uid="{00000000-0005-0000-0000-000078060000}"/>
    <cellStyle name="Bad 27" xfId="1378" xr:uid="{00000000-0005-0000-0000-000079060000}"/>
    <cellStyle name="Bad 28" xfId="1379" xr:uid="{00000000-0005-0000-0000-00007A060000}"/>
    <cellStyle name="Bad 29" xfId="1380" xr:uid="{00000000-0005-0000-0000-00007B060000}"/>
    <cellStyle name="Bad 3" xfId="58" xr:uid="{00000000-0005-0000-0000-00007C060000}"/>
    <cellStyle name="Bad 3 2" xfId="1381" xr:uid="{00000000-0005-0000-0000-00007D060000}"/>
    <cellStyle name="Bad 3 2 2" xfId="9554" xr:uid="{00000000-0005-0000-0000-00007E060000}"/>
    <cellStyle name="Bad 3 3" xfId="3693" xr:uid="{00000000-0005-0000-0000-00007F060000}"/>
    <cellStyle name="Bad 3 4" xfId="5742" xr:uid="{00000000-0005-0000-0000-000080060000}"/>
    <cellStyle name="Bad 3 5" xfId="34331" xr:uid="{E90D50C4-859B-4732-A7CC-BFCCE30FACBA}"/>
    <cellStyle name="Bad 30" xfId="1382" xr:uid="{00000000-0005-0000-0000-000081060000}"/>
    <cellStyle name="Bad 31" xfId="1383" xr:uid="{00000000-0005-0000-0000-000082060000}"/>
    <cellStyle name="Bad 32" xfId="1384" xr:uid="{00000000-0005-0000-0000-000083060000}"/>
    <cellStyle name="Bad 33" xfId="1385" xr:uid="{00000000-0005-0000-0000-000084060000}"/>
    <cellStyle name="Bad 34" xfId="1386" xr:uid="{00000000-0005-0000-0000-000085060000}"/>
    <cellStyle name="Bad 35" xfId="1387" xr:uid="{00000000-0005-0000-0000-000086060000}"/>
    <cellStyle name="Bad 36" xfId="1388" xr:uid="{00000000-0005-0000-0000-000087060000}"/>
    <cellStyle name="Bad 37" xfId="1389" xr:uid="{00000000-0005-0000-0000-000088060000}"/>
    <cellStyle name="Bad 38" xfId="1390" xr:uid="{00000000-0005-0000-0000-000089060000}"/>
    <cellStyle name="Bad 39" xfId="1391" xr:uid="{00000000-0005-0000-0000-00008A060000}"/>
    <cellStyle name="Bad 4" xfId="1392" xr:uid="{00000000-0005-0000-0000-00008B060000}"/>
    <cellStyle name="Bad 4 2" xfId="9555" xr:uid="{00000000-0005-0000-0000-00008C060000}"/>
    <cellStyle name="Bad 40" xfId="1393" xr:uid="{00000000-0005-0000-0000-00008D060000}"/>
    <cellStyle name="Bad 41" xfId="1394" xr:uid="{00000000-0005-0000-0000-00008E060000}"/>
    <cellStyle name="Bad 42" xfId="1395" xr:uid="{00000000-0005-0000-0000-00008F060000}"/>
    <cellStyle name="Bad 43" xfId="1396" xr:uid="{00000000-0005-0000-0000-000090060000}"/>
    <cellStyle name="Bad 44" xfId="1397" xr:uid="{00000000-0005-0000-0000-000091060000}"/>
    <cellStyle name="Bad 5" xfId="1398" xr:uid="{00000000-0005-0000-0000-000092060000}"/>
    <cellStyle name="Bad 5 2" xfId="9556" xr:uid="{00000000-0005-0000-0000-000093060000}"/>
    <cellStyle name="Bad 6" xfId="1399" xr:uid="{00000000-0005-0000-0000-000094060000}"/>
    <cellStyle name="Bad 6 2" xfId="9557" xr:uid="{00000000-0005-0000-0000-000095060000}"/>
    <cellStyle name="Bad 7" xfId="1400" xr:uid="{00000000-0005-0000-0000-000096060000}"/>
    <cellStyle name="Bad 8" xfId="1401" xr:uid="{00000000-0005-0000-0000-000097060000}"/>
    <cellStyle name="Bad 9" xfId="1402" xr:uid="{00000000-0005-0000-0000-000098060000}"/>
    <cellStyle name="Berechnung" xfId="1403" xr:uid="{00000000-0005-0000-0000-000099060000}"/>
    <cellStyle name="Berechnung 2" xfId="34332" xr:uid="{21BABF35-AA35-4592-A83F-402B27F48B18}"/>
    <cellStyle name="Berechnung 2 2" xfId="34333" xr:uid="{C26C9057-36C4-47DE-9D9C-28DD1A75DAA7}"/>
    <cellStyle name="Berechnung 2 2 2" xfId="34334" xr:uid="{FF14733A-71AD-42E2-BB90-2CA837A6AA6B}"/>
    <cellStyle name="Berechnung 2 3" xfId="34335" xr:uid="{D2215D8E-E7C1-4988-8C36-A25C174B42D1}"/>
    <cellStyle name="Berechnung 2 3 2" xfId="34336" xr:uid="{F159FD33-E75B-4B6B-A5BC-29347D1F141B}"/>
    <cellStyle name="Berechnung 2 4" xfId="34337" xr:uid="{5941B3CA-E6B5-4CCB-ADCA-BF4382472FC9}"/>
    <cellStyle name="Berechnung 2 4 2" xfId="34338" xr:uid="{F148584B-B63D-4796-B811-C589138D4FDF}"/>
    <cellStyle name="Berechnung 2 5" xfId="34339" xr:uid="{0FF69A75-7CF7-4585-9855-00A7A3127B9A}"/>
    <cellStyle name="Berechnung 3" xfId="34340" xr:uid="{6B7F9E07-EB35-4AC3-B73B-60371F90CEFA}"/>
    <cellStyle name="Berechnung 3 2" xfId="34341" xr:uid="{3B056545-21C9-41A1-8112-F9D8F1BA1EE1}"/>
    <cellStyle name="Berechnung 3 2 2" xfId="34342" xr:uid="{1BEE73BB-E33A-41C0-B032-81AD234B986B}"/>
    <cellStyle name="Berechnung 3 3" xfId="34343" xr:uid="{D1E23028-C5D3-4521-91A5-4209E90BB0BF}"/>
    <cellStyle name="Berechnung 3 3 2" xfId="34344" xr:uid="{70943990-7434-460B-8877-EB8E62FE5A7D}"/>
    <cellStyle name="Berechnung 3 4" xfId="34345" xr:uid="{B32FB739-139E-4CC9-AFC0-71F84E8170F8}"/>
    <cellStyle name="Berechnung 3 4 2" xfId="34346" xr:uid="{D33D31DF-040D-4B08-93A6-B62EF7CFCB42}"/>
    <cellStyle name="Berechnung 3 5" xfId="34347" xr:uid="{797CDC46-060D-4482-9E24-68E21FDF8B41}"/>
    <cellStyle name="Berechnung 4" xfId="34348" xr:uid="{1BB18470-8D33-47E4-9574-61065640CD6F}"/>
    <cellStyle name="Berechnung 4 2" xfId="34349" xr:uid="{4E96F40B-4E55-4149-B833-617C42675DC7}"/>
    <cellStyle name="Berechnung 5" xfId="34350" xr:uid="{C7C4E860-F1C1-4DD1-A564-FE3ED83E5E6D}"/>
    <cellStyle name="Berechnung 5 2" xfId="34351" xr:uid="{E291D9B5-5CE8-4CDD-A6DC-28AE3DC9237A}"/>
    <cellStyle name="Berechnung 6" xfId="34352" xr:uid="{BF4A9533-2DA6-488A-BA76-66A2B000E945}"/>
    <cellStyle name="Berechnung 6 2" xfId="34353" xr:uid="{E294D0B6-FB22-484E-9420-4E1651D16F81}"/>
    <cellStyle name="Berechnung 7" xfId="34354" xr:uid="{0BFA1B70-AD41-4470-ADAE-E93C0E6C0178}"/>
    <cellStyle name="Bold GHG Numbers (0.00)" xfId="1404" xr:uid="{00000000-0005-0000-0000-00009A060000}"/>
    <cellStyle name="Calculation 10" xfId="1405" xr:uid="{00000000-0005-0000-0000-00009B060000}"/>
    <cellStyle name="Calculation 11" xfId="1406" xr:uid="{00000000-0005-0000-0000-00009C060000}"/>
    <cellStyle name="Calculation 12" xfId="1407" xr:uid="{00000000-0005-0000-0000-00009D060000}"/>
    <cellStyle name="Calculation 13" xfId="1408" xr:uid="{00000000-0005-0000-0000-00009E060000}"/>
    <cellStyle name="Calculation 14" xfId="1409" xr:uid="{00000000-0005-0000-0000-00009F060000}"/>
    <cellStyle name="Calculation 15" xfId="1410" xr:uid="{00000000-0005-0000-0000-0000A0060000}"/>
    <cellStyle name="Calculation 16" xfId="1411" xr:uid="{00000000-0005-0000-0000-0000A1060000}"/>
    <cellStyle name="Calculation 17" xfId="1412" xr:uid="{00000000-0005-0000-0000-0000A2060000}"/>
    <cellStyle name="Calculation 18" xfId="1413" xr:uid="{00000000-0005-0000-0000-0000A3060000}"/>
    <cellStyle name="Calculation 19" xfId="1414" xr:uid="{00000000-0005-0000-0000-0000A4060000}"/>
    <cellStyle name="Calculation 2" xfId="59" xr:uid="{00000000-0005-0000-0000-0000A5060000}"/>
    <cellStyle name="Calculation 2 10" xfId="3694" xr:uid="{00000000-0005-0000-0000-0000A6060000}"/>
    <cellStyle name="Calculation 2 11" xfId="9558" xr:uid="{00000000-0005-0000-0000-0000A7060000}"/>
    <cellStyle name="Calculation 2 12" xfId="34355" xr:uid="{2A02764A-30D2-4BB1-8FBA-5F123B8CE828}"/>
    <cellStyle name="Calculation 2 2" xfId="3695" xr:uid="{00000000-0005-0000-0000-0000A8060000}"/>
    <cellStyle name="Calculation 2 2 2" xfId="34357" xr:uid="{5DD00DFE-847D-46F8-B7CF-B93710AEB4CE}"/>
    <cellStyle name="Calculation 2 2 3" xfId="34358" xr:uid="{357E67D1-4B0F-425A-A957-6EB29714D519}"/>
    <cellStyle name="Calculation 2 2 4" xfId="34356" xr:uid="{756B72A8-06B4-4C28-B773-533989EF2BE3}"/>
    <cellStyle name="Calculation 2 3" xfId="3696" xr:uid="{00000000-0005-0000-0000-0000A9060000}"/>
    <cellStyle name="Calculation 2 3 2" xfId="34360" xr:uid="{274CFE20-082B-46C1-A99C-85BEF8DB5276}"/>
    <cellStyle name="Calculation 2 3 3" xfId="34361" xr:uid="{6684ADBC-14DB-49D4-B8AD-85557046E508}"/>
    <cellStyle name="Calculation 2 3 4" xfId="34359" xr:uid="{FF8F6432-3B8E-4C0B-A2DE-D04610AB193C}"/>
    <cellStyle name="Calculation 2 4" xfId="3697" xr:uid="{00000000-0005-0000-0000-0000AA060000}"/>
    <cellStyle name="Calculation 2 4 2" xfId="34363" xr:uid="{3E4CD4A5-2971-451B-A667-AC74675A0DB9}"/>
    <cellStyle name="Calculation 2 4 3" xfId="34364" xr:uid="{DE482516-2A73-4E08-B398-9EDCC251B28A}"/>
    <cellStyle name="Calculation 2 4 4" xfId="34362" xr:uid="{3214CACE-2F6F-4DC2-8140-68D7058F854B}"/>
    <cellStyle name="Calculation 2 5" xfId="3698" xr:uid="{00000000-0005-0000-0000-0000AB060000}"/>
    <cellStyle name="Calculation 2 5 2" xfId="34366" xr:uid="{D7BC478C-CEEB-42F4-99A8-8D1CBD125EBC}"/>
    <cellStyle name="Calculation 2 5 3" xfId="34365" xr:uid="{114626E0-EA5F-46DD-955F-B55D7B1CD09E}"/>
    <cellStyle name="Calculation 2 6" xfId="3699" xr:uid="{00000000-0005-0000-0000-0000AC060000}"/>
    <cellStyle name="Calculation 2 6 2" xfId="34368" xr:uid="{BD9D7DBC-0873-443E-AAA2-C5DCF7B282D8}"/>
    <cellStyle name="Calculation 2 6 3" xfId="34367" xr:uid="{19477EF4-7977-4E5A-BC97-D51218E46333}"/>
    <cellStyle name="Calculation 2 7" xfId="3700" xr:uid="{00000000-0005-0000-0000-0000AD060000}"/>
    <cellStyle name="Calculation 2 8" xfId="3701" xr:uid="{00000000-0005-0000-0000-0000AE060000}"/>
    <cellStyle name="Calculation 2 9" xfId="3702" xr:uid="{00000000-0005-0000-0000-0000AF060000}"/>
    <cellStyle name="Calculation 20" xfId="1415" xr:uid="{00000000-0005-0000-0000-0000B0060000}"/>
    <cellStyle name="Calculation 21" xfId="1416" xr:uid="{00000000-0005-0000-0000-0000B1060000}"/>
    <cellStyle name="Calculation 22" xfId="1417" xr:uid="{00000000-0005-0000-0000-0000B2060000}"/>
    <cellStyle name="Calculation 23" xfId="1418" xr:uid="{00000000-0005-0000-0000-0000B3060000}"/>
    <cellStyle name="Calculation 24" xfId="1419" xr:uid="{00000000-0005-0000-0000-0000B4060000}"/>
    <cellStyle name="Calculation 25" xfId="1420" xr:uid="{00000000-0005-0000-0000-0000B5060000}"/>
    <cellStyle name="Calculation 26" xfId="1421" xr:uid="{00000000-0005-0000-0000-0000B6060000}"/>
    <cellStyle name="Calculation 27" xfId="1422" xr:uid="{00000000-0005-0000-0000-0000B7060000}"/>
    <cellStyle name="Calculation 28" xfId="1423" xr:uid="{00000000-0005-0000-0000-0000B8060000}"/>
    <cellStyle name="Calculation 29" xfId="1424" xr:uid="{00000000-0005-0000-0000-0000B9060000}"/>
    <cellStyle name="Calculation 3" xfId="60" xr:uid="{00000000-0005-0000-0000-0000BA060000}"/>
    <cellStyle name="Calculation 3 2" xfId="1425" xr:uid="{00000000-0005-0000-0000-0000BB060000}"/>
    <cellStyle name="Calculation 3 2 2" xfId="9559" xr:uid="{00000000-0005-0000-0000-0000BC060000}"/>
    <cellStyle name="Calculation 3 2 2 2" xfId="34372" xr:uid="{6FFD06C8-893F-4E35-87CE-B868C25C42DA}"/>
    <cellStyle name="Calculation 3 2 2 3" xfId="34371" xr:uid="{E025767F-9911-4789-8F0F-21BEC7D0D593}"/>
    <cellStyle name="Calculation 3 2 3" xfId="34373" xr:uid="{D044786C-6500-418A-83BB-CCDEF1DA8935}"/>
    <cellStyle name="Calculation 3 2 4" xfId="34370" xr:uid="{A251BDAB-7E7E-4023-92D5-2B16987F6085}"/>
    <cellStyle name="Calculation 3 3" xfId="3703" xr:uid="{00000000-0005-0000-0000-0000BD060000}"/>
    <cellStyle name="Calculation 3 3 2" xfId="34375" xr:uid="{1763AAFC-9FE0-437C-A9E0-02E11B0B0B7D}"/>
    <cellStyle name="Calculation 3 3 3" xfId="34376" xr:uid="{2C9D3543-E963-46A2-81B7-0522531E1125}"/>
    <cellStyle name="Calculation 3 3 4" xfId="34374" xr:uid="{F47C3128-1B13-463E-8F2D-F4C3FAACD2EA}"/>
    <cellStyle name="Calculation 3 4" xfId="5743" xr:uid="{00000000-0005-0000-0000-0000BE060000}"/>
    <cellStyle name="Calculation 3 4 2" xfId="34378" xr:uid="{5E67C880-0E39-4E2C-898D-4E0FA651145A}"/>
    <cellStyle name="Calculation 3 4 3" xfId="34379" xr:uid="{F25CDE17-A528-4BAE-A854-D42057008805}"/>
    <cellStyle name="Calculation 3 4 4" xfId="34377" xr:uid="{D35A0728-E4CB-450F-A184-1575640F6D09}"/>
    <cellStyle name="Calculation 3 5" xfId="34380" xr:uid="{6ED6879B-919F-4DCA-ABCF-DD53B6A7B031}"/>
    <cellStyle name="Calculation 3 6" xfId="34381" xr:uid="{C2A28E8C-8CC2-4D2E-9603-2BA41D1874BB}"/>
    <cellStyle name="Calculation 3 7" xfId="34369" xr:uid="{A5BBF7CA-69D2-4A42-B28B-185F81525893}"/>
    <cellStyle name="Calculation 30" xfId="1426" xr:uid="{00000000-0005-0000-0000-0000BF060000}"/>
    <cellStyle name="Calculation 31" xfId="1427" xr:uid="{00000000-0005-0000-0000-0000C0060000}"/>
    <cellStyle name="Calculation 32" xfId="1428" xr:uid="{00000000-0005-0000-0000-0000C1060000}"/>
    <cellStyle name="Calculation 33" xfId="1429" xr:uid="{00000000-0005-0000-0000-0000C2060000}"/>
    <cellStyle name="Calculation 34" xfId="1430" xr:uid="{00000000-0005-0000-0000-0000C3060000}"/>
    <cellStyle name="Calculation 35" xfId="1431" xr:uid="{00000000-0005-0000-0000-0000C4060000}"/>
    <cellStyle name="Calculation 36" xfId="1432" xr:uid="{00000000-0005-0000-0000-0000C5060000}"/>
    <cellStyle name="Calculation 37" xfId="1433" xr:uid="{00000000-0005-0000-0000-0000C6060000}"/>
    <cellStyle name="Calculation 38" xfId="1434" xr:uid="{00000000-0005-0000-0000-0000C7060000}"/>
    <cellStyle name="Calculation 39" xfId="1435" xr:uid="{00000000-0005-0000-0000-0000C8060000}"/>
    <cellStyle name="Calculation 4" xfId="1436" xr:uid="{00000000-0005-0000-0000-0000C9060000}"/>
    <cellStyle name="Calculation 4 2" xfId="9560" xr:uid="{00000000-0005-0000-0000-0000CA060000}"/>
    <cellStyle name="Calculation 40" xfId="1437" xr:uid="{00000000-0005-0000-0000-0000CB060000}"/>
    <cellStyle name="Calculation 41" xfId="1438" xr:uid="{00000000-0005-0000-0000-0000CC060000}"/>
    <cellStyle name="Calculation 42" xfId="1439" xr:uid="{00000000-0005-0000-0000-0000CD060000}"/>
    <cellStyle name="Calculation 43" xfId="1440" xr:uid="{00000000-0005-0000-0000-0000CE060000}"/>
    <cellStyle name="Calculation 5" xfId="1441" xr:uid="{00000000-0005-0000-0000-0000CF060000}"/>
    <cellStyle name="Calculation 5 2" xfId="9561" xr:uid="{00000000-0005-0000-0000-0000D0060000}"/>
    <cellStyle name="Calculation 6" xfId="1442" xr:uid="{00000000-0005-0000-0000-0000D1060000}"/>
    <cellStyle name="Calculation 6 2" xfId="9562" xr:uid="{00000000-0005-0000-0000-0000D2060000}"/>
    <cellStyle name="Calculation 7" xfId="1443" xr:uid="{00000000-0005-0000-0000-0000D3060000}"/>
    <cellStyle name="Calculation 8" xfId="1444" xr:uid="{00000000-0005-0000-0000-0000D4060000}"/>
    <cellStyle name="Calculation 9" xfId="1445" xr:uid="{00000000-0005-0000-0000-0000D5060000}"/>
    <cellStyle name="Check Cell 10" xfId="1446" xr:uid="{00000000-0005-0000-0000-0000D6060000}"/>
    <cellStyle name="Check Cell 11" xfId="1447" xr:uid="{00000000-0005-0000-0000-0000D7060000}"/>
    <cellStyle name="Check Cell 12" xfId="1448" xr:uid="{00000000-0005-0000-0000-0000D8060000}"/>
    <cellStyle name="Check Cell 13" xfId="1449" xr:uid="{00000000-0005-0000-0000-0000D9060000}"/>
    <cellStyle name="Check Cell 14" xfId="1450" xr:uid="{00000000-0005-0000-0000-0000DA060000}"/>
    <cellStyle name="Check Cell 15" xfId="1451" xr:uid="{00000000-0005-0000-0000-0000DB060000}"/>
    <cellStyle name="Check Cell 16" xfId="1452" xr:uid="{00000000-0005-0000-0000-0000DC060000}"/>
    <cellStyle name="Check Cell 17" xfId="1453" xr:uid="{00000000-0005-0000-0000-0000DD060000}"/>
    <cellStyle name="Check Cell 18" xfId="1454" xr:uid="{00000000-0005-0000-0000-0000DE060000}"/>
    <cellStyle name="Check Cell 19" xfId="1455" xr:uid="{00000000-0005-0000-0000-0000DF060000}"/>
    <cellStyle name="Check Cell 2" xfId="61" xr:uid="{00000000-0005-0000-0000-0000E0060000}"/>
    <cellStyle name="Check Cell 2 10" xfId="3704" xr:uid="{00000000-0005-0000-0000-0000E1060000}"/>
    <cellStyle name="Check Cell 2 11" xfId="34382" xr:uid="{669D3C10-0E2D-4797-AED5-CF8FC768AF30}"/>
    <cellStyle name="Check Cell 2 2" xfId="3705" xr:uid="{00000000-0005-0000-0000-0000E2060000}"/>
    <cellStyle name="Check Cell 2 3" xfId="3706" xr:uid="{00000000-0005-0000-0000-0000E3060000}"/>
    <cellStyle name="Check Cell 2 4" xfId="3707" xr:uid="{00000000-0005-0000-0000-0000E4060000}"/>
    <cellStyle name="Check Cell 2 5" xfId="3708" xr:uid="{00000000-0005-0000-0000-0000E5060000}"/>
    <cellStyle name="Check Cell 2 6" xfId="3709" xr:uid="{00000000-0005-0000-0000-0000E6060000}"/>
    <cellStyle name="Check Cell 2 7" xfId="3710" xr:uid="{00000000-0005-0000-0000-0000E7060000}"/>
    <cellStyle name="Check Cell 2 8" xfId="3711" xr:uid="{00000000-0005-0000-0000-0000E8060000}"/>
    <cellStyle name="Check Cell 2 9" xfId="3712" xr:uid="{00000000-0005-0000-0000-0000E9060000}"/>
    <cellStyle name="Check Cell 20" xfId="1456" xr:uid="{00000000-0005-0000-0000-0000EA060000}"/>
    <cellStyle name="Check Cell 21" xfId="1457" xr:uid="{00000000-0005-0000-0000-0000EB060000}"/>
    <cellStyle name="Check Cell 22" xfId="1458" xr:uid="{00000000-0005-0000-0000-0000EC060000}"/>
    <cellStyle name="Check Cell 23" xfId="1459" xr:uid="{00000000-0005-0000-0000-0000ED060000}"/>
    <cellStyle name="Check Cell 24" xfId="1460" xr:uid="{00000000-0005-0000-0000-0000EE060000}"/>
    <cellStyle name="Check Cell 25" xfId="1461" xr:uid="{00000000-0005-0000-0000-0000EF060000}"/>
    <cellStyle name="Check Cell 26" xfId="1462" xr:uid="{00000000-0005-0000-0000-0000F0060000}"/>
    <cellStyle name="Check Cell 27" xfId="1463" xr:uid="{00000000-0005-0000-0000-0000F1060000}"/>
    <cellStyle name="Check Cell 28" xfId="1464" xr:uid="{00000000-0005-0000-0000-0000F2060000}"/>
    <cellStyle name="Check Cell 29" xfId="1465" xr:uid="{00000000-0005-0000-0000-0000F3060000}"/>
    <cellStyle name="Check Cell 3" xfId="62" xr:uid="{00000000-0005-0000-0000-0000F4060000}"/>
    <cellStyle name="Check Cell 3 2" xfId="1466" xr:uid="{00000000-0005-0000-0000-0000F5060000}"/>
    <cellStyle name="Check Cell 3 3" xfId="34383" xr:uid="{79D82692-BF87-4D9C-B6ED-5669DA1E3DF4}"/>
    <cellStyle name="Check Cell 30" xfId="1467" xr:uid="{00000000-0005-0000-0000-0000F6060000}"/>
    <cellStyle name="Check Cell 31" xfId="1468" xr:uid="{00000000-0005-0000-0000-0000F7060000}"/>
    <cellStyle name="Check Cell 32" xfId="1469" xr:uid="{00000000-0005-0000-0000-0000F8060000}"/>
    <cellStyle name="Check Cell 33" xfId="1470" xr:uid="{00000000-0005-0000-0000-0000F9060000}"/>
    <cellStyle name="Check Cell 34" xfId="1471" xr:uid="{00000000-0005-0000-0000-0000FA060000}"/>
    <cellStyle name="Check Cell 35" xfId="1472" xr:uid="{00000000-0005-0000-0000-0000FB060000}"/>
    <cellStyle name="Check Cell 36" xfId="1473" xr:uid="{00000000-0005-0000-0000-0000FC060000}"/>
    <cellStyle name="Check Cell 37" xfId="1474" xr:uid="{00000000-0005-0000-0000-0000FD060000}"/>
    <cellStyle name="Check Cell 38" xfId="1475" xr:uid="{00000000-0005-0000-0000-0000FE060000}"/>
    <cellStyle name="Check Cell 39" xfId="1476" xr:uid="{00000000-0005-0000-0000-0000FF060000}"/>
    <cellStyle name="Check Cell 4" xfId="1477" xr:uid="{00000000-0005-0000-0000-000000070000}"/>
    <cellStyle name="Check Cell 4 2" xfId="9563" xr:uid="{00000000-0005-0000-0000-000001070000}"/>
    <cellStyle name="Check Cell 40" xfId="1478" xr:uid="{00000000-0005-0000-0000-000002070000}"/>
    <cellStyle name="Check Cell 41" xfId="1479" xr:uid="{00000000-0005-0000-0000-000003070000}"/>
    <cellStyle name="Check Cell 42" xfId="1480" xr:uid="{00000000-0005-0000-0000-000004070000}"/>
    <cellStyle name="Check Cell 43" xfId="1481" xr:uid="{00000000-0005-0000-0000-000005070000}"/>
    <cellStyle name="Check Cell 5" xfId="1482" xr:uid="{00000000-0005-0000-0000-000006070000}"/>
    <cellStyle name="Check Cell 5 2" xfId="9564" xr:uid="{00000000-0005-0000-0000-000007070000}"/>
    <cellStyle name="Check Cell 6" xfId="1483" xr:uid="{00000000-0005-0000-0000-000008070000}"/>
    <cellStyle name="Check Cell 6 2" xfId="9565" xr:uid="{00000000-0005-0000-0000-000009070000}"/>
    <cellStyle name="Check Cell 7" xfId="1484" xr:uid="{00000000-0005-0000-0000-00000A070000}"/>
    <cellStyle name="Check Cell 8" xfId="1485" xr:uid="{00000000-0005-0000-0000-00000B070000}"/>
    <cellStyle name="Check Cell 9" xfId="1486" xr:uid="{00000000-0005-0000-0000-00000C070000}"/>
    <cellStyle name="coin" xfId="266" xr:uid="{00000000-0005-0000-0000-00000D070000}"/>
    <cellStyle name="Comma" xfId="16726" builtinId="3"/>
    <cellStyle name="Comma [0] 2 10" xfId="3713" xr:uid="{00000000-0005-0000-0000-00000E070000}"/>
    <cellStyle name="Comma [0] 2 10 2" xfId="5428" xr:uid="{00000000-0005-0000-0000-00000F070000}"/>
    <cellStyle name="Comma [0] 2 10 2 2" xfId="23223" xr:uid="{5FDE4325-B0BB-48E6-949A-33BD09C17C69}"/>
    <cellStyle name="Comma [0] 2 10 2 3" xfId="17563" xr:uid="{2B46AA8F-07A3-46D8-B26B-CFEF7EC9B439}"/>
    <cellStyle name="Comma [0] 2 10 2 4" xfId="28884" xr:uid="{3B781770-8285-4D42-BAA8-C3407BF86185}"/>
    <cellStyle name="Comma [0] 2 10 2 5" xfId="34385" xr:uid="{6E2D54E4-76BE-464C-B1F8-E64DD44FABA2}"/>
    <cellStyle name="Comma [0] 2 10 3" xfId="13519" xr:uid="{00000000-0005-0000-0000-000010070000}"/>
    <cellStyle name="Comma [0] 2 10 3 2" xfId="25760" xr:uid="{1D8252F2-E6B4-4705-BBD0-E65C1A950C09}"/>
    <cellStyle name="Comma [0] 2 10 3 3" xfId="20100" xr:uid="{B3721AAA-CF34-45A4-BD55-4A06E1E1B0A7}"/>
    <cellStyle name="Comma [0] 2 10 3 4" xfId="34386" xr:uid="{39F16AFC-D827-4F88-90E6-41EBA4D69B0E}"/>
    <cellStyle name="Comma [0] 2 10 4" xfId="34384" xr:uid="{939A43CE-EA36-4A14-B1B3-E089CB0D0E27}"/>
    <cellStyle name="Comma [0] 2 2" xfId="3714" xr:uid="{00000000-0005-0000-0000-000011070000}"/>
    <cellStyle name="Comma [0] 2 2 2" xfId="5429" xr:uid="{00000000-0005-0000-0000-000012070000}"/>
    <cellStyle name="Comma [0] 2 2 2 2" xfId="23224" xr:uid="{B0F75754-31E6-4212-8B21-CC43215C62F9}"/>
    <cellStyle name="Comma [0] 2 2 2 3" xfId="17564" xr:uid="{04A10DD9-22AB-4460-AF33-C94C06A3F23B}"/>
    <cellStyle name="Comma [0] 2 2 2 4" xfId="28885" xr:uid="{20E64879-52D6-42AA-8E11-1F6DC92A8277}"/>
    <cellStyle name="Comma [0] 2 2 2 5" xfId="34388" xr:uid="{64F0774F-D929-49D7-97E0-919F89BC19DF}"/>
    <cellStyle name="Comma [0] 2 2 3" xfId="13520" xr:uid="{00000000-0005-0000-0000-000013070000}"/>
    <cellStyle name="Comma [0] 2 2 3 2" xfId="25761" xr:uid="{F596BA2D-7A54-4493-A96F-20993CDAC38D}"/>
    <cellStyle name="Comma [0] 2 2 3 3" xfId="20101" xr:uid="{64E3BA67-9888-436F-A80B-44E974BC8250}"/>
    <cellStyle name="Comma [0] 2 2 3 4" xfId="34389" xr:uid="{4514A68B-C08D-40D2-9C61-D5A089EAF173}"/>
    <cellStyle name="Comma [0] 2 2 4" xfId="34387" xr:uid="{230ACD2A-FE12-4783-86AE-DED478162A65}"/>
    <cellStyle name="Comma [0] 2 3" xfId="3715" xr:uid="{00000000-0005-0000-0000-000014070000}"/>
    <cellStyle name="Comma [0] 2 3 2" xfId="5430" xr:uid="{00000000-0005-0000-0000-000015070000}"/>
    <cellStyle name="Comma [0] 2 3 2 2" xfId="23225" xr:uid="{3027CC42-CFA2-43B6-A70F-ECE6CF0F30B2}"/>
    <cellStyle name="Comma [0] 2 3 2 3" xfId="17565" xr:uid="{5BE03F0F-71E5-420C-9509-024C5E8DD4BD}"/>
    <cellStyle name="Comma [0] 2 3 2 4" xfId="28886" xr:uid="{051BD0CD-5FD4-4DAF-9846-240D6FDE94A2}"/>
    <cellStyle name="Comma [0] 2 3 2 5" xfId="34391" xr:uid="{F8A31EBD-10F8-43EB-A712-5083F62722AE}"/>
    <cellStyle name="Comma [0] 2 3 3" xfId="13521" xr:uid="{00000000-0005-0000-0000-000016070000}"/>
    <cellStyle name="Comma [0] 2 3 3 2" xfId="25762" xr:uid="{7EFA8A47-974A-4E06-A889-617132C56861}"/>
    <cellStyle name="Comma [0] 2 3 3 3" xfId="20102" xr:uid="{CE4508CD-8C1A-4047-A4AE-4CF3906FC592}"/>
    <cellStyle name="Comma [0] 2 3 3 4" xfId="34392" xr:uid="{34F84DE1-2B99-41A5-9F83-1C79D267FBF9}"/>
    <cellStyle name="Comma [0] 2 3 4" xfId="34390" xr:uid="{8EECFEA5-9F17-42F2-8FC4-7E5F699761F3}"/>
    <cellStyle name="Comma [0] 2 4" xfId="3716" xr:uid="{00000000-0005-0000-0000-000017070000}"/>
    <cellStyle name="Comma [0] 2 4 2" xfId="5431" xr:uid="{00000000-0005-0000-0000-000018070000}"/>
    <cellStyle name="Comma [0] 2 4 2 2" xfId="23226" xr:uid="{29D9F671-79EF-4AF4-93A9-91915B842B7C}"/>
    <cellStyle name="Comma [0] 2 4 2 3" xfId="17566" xr:uid="{8B2B0F35-2B6A-4CAE-A3AB-B9688887483B}"/>
    <cellStyle name="Comma [0] 2 4 2 4" xfId="28887" xr:uid="{652EE8F5-14A8-49B9-8D9D-F6552B177470}"/>
    <cellStyle name="Comma [0] 2 4 2 5" xfId="34394" xr:uid="{EAFB5927-5706-4463-B8C2-AF4C4AEBC240}"/>
    <cellStyle name="Comma [0] 2 4 3" xfId="13522" xr:uid="{00000000-0005-0000-0000-000019070000}"/>
    <cellStyle name="Comma [0] 2 4 3 2" xfId="25763" xr:uid="{03F0737A-0457-4C83-984C-DEF7F43A19A8}"/>
    <cellStyle name="Comma [0] 2 4 3 3" xfId="20103" xr:uid="{03DAB35A-F3E9-4D50-AA49-D8BEED8DE280}"/>
    <cellStyle name="Comma [0] 2 4 3 4" xfId="34395" xr:uid="{60F7A753-A8EB-460E-BDEF-2C0DB54F553D}"/>
    <cellStyle name="Comma [0] 2 4 4" xfId="34393" xr:uid="{08036129-EE7E-45FE-9AE4-01DD4A88B8FE}"/>
    <cellStyle name="Comma [0] 2 5" xfId="3717" xr:uid="{00000000-0005-0000-0000-00001A070000}"/>
    <cellStyle name="Comma [0] 2 5 2" xfId="5432" xr:uid="{00000000-0005-0000-0000-00001B070000}"/>
    <cellStyle name="Comma [0] 2 5 2 2" xfId="23227" xr:uid="{BB944956-462E-4C2A-9A26-501CB5BB7DEA}"/>
    <cellStyle name="Comma [0] 2 5 2 3" xfId="17567" xr:uid="{E190A569-17B7-4D6D-B4B7-30ED7142B8F8}"/>
    <cellStyle name="Comma [0] 2 5 2 4" xfId="28888" xr:uid="{9E6D64F3-EFAC-4541-A9AD-A9E75FD97162}"/>
    <cellStyle name="Comma [0] 2 5 2 5" xfId="34397" xr:uid="{5C18125A-4BB0-443D-A059-2D712BD8D66E}"/>
    <cellStyle name="Comma [0] 2 5 3" xfId="13523" xr:uid="{00000000-0005-0000-0000-00001C070000}"/>
    <cellStyle name="Comma [0] 2 5 3 2" xfId="25764" xr:uid="{79C81452-F42E-4636-BCA4-0F0531DBBB68}"/>
    <cellStyle name="Comma [0] 2 5 3 3" xfId="20104" xr:uid="{8A6185BA-5E04-449D-A9D3-1A178554C726}"/>
    <cellStyle name="Comma [0] 2 5 3 4" xfId="34398" xr:uid="{29021D46-047F-47C5-8DCD-665B8DFAD3C8}"/>
    <cellStyle name="Comma [0] 2 5 4" xfId="34396" xr:uid="{CFD8535F-ECB3-4C71-B39B-AC7FF2040899}"/>
    <cellStyle name="Comma [0] 2 6" xfId="3718" xr:uid="{00000000-0005-0000-0000-00001D070000}"/>
    <cellStyle name="Comma [0] 2 6 2" xfId="5433" xr:uid="{00000000-0005-0000-0000-00001E070000}"/>
    <cellStyle name="Comma [0] 2 6 2 2" xfId="23228" xr:uid="{3ABC937C-9AAE-4C78-8968-D1457AD5F28D}"/>
    <cellStyle name="Comma [0] 2 6 2 3" xfId="17568" xr:uid="{1C89D9DB-9A33-4861-AA45-FFAF58097543}"/>
    <cellStyle name="Comma [0] 2 6 2 4" xfId="28889" xr:uid="{6D761E8E-F734-4531-9B8D-71EE89F10009}"/>
    <cellStyle name="Comma [0] 2 6 2 5" xfId="34400" xr:uid="{9E3FBB8F-B966-4C01-8B26-97FA133183B5}"/>
    <cellStyle name="Comma [0] 2 6 3" xfId="13524" xr:uid="{00000000-0005-0000-0000-00001F070000}"/>
    <cellStyle name="Comma [0] 2 6 3 2" xfId="25765" xr:uid="{60F0B9D9-B307-47A2-8B51-BC2DC5061E53}"/>
    <cellStyle name="Comma [0] 2 6 3 3" xfId="20105" xr:uid="{5331C837-1E67-4A79-8937-244B5AF130F7}"/>
    <cellStyle name="Comma [0] 2 6 3 4" xfId="34401" xr:uid="{239AD5CF-B0F4-4A05-8EE4-87F08D49B051}"/>
    <cellStyle name="Comma [0] 2 6 4" xfId="34399" xr:uid="{067C5AF4-D8E9-4509-8B06-DC42ADFACD5A}"/>
    <cellStyle name="Comma [0] 2 7" xfId="3719" xr:uid="{00000000-0005-0000-0000-000020070000}"/>
    <cellStyle name="Comma [0] 2 7 2" xfId="5434" xr:uid="{00000000-0005-0000-0000-000021070000}"/>
    <cellStyle name="Comma [0] 2 7 2 2" xfId="23229" xr:uid="{756D282D-4F4C-469E-8827-E5FDCFFAD62A}"/>
    <cellStyle name="Comma [0] 2 7 2 3" xfId="17569" xr:uid="{66BE4A05-1CB9-4D54-9424-09142E62CDB0}"/>
    <cellStyle name="Comma [0] 2 7 2 4" xfId="28890" xr:uid="{FC01D3A4-6434-40B5-AC2D-F9B3788B6FD2}"/>
    <cellStyle name="Comma [0] 2 7 2 5" xfId="34403" xr:uid="{ADDA16E1-9480-4672-9B2B-E8DF51906525}"/>
    <cellStyle name="Comma [0] 2 7 3" xfId="13525" xr:uid="{00000000-0005-0000-0000-000022070000}"/>
    <cellStyle name="Comma [0] 2 7 3 2" xfId="25766" xr:uid="{46802146-7E09-4664-916C-31A3F26258B4}"/>
    <cellStyle name="Comma [0] 2 7 3 3" xfId="20106" xr:uid="{D5E612BB-9D76-4A61-ACEE-CABEEA76BBEF}"/>
    <cellStyle name="Comma [0] 2 7 3 4" xfId="34404" xr:uid="{76996AF9-0387-4D51-BCDD-FE0DC90B419A}"/>
    <cellStyle name="Comma [0] 2 7 4" xfId="34402" xr:uid="{12758CB8-9B42-4B4D-A538-FEAE853C4F91}"/>
    <cellStyle name="Comma [0] 2 8" xfId="3720" xr:uid="{00000000-0005-0000-0000-000023070000}"/>
    <cellStyle name="Comma [0] 2 8 2" xfId="5435" xr:uid="{00000000-0005-0000-0000-000024070000}"/>
    <cellStyle name="Comma [0] 2 8 2 2" xfId="23230" xr:uid="{35761F3B-6A36-4578-BB80-7FD53A484FBD}"/>
    <cellStyle name="Comma [0] 2 8 2 3" xfId="17570" xr:uid="{B465D88C-45B0-49F7-B410-D60DAF7A6847}"/>
    <cellStyle name="Comma [0] 2 8 2 4" xfId="28891" xr:uid="{18741686-70C8-4E09-BF1F-5AFEA23D89C5}"/>
    <cellStyle name="Comma [0] 2 8 2 5" xfId="34406" xr:uid="{AC7B3721-E890-41DE-9C85-C390C717B285}"/>
    <cellStyle name="Comma [0] 2 8 3" xfId="13526" xr:uid="{00000000-0005-0000-0000-000025070000}"/>
    <cellStyle name="Comma [0] 2 8 3 2" xfId="25767" xr:uid="{C1C67504-CAEC-43AC-A331-2D0859E1DEC6}"/>
    <cellStyle name="Comma [0] 2 8 3 3" xfId="20107" xr:uid="{1A413F62-AC4C-48ED-B6EA-B8FAB222A04A}"/>
    <cellStyle name="Comma [0] 2 8 3 4" xfId="34407" xr:uid="{3BFDD799-49FD-40C7-851B-1238B90B09F7}"/>
    <cellStyle name="Comma [0] 2 8 4" xfId="34405" xr:uid="{15ABDB5F-1833-4802-8540-450477ABFAE9}"/>
    <cellStyle name="Comma [0] 2 9" xfId="3721" xr:uid="{00000000-0005-0000-0000-000026070000}"/>
    <cellStyle name="Comma [0] 2 9 2" xfId="5436" xr:uid="{00000000-0005-0000-0000-000027070000}"/>
    <cellStyle name="Comma [0] 2 9 2 2" xfId="23231" xr:uid="{9FDDB786-AC79-43AF-81FB-95C2B33B0AC0}"/>
    <cellStyle name="Comma [0] 2 9 2 3" xfId="17571" xr:uid="{EE41250C-A0EE-4C72-8EE7-953AEA2B0FAB}"/>
    <cellStyle name="Comma [0] 2 9 2 4" xfId="28892" xr:uid="{6943BA26-FCF6-4EE7-9041-870809261669}"/>
    <cellStyle name="Comma [0] 2 9 2 5" xfId="34409" xr:uid="{61A90305-8965-47DE-A00B-3800386D2AB0}"/>
    <cellStyle name="Comma [0] 2 9 3" xfId="13527" xr:uid="{00000000-0005-0000-0000-000028070000}"/>
    <cellStyle name="Comma [0] 2 9 3 2" xfId="25768" xr:uid="{18FED2B0-271E-49C2-BD99-0B2D59F0DEB3}"/>
    <cellStyle name="Comma [0] 2 9 3 3" xfId="20108" xr:uid="{E4B2C005-B050-4A9A-A714-34220413DB87}"/>
    <cellStyle name="Comma [0] 2 9 3 4" xfId="34410" xr:uid="{2DC7587B-D35D-45BC-855F-E2BC99C9A652}"/>
    <cellStyle name="Comma [0] 2 9 4" xfId="34408" xr:uid="{23E7B6EA-156D-4787-90BA-AFFA2FDA6B26}"/>
    <cellStyle name="Comma 10" xfId="3722" xr:uid="{00000000-0005-0000-0000-000029070000}"/>
    <cellStyle name="Comma 10 10" xfId="9566" xr:uid="{00000000-0005-0000-0000-00002A070000}"/>
    <cellStyle name="Comma 10 10 2" xfId="25628" xr:uid="{1915147C-2415-4EDC-A045-97C2A377BEBA}"/>
    <cellStyle name="Comma 10 10 3" xfId="19968" xr:uid="{92668E71-6651-4D19-8547-548B40B8B9A1}"/>
    <cellStyle name="Comma 10 10 4" xfId="34412" xr:uid="{1F1F0C9D-5657-466A-8DB2-0A7E88A72741}"/>
    <cellStyle name="Comma 10 11" xfId="9567" xr:uid="{00000000-0005-0000-0000-00002B070000}"/>
    <cellStyle name="Comma 10 11 2" xfId="25629" xr:uid="{5E7AB75C-B53A-44A4-AA06-4691BB5D52D0}"/>
    <cellStyle name="Comma 10 11 3" xfId="19969" xr:uid="{FA8E99BD-90FD-489C-BC03-BB29EE8B5C70}"/>
    <cellStyle name="Comma 10 11 4" xfId="34413" xr:uid="{639EDC03-833E-4B0D-95F8-0BD2AD18F49B}"/>
    <cellStyle name="Comma 10 12" xfId="34411" xr:uid="{63B2166E-F9BC-4246-A9E7-0B0C8B921B40}"/>
    <cellStyle name="Comma 10 2" xfId="3723" xr:uid="{00000000-0005-0000-0000-00002C070000}"/>
    <cellStyle name="Comma 10 2 10" xfId="3724" xr:uid="{00000000-0005-0000-0000-00002D070000}"/>
    <cellStyle name="Comma 10 2 10 2" xfId="5438" xr:uid="{00000000-0005-0000-0000-00002E070000}"/>
    <cellStyle name="Comma 10 2 10 2 2" xfId="23233" xr:uid="{CF36D185-6B00-4993-8C3C-0C73BD57A740}"/>
    <cellStyle name="Comma 10 2 10 2 3" xfId="17573" xr:uid="{AAACEFCD-4DD7-4F3B-8B83-233EF0548349}"/>
    <cellStyle name="Comma 10 2 10 2 4" xfId="28894" xr:uid="{3804F523-02EF-4CA7-ADD5-1766CB2567C4}"/>
    <cellStyle name="Comma 10 2 10 2 5" xfId="34416" xr:uid="{297A06BA-A730-4919-B277-F485A67D99C8}"/>
    <cellStyle name="Comma 10 2 10 3" xfId="13529" xr:uid="{00000000-0005-0000-0000-00002F070000}"/>
    <cellStyle name="Comma 10 2 10 3 2" xfId="25770" xr:uid="{6A41FA8D-B763-470E-A754-051EDCFDA4BB}"/>
    <cellStyle name="Comma 10 2 10 3 3" xfId="20110" xr:uid="{DCB07015-644E-46BC-90CB-84E74B447659}"/>
    <cellStyle name="Comma 10 2 10 3 4" xfId="34417" xr:uid="{C134407F-1DA8-42B0-8013-4B11BEC61FA5}"/>
    <cellStyle name="Comma 10 2 10 4" xfId="34415" xr:uid="{691E8319-0E5B-4001-923D-5F1C7126D6C7}"/>
    <cellStyle name="Comma 10 2 11" xfId="3725" xr:uid="{00000000-0005-0000-0000-000030070000}"/>
    <cellStyle name="Comma 10 2 11 2" xfId="5439" xr:uid="{00000000-0005-0000-0000-000031070000}"/>
    <cellStyle name="Comma 10 2 11 2 2" xfId="23234" xr:uid="{A093DD91-66E2-4C71-8CC9-3B4B0D52341B}"/>
    <cellStyle name="Comma 10 2 11 2 3" xfId="17574" xr:uid="{F7E3CDB6-E49F-4A03-A433-AABD3084E6AC}"/>
    <cellStyle name="Comma 10 2 11 2 4" xfId="28895" xr:uid="{8939CFA0-A883-4855-8E76-ED7A75C4FA12}"/>
    <cellStyle name="Comma 10 2 11 2 5" xfId="34419" xr:uid="{10ADE3AF-79CF-4E81-A346-1F3B67DD0527}"/>
    <cellStyle name="Comma 10 2 11 3" xfId="13530" xr:uid="{00000000-0005-0000-0000-000032070000}"/>
    <cellStyle name="Comma 10 2 11 3 2" xfId="25771" xr:uid="{3EB0203F-9684-4DB3-BB20-D431E23F8924}"/>
    <cellStyle name="Comma 10 2 11 3 3" xfId="20111" xr:uid="{4E0F20A2-4E26-4EE9-AEBC-09CDC9218F8D}"/>
    <cellStyle name="Comma 10 2 11 3 4" xfId="34420" xr:uid="{D3917AD1-CC6D-43DC-BFD3-1B59B6045E40}"/>
    <cellStyle name="Comma 10 2 11 4" xfId="34418" xr:uid="{48C3E1F9-015F-428F-9FA5-FAB20031AB17}"/>
    <cellStyle name="Comma 10 2 12" xfId="3726" xr:uid="{00000000-0005-0000-0000-000033070000}"/>
    <cellStyle name="Comma 10 2 12 2" xfId="5440" xr:uid="{00000000-0005-0000-0000-000034070000}"/>
    <cellStyle name="Comma 10 2 12 2 2" xfId="23235" xr:uid="{05432EC4-E457-417F-852A-0727E571796D}"/>
    <cellStyle name="Comma 10 2 12 2 3" xfId="17575" xr:uid="{75D33E5F-1517-4688-B2E4-DED24C847303}"/>
    <cellStyle name="Comma 10 2 12 2 4" xfId="28896" xr:uid="{F845C95E-3EC5-4EAF-A9D7-119C0FB6CAAD}"/>
    <cellStyle name="Comma 10 2 12 2 5" xfId="34422" xr:uid="{A392AD59-8698-463C-8670-4F6A5B42ACBC}"/>
    <cellStyle name="Comma 10 2 12 3" xfId="13531" xr:uid="{00000000-0005-0000-0000-000035070000}"/>
    <cellStyle name="Comma 10 2 12 3 2" xfId="25772" xr:uid="{584655E0-0A1B-4306-9DF6-044BBD637A0E}"/>
    <cellStyle name="Comma 10 2 12 3 3" xfId="20112" xr:uid="{C7C3D85F-2DD2-44DF-8AD8-A453AB143015}"/>
    <cellStyle name="Comma 10 2 12 3 4" xfId="34423" xr:uid="{EE473141-0641-4F09-BB69-4384A2D41397}"/>
    <cellStyle name="Comma 10 2 12 4" xfId="34421" xr:uid="{50466520-92BB-4B2C-B443-3C5CFD809EE2}"/>
    <cellStyle name="Comma 10 2 13" xfId="3727" xr:uid="{00000000-0005-0000-0000-000036070000}"/>
    <cellStyle name="Comma 10 2 13 2" xfId="5441" xr:uid="{00000000-0005-0000-0000-000037070000}"/>
    <cellStyle name="Comma 10 2 13 2 2" xfId="23236" xr:uid="{727BE4C7-7C24-4C12-9B5E-18A5AEFD2F41}"/>
    <cellStyle name="Comma 10 2 13 2 3" xfId="17576" xr:uid="{43A573E2-B347-431D-9932-83E9EC9F30D1}"/>
    <cellStyle name="Comma 10 2 13 2 4" xfId="28897" xr:uid="{44CFBE1B-832C-49D4-B21A-3C7D79794124}"/>
    <cellStyle name="Comma 10 2 13 2 5" xfId="34425" xr:uid="{C592D897-FF55-4A99-B36B-B3232EA595D8}"/>
    <cellStyle name="Comma 10 2 13 3" xfId="13532" xr:uid="{00000000-0005-0000-0000-000038070000}"/>
    <cellStyle name="Comma 10 2 13 3 2" xfId="25773" xr:uid="{1C621190-2520-4C7A-B9A7-90CBAD3EC0F7}"/>
    <cellStyle name="Comma 10 2 13 3 3" xfId="20113" xr:uid="{6B49C013-9895-4972-8453-77798F2B10AB}"/>
    <cellStyle name="Comma 10 2 13 3 4" xfId="34426" xr:uid="{0AC7210D-461F-45A3-8F9E-33B830AEE180}"/>
    <cellStyle name="Comma 10 2 13 4" xfId="34424" xr:uid="{7D6C7C5F-06DC-43D8-9179-0C386579F705}"/>
    <cellStyle name="Comma 10 2 14" xfId="3728" xr:uid="{00000000-0005-0000-0000-000039070000}"/>
    <cellStyle name="Comma 10 2 14 2" xfId="5442" xr:uid="{00000000-0005-0000-0000-00003A070000}"/>
    <cellStyle name="Comma 10 2 14 2 2" xfId="23237" xr:uid="{843D4A5E-314D-4BF9-A177-C88D7AFD2B0F}"/>
    <cellStyle name="Comma 10 2 14 2 3" xfId="17577" xr:uid="{39F21926-B169-4236-B496-23905D432C59}"/>
    <cellStyle name="Comma 10 2 14 2 4" xfId="28898" xr:uid="{54B450E9-ED13-4CE4-A9C3-C05AEAD82C90}"/>
    <cellStyle name="Comma 10 2 14 2 5" xfId="34428" xr:uid="{E11CE067-D1C5-4EB4-BF43-643D16B717DE}"/>
    <cellStyle name="Comma 10 2 14 3" xfId="13533" xr:uid="{00000000-0005-0000-0000-00003B070000}"/>
    <cellStyle name="Comma 10 2 14 3 2" xfId="25774" xr:uid="{7F45A670-E563-4725-B2CE-0C5B8157D13F}"/>
    <cellStyle name="Comma 10 2 14 3 3" xfId="20114" xr:uid="{33628D56-3103-45B3-A63C-48D9CCB19857}"/>
    <cellStyle name="Comma 10 2 14 3 4" xfId="34429" xr:uid="{F216536A-EE98-4D42-A49C-D43827EE3426}"/>
    <cellStyle name="Comma 10 2 14 4" xfId="34427" xr:uid="{3C0959EA-F846-4230-95A0-8E5CD6C510DA}"/>
    <cellStyle name="Comma 10 2 15" xfId="3729" xr:uid="{00000000-0005-0000-0000-00003C070000}"/>
    <cellStyle name="Comma 10 2 15 2" xfId="5443" xr:uid="{00000000-0005-0000-0000-00003D070000}"/>
    <cellStyle name="Comma 10 2 15 2 2" xfId="23238" xr:uid="{4EEA1ABE-9AF8-4BBC-9A90-8D2EE3864945}"/>
    <cellStyle name="Comma 10 2 15 2 3" xfId="17578" xr:uid="{02D87F96-CB84-4663-A381-3A80A09DC675}"/>
    <cellStyle name="Comma 10 2 15 2 4" xfId="28899" xr:uid="{3246EB44-1E0A-4690-9E01-4A79959D5C75}"/>
    <cellStyle name="Comma 10 2 15 2 5" xfId="34431" xr:uid="{D63FD035-7EE2-4E35-A9DC-E2BB41992B46}"/>
    <cellStyle name="Comma 10 2 15 3" xfId="13534" xr:uid="{00000000-0005-0000-0000-00003E070000}"/>
    <cellStyle name="Comma 10 2 15 3 2" xfId="25775" xr:uid="{6EE049C8-4952-4A7F-B29E-5264FC08C32B}"/>
    <cellStyle name="Comma 10 2 15 3 3" xfId="20115" xr:uid="{B8B8B3B3-AEFE-4A07-B997-48567B748C61}"/>
    <cellStyle name="Comma 10 2 15 3 4" xfId="34432" xr:uid="{831B66E5-14A6-4AF7-882A-F0D05DC4ED2C}"/>
    <cellStyle name="Comma 10 2 15 4" xfId="34430" xr:uid="{C3DA6C8E-D25F-441B-A51E-65AD882FCDA3}"/>
    <cellStyle name="Comma 10 2 16" xfId="3730" xr:uid="{00000000-0005-0000-0000-00003F070000}"/>
    <cellStyle name="Comma 10 2 16 2" xfId="5444" xr:uid="{00000000-0005-0000-0000-000040070000}"/>
    <cellStyle name="Comma 10 2 16 2 2" xfId="23239" xr:uid="{753B5283-A5B9-4275-ABB8-DC16321C20A1}"/>
    <cellStyle name="Comma 10 2 16 2 3" xfId="17579" xr:uid="{B59F25F2-99A5-4C87-8AC4-9EF8B4FC4A52}"/>
    <cellStyle name="Comma 10 2 16 2 4" xfId="28900" xr:uid="{CBAFEC88-FC8B-400B-AD8D-064654FFCBC9}"/>
    <cellStyle name="Comma 10 2 16 2 5" xfId="34434" xr:uid="{E9869F89-0355-41C7-A4BD-F8A81A3C586F}"/>
    <cellStyle name="Comma 10 2 16 3" xfId="13535" xr:uid="{00000000-0005-0000-0000-000041070000}"/>
    <cellStyle name="Comma 10 2 16 3 2" xfId="25776" xr:uid="{E5DDC61F-F263-4EE2-8DB7-03E06C5C7140}"/>
    <cellStyle name="Comma 10 2 16 3 3" xfId="20116" xr:uid="{5A569513-A8EB-4648-8BB8-0868DD235DE4}"/>
    <cellStyle name="Comma 10 2 16 3 4" xfId="34435" xr:uid="{14925CA7-AB80-47E7-A6FD-7DE1DBB20947}"/>
    <cellStyle name="Comma 10 2 16 4" xfId="34433" xr:uid="{2CF1D839-416B-47BE-AFF0-240AECB05BC5}"/>
    <cellStyle name="Comma 10 2 17" xfId="3731" xr:uid="{00000000-0005-0000-0000-000042070000}"/>
    <cellStyle name="Comma 10 2 17 2" xfId="5445" xr:uid="{00000000-0005-0000-0000-000043070000}"/>
    <cellStyle name="Comma 10 2 17 2 2" xfId="23240" xr:uid="{0BD55278-0714-456A-8694-49DB97CCD29F}"/>
    <cellStyle name="Comma 10 2 17 2 3" xfId="17580" xr:uid="{4BB4CC53-EB9E-44ED-830C-C38193AEFD46}"/>
    <cellStyle name="Comma 10 2 17 2 4" xfId="28901" xr:uid="{08D82587-2A07-40BF-9872-35A5DF06EB66}"/>
    <cellStyle name="Comma 10 2 17 2 5" xfId="34437" xr:uid="{1C3CB6C2-8142-4EF4-9D5F-50252631187D}"/>
    <cellStyle name="Comma 10 2 17 3" xfId="13536" xr:uid="{00000000-0005-0000-0000-000044070000}"/>
    <cellStyle name="Comma 10 2 17 3 2" xfId="25777" xr:uid="{1A9200A8-E5F1-40E1-AF8F-2B55359CCC5E}"/>
    <cellStyle name="Comma 10 2 17 3 3" xfId="20117" xr:uid="{50C6344C-1A8E-4BF7-BCD0-37F519B88511}"/>
    <cellStyle name="Comma 10 2 17 3 4" xfId="34438" xr:uid="{3022DDBF-1E80-428A-9665-50241BE57A6A}"/>
    <cellStyle name="Comma 10 2 17 4" xfId="34436" xr:uid="{51E3833A-C325-4DE8-80AE-C40EC0B29AEA}"/>
    <cellStyle name="Comma 10 2 18" xfId="5437" xr:uid="{00000000-0005-0000-0000-000045070000}"/>
    <cellStyle name="Comma 10 2 18 2" xfId="23232" xr:uid="{D19A5CF8-211C-4F8C-ADFF-1BBFB49E5ED7}"/>
    <cellStyle name="Comma 10 2 18 3" xfId="17572" xr:uid="{DAF92C88-0CD4-4FEE-AB4A-6630F96C313C}"/>
    <cellStyle name="Comma 10 2 18 4" xfId="28893" xr:uid="{5E218622-34D0-4063-8582-8C37072B34F1}"/>
    <cellStyle name="Comma 10 2 18 5" xfId="34439" xr:uid="{48C37F73-2B19-4546-8C83-64F6F4F72D8A}"/>
    <cellStyle name="Comma 10 2 19" xfId="13528" xr:uid="{00000000-0005-0000-0000-000046070000}"/>
    <cellStyle name="Comma 10 2 19 2" xfId="25769" xr:uid="{F1973CC6-351D-4F4C-BECC-9AD6C6D71763}"/>
    <cellStyle name="Comma 10 2 19 3" xfId="20109" xr:uid="{5B6AA452-175E-4A9F-86F8-C90E9100E25C}"/>
    <cellStyle name="Comma 10 2 19 4" xfId="34440" xr:uid="{AE29159E-38BD-4034-9CE7-5686D531CE90}"/>
    <cellStyle name="Comma 10 2 2" xfId="3732" xr:uid="{00000000-0005-0000-0000-000047070000}"/>
    <cellStyle name="Comma 10 2 2 2" xfId="5446" xr:uid="{00000000-0005-0000-0000-000048070000}"/>
    <cellStyle name="Comma 10 2 2 2 2" xfId="23241" xr:uid="{9BD2E199-F37D-49F4-A3A7-6A664FB8094C}"/>
    <cellStyle name="Comma 10 2 2 2 3" xfId="17581" xr:uid="{3A09AD09-9D09-4E60-BDB1-220A62D14621}"/>
    <cellStyle name="Comma 10 2 2 2 4" xfId="28902" xr:uid="{ECC13096-3126-4849-B237-BFF9CB287015}"/>
    <cellStyle name="Comma 10 2 2 2 5" xfId="34442" xr:uid="{D199E637-AE01-4C73-B4A8-9BE53450DE49}"/>
    <cellStyle name="Comma 10 2 2 3" xfId="13537" xr:uid="{00000000-0005-0000-0000-000049070000}"/>
    <cellStyle name="Comma 10 2 2 3 2" xfId="25778" xr:uid="{82A61806-A9B5-425A-B689-858C8A5E61AC}"/>
    <cellStyle name="Comma 10 2 2 3 3" xfId="20118" xr:uid="{7B5BFA9A-68C3-46F4-B1AB-7F564C4896CB}"/>
    <cellStyle name="Comma 10 2 2 3 4" xfId="34443" xr:uid="{06DEA6C6-1902-475D-A61B-8619DD49EFF4}"/>
    <cellStyle name="Comma 10 2 2 4" xfId="34441" xr:uid="{B8689A26-01EF-4350-BEAC-000EF242513A}"/>
    <cellStyle name="Comma 10 2 20" xfId="34414" xr:uid="{9853D565-C698-4CD7-8392-4E6BBF57EB80}"/>
    <cellStyle name="Comma 10 2 3" xfId="3733" xr:uid="{00000000-0005-0000-0000-00004A070000}"/>
    <cellStyle name="Comma 10 2 3 2" xfId="5447" xr:uid="{00000000-0005-0000-0000-00004B070000}"/>
    <cellStyle name="Comma 10 2 3 2 2" xfId="23242" xr:uid="{09CFA136-7365-447E-A5C5-7A6BD3B2CB4F}"/>
    <cellStyle name="Comma 10 2 3 2 3" xfId="17582" xr:uid="{6BFB90CD-9CA8-4BBC-A6C0-635A1D939094}"/>
    <cellStyle name="Comma 10 2 3 2 4" xfId="28903" xr:uid="{BFE1F934-425E-4CCE-900F-AE9BD8CFF538}"/>
    <cellStyle name="Comma 10 2 3 2 5" xfId="34445" xr:uid="{4AD05A7D-1AEC-4043-9009-FB83C14E9ED2}"/>
    <cellStyle name="Comma 10 2 3 3" xfId="13538" xr:uid="{00000000-0005-0000-0000-00004C070000}"/>
    <cellStyle name="Comma 10 2 3 3 2" xfId="25779" xr:uid="{8D9162B8-8C26-488B-A873-1E7466EC73E8}"/>
    <cellStyle name="Comma 10 2 3 3 3" xfId="20119" xr:uid="{C0D4422F-8E53-4F5B-A343-948903D5D249}"/>
    <cellStyle name="Comma 10 2 3 3 4" xfId="34446" xr:uid="{B9454B9F-5E8D-4E80-8BC1-BB17B39526E6}"/>
    <cellStyle name="Comma 10 2 3 4" xfId="34444" xr:uid="{24B077CE-B6A6-4766-8E16-FDF4AE729234}"/>
    <cellStyle name="Comma 10 2 4" xfId="3734" xr:uid="{00000000-0005-0000-0000-00004D070000}"/>
    <cellStyle name="Comma 10 2 4 2" xfId="5448" xr:uid="{00000000-0005-0000-0000-00004E070000}"/>
    <cellStyle name="Comma 10 2 4 2 2" xfId="23243" xr:uid="{F0B58147-771D-42F4-A0A9-A04F9ECFF00D}"/>
    <cellStyle name="Comma 10 2 4 2 3" xfId="17583" xr:uid="{AD6431F2-F558-4FA2-B906-9C7FDEC60D44}"/>
    <cellStyle name="Comma 10 2 4 2 4" xfId="28904" xr:uid="{C6841221-9B8E-4C41-9445-5BDF45648F40}"/>
    <cellStyle name="Comma 10 2 4 2 5" xfId="34448" xr:uid="{5789000B-BA41-47B2-A380-E23BF2815427}"/>
    <cellStyle name="Comma 10 2 4 3" xfId="13539" xr:uid="{00000000-0005-0000-0000-00004F070000}"/>
    <cellStyle name="Comma 10 2 4 3 2" xfId="25780" xr:uid="{ED0970C2-349D-4B5C-BC4A-49FCDB1265B2}"/>
    <cellStyle name="Comma 10 2 4 3 3" xfId="20120" xr:uid="{7C77731E-2082-48BA-8329-CBA354309C82}"/>
    <cellStyle name="Comma 10 2 4 3 4" xfId="34449" xr:uid="{4FFE369A-6FCA-4B86-B246-88473A557A52}"/>
    <cellStyle name="Comma 10 2 4 4" xfId="34447" xr:uid="{C6B2EDBB-6CB4-407E-9E1B-A263B70A32AC}"/>
    <cellStyle name="Comma 10 2 5" xfId="3735" xr:uid="{00000000-0005-0000-0000-000050070000}"/>
    <cellStyle name="Comma 10 2 5 2" xfId="5449" xr:uid="{00000000-0005-0000-0000-000051070000}"/>
    <cellStyle name="Comma 10 2 5 2 2" xfId="23244" xr:uid="{AE20CE51-1C26-4946-8D33-318C1C8698F1}"/>
    <cellStyle name="Comma 10 2 5 2 3" xfId="17584" xr:uid="{0F1EE6D4-77F5-465C-BBF7-DF62A792276A}"/>
    <cellStyle name="Comma 10 2 5 2 4" xfId="28905" xr:uid="{7D2C6B56-A8C6-4AAF-8252-37FCE2B5665B}"/>
    <cellStyle name="Comma 10 2 5 2 5" xfId="34451" xr:uid="{499E5D23-5005-4942-9072-10E1CDD90AE0}"/>
    <cellStyle name="Comma 10 2 5 3" xfId="13540" xr:uid="{00000000-0005-0000-0000-000052070000}"/>
    <cellStyle name="Comma 10 2 5 3 2" xfId="25781" xr:uid="{365B101D-FBE4-4EDD-827F-B510E0D7E16E}"/>
    <cellStyle name="Comma 10 2 5 3 3" xfId="20121" xr:uid="{DD0A70C1-0782-4A31-AB22-6D191A036D33}"/>
    <cellStyle name="Comma 10 2 5 3 4" xfId="34452" xr:uid="{74E57C90-CCBE-4955-95EA-D9504AD044FF}"/>
    <cellStyle name="Comma 10 2 5 4" xfId="34450" xr:uid="{88EE3731-7BCC-4918-A0DF-EE1B382F9415}"/>
    <cellStyle name="Comma 10 2 6" xfId="3736" xr:uid="{00000000-0005-0000-0000-000053070000}"/>
    <cellStyle name="Comma 10 2 6 2" xfId="5450" xr:uid="{00000000-0005-0000-0000-000054070000}"/>
    <cellStyle name="Comma 10 2 6 2 2" xfId="23245" xr:uid="{AD0C4EAF-BABD-48DC-9BDA-F7953793986E}"/>
    <cellStyle name="Comma 10 2 6 2 3" xfId="17585" xr:uid="{AC10CF21-C524-4AE0-B785-98DA1689AE12}"/>
    <cellStyle name="Comma 10 2 6 2 4" xfId="28906" xr:uid="{B01276B1-6ED2-4CE8-B86E-99C5E64F2429}"/>
    <cellStyle name="Comma 10 2 6 2 5" xfId="34454" xr:uid="{F2C31022-F53B-4E9D-BF04-559CEEDE16E8}"/>
    <cellStyle name="Comma 10 2 6 3" xfId="13541" xr:uid="{00000000-0005-0000-0000-000055070000}"/>
    <cellStyle name="Comma 10 2 6 3 2" xfId="25782" xr:uid="{8E6B50AA-337A-4D44-A2B4-B3103D16C0E2}"/>
    <cellStyle name="Comma 10 2 6 3 3" xfId="20122" xr:uid="{4B714344-C0AB-4752-A18D-EA64DF907F59}"/>
    <cellStyle name="Comma 10 2 6 3 4" xfId="34455" xr:uid="{48DBD710-9CC8-4A9A-80B9-D464F8DDDDE4}"/>
    <cellStyle name="Comma 10 2 6 4" xfId="34453" xr:uid="{A5AEC2BE-8F21-485C-97A4-96F2A1CF1357}"/>
    <cellStyle name="Comma 10 2 7" xfId="3737" xr:uid="{00000000-0005-0000-0000-000056070000}"/>
    <cellStyle name="Comma 10 2 7 2" xfId="5451" xr:uid="{00000000-0005-0000-0000-000057070000}"/>
    <cellStyle name="Comma 10 2 7 2 2" xfId="23246" xr:uid="{B2C1B417-6767-494B-8C93-EB2E1F021DC4}"/>
    <cellStyle name="Comma 10 2 7 2 3" xfId="17586" xr:uid="{DD55EF94-2CDC-44AA-8A2D-602C3324E40E}"/>
    <cellStyle name="Comma 10 2 7 2 4" xfId="28907" xr:uid="{3B686E29-09F0-434A-9EC2-45454569DC55}"/>
    <cellStyle name="Comma 10 2 7 2 5" xfId="34457" xr:uid="{E186715D-2AC9-4626-939C-BA3BB512CC0D}"/>
    <cellStyle name="Comma 10 2 7 3" xfId="13542" xr:uid="{00000000-0005-0000-0000-000058070000}"/>
    <cellStyle name="Comma 10 2 7 3 2" xfId="25783" xr:uid="{924ABBAB-FA0E-46A4-AECB-C5D421794BC2}"/>
    <cellStyle name="Comma 10 2 7 3 3" xfId="20123" xr:uid="{8231C758-076A-4828-A9CD-C538D6F0C544}"/>
    <cellStyle name="Comma 10 2 7 3 4" xfId="34458" xr:uid="{17BC3B93-C0FF-4A20-B771-D5759F4D05F8}"/>
    <cellStyle name="Comma 10 2 7 4" xfId="34456" xr:uid="{B9D6AAAB-F7CA-4BC0-8B6D-D2F333556F96}"/>
    <cellStyle name="Comma 10 2 8" xfId="3738" xr:uid="{00000000-0005-0000-0000-000059070000}"/>
    <cellStyle name="Comma 10 2 8 2" xfId="5452" xr:uid="{00000000-0005-0000-0000-00005A070000}"/>
    <cellStyle name="Comma 10 2 8 2 2" xfId="23247" xr:uid="{7BEEC3E5-B991-4F61-9ED0-9740A7F7A610}"/>
    <cellStyle name="Comma 10 2 8 2 3" xfId="17587" xr:uid="{86EDFCBF-9A07-47A4-BD1A-823DC6DCE748}"/>
    <cellStyle name="Comma 10 2 8 2 4" xfId="28908" xr:uid="{5C7ABB1F-74DF-41D3-8E1E-DBD92010AB8A}"/>
    <cellStyle name="Comma 10 2 8 2 5" xfId="34460" xr:uid="{D91EF54D-FD6D-4DAD-9E1C-0C0B57D70F30}"/>
    <cellStyle name="Comma 10 2 8 3" xfId="13543" xr:uid="{00000000-0005-0000-0000-00005B070000}"/>
    <cellStyle name="Comma 10 2 8 3 2" xfId="25784" xr:uid="{C104FD2C-9E0E-4A4E-B097-B4D45910E4EA}"/>
    <cellStyle name="Comma 10 2 8 3 3" xfId="20124" xr:uid="{9D44441D-C998-42AE-9643-7AFEFB7056DA}"/>
    <cellStyle name="Comma 10 2 8 3 4" xfId="34461" xr:uid="{2510712E-F09B-4ABB-8878-EC8324EE4D88}"/>
    <cellStyle name="Comma 10 2 8 4" xfId="34459" xr:uid="{C88A8A39-C7C0-4AB7-A734-9A9DFBF301D1}"/>
    <cellStyle name="Comma 10 2 9" xfId="3739" xr:uid="{00000000-0005-0000-0000-00005C070000}"/>
    <cellStyle name="Comma 10 2 9 2" xfId="5453" xr:uid="{00000000-0005-0000-0000-00005D070000}"/>
    <cellStyle name="Comma 10 2 9 2 2" xfId="23248" xr:uid="{336B5CB1-94B8-4DEF-AA22-201B7DECCD6E}"/>
    <cellStyle name="Comma 10 2 9 2 3" xfId="17588" xr:uid="{AE0D4B33-784C-40F0-834E-50A070E5F55D}"/>
    <cellStyle name="Comma 10 2 9 2 4" xfId="28909" xr:uid="{04766A7D-D2CC-4F5D-9373-C59AA595BDDA}"/>
    <cellStyle name="Comma 10 2 9 2 5" xfId="34463" xr:uid="{DD1CFE36-0277-4399-B35D-298E95C08BE3}"/>
    <cellStyle name="Comma 10 2 9 3" xfId="13544" xr:uid="{00000000-0005-0000-0000-00005E070000}"/>
    <cellStyle name="Comma 10 2 9 3 2" xfId="25785" xr:uid="{4D038D71-6240-44DA-9BE6-F4B28977D37D}"/>
    <cellStyle name="Comma 10 2 9 3 3" xfId="20125" xr:uid="{EFB8DD2A-578E-4CCC-99B2-16592972B1C9}"/>
    <cellStyle name="Comma 10 2 9 3 4" xfId="34464" xr:uid="{486599DD-66D2-43E1-B084-681F0BC0BB6A}"/>
    <cellStyle name="Comma 10 2 9 4" xfId="34462" xr:uid="{0C2D8CD2-7200-445C-AC21-2C6B5C381D1D}"/>
    <cellStyle name="Comma 10 3" xfId="3740" xr:uid="{00000000-0005-0000-0000-00005F070000}"/>
    <cellStyle name="Comma 10 3 10" xfId="3741" xr:uid="{00000000-0005-0000-0000-000060070000}"/>
    <cellStyle name="Comma 10 3 10 2" xfId="5455" xr:uid="{00000000-0005-0000-0000-000061070000}"/>
    <cellStyle name="Comma 10 3 10 2 2" xfId="23250" xr:uid="{F59E52E0-BBBA-4EDD-B812-95FEBCB7AC85}"/>
    <cellStyle name="Comma 10 3 10 2 3" xfId="17590" xr:uid="{85FA85FD-ECF7-4A41-87D0-FB7C310758CF}"/>
    <cellStyle name="Comma 10 3 10 2 4" xfId="28911" xr:uid="{E2B9FED3-CB5A-4AEB-8457-F7A7D7461C49}"/>
    <cellStyle name="Comma 10 3 10 2 5" xfId="34467" xr:uid="{8A0C44AA-11F5-4F7A-83B8-2F811B86D498}"/>
    <cellStyle name="Comma 10 3 10 3" xfId="13546" xr:uid="{00000000-0005-0000-0000-000062070000}"/>
    <cellStyle name="Comma 10 3 10 3 2" xfId="25787" xr:uid="{1B8FAB74-7506-4E97-81E3-06F977F62F32}"/>
    <cellStyle name="Comma 10 3 10 3 3" xfId="20127" xr:uid="{0DFDFA96-BB19-496A-B89C-E4E770EF7963}"/>
    <cellStyle name="Comma 10 3 10 3 4" xfId="34468" xr:uid="{1AB5412E-370E-45C1-B123-5958B27348DF}"/>
    <cellStyle name="Comma 10 3 10 4" xfId="34466" xr:uid="{AB03CF0A-6FBD-4268-819F-F3B6B3D36074}"/>
    <cellStyle name="Comma 10 3 11" xfId="3742" xr:uid="{00000000-0005-0000-0000-000063070000}"/>
    <cellStyle name="Comma 10 3 11 2" xfId="5456" xr:uid="{00000000-0005-0000-0000-000064070000}"/>
    <cellStyle name="Comma 10 3 11 2 2" xfId="23251" xr:uid="{512ABF35-E8CC-4500-A693-EA8E3E55C244}"/>
    <cellStyle name="Comma 10 3 11 2 3" xfId="17591" xr:uid="{29BA755D-7B97-4058-B207-307F45D9D145}"/>
    <cellStyle name="Comma 10 3 11 2 4" xfId="28912" xr:uid="{00A92F24-F1E5-41FE-99F4-09814FAD36D9}"/>
    <cellStyle name="Comma 10 3 11 2 5" xfId="34470" xr:uid="{23D221AC-2E1A-4360-AD9F-44952A95EAB7}"/>
    <cellStyle name="Comma 10 3 11 3" xfId="13547" xr:uid="{00000000-0005-0000-0000-000065070000}"/>
    <cellStyle name="Comma 10 3 11 3 2" xfId="25788" xr:uid="{8C8DA45B-171C-41C7-94EE-CD4F59ABB6DB}"/>
    <cellStyle name="Comma 10 3 11 3 3" xfId="20128" xr:uid="{9D27664D-EB70-4564-8D6C-3929D59AB144}"/>
    <cellStyle name="Comma 10 3 11 3 4" xfId="34471" xr:uid="{A3600192-6DF7-4057-8AD2-428A1355D854}"/>
    <cellStyle name="Comma 10 3 11 4" xfId="34469" xr:uid="{7C9221BC-4BB5-4E32-BC23-93FB1B9BAF9A}"/>
    <cellStyle name="Comma 10 3 12" xfId="3743" xr:uid="{00000000-0005-0000-0000-000066070000}"/>
    <cellStyle name="Comma 10 3 12 2" xfId="5457" xr:uid="{00000000-0005-0000-0000-000067070000}"/>
    <cellStyle name="Comma 10 3 12 2 2" xfId="23252" xr:uid="{97EE6C37-101F-44AF-BF32-C0880F897C6F}"/>
    <cellStyle name="Comma 10 3 12 2 3" xfId="17592" xr:uid="{7AB0DA56-C985-40BD-AA41-F9613EDF7951}"/>
    <cellStyle name="Comma 10 3 12 2 4" xfId="28913" xr:uid="{36D79751-F2E9-4676-B4BA-3B19375639C5}"/>
    <cellStyle name="Comma 10 3 12 2 5" xfId="34473" xr:uid="{50D54B96-0EF6-428F-9836-42D8087B4BEE}"/>
    <cellStyle name="Comma 10 3 12 3" xfId="13548" xr:uid="{00000000-0005-0000-0000-000068070000}"/>
    <cellStyle name="Comma 10 3 12 3 2" xfId="25789" xr:uid="{3EB88662-4413-431C-8924-B079E488B5E6}"/>
    <cellStyle name="Comma 10 3 12 3 3" xfId="20129" xr:uid="{D80390EC-851D-4DB2-9747-200F68FABF30}"/>
    <cellStyle name="Comma 10 3 12 3 4" xfId="34474" xr:uid="{47C0A8A9-11FD-403F-AC3D-36E1EDF07E48}"/>
    <cellStyle name="Comma 10 3 12 4" xfId="34472" xr:uid="{E7C14FCA-08DF-4597-AA58-D9209B0B2B80}"/>
    <cellStyle name="Comma 10 3 13" xfId="3744" xr:uid="{00000000-0005-0000-0000-000069070000}"/>
    <cellStyle name="Comma 10 3 13 2" xfId="5458" xr:uid="{00000000-0005-0000-0000-00006A070000}"/>
    <cellStyle name="Comma 10 3 13 2 2" xfId="23253" xr:uid="{44F8C0C8-7064-44B4-A252-4A9CCB0115F0}"/>
    <cellStyle name="Comma 10 3 13 2 3" xfId="17593" xr:uid="{D69D5568-9E61-4093-997B-D410F7201417}"/>
    <cellStyle name="Comma 10 3 13 2 4" xfId="28914" xr:uid="{0A02D09F-D565-4BC6-98BE-8BE415D119D9}"/>
    <cellStyle name="Comma 10 3 13 2 5" xfId="34476" xr:uid="{2E63B675-4134-4C28-9544-B31BEBFA15D7}"/>
    <cellStyle name="Comma 10 3 13 3" xfId="13549" xr:uid="{00000000-0005-0000-0000-00006B070000}"/>
    <cellStyle name="Comma 10 3 13 3 2" xfId="25790" xr:uid="{6936CCC5-C76D-4336-9D20-2F095B1F5A56}"/>
    <cellStyle name="Comma 10 3 13 3 3" xfId="20130" xr:uid="{723E060E-B474-4AE5-9175-124EC98FDDA3}"/>
    <cellStyle name="Comma 10 3 13 3 4" xfId="34477" xr:uid="{885D9134-D10A-45F1-839B-F67EFB522D5D}"/>
    <cellStyle name="Comma 10 3 13 4" xfId="34475" xr:uid="{CC74B668-533B-41AF-9EAB-3BE221AA62DA}"/>
    <cellStyle name="Comma 10 3 14" xfId="3745" xr:uid="{00000000-0005-0000-0000-00006C070000}"/>
    <cellStyle name="Comma 10 3 14 2" xfId="5459" xr:uid="{00000000-0005-0000-0000-00006D070000}"/>
    <cellStyle name="Comma 10 3 14 2 2" xfId="23254" xr:uid="{4DED0C24-614C-45E7-B0F9-5D882C3654B4}"/>
    <cellStyle name="Comma 10 3 14 2 3" xfId="17594" xr:uid="{6C67FC61-B361-4EF8-B84B-C01C3681BE56}"/>
    <cellStyle name="Comma 10 3 14 2 4" xfId="28915" xr:uid="{BB5F6478-6425-4728-BF7B-DE083D07D101}"/>
    <cellStyle name="Comma 10 3 14 2 5" xfId="34479" xr:uid="{243E717D-B4F3-4075-BAB5-F74E923E46A0}"/>
    <cellStyle name="Comma 10 3 14 3" xfId="13550" xr:uid="{00000000-0005-0000-0000-00006E070000}"/>
    <cellStyle name="Comma 10 3 14 3 2" xfId="25791" xr:uid="{55A17D25-4A76-4661-A1C1-3F18B3958229}"/>
    <cellStyle name="Comma 10 3 14 3 3" xfId="20131" xr:uid="{6403760F-0611-421F-BF60-A8E370E5933F}"/>
    <cellStyle name="Comma 10 3 14 3 4" xfId="34480" xr:uid="{573ED6CD-93E8-4EBE-865B-32F2224C79AC}"/>
    <cellStyle name="Comma 10 3 14 4" xfId="34478" xr:uid="{756734C4-0F7A-4895-9A8C-3EBBA57996C3}"/>
    <cellStyle name="Comma 10 3 15" xfId="3746" xr:uid="{00000000-0005-0000-0000-00006F070000}"/>
    <cellStyle name="Comma 10 3 15 2" xfId="5460" xr:uid="{00000000-0005-0000-0000-000070070000}"/>
    <cellStyle name="Comma 10 3 15 2 2" xfId="23255" xr:uid="{B04B1072-D9C6-4552-ABFB-0622ABF53024}"/>
    <cellStyle name="Comma 10 3 15 2 3" xfId="17595" xr:uid="{FA286822-F848-4894-83E9-C2C4B21CCCF0}"/>
    <cellStyle name="Comma 10 3 15 2 4" xfId="28916" xr:uid="{23A8FC68-F463-49FC-82C2-BA1F42D59FB6}"/>
    <cellStyle name="Comma 10 3 15 2 5" xfId="34482" xr:uid="{49CBE206-C8B8-422F-AD35-D926E131FBA9}"/>
    <cellStyle name="Comma 10 3 15 3" xfId="13551" xr:uid="{00000000-0005-0000-0000-000071070000}"/>
    <cellStyle name="Comma 10 3 15 3 2" xfId="25792" xr:uid="{984B2136-4E93-4233-9CE9-AFC9C852D6E1}"/>
    <cellStyle name="Comma 10 3 15 3 3" xfId="20132" xr:uid="{9BF4EAC6-543B-459D-A045-8EBC1B9A267B}"/>
    <cellStyle name="Comma 10 3 15 3 4" xfId="34483" xr:uid="{76F2A0D9-D22A-4CE8-9DA3-78B9FF735A3B}"/>
    <cellStyle name="Comma 10 3 15 4" xfId="34481" xr:uid="{4EDEDC7B-CC11-4E5F-9846-4CDE75E95F0D}"/>
    <cellStyle name="Comma 10 3 16" xfId="3747" xr:uid="{00000000-0005-0000-0000-000072070000}"/>
    <cellStyle name="Comma 10 3 16 2" xfId="5461" xr:uid="{00000000-0005-0000-0000-000073070000}"/>
    <cellStyle name="Comma 10 3 16 2 2" xfId="23256" xr:uid="{6A1B549D-16E9-4363-88DE-FFD8B459C5ED}"/>
    <cellStyle name="Comma 10 3 16 2 3" xfId="17596" xr:uid="{76BD656B-2EA3-4434-81D7-2454E4633EDB}"/>
    <cellStyle name="Comma 10 3 16 2 4" xfId="28917" xr:uid="{6DD73B52-0A1D-4678-9F39-12A0DFF3510D}"/>
    <cellStyle name="Comma 10 3 16 2 5" xfId="34485" xr:uid="{27D8374F-7770-4B3B-9660-FB27230B4887}"/>
    <cellStyle name="Comma 10 3 16 3" xfId="13552" xr:uid="{00000000-0005-0000-0000-000074070000}"/>
    <cellStyle name="Comma 10 3 16 3 2" xfId="25793" xr:uid="{E3871B64-AF1E-4AFC-92F1-8CDBB27202AD}"/>
    <cellStyle name="Comma 10 3 16 3 3" xfId="20133" xr:uid="{047F3200-6C56-4C1F-B6E1-AA092D380602}"/>
    <cellStyle name="Comma 10 3 16 3 4" xfId="34486" xr:uid="{1D041DA0-FE5A-4E2E-ACEC-FEA6D9B817BF}"/>
    <cellStyle name="Comma 10 3 16 4" xfId="34484" xr:uid="{0FD492B2-5E57-40D0-8ABC-835EAEB48CE4}"/>
    <cellStyle name="Comma 10 3 17" xfId="3748" xr:uid="{00000000-0005-0000-0000-000075070000}"/>
    <cellStyle name="Comma 10 3 17 2" xfId="5462" xr:uid="{00000000-0005-0000-0000-000076070000}"/>
    <cellStyle name="Comma 10 3 17 2 2" xfId="23257" xr:uid="{C87CE93E-86DC-4E92-8423-B1E9785155B7}"/>
    <cellStyle name="Comma 10 3 17 2 3" xfId="17597" xr:uid="{F7CF288E-E7AB-4366-A69B-CA50166D9FD6}"/>
    <cellStyle name="Comma 10 3 17 2 4" xfId="28918" xr:uid="{26402535-B895-4FF4-B8E5-D0631C6CBA36}"/>
    <cellStyle name="Comma 10 3 17 2 5" xfId="34488" xr:uid="{E330833A-1A79-42A5-B0FB-0D91DF547951}"/>
    <cellStyle name="Comma 10 3 17 3" xfId="13553" xr:uid="{00000000-0005-0000-0000-000077070000}"/>
    <cellStyle name="Comma 10 3 17 3 2" xfId="25794" xr:uid="{709B7912-FAB7-4E38-A735-0CEB3BDD2C48}"/>
    <cellStyle name="Comma 10 3 17 3 3" xfId="20134" xr:uid="{4D41876B-7A11-416C-9EC7-D1D65C99B2FC}"/>
    <cellStyle name="Comma 10 3 17 3 4" xfId="34489" xr:uid="{B17158E0-5525-486F-81D7-6658C718037D}"/>
    <cellStyle name="Comma 10 3 17 4" xfId="34487" xr:uid="{0A593538-4DB4-4E27-976B-13A13B1E51FC}"/>
    <cellStyle name="Comma 10 3 18" xfId="5454" xr:uid="{00000000-0005-0000-0000-000078070000}"/>
    <cellStyle name="Comma 10 3 18 2" xfId="23249" xr:uid="{15234261-B2D7-4A72-A43C-6B0A29DCE429}"/>
    <cellStyle name="Comma 10 3 18 3" xfId="17589" xr:uid="{CF36AFB4-BB53-40DD-A2A4-C9F6D2C6E7D1}"/>
    <cellStyle name="Comma 10 3 18 4" xfId="28910" xr:uid="{D4AB9F1F-7737-4A58-BB68-64FC1BD77551}"/>
    <cellStyle name="Comma 10 3 18 5" xfId="34490" xr:uid="{407B908E-8746-4443-B991-BB880413BE9E}"/>
    <cellStyle name="Comma 10 3 19" xfId="13545" xr:uid="{00000000-0005-0000-0000-000079070000}"/>
    <cellStyle name="Comma 10 3 19 2" xfId="25786" xr:uid="{A66559EE-2B7A-40F2-8EC2-DBD4AC7D4103}"/>
    <cellStyle name="Comma 10 3 19 3" xfId="20126" xr:uid="{4AFC3F0B-0BBA-43FD-BD15-5F0E8AE7A766}"/>
    <cellStyle name="Comma 10 3 19 4" xfId="34491" xr:uid="{93216502-09D8-4504-86D0-A2FB0066B69D}"/>
    <cellStyle name="Comma 10 3 2" xfId="3749" xr:uid="{00000000-0005-0000-0000-00007A070000}"/>
    <cellStyle name="Comma 10 3 2 2" xfId="5463" xr:uid="{00000000-0005-0000-0000-00007B070000}"/>
    <cellStyle name="Comma 10 3 2 2 2" xfId="23258" xr:uid="{B6565CEB-6CB1-4517-AFE4-513ECE6C6815}"/>
    <cellStyle name="Comma 10 3 2 2 3" xfId="17598" xr:uid="{9FCE0DC0-0646-4FB8-AC88-1F8C66A2BD35}"/>
    <cellStyle name="Comma 10 3 2 2 4" xfId="28919" xr:uid="{C25C832A-936B-43B7-B098-EE35FCF6881D}"/>
    <cellStyle name="Comma 10 3 2 2 5" xfId="34493" xr:uid="{072F881C-8E03-4BA9-879B-BE20878D0F3C}"/>
    <cellStyle name="Comma 10 3 2 3" xfId="13554" xr:uid="{00000000-0005-0000-0000-00007C070000}"/>
    <cellStyle name="Comma 10 3 2 3 2" xfId="25795" xr:uid="{464BFEFC-9817-4FA1-8633-20ACA8F7728F}"/>
    <cellStyle name="Comma 10 3 2 3 3" xfId="20135" xr:uid="{A24551C1-6530-4B24-9BEF-28209C87BD32}"/>
    <cellStyle name="Comma 10 3 2 3 4" xfId="34494" xr:uid="{0C636F90-9EBD-4277-AA6A-B80CA020BEA5}"/>
    <cellStyle name="Comma 10 3 2 4" xfId="34492" xr:uid="{FC19F7BA-69F8-403D-A630-1CDD2D49CAD8}"/>
    <cellStyle name="Comma 10 3 20" xfId="34465" xr:uid="{A2620150-E856-4022-B0E6-6388637322AE}"/>
    <cellStyle name="Comma 10 3 3" xfId="3750" xr:uid="{00000000-0005-0000-0000-00007D070000}"/>
    <cellStyle name="Comma 10 3 3 2" xfId="5464" xr:uid="{00000000-0005-0000-0000-00007E070000}"/>
    <cellStyle name="Comma 10 3 3 2 2" xfId="23259" xr:uid="{1EECCA2A-922C-4349-B15B-6A3F2DC602EA}"/>
    <cellStyle name="Comma 10 3 3 2 3" xfId="17599" xr:uid="{586CF91F-74A8-42FF-9FCC-20895BD2354C}"/>
    <cellStyle name="Comma 10 3 3 2 4" xfId="28920" xr:uid="{E6ABAA00-759C-43EA-A6FF-87CEEB64C283}"/>
    <cellStyle name="Comma 10 3 3 2 5" xfId="34496" xr:uid="{CCB8C2D2-42D3-49D7-8EB9-180AA0D46C87}"/>
    <cellStyle name="Comma 10 3 3 3" xfId="13555" xr:uid="{00000000-0005-0000-0000-00007F070000}"/>
    <cellStyle name="Comma 10 3 3 3 2" xfId="25796" xr:uid="{9FD4D3EE-951E-423C-852F-31E8DF9E8BC1}"/>
    <cellStyle name="Comma 10 3 3 3 3" xfId="20136" xr:uid="{16CCFBFB-9977-40E2-B023-B9A6737D907D}"/>
    <cellStyle name="Comma 10 3 3 3 4" xfId="34497" xr:uid="{A5DD6C1C-C531-42D4-A597-37D0582D7986}"/>
    <cellStyle name="Comma 10 3 3 4" xfId="34495" xr:uid="{CB4880B1-4444-47A9-AADA-0738D918F27D}"/>
    <cellStyle name="Comma 10 3 4" xfId="3751" xr:uid="{00000000-0005-0000-0000-000080070000}"/>
    <cellStyle name="Comma 10 3 4 2" xfId="5465" xr:uid="{00000000-0005-0000-0000-000081070000}"/>
    <cellStyle name="Comma 10 3 4 2 2" xfId="23260" xr:uid="{124D5DFC-F362-4491-B95E-30C1A1DDA2D1}"/>
    <cellStyle name="Comma 10 3 4 2 3" xfId="17600" xr:uid="{CBFB39E4-0FE0-4689-8460-1DF494A3EBF1}"/>
    <cellStyle name="Comma 10 3 4 2 4" xfId="28921" xr:uid="{6E75FBE6-A241-4EAB-8109-464A7A8B1EB8}"/>
    <cellStyle name="Comma 10 3 4 2 5" xfId="34499" xr:uid="{EA74A623-F8B1-4E4A-9DED-6625B8416F22}"/>
    <cellStyle name="Comma 10 3 4 3" xfId="13556" xr:uid="{00000000-0005-0000-0000-000082070000}"/>
    <cellStyle name="Comma 10 3 4 3 2" xfId="25797" xr:uid="{58C14515-AFA8-430B-9B6E-293CDF9F32BE}"/>
    <cellStyle name="Comma 10 3 4 3 3" xfId="20137" xr:uid="{9DFF6D88-A746-446E-A79B-20A02661C87D}"/>
    <cellStyle name="Comma 10 3 4 3 4" xfId="34500" xr:uid="{8582F8BA-589A-4291-9837-294793933F2E}"/>
    <cellStyle name="Comma 10 3 4 4" xfId="34498" xr:uid="{2FEED21B-3535-49FC-922F-20D79081F9DF}"/>
    <cellStyle name="Comma 10 3 5" xfId="3752" xr:uid="{00000000-0005-0000-0000-000083070000}"/>
    <cellStyle name="Comma 10 3 5 2" xfId="5466" xr:uid="{00000000-0005-0000-0000-000084070000}"/>
    <cellStyle name="Comma 10 3 5 2 2" xfId="23261" xr:uid="{F76FD890-C725-495F-81B0-8BC38A7530FA}"/>
    <cellStyle name="Comma 10 3 5 2 3" xfId="17601" xr:uid="{92D091A3-1A94-4FD4-8515-284C5588B674}"/>
    <cellStyle name="Comma 10 3 5 2 4" xfId="28922" xr:uid="{535027C8-783E-46CC-AC10-DCFA85615AE8}"/>
    <cellStyle name="Comma 10 3 5 2 5" xfId="34502" xr:uid="{BA4D81ED-AB89-49F9-9636-F18DF74701B9}"/>
    <cellStyle name="Comma 10 3 5 3" xfId="13557" xr:uid="{00000000-0005-0000-0000-000085070000}"/>
    <cellStyle name="Comma 10 3 5 3 2" xfId="25798" xr:uid="{E003AA70-EBF2-42EF-8A6A-3DB426FA9F3E}"/>
    <cellStyle name="Comma 10 3 5 3 3" xfId="20138" xr:uid="{82B89850-6A51-482B-A36C-5FC84847DEFD}"/>
    <cellStyle name="Comma 10 3 5 3 4" xfId="34503" xr:uid="{3B5AE4A9-60E3-4B56-8CBD-C717D764223E}"/>
    <cellStyle name="Comma 10 3 5 4" xfId="34501" xr:uid="{BC521A94-8711-4C81-A3DB-F1D54CB01322}"/>
    <cellStyle name="Comma 10 3 6" xfId="3753" xr:uid="{00000000-0005-0000-0000-000086070000}"/>
    <cellStyle name="Comma 10 3 6 2" xfId="5467" xr:uid="{00000000-0005-0000-0000-000087070000}"/>
    <cellStyle name="Comma 10 3 6 2 2" xfId="23262" xr:uid="{EFF69F6E-295D-43B5-98D5-72A4C45D2CC2}"/>
    <cellStyle name="Comma 10 3 6 2 3" xfId="17602" xr:uid="{891E4FE6-9E82-4283-94A0-F5C832DCB93C}"/>
    <cellStyle name="Comma 10 3 6 2 4" xfId="28923" xr:uid="{938231AF-FDE5-4605-91AE-0338A6DF47CC}"/>
    <cellStyle name="Comma 10 3 6 2 5" xfId="34505" xr:uid="{7E2584EB-5982-48A2-B899-BA9D5C82D647}"/>
    <cellStyle name="Comma 10 3 6 3" xfId="13558" xr:uid="{00000000-0005-0000-0000-000088070000}"/>
    <cellStyle name="Comma 10 3 6 3 2" xfId="25799" xr:uid="{8B7F1191-FFEF-4AD7-8E38-845D2D9842FC}"/>
    <cellStyle name="Comma 10 3 6 3 3" xfId="20139" xr:uid="{AA43437B-498F-4C8A-A6F0-25B568BC9B2D}"/>
    <cellStyle name="Comma 10 3 6 3 4" xfId="34506" xr:uid="{CCC948BE-0326-4A0A-9F4D-7E2A189DA45A}"/>
    <cellStyle name="Comma 10 3 6 4" xfId="34504" xr:uid="{781D6FB5-1FCD-473B-90B5-8173BC654BBB}"/>
    <cellStyle name="Comma 10 3 7" xfId="3754" xr:uid="{00000000-0005-0000-0000-000089070000}"/>
    <cellStyle name="Comma 10 3 7 2" xfId="5468" xr:uid="{00000000-0005-0000-0000-00008A070000}"/>
    <cellStyle name="Comma 10 3 7 2 2" xfId="23263" xr:uid="{ECE18E73-E000-445B-B981-A605CFF47DDB}"/>
    <cellStyle name="Comma 10 3 7 2 3" xfId="17603" xr:uid="{8322CB15-0DF0-479F-A0B3-28D70C91CE79}"/>
    <cellStyle name="Comma 10 3 7 2 4" xfId="28924" xr:uid="{AC8A22DC-7742-4DA9-9F71-627B83433E11}"/>
    <cellStyle name="Comma 10 3 7 2 5" xfId="34508" xr:uid="{C57AC1C2-4EAE-4D54-97F6-26069CEDD967}"/>
    <cellStyle name="Comma 10 3 7 3" xfId="13559" xr:uid="{00000000-0005-0000-0000-00008B070000}"/>
    <cellStyle name="Comma 10 3 7 3 2" xfId="25800" xr:uid="{1B94382D-F952-49E1-BD7A-EC9CDD5C0521}"/>
    <cellStyle name="Comma 10 3 7 3 3" xfId="20140" xr:uid="{6F3E30FF-A252-49B3-B5D4-B9CED0B84661}"/>
    <cellStyle name="Comma 10 3 7 3 4" xfId="34509" xr:uid="{7951BBC8-F37C-4080-9584-91CE4170CCA0}"/>
    <cellStyle name="Comma 10 3 7 4" xfId="34507" xr:uid="{E031AE38-92E5-4DAF-88B9-23DAFACEBCEA}"/>
    <cellStyle name="Comma 10 3 8" xfId="3755" xr:uid="{00000000-0005-0000-0000-00008C070000}"/>
    <cellStyle name="Comma 10 3 8 2" xfId="5469" xr:uid="{00000000-0005-0000-0000-00008D070000}"/>
    <cellStyle name="Comma 10 3 8 2 2" xfId="23264" xr:uid="{362A7193-5442-4415-A9FA-5D1BFB025875}"/>
    <cellStyle name="Comma 10 3 8 2 3" xfId="17604" xr:uid="{5E960D99-56A0-4CB6-8926-FFB05E0ADE14}"/>
    <cellStyle name="Comma 10 3 8 2 4" xfId="28925" xr:uid="{49104587-1BE3-448C-8D9F-9889C2F00331}"/>
    <cellStyle name="Comma 10 3 8 2 5" xfId="34511" xr:uid="{429AC7F9-788D-4979-B948-5D0633CC0696}"/>
    <cellStyle name="Comma 10 3 8 3" xfId="13560" xr:uid="{00000000-0005-0000-0000-00008E070000}"/>
    <cellStyle name="Comma 10 3 8 3 2" xfId="25801" xr:uid="{2F85A4F5-2347-4CE1-8C17-ADC4997AE08A}"/>
    <cellStyle name="Comma 10 3 8 3 3" xfId="20141" xr:uid="{A78AD7BD-3D7F-427F-AC68-4FE68A7B4734}"/>
    <cellStyle name="Comma 10 3 8 3 4" xfId="34512" xr:uid="{642CF879-6883-4DD6-8700-B351A348EA28}"/>
    <cellStyle name="Comma 10 3 8 4" xfId="34510" xr:uid="{6DDBED7C-85BA-45D6-9A09-7BD7599B3C34}"/>
    <cellStyle name="Comma 10 3 9" xfId="3756" xr:uid="{00000000-0005-0000-0000-00008F070000}"/>
    <cellStyle name="Comma 10 3 9 2" xfId="5470" xr:uid="{00000000-0005-0000-0000-000090070000}"/>
    <cellStyle name="Comma 10 3 9 2 2" xfId="23265" xr:uid="{A791E902-4321-4989-A1F6-05AE92925AF4}"/>
    <cellStyle name="Comma 10 3 9 2 3" xfId="17605" xr:uid="{8A2F1603-0CAF-4D3A-AC9C-FEA39C07A2DA}"/>
    <cellStyle name="Comma 10 3 9 2 4" xfId="28926" xr:uid="{FFCBDF43-7FC5-4420-8323-01B9B29B8B93}"/>
    <cellStyle name="Comma 10 3 9 2 5" xfId="34514" xr:uid="{4A42D749-3202-4EFF-AE90-B911AECE6125}"/>
    <cellStyle name="Comma 10 3 9 3" xfId="13561" xr:uid="{00000000-0005-0000-0000-000091070000}"/>
    <cellStyle name="Comma 10 3 9 3 2" xfId="25802" xr:uid="{DA4E5814-5114-47AC-A666-1A0E0CA9385E}"/>
    <cellStyle name="Comma 10 3 9 3 3" xfId="20142" xr:uid="{C08950C9-CAE8-4C55-BF8B-FE7EC65DFDBE}"/>
    <cellStyle name="Comma 10 3 9 3 4" xfId="34515" xr:uid="{524A3698-2801-44BB-B9B4-A64103A9267B}"/>
    <cellStyle name="Comma 10 3 9 4" xfId="34513" xr:uid="{4E1D0F81-660B-4FB5-BA8F-BF25A21BD7BC}"/>
    <cellStyle name="Comma 10 4" xfId="3757" xr:uid="{00000000-0005-0000-0000-000092070000}"/>
    <cellStyle name="Comma 10 4 10" xfId="3758" xr:uid="{00000000-0005-0000-0000-000093070000}"/>
    <cellStyle name="Comma 10 4 10 2" xfId="5472" xr:uid="{00000000-0005-0000-0000-000094070000}"/>
    <cellStyle name="Comma 10 4 10 2 2" xfId="23267" xr:uid="{F76F56E0-6E5D-43B1-BFC4-44CD955913E4}"/>
    <cellStyle name="Comma 10 4 10 2 3" xfId="17607" xr:uid="{381AA9B9-E917-4AFB-AFEA-9382F81BA79B}"/>
    <cellStyle name="Comma 10 4 10 2 4" xfId="28928" xr:uid="{407962A9-A8BB-41F7-B7BB-7AF815511983}"/>
    <cellStyle name="Comma 10 4 10 2 5" xfId="34518" xr:uid="{6B5C72BA-C31B-4D24-B242-8C242C203D48}"/>
    <cellStyle name="Comma 10 4 10 3" xfId="13563" xr:uid="{00000000-0005-0000-0000-000095070000}"/>
    <cellStyle name="Comma 10 4 10 3 2" xfId="25804" xr:uid="{8CF6BE36-A578-4FAD-8A14-F585974BA304}"/>
    <cellStyle name="Comma 10 4 10 3 3" xfId="20144" xr:uid="{EC72D338-5BB6-464A-B8F3-F61AF85A95D8}"/>
    <cellStyle name="Comma 10 4 10 3 4" xfId="34519" xr:uid="{272B035C-0994-46FD-A8D7-AAA8D76DF2B7}"/>
    <cellStyle name="Comma 10 4 10 4" xfId="34517" xr:uid="{FD5A5D4C-6EEC-4927-9E63-95DD713C3080}"/>
    <cellStyle name="Comma 10 4 11" xfId="3759" xr:uid="{00000000-0005-0000-0000-000096070000}"/>
    <cellStyle name="Comma 10 4 11 2" xfId="5473" xr:uid="{00000000-0005-0000-0000-000097070000}"/>
    <cellStyle name="Comma 10 4 11 2 2" xfId="23268" xr:uid="{C7038358-46C3-4898-A819-DE6386B75D54}"/>
    <cellStyle name="Comma 10 4 11 2 3" xfId="17608" xr:uid="{F8AD0DB3-3D25-4F8A-AC32-87CA54918DAC}"/>
    <cellStyle name="Comma 10 4 11 2 4" xfId="28929" xr:uid="{9251F74F-8EAF-4B99-BD64-3CBC96947959}"/>
    <cellStyle name="Comma 10 4 11 2 5" xfId="34521" xr:uid="{E3C6756B-1FA7-4FD4-B545-A99C41C10E3E}"/>
    <cellStyle name="Comma 10 4 11 3" xfId="13564" xr:uid="{00000000-0005-0000-0000-000098070000}"/>
    <cellStyle name="Comma 10 4 11 3 2" xfId="25805" xr:uid="{B38BD71A-0513-4553-9684-5037176538BF}"/>
    <cellStyle name="Comma 10 4 11 3 3" xfId="20145" xr:uid="{289EDA7D-AA4A-429B-B043-C14E958D6D06}"/>
    <cellStyle name="Comma 10 4 11 3 4" xfId="34522" xr:uid="{11E1108A-3110-44BB-ACA1-CFAF076B795B}"/>
    <cellStyle name="Comma 10 4 11 4" xfId="34520" xr:uid="{67039C29-4AD3-4367-879B-5C9941D86BB9}"/>
    <cellStyle name="Comma 10 4 12" xfId="3760" xr:uid="{00000000-0005-0000-0000-000099070000}"/>
    <cellStyle name="Comma 10 4 12 2" xfId="5474" xr:uid="{00000000-0005-0000-0000-00009A070000}"/>
    <cellStyle name="Comma 10 4 12 2 2" xfId="23269" xr:uid="{0A6E9710-57E4-46ED-99A4-EA00027F34DC}"/>
    <cellStyle name="Comma 10 4 12 2 3" xfId="17609" xr:uid="{5C87E2F6-58EC-4442-88BC-59375A506E2A}"/>
    <cellStyle name="Comma 10 4 12 2 4" xfId="28930" xr:uid="{8ACC3B03-9E8E-48B8-9933-DC6FE6915CB8}"/>
    <cellStyle name="Comma 10 4 12 2 5" xfId="34524" xr:uid="{91420869-10C0-46E8-B79A-A7369416BFD4}"/>
    <cellStyle name="Comma 10 4 12 3" xfId="13565" xr:uid="{00000000-0005-0000-0000-00009B070000}"/>
    <cellStyle name="Comma 10 4 12 3 2" xfId="25806" xr:uid="{C79F72F9-6770-40AB-813A-FF8986172E08}"/>
    <cellStyle name="Comma 10 4 12 3 3" xfId="20146" xr:uid="{A75E050B-73DC-4B67-BA2C-8C805D3CFA31}"/>
    <cellStyle name="Comma 10 4 12 3 4" xfId="34525" xr:uid="{DCC7A109-3A38-4DAD-BECA-CFCB5A7A6860}"/>
    <cellStyle name="Comma 10 4 12 4" xfId="34523" xr:uid="{ABC3EA42-3E27-403D-ABDA-365252330618}"/>
    <cellStyle name="Comma 10 4 13" xfId="3761" xr:uid="{00000000-0005-0000-0000-00009C070000}"/>
    <cellStyle name="Comma 10 4 13 2" xfId="5475" xr:uid="{00000000-0005-0000-0000-00009D070000}"/>
    <cellStyle name="Comma 10 4 13 2 2" xfId="23270" xr:uid="{9032BCA6-B657-4B5B-85FC-70894DA5D427}"/>
    <cellStyle name="Comma 10 4 13 2 3" xfId="17610" xr:uid="{948688B5-DC15-42FB-8E29-826CA96828D3}"/>
    <cellStyle name="Comma 10 4 13 2 4" xfId="28931" xr:uid="{DB4E898C-EC92-4696-838F-D519912187DF}"/>
    <cellStyle name="Comma 10 4 13 2 5" xfId="34527" xr:uid="{8AF53BF0-222B-491D-8BDC-9A1544ABC140}"/>
    <cellStyle name="Comma 10 4 13 3" xfId="13566" xr:uid="{00000000-0005-0000-0000-00009E070000}"/>
    <cellStyle name="Comma 10 4 13 3 2" xfId="25807" xr:uid="{39C6E439-29CB-4BF2-B9E7-ACE05EF27DB9}"/>
    <cellStyle name="Comma 10 4 13 3 3" xfId="20147" xr:uid="{1D37F8A3-952E-4EFE-8C8C-1BC62315DE87}"/>
    <cellStyle name="Comma 10 4 13 3 4" xfId="34528" xr:uid="{CC00079D-9BC3-4295-81DA-01A64D080825}"/>
    <cellStyle name="Comma 10 4 13 4" xfId="34526" xr:uid="{33DE0C2C-CEB3-4D03-A769-6C9F2342F8F0}"/>
    <cellStyle name="Comma 10 4 14" xfId="3762" xr:uid="{00000000-0005-0000-0000-00009F070000}"/>
    <cellStyle name="Comma 10 4 14 2" xfId="5476" xr:uid="{00000000-0005-0000-0000-0000A0070000}"/>
    <cellStyle name="Comma 10 4 14 2 2" xfId="23271" xr:uid="{7AA06AF1-3875-4ED4-BB67-AA1207F894AE}"/>
    <cellStyle name="Comma 10 4 14 2 3" xfId="17611" xr:uid="{BDD52059-7AAA-4DC8-B944-2E348C6E036C}"/>
    <cellStyle name="Comma 10 4 14 2 4" xfId="28932" xr:uid="{317C01B9-5304-4B1C-9258-C82B433A316B}"/>
    <cellStyle name="Comma 10 4 14 2 5" xfId="34530" xr:uid="{2EA29BB3-E7DA-4ECA-9C88-68FA31DA80C4}"/>
    <cellStyle name="Comma 10 4 14 3" xfId="13567" xr:uid="{00000000-0005-0000-0000-0000A1070000}"/>
    <cellStyle name="Comma 10 4 14 3 2" xfId="25808" xr:uid="{FC3E88BF-4A59-4DF6-8D2B-3BBBCA8A166F}"/>
    <cellStyle name="Comma 10 4 14 3 3" xfId="20148" xr:uid="{6B6CAFB1-DBDE-49BD-B596-412763FE270A}"/>
    <cellStyle name="Comma 10 4 14 3 4" xfId="34531" xr:uid="{AE5F2C42-FB6A-4121-AA5A-BA3FA5E7A018}"/>
    <cellStyle name="Comma 10 4 14 4" xfId="34529" xr:uid="{2D1E5FED-A1D4-4E3A-929A-6BC806BD594E}"/>
    <cellStyle name="Comma 10 4 15" xfId="3763" xr:uid="{00000000-0005-0000-0000-0000A2070000}"/>
    <cellStyle name="Comma 10 4 15 2" xfId="5477" xr:uid="{00000000-0005-0000-0000-0000A3070000}"/>
    <cellStyle name="Comma 10 4 15 2 2" xfId="23272" xr:uid="{F48772B1-3E5A-4A51-8D2C-5F9062BFDED6}"/>
    <cellStyle name="Comma 10 4 15 2 3" xfId="17612" xr:uid="{E5DDB175-6E9D-4EE9-89BD-DCEE586ED914}"/>
    <cellStyle name="Comma 10 4 15 2 4" xfId="28933" xr:uid="{DCB27DA5-1A49-480A-8FBE-B9CD0B4EBA99}"/>
    <cellStyle name="Comma 10 4 15 2 5" xfId="34533" xr:uid="{77BB8AEA-1822-41DA-B0A5-4932F61FA923}"/>
    <cellStyle name="Comma 10 4 15 3" xfId="13568" xr:uid="{00000000-0005-0000-0000-0000A4070000}"/>
    <cellStyle name="Comma 10 4 15 3 2" xfId="25809" xr:uid="{0193E443-C354-4A8E-AFCC-8B1300220D9A}"/>
    <cellStyle name="Comma 10 4 15 3 3" xfId="20149" xr:uid="{6AC54E0C-FEAB-45D5-8013-C21FEF0C6859}"/>
    <cellStyle name="Comma 10 4 15 3 4" xfId="34534" xr:uid="{1DD78D07-62D6-4BCE-B38A-74B7E089F420}"/>
    <cellStyle name="Comma 10 4 15 4" xfId="34532" xr:uid="{579A2C9A-37F5-4D03-A1C9-B430530971D8}"/>
    <cellStyle name="Comma 10 4 16" xfId="3764" xr:uid="{00000000-0005-0000-0000-0000A5070000}"/>
    <cellStyle name="Comma 10 4 16 2" xfId="5478" xr:uid="{00000000-0005-0000-0000-0000A6070000}"/>
    <cellStyle name="Comma 10 4 16 2 2" xfId="23273" xr:uid="{002365F1-5734-4BBC-B2E1-CF2E527CCECF}"/>
    <cellStyle name="Comma 10 4 16 2 3" xfId="17613" xr:uid="{06365B82-08C5-40FB-8D00-D3775B2A3CD8}"/>
    <cellStyle name="Comma 10 4 16 2 4" xfId="28934" xr:uid="{BA9466D4-0A95-4612-94AA-5BD78FACA586}"/>
    <cellStyle name="Comma 10 4 16 2 5" xfId="34536" xr:uid="{69DD6DD5-EE60-40F7-B2EC-6D1A89471061}"/>
    <cellStyle name="Comma 10 4 16 3" xfId="13569" xr:uid="{00000000-0005-0000-0000-0000A7070000}"/>
    <cellStyle name="Comma 10 4 16 3 2" xfId="25810" xr:uid="{402715A2-16BD-48C3-A165-9AC76CD30C45}"/>
    <cellStyle name="Comma 10 4 16 3 3" xfId="20150" xr:uid="{894CED69-0418-4C29-9872-38C389D4C674}"/>
    <cellStyle name="Comma 10 4 16 3 4" xfId="34537" xr:uid="{92F675F1-2322-470E-A2C4-14C660EA5F32}"/>
    <cellStyle name="Comma 10 4 16 4" xfId="34535" xr:uid="{372E1ECA-A8F1-49B1-8661-AE21566991AF}"/>
    <cellStyle name="Comma 10 4 17" xfId="3765" xr:uid="{00000000-0005-0000-0000-0000A8070000}"/>
    <cellStyle name="Comma 10 4 17 2" xfId="5479" xr:uid="{00000000-0005-0000-0000-0000A9070000}"/>
    <cellStyle name="Comma 10 4 17 2 2" xfId="23274" xr:uid="{7331C271-ED5A-4BFF-AEA4-8518760C2481}"/>
    <cellStyle name="Comma 10 4 17 2 3" xfId="17614" xr:uid="{A607E6F8-82A8-4A4A-BCF9-A913997757ED}"/>
    <cellStyle name="Comma 10 4 17 2 4" xfId="28935" xr:uid="{CA9CECAF-A9A3-4A5F-9BDF-483149EA5C99}"/>
    <cellStyle name="Comma 10 4 17 2 5" xfId="34539" xr:uid="{29752CD3-3620-415E-92B0-D4648562FA30}"/>
    <cellStyle name="Comma 10 4 17 3" xfId="13570" xr:uid="{00000000-0005-0000-0000-0000AA070000}"/>
    <cellStyle name="Comma 10 4 17 3 2" xfId="25811" xr:uid="{6F765039-2102-41C6-A741-9A71CCB2D617}"/>
    <cellStyle name="Comma 10 4 17 3 3" xfId="20151" xr:uid="{F5F1C04E-1CEF-43E5-B9EC-664EB788D3EF}"/>
    <cellStyle name="Comma 10 4 17 3 4" xfId="34540" xr:uid="{E8695EA3-27E2-4D10-A5F1-3D1A28FF5152}"/>
    <cellStyle name="Comma 10 4 17 4" xfId="34538" xr:uid="{E7011AAE-5B99-46B4-91CE-41667603512C}"/>
    <cellStyle name="Comma 10 4 18" xfId="5471" xr:uid="{00000000-0005-0000-0000-0000AB070000}"/>
    <cellStyle name="Comma 10 4 18 2" xfId="23266" xr:uid="{803EBE80-B703-48AB-80E9-D2CA92DD3913}"/>
    <cellStyle name="Comma 10 4 18 3" xfId="17606" xr:uid="{8B4472B4-F5CC-4B2F-B748-A9B6E1172E14}"/>
    <cellStyle name="Comma 10 4 18 4" xfId="28927" xr:uid="{16041A09-1CAD-4C02-BCBD-FE116938F1C5}"/>
    <cellStyle name="Comma 10 4 18 5" xfId="34541" xr:uid="{A4815CAC-E471-4E13-81EB-89619EFC2589}"/>
    <cellStyle name="Comma 10 4 19" xfId="13562" xr:uid="{00000000-0005-0000-0000-0000AC070000}"/>
    <cellStyle name="Comma 10 4 19 2" xfId="25803" xr:uid="{FDCFB1AA-28E0-4B60-9C6C-A45B2DC07AFD}"/>
    <cellStyle name="Comma 10 4 19 3" xfId="20143" xr:uid="{7D233646-5643-40D0-B975-676AF4BB35E7}"/>
    <cellStyle name="Comma 10 4 19 4" xfId="34542" xr:uid="{5D87F80D-6BF5-4404-88A5-EC6E61D71541}"/>
    <cellStyle name="Comma 10 4 2" xfId="3766" xr:uid="{00000000-0005-0000-0000-0000AD070000}"/>
    <cellStyle name="Comma 10 4 2 2" xfId="5480" xr:uid="{00000000-0005-0000-0000-0000AE070000}"/>
    <cellStyle name="Comma 10 4 2 2 2" xfId="23275" xr:uid="{5E784FE5-FA4C-4887-AF9A-EC7C93F66940}"/>
    <cellStyle name="Comma 10 4 2 2 3" xfId="17615" xr:uid="{148B020A-6F2E-4511-8D0F-97CCF7D59B56}"/>
    <cellStyle name="Comma 10 4 2 2 4" xfId="28936" xr:uid="{BFDD0B20-83EF-4122-BD66-3CE292BF6E9C}"/>
    <cellStyle name="Comma 10 4 2 2 5" xfId="34544" xr:uid="{96184B51-6D56-4365-970A-10B1FCAEF0AD}"/>
    <cellStyle name="Comma 10 4 2 3" xfId="13571" xr:uid="{00000000-0005-0000-0000-0000AF070000}"/>
    <cellStyle name="Comma 10 4 2 3 2" xfId="25812" xr:uid="{2CF6905D-9796-4C8E-92A4-C32C90FB30A4}"/>
    <cellStyle name="Comma 10 4 2 3 3" xfId="20152" xr:uid="{1DE8BDA3-A8AB-4B7B-9D46-4AC176BEE90A}"/>
    <cellStyle name="Comma 10 4 2 3 4" xfId="34545" xr:uid="{6A712710-5246-4AD5-A3CE-7F005606AAD9}"/>
    <cellStyle name="Comma 10 4 2 4" xfId="34543" xr:uid="{85862F93-8F12-490B-96CA-4A18A59BB8CD}"/>
    <cellStyle name="Comma 10 4 20" xfId="34516" xr:uid="{FFFDDC36-CEE3-43FD-A253-8B0E0B6ABE00}"/>
    <cellStyle name="Comma 10 4 3" xfId="3767" xr:uid="{00000000-0005-0000-0000-0000B0070000}"/>
    <cellStyle name="Comma 10 4 3 2" xfId="5481" xr:uid="{00000000-0005-0000-0000-0000B1070000}"/>
    <cellStyle name="Comma 10 4 3 2 2" xfId="23276" xr:uid="{8ADF33D9-AAE1-439A-994C-8263EC804AA6}"/>
    <cellStyle name="Comma 10 4 3 2 3" xfId="17616" xr:uid="{94ADDE8F-E3B9-40A1-95B8-13C039F7331A}"/>
    <cellStyle name="Comma 10 4 3 2 4" xfId="28937" xr:uid="{9EAC31AE-817B-4D17-B486-252191B8D15A}"/>
    <cellStyle name="Comma 10 4 3 2 5" xfId="34547" xr:uid="{5852F06D-0116-41C7-943A-42CE092BCD08}"/>
    <cellStyle name="Comma 10 4 3 3" xfId="13572" xr:uid="{00000000-0005-0000-0000-0000B2070000}"/>
    <cellStyle name="Comma 10 4 3 3 2" xfId="25813" xr:uid="{9B191FAF-1EC1-400D-9BC0-846488F53593}"/>
    <cellStyle name="Comma 10 4 3 3 3" xfId="20153" xr:uid="{A152F9B8-5866-4453-8EAD-1D160B737DA6}"/>
    <cellStyle name="Comma 10 4 3 3 4" xfId="34548" xr:uid="{D87B0578-30BE-45BA-9CA9-D1DD05207832}"/>
    <cellStyle name="Comma 10 4 3 4" xfId="34546" xr:uid="{42CFFD67-C24D-4268-BD21-15780A0BA937}"/>
    <cellStyle name="Comma 10 4 4" xfId="3768" xr:uid="{00000000-0005-0000-0000-0000B3070000}"/>
    <cellStyle name="Comma 10 4 4 2" xfId="5482" xr:uid="{00000000-0005-0000-0000-0000B4070000}"/>
    <cellStyle name="Comma 10 4 4 2 2" xfId="23277" xr:uid="{AEC78AAE-21BE-4B88-AE8D-3C260A5D4AF3}"/>
    <cellStyle name="Comma 10 4 4 2 3" xfId="17617" xr:uid="{2BE2421D-FDFE-4B8D-B749-A283722E10F4}"/>
    <cellStyle name="Comma 10 4 4 2 4" xfId="28938" xr:uid="{422B4701-7E56-4495-92EC-779BF74311D6}"/>
    <cellStyle name="Comma 10 4 4 2 5" xfId="34550" xr:uid="{6791B53F-D2C9-482C-988B-BF63F85457B9}"/>
    <cellStyle name="Comma 10 4 4 3" xfId="13573" xr:uid="{00000000-0005-0000-0000-0000B5070000}"/>
    <cellStyle name="Comma 10 4 4 3 2" xfId="25814" xr:uid="{A3D33E5F-5180-4602-8015-0CB48A9F83BC}"/>
    <cellStyle name="Comma 10 4 4 3 3" xfId="20154" xr:uid="{94250E6C-84B8-481D-A304-4BB72212BEDB}"/>
    <cellStyle name="Comma 10 4 4 3 4" xfId="34551" xr:uid="{6BA7708B-1F6A-4B0C-88E4-BEE80480BEC6}"/>
    <cellStyle name="Comma 10 4 4 4" xfId="34549" xr:uid="{20C9B3A1-3A5D-4C95-A5DE-A3923FA05045}"/>
    <cellStyle name="Comma 10 4 5" xfId="3769" xr:uid="{00000000-0005-0000-0000-0000B6070000}"/>
    <cellStyle name="Comma 10 4 5 2" xfId="5483" xr:uid="{00000000-0005-0000-0000-0000B7070000}"/>
    <cellStyle name="Comma 10 4 5 2 2" xfId="23278" xr:uid="{0E15B6EF-F55C-4AC6-BE10-4F5CF6306248}"/>
    <cellStyle name="Comma 10 4 5 2 3" xfId="17618" xr:uid="{81D71213-0AAB-4F3E-9A88-528DD8E22FEA}"/>
    <cellStyle name="Comma 10 4 5 2 4" xfId="28939" xr:uid="{989456D0-3A02-4CA3-81A4-63726651ABA0}"/>
    <cellStyle name="Comma 10 4 5 2 5" xfId="34553" xr:uid="{DE6EBE2E-C010-45F2-977C-B9497DCBC225}"/>
    <cellStyle name="Comma 10 4 5 3" xfId="13574" xr:uid="{00000000-0005-0000-0000-0000B8070000}"/>
    <cellStyle name="Comma 10 4 5 3 2" xfId="25815" xr:uid="{FAF01E39-A053-4077-89DF-9299629F8850}"/>
    <cellStyle name="Comma 10 4 5 3 3" xfId="20155" xr:uid="{0619436B-ADED-48F8-851F-9C2B20DDAA00}"/>
    <cellStyle name="Comma 10 4 5 3 4" xfId="34554" xr:uid="{B30CE32F-06F6-451C-8CCA-2496D462A7D0}"/>
    <cellStyle name="Comma 10 4 5 4" xfId="34552" xr:uid="{B0BAD4C6-6716-4028-ADDF-A7AA57436A53}"/>
    <cellStyle name="Comma 10 4 6" xfId="3770" xr:uid="{00000000-0005-0000-0000-0000B9070000}"/>
    <cellStyle name="Comma 10 4 6 2" xfId="5484" xr:uid="{00000000-0005-0000-0000-0000BA070000}"/>
    <cellStyle name="Comma 10 4 6 2 2" xfId="23279" xr:uid="{BA44D450-957B-4B07-B517-DC08945BB1E6}"/>
    <cellStyle name="Comma 10 4 6 2 3" xfId="17619" xr:uid="{DA9EEBD9-D643-4557-B3C6-48F42F5E959B}"/>
    <cellStyle name="Comma 10 4 6 2 4" xfId="28940" xr:uid="{EB18300A-A870-47C5-9BF5-B9172BD130D3}"/>
    <cellStyle name="Comma 10 4 6 2 5" xfId="34556" xr:uid="{C25F8EF8-2F5E-429B-B3AE-4D3BEF992FCF}"/>
    <cellStyle name="Comma 10 4 6 3" xfId="13575" xr:uid="{00000000-0005-0000-0000-0000BB070000}"/>
    <cellStyle name="Comma 10 4 6 3 2" xfId="25816" xr:uid="{CE6EE5B9-9C88-43F5-B201-4DC6BAFDAF7D}"/>
    <cellStyle name="Comma 10 4 6 3 3" xfId="20156" xr:uid="{84F6E160-3C6C-413A-9613-F600A3D2AFE7}"/>
    <cellStyle name="Comma 10 4 6 3 4" xfId="34557" xr:uid="{8B0AB689-6909-47A1-A259-B6C4660EDA00}"/>
    <cellStyle name="Comma 10 4 6 4" xfId="34555" xr:uid="{4E488243-E71D-4589-97DA-FC658F6BE7B3}"/>
    <cellStyle name="Comma 10 4 7" xfId="3771" xr:uid="{00000000-0005-0000-0000-0000BC070000}"/>
    <cellStyle name="Comma 10 4 7 2" xfId="5485" xr:uid="{00000000-0005-0000-0000-0000BD070000}"/>
    <cellStyle name="Comma 10 4 7 2 2" xfId="23280" xr:uid="{0895857E-C71F-430E-8D5E-E51EB4FE1793}"/>
    <cellStyle name="Comma 10 4 7 2 3" xfId="17620" xr:uid="{5295E3C3-6FB1-4B41-B0C8-EF1C91EAE426}"/>
    <cellStyle name="Comma 10 4 7 2 4" xfId="28941" xr:uid="{155F2CC8-E5BF-4D60-8637-88CF99C13BF4}"/>
    <cellStyle name="Comma 10 4 7 2 5" xfId="34559" xr:uid="{FB82958B-C41E-444E-AED0-838B85564FB1}"/>
    <cellStyle name="Comma 10 4 7 3" xfId="13576" xr:uid="{00000000-0005-0000-0000-0000BE070000}"/>
    <cellStyle name="Comma 10 4 7 3 2" xfId="25817" xr:uid="{23DBD3FE-6137-476F-9498-F00A5EFB335F}"/>
    <cellStyle name="Comma 10 4 7 3 3" xfId="20157" xr:uid="{2E85B911-6A96-460A-9F18-F78BD96D4231}"/>
    <cellStyle name="Comma 10 4 7 3 4" xfId="34560" xr:uid="{57E60E32-9470-4F88-832E-9EFE409C8FA1}"/>
    <cellStyle name="Comma 10 4 7 4" xfId="34558" xr:uid="{52DEA44B-C784-4759-A871-06D5100C9BAA}"/>
    <cellStyle name="Comma 10 4 8" xfId="3772" xr:uid="{00000000-0005-0000-0000-0000BF070000}"/>
    <cellStyle name="Comma 10 4 8 2" xfId="5486" xr:uid="{00000000-0005-0000-0000-0000C0070000}"/>
    <cellStyle name="Comma 10 4 8 2 2" xfId="23281" xr:uid="{A67D976E-2B98-4E08-AE8B-4360248A9EE0}"/>
    <cellStyle name="Comma 10 4 8 2 3" xfId="17621" xr:uid="{48022B5B-8217-4F13-9D71-E19AF8355F56}"/>
    <cellStyle name="Comma 10 4 8 2 4" xfId="28942" xr:uid="{6AA0AA97-887A-47B2-8E45-545CA00E9877}"/>
    <cellStyle name="Comma 10 4 8 2 5" xfId="34562" xr:uid="{345ED767-9EE3-4ADC-9171-7A7AFEC0ACC5}"/>
    <cellStyle name="Comma 10 4 8 3" xfId="13577" xr:uid="{00000000-0005-0000-0000-0000C1070000}"/>
    <cellStyle name="Comma 10 4 8 3 2" xfId="25818" xr:uid="{B248EE5E-9EA5-4333-A59D-277074F807BD}"/>
    <cellStyle name="Comma 10 4 8 3 3" xfId="20158" xr:uid="{676C7267-F0CF-4511-898B-8A4B5008E89D}"/>
    <cellStyle name="Comma 10 4 8 3 4" xfId="34563" xr:uid="{FB35F9C4-5F33-4769-90B3-7C8C84E3BF8E}"/>
    <cellStyle name="Comma 10 4 8 4" xfId="34561" xr:uid="{4A5DA932-B68A-4D25-A827-5DCA664F2A26}"/>
    <cellStyle name="Comma 10 4 9" xfId="3773" xr:uid="{00000000-0005-0000-0000-0000C2070000}"/>
    <cellStyle name="Comma 10 4 9 2" xfId="5487" xr:uid="{00000000-0005-0000-0000-0000C3070000}"/>
    <cellStyle name="Comma 10 4 9 2 2" xfId="23282" xr:uid="{8A8189C7-4ACA-4017-AE88-EE47E24DEBF9}"/>
    <cellStyle name="Comma 10 4 9 2 3" xfId="17622" xr:uid="{FEDCD4EE-A443-4C9C-A4B2-D8ED2887D0E3}"/>
    <cellStyle name="Comma 10 4 9 2 4" xfId="28943" xr:uid="{FCF1E184-EF75-4169-B0DB-7C777DCA1F4F}"/>
    <cellStyle name="Comma 10 4 9 2 5" xfId="34565" xr:uid="{A5989683-D3FE-4068-A531-87A417B014DC}"/>
    <cellStyle name="Comma 10 4 9 3" xfId="13578" xr:uid="{00000000-0005-0000-0000-0000C4070000}"/>
    <cellStyle name="Comma 10 4 9 3 2" xfId="25819" xr:uid="{C32FBB1C-12DA-4B19-B266-BE8B8390DCEF}"/>
    <cellStyle name="Comma 10 4 9 3 3" xfId="20159" xr:uid="{ACDE7D35-AAF9-4299-B018-FB5310E55373}"/>
    <cellStyle name="Comma 10 4 9 3 4" xfId="34566" xr:uid="{BC43A45F-0171-40D5-88A8-F6129B81205F}"/>
    <cellStyle name="Comma 10 4 9 4" xfId="34564" xr:uid="{0EA2A57F-28EA-4672-8E11-F29FABEBDD56}"/>
    <cellStyle name="Comma 10 5" xfId="3774" xr:uid="{00000000-0005-0000-0000-0000C5070000}"/>
    <cellStyle name="Comma 10 5 10" xfId="3775" xr:uid="{00000000-0005-0000-0000-0000C6070000}"/>
    <cellStyle name="Comma 10 5 10 2" xfId="5489" xr:uid="{00000000-0005-0000-0000-0000C7070000}"/>
    <cellStyle name="Comma 10 5 10 2 2" xfId="23284" xr:uid="{650BB5AF-F0DF-4F12-9733-4782C3E2DEC4}"/>
    <cellStyle name="Comma 10 5 10 2 3" xfId="17624" xr:uid="{BACCEB2E-0EDA-43B1-B3A9-3394CB0FA522}"/>
    <cellStyle name="Comma 10 5 10 2 4" xfId="28945" xr:uid="{B010BC2E-23D0-4C06-B666-A89CD9AD91D0}"/>
    <cellStyle name="Comma 10 5 10 2 5" xfId="34569" xr:uid="{C1A623A8-0F8A-4B74-83DA-E416998D3DE5}"/>
    <cellStyle name="Comma 10 5 10 3" xfId="13580" xr:uid="{00000000-0005-0000-0000-0000C8070000}"/>
    <cellStyle name="Comma 10 5 10 3 2" xfId="25821" xr:uid="{02160A91-58F2-4E38-92DC-B578FFDA5CBC}"/>
    <cellStyle name="Comma 10 5 10 3 3" xfId="20161" xr:uid="{30F2240B-2C2F-4352-9BD4-53357BB24701}"/>
    <cellStyle name="Comma 10 5 10 3 4" xfId="34570" xr:uid="{6DFDF857-B2FC-44ED-A18E-2C5723597E22}"/>
    <cellStyle name="Comma 10 5 10 4" xfId="34568" xr:uid="{8D68B8DC-C182-4BE7-A2D1-A1C2E7B63E4C}"/>
    <cellStyle name="Comma 10 5 11" xfId="3776" xr:uid="{00000000-0005-0000-0000-0000C9070000}"/>
    <cellStyle name="Comma 10 5 11 2" xfId="5490" xr:uid="{00000000-0005-0000-0000-0000CA070000}"/>
    <cellStyle name="Comma 10 5 11 2 2" xfId="23285" xr:uid="{C948CF4D-E8A2-4BBC-9927-C49DB03EDDC1}"/>
    <cellStyle name="Comma 10 5 11 2 3" xfId="17625" xr:uid="{F6E5DEDF-A06F-448F-867B-B42A1DEB9551}"/>
    <cellStyle name="Comma 10 5 11 2 4" xfId="28946" xr:uid="{DB5EAA3C-EF08-4467-BCB8-D357C47CF445}"/>
    <cellStyle name="Comma 10 5 11 2 5" xfId="34572" xr:uid="{63C3F56C-06B6-4D21-B51F-0636BE7D20C5}"/>
    <cellStyle name="Comma 10 5 11 3" xfId="13581" xr:uid="{00000000-0005-0000-0000-0000CB070000}"/>
    <cellStyle name="Comma 10 5 11 3 2" xfId="25822" xr:uid="{371E46D8-6818-4581-874A-85D827316F11}"/>
    <cellStyle name="Comma 10 5 11 3 3" xfId="20162" xr:uid="{FDB9F2D7-510B-4127-8B15-DEE6A02A437B}"/>
    <cellStyle name="Comma 10 5 11 3 4" xfId="34573" xr:uid="{F53F88EA-ED1A-4798-BD2D-01818FADB6F1}"/>
    <cellStyle name="Comma 10 5 11 4" xfId="34571" xr:uid="{34AC742C-B2C7-48D2-ADE3-E04EAF717526}"/>
    <cellStyle name="Comma 10 5 12" xfId="3777" xr:uid="{00000000-0005-0000-0000-0000CC070000}"/>
    <cellStyle name="Comma 10 5 12 2" xfId="5491" xr:uid="{00000000-0005-0000-0000-0000CD070000}"/>
    <cellStyle name="Comma 10 5 12 2 2" xfId="23286" xr:uid="{2D0C7555-A749-4CDB-B7A4-18F8B0DD1EB7}"/>
    <cellStyle name="Comma 10 5 12 2 3" xfId="17626" xr:uid="{F05AC127-3C79-4356-8914-D9FA87F4B08C}"/>
    <cellStyle name="Comma 10 5 12 2 4" xfId="28947" xr:uid="{D4173772-512E-4FD2-9F16-C156505336E4}"/>
    <cellStyle name="Comma 10 5 12 2 5" xfId="34575" xr:uid="{775C60F3-69CD-4555-A608-39FC78F27914}"/>
    <cellStyle name="Comma 10 5 12 3" xfId="13582" xr:uid="{00000000-0005-0000-0000-0000CE070000}"/>
    <cellStyle name="Comma 10 5 12 3 2" xfId="25823" xr:uid="{B6E224D2-30B1-4ED1-B352-C4FD3747AF38}"/>
    <cellStyle name="Comma 10 5 12 3 3" xfId="20163" xr:uid="{D77CB94F-0D38-4FBA-BB2B-9A80D62B874D}"/>
    <cellStyle name="Comma 10 5 12 3 4" xfId="34576" xr:uid="{00DA49BA-33E4-4A30-8EE5-9BA58346ABBF}"/>
    <cellStyle name="Comma 10 5 12 4" xfId="34574" xr:uid="{48302889-8683-4EB7-A9BD-2902C4BFB502}"/>
    <cellStyle name="Comma 10 5 13" xfId="3778" xr:uid="{00000000-0005-0000-0000-0000CF070000}"/>
    <cellStyle name="Comma 10 5 13 2" xfId="5492" xr:uid="{00000000-0005-0000-0000-0000D0070000}"/>
    <cellStyle name="Comma 10 5 13 2 2" xfId="23287" xr:uid="{1AF1B6A7-4A95-41F8-81AF-7857990025A9}"/>
    <cellStyle name="Comma 10 5 13 2 3" xfId="17627" xr:uid="{E9115800-7517-45C6-A906-040FE95C4D33}"/>
    <cellStyle name="Comma 10 5 13 2 4" xfId="28948" xr:uid="{826393E8-85B1-4DA1-B9DA-9D392195E258}"/>
    <cellStyle name="Comma 10 5 13 2 5" xfId="34578" xr:uid="{BFD22650-24C3-45A1-A1B7-36A835541F18}"/>
    <cellStyle name="Comma 10 5 13 3" xfId="13583" xr:uid="{00000000-0005-0000-0000-0000D1070000}"/>
    <cellStyle name="Comma 10 5 13 3 2" xfId="25824" xr:uid="{4996E716-CE40-4578-BEC0-14F65B1BA2F6}"/>
    <cellStyle name="Comma 10 5 13 3 3" xfId="20164" xr:uid="{C1D9F1F9-2718-4096-8707-741FBEDD3567}"/>
    <cellStyle name="Comma 10 5 13 3 4" xfId="34579" xr:uid="{CA12E5A2-F7A5-4C3E-99D1-394CD2BDBF96}"/>
    <cellStyle name="Comma 10 5 13 4" xfId="34577" xr:uid="{3ED728AE-1DF9-4A46-84A5-C67A94F9DA1C}"/>
    <cellStyle name="Comma 10 5 14" xfId="3779" xr:uid="{00000000-0005-0000-0000-0000D2070000}"/>
    <cellStyle name="Comma 10 5 14 2" xfId="5493" xr:uid="{00000000-0005-0000-0000-0000D3070000}"/>
    <cellStyle name="Comma 10 5 14 2 2" xfId="23288" xr:uid="{F582FE5A-DA10-4280-A78A-39D2EB68A0CF}"/>
    <cellStyle name="Comma 10 5 14 2 3" xfId="17628" xr:uid="{4BD51FA3-5172-403A-98A5-3F9EAD7AA0DB}"/>
    <cellStyle name="Comma 10 5 14 2 4" xfId="28949" xr:uid="{6D023A8C-3B74-4F79-9274-20E2DFFE101E}"/>
    <cellStyle name="Comma 10 5 14 2 5" xfId="34581" xr:uid="{DAA0BC54-1E90-4236-B860-537F87F7DBAD}"/>
    <cellStyle name="Comma 10 5 14 3" xfId="13584" xr:uid="{00000000-0005-0000-0000-0000D4070000}"/>
    <cellStyle name="Comma 10 5 14 3 2" xfId="25825" xr:uid="{87F21CB0-55D6-4D0A-A869-F36441D3A3D7}"/>
    <cellStyle name="Comma 10 5 14 3 3" xfId="20165" xr:uid="{0988A895-4718-4117-B1C2-805666A0510B}"/>
    <cellStyle name="Comma 10 5 14 3 4" xfId="34582" xr:uid="{57EBC787-E30D-44C4-860A-AC493E88853E}"/>
    <cellStyle name="Comma 10 5 14 4" xfId="34580" xr:uid="{70497E9D-ED4F-4DF2-9506-DBE433AEABD8}"/>
    <cellStyle name="Comma 10 5 15" xfId="3780" xr:uid="{00000000-0005-0000-0000-0000D5070000}"/>
    <cellStyle name="Comma 10 5 15 2" xfId="5494" xr:uid="{00000000-0005-0000-0000-0000D6070000}"/>
    <cellStyle name="Comma 10 5 15 2 2" xfId="23289" xr:uid="{6B49139C-44A1-4854-943B-AB1F8DFA4140}"/>
    <cellStyle name="Comma 10 5 15 2 3" xfId="17629" xr:uid="{AA5F8613-5809-4A96-9EF9-2691B11F6D65}"/>
    <cellStyle name="Comma 10 5 15 2 4" xfId="28950" xr:uid="{79C1E6BA-F4F9-4D4B-9324-5E9D5480E6F8}"/>
    <cellStyle name="Comma 10 5 15 2 5" xfId="34584" xr:uid="{8946F866-BA21-4258-9906-CEDB75DA6444}"/>
    <cellStyle name="Comma 10 5 15 3" xfId="13585" xr:uid="{00000000-0005-0000-0000-0000D7070000}"/>
    <cellStyle name="Comma 10 5 15 3 2" xfId="25826" xr:uid="{955C4FE7-EBE1-4E66-8D2C-FCD19B351863}"/>
    <cellStyle name="Comma 10 5 15 3 3" xfId="20166" xr:uid="{67FA9C2B-905D-48AB-8B71-D5D38A518887}"/>
    <cellStyle name="Comma 10 5 15 3 4" xfId="34585" xr:uid="{C22E786B-D709-490B-9225-29E0CF9A9F59}"/>
    <cellStyle name="Comma 10 5 15 4" xfId="34583" xr:uid="{AD61EBF6-8DE0-4F7F-8BB9-86D2EBE31DFC}"/>
    <cellStyle name="Comma 10 5 16" xfId="3781" xr:uid="{00000000-0005-0000-0000-0000D8070000}"/>
    <cellStyle name="Comma 10 5 16 2" xfId="5495" xr:uid="{00000000-0005-0000-0000-0000D9070000}"/>
    <cellStyle name="Comma 10 5 16 2 2" xfId="23290" xr:uid="{0664BB0C-09B9-4F20-88FF-E1AD8E5B9055}"/>
    <cellStyle name="Comma 10 5 16 2 3" xfId="17630" xr:uid="{BC892002-DC59-4497-8A6E-43CE9B136F85}"/>
    <cellStyle name="Comma 10 5 16 2 4" xfId="28951" xr:uid="{822DE484-969D-463A-BE20-00CCE028D5A9}"/>
    <cellStyle name="Comma 10 5 16 2 5" xfId="34587" xr:uid="{D2A2C14A-DE6B-4224-BEC9-0E798CA35466}"/>
    <cellStyle name="Comma 10 5 16 3" xfId="13586" xr:uid="{00000000-0005-0000-0000-0000DA070000}"/>
    <cellStyle name="Comma 10 5 16 3 2" xfId="25827" xr:uid="{C860C295-11B7-4B61-A488-DE8410E0A239}"/>
    <cellStyle name="Comma 10 5 16 3 3" xfId="20167" xr:uid="{ED0B84CA-2690-409E-BE29-4CAE4DEAD4C7}"/>
    <cellStyle name="Comma 10 5 16 3 4" xfId="34588" xr:uid="{BC76026A-012E-4343-A62B-B867F3F5CB7B}"/>
    <cellStyle name="Comma 10 5 16 4" xfId="34586" xr:uid="{80E47D6A-0D3A-478D-93DD-067E95646E35}"/>
    <cellStyle name="Comma 10 5 17" xfId="3782" xr:uid="{00000000-0005-0000-0000-0000DB070000}"/>
    <cellStyle name="Comma 10 5 17 2" xfId="5496" xr:uid="{00000000-0005-0000-0000-0000DC070000}"/>
    <cellStyle name="Comma 10 5 17 2 2" xfId="23291" xr:uid="{89BBA5C5-6F27-4EE3-99B2-A549733D6E67}"/>
    <cellStyle name="Comma 10 5 17 2 3" xfId="17631" xr:uid="{5CEF5817-1968-46D4-8563-297A11806472}"/>
    <cellStyle name="Comma 10 5 17 2 4" xfId="28952" xr:uid="{DD34EC1D-1454-4DE0-AA0D-705F6F5230F1}"/>
    <cellStyle name="Comma 10 5 17 2 5" xfId="34590" xr:uid="{68F07072-CE63-4B0B-BB4A-882614862C29}"/>
    <cellStyle name="Comma 10 5 17 3" xfId="13587" xr:uid="{00000000-0005-0000-0000-0000DD070000}"/>
    <cellStyle name="Comma 10 5 17 3 2" xfId="25828" xr:uid="{75D32245-FF19-4845-B7D6-434C301B8211}"/>
    <cellStyle name="Comma 10 5 17 3 3" xfId="20168" xr:uid="{62E4FEAE-7B3E-48CF-8B43-5DD670BD6227}"/>
    <cellStyle name="Comma 10 5 17 3 4" xfId="34591" xr:uid="{2D49D125-A0E2-410E-A91D-12FB5393D964}"/>
    <cellStyle name="Comma 10 5 17 4" xfId="34589" xr:uid="{5791B4B0-08FB-4452-B564-8839356F6F88}"/>
    <cellStyle name="Comma 10 5 18" xfId="5488" xr:uid="{00000000-0005-0000-0000-0000DE070000}"/>
    <cellStyle name="Comma 10 5 18 2" xfId="23283" xr:uid="{3CAC0C9B-BF5D-4462-B334-281266752A9D}"/>
    <cellStyle name="Comma 10 5 18 3" xfId="17623" xr:uid="{EB21369C-35CF-4987-B054-48187C33AE39}"/>
    <cellStyle name="Comma 10 5 18 4" xfId="28944" xr:uid="{758AE285-1107-4DBC-ABC4-423066EACF2E}"/>
    <cellStyle name="Comma 10 5 18 5" xfId="34592" xr:uid="{774388FF-F6CB-4C87-96C8-EE70E2D45157}"/>
    <cellStyle name="Comma 10 5 19" xfId="13579" xr:uid="{00000000-0005-0000-0000-0000DF070000}"/>
    <cellStyle name="Comma 10 5 19 2" xfId="25820" xr:uid="{4805A300-53F3-44F7-8B13-B77F01969D99}"/>
    <cellStyle name="Comma 10 5 19 3" xfId="20160" xr:uid="{7193220D-297C-4E01-9943-184E40B883F1}"/>
    <cellStyle name="Comma 10 5 19 4" xfId="34593" xr:uid="{6D851708-539F-48C0-A5B7-F3183B1208F4}"/>
    <cellStyle name="Comma 10 5 2" xfId="3783" xr:uid="{00000000-0005-0000-0000-0000E0070000}"/>
    <cellStyle name="Comma 10 5 2 2" xfId="5497" xr:uid="{00000000-0005-0000-0000-0000E1070000}"/>
    <cellStyle name="Comma 10 5 2 2 2" xfId="23292" xr:uid="{C7705513-AFCD-492B-ABC7-3B7B86667AD1}"/>
    <cellStyle name="Comma 10 5 2 2 3" xfId="17632" xr:uid="{4AD583CF-1EB7-4B1C-8336-5BF7C28230F8}"/>
    <cellStyle name="Comma 10 5 2 2 4" xfId="28953" xr:uid="{2CF2F951-E551-4FF7-B12A-989226C7BAF4}"/>
    <cellStyle name="Comma 10 5 2 2 5" xfId="34595" xr:uid="{BB72EB40-7829-44A0-B166-CCB1C13EB031}"/>
    <cellStyle name="Comma 10 5 2 3" xfId="13588" xr:uid="{00000000-0005-0000-0000-0000E2070000}"/>
    <cellStyle name="Comma 10 5 2 3 2" xfId="25829" xr:uid="{54BF2BE5-14EE-4269-8179-28B42232C805}"/>
    <cellStyle name="Comma 10 5 2 3 3" xfId="20169" xr:uid="{58DCF843-94B3-4614-A2A8-D00F6D822923}"/>
    <cellStyle name="Comma 10 5 2 3 4" xfId="34596" xr:uid="{4AA08719-A13E-4509-A9B9-2E88C78C8229}"/>
    <cellStyle name="Comma 10 5 2 4" xfId="34594" xr:uid="{593BBDF3-11AE-42D9-86A3-7F159D5D95A5}"/>
    <cellStyle name="Comma 10 5 20" xfId="34567" xr:uid="{B55AA731-F0D5-488C-92AC-A6568D5F9D20}"/>
    <cellStyle name="Comma 10 5 3" xfId="3784" xr:uid="{00000000-0005-0000-0000-0000E3070000}"/>
    <cellStyle name="Comma 10 5 3 2" xfId="5498" xr:uid="{00000000-0005-0000-0000-0000E4070000}"/>
    <cellStyle name="Comma 10 5 3 2 2" xfId="23293" xr:uid="{6AFF2019-D115-4DA1-90E1-42E093AA4B31}"/>
    <cellStyle name="Comma 10 5 3 2 3" xfId="17633" xr:uid="{EC8B9CB4-A25A-40C1-B76E-5FD67FF8C82C}"/>
    <cellStyle name="Comma 10 5 3 2 4" xfId="28954" xr:uid="{1B5F288C-E3D4-4242-8E49-86E5812D6264}"/>
    <cellStyle name="Comma 10 5 3 2 5" xfId="34598" xr:uid="{21DD175F-9484-426E-84CA-B7DDC3B37588}"/>
    <cellStyle name="Comma 10 5 3 3" xfId="13589" xr:uid="{00000000-0005-0000-0000-0000E5070000}"/>
    <cellStyle name="Comma 10 5 3 3 2" xfId="25830" xr:uid="{B6EF5571-1A45-476C-B16A-F89235910C76}"/>
    <cellStyle name="Comma 10 5 3 3 3" xfId="20170" xr:uid="{ECC7C3E7-AEF7-4ACF-BBDA-A2AC4CFEE565}"/>
    <cellStyle name="Comma 10 5 3 3 4" xfId="34599" xr:uid="{C349BA9A-83BF-4EB1-86C2-A7FC4BC63A6D}"/>
    <cellStyle name="Comma 10 5 3 4" xfId="34597" xr:uid="{FE67BA70-7E58-4A11-B7B8-874605A1DD84}"/>
    <cellStyle name="Comma 10 5 4" xfId="3785" xr:uid="{00000000-0005-0000-0000-0000E6070000}"/>
    <cellStyle name="Comma 10 5 4 2" xfId="5499" xr:uid="{00000000-0005-0000-0000-0000E7070000}"/>
    <cellStyle name="Comma 10 5 4 2 2" xfId="23294" xr:uid="{1F145249-0999-4040-9C28-FB859CFCEB74}"/>
    <cellStyle name="Comma 10 5 4 2 3" xfId="17634" xr:uid="{3EEB74B3-CD43-4BBE-ACE1-B35C87F7ED90}"/>
    <cellStyle name="Comma 10 5 4 2 4" xfId="28955" xr:uid="{25529BC7-64CF-4F74-8482-DB45E30471F9}"/>
    <cellStyle name="Comma 10 5 4 2 5" xfId="34601" xr:uid="{937BD27D-0CAC-4C43-9DEA-1F7B134EEE1B}"/>
    <cellStyle name="Comma 10 5 4 3" xfId="13590" xr:uid="{00000000-0005-0000-0000-0000E8070000}"/>
    <cellStyle name="Comma 10 5 4 3 2" xfId="25831" xr:uid="{54061302-1E38-4BE4-898E-88FFED97A592}"/>
    <cellStyle name="Comma 10 5 4 3 3" xfId="20171" xr:uid="{5A227396-3D01-4E37-99B5-C55672AB9AD9}"/>
    <cellStyle name="Comma 10 5 4 3 4" xfId="34602" xr:uid="{EB111886-E9AB-4311-A9F5-1F2AC6B1A82C}"/>
    <cellStyle name="Comma 10 5 4 4" xfId="34600" xr:uid="{B79DF0F2-797F-4F20-A6E1-0C3BBE20D4A3}"/>
    <cellStyle name="Comma 10 5 5" xfId="3786" xr:uid="{00000000-0005-0000-0000-0000E9070000}"/>
    <cellStyle name="Comma 10 5 5 2" xfId="5500" xr:uid="{00000000-0005-0000-0000-0000EA070000}"/>
    <cellStyle name="Comma 10 5 5 2 2" xfId="23295" xr:uid="{3E715DB1-38D0-43DD-9867-C7E3A6B5A981}"/>
    <cellStyle name="Comma 10 5 5 2 3" xfId="17635" xr:uid="{40B7F59F-2FCF-4B0E-855A-BC36F64F6D62}"/>
    <cellStyle name="Comma 10 5 5 2 4" xfId="28956" xr:uid="{C64A7C7C-8422-4B83-8674-BFE192CC0448}"/>
    <cellStyle name="Comma 10 5 5 2 5" xfId="34604" xr:uid="{83D76077-5EC3-4E37-936D-B387D6986B24}"/>
    <cellStyle name="Comma 10 5 5 3" xfId="13591" xr:uid="{00000000-0005-0000-0000-0000EB070000}"/>
    <cellStyle name="Comma 10 5 5 3 2" xfId="25832" xr:uid="{69AB6973-21FA-4974-9B53-DC6E40073998}"/>
    <cellStyle name="Comma 10 5 5 3 3" xfId="20172" xr:uid="{4C70605E-AA6D-4B5A-831B-5F628531A8BB}"/>
    <cellStyle name="Comma 10 5 5 3 4" xfId="34605" xr:uid="{4FB9823D-F89C-4A9F-A469-C29F1EDEFD4A}"/>
    <cellStyle name="Comma 10 5 5 4" xfId="34603" xr:uid="{B7DD3FD6-04A1-4BB2-83B0-F7382BA97F23}"/>
    <cellStyle name="Comma 10 5 6" xfId="3787" xr:uid="{00000000-0005-0000-0000-0000EC070000}"/>
    <cellStyle name="Comma 10 5 6 2" xfId="5501" xr:uid="{00000000-0005-0000-0000-0000ED070000}"/>
    <cellStyle name="Comma 10 5 6 2 2" xfId="23296" xr:uid="{939F9738-11F4-428D-B94A-53CCD733D071}"/>
    <cellStyle name="Comma 10 5 6 2 3" xfId="17636" xr:uid="{243283AA-775E-4A18-BD03-5B94EB68A650}"/>
    <cellStyle name="Comma 10 5 6 2 4" xfId="28957" xr:uid="{B67FA623-99A3-45BB-9D26-2AE301B97907}"/>
    <cellStyle name="Comma 10 5 6 2 5" xfId="34607" xr:uid="{A6A79BA2-926D-46EF-8452-778EC7F6CF3E}"/>
    <cellStyle name="Comma 10 5 6 3" xfId="13592" xr:uid="{00000000-0005-0000-0000-0000EE070000}"/>
    <cellStyle name="Comma 10 5 6 3 2" xfId="25833" xr:uid="{BBC44423-7256-426E-B7E5-E665C8143753}"/>
    <cellStyle name="Comma 10 5 6 3 3" xfId="20173" xr:uid="{0E2DA68D-584E-4799-AE26-6824CE3B0F60}"/>
    <cellStyle name="Comma 10 5 6 3 4" xfId="34608" xr:uid="{D362566C-34CC-40E7-8E7D-361F950F3E7A}"/>
    <cellStyle name="Comma 10 5 6 4" xfId="34606" xr:uid="{D45D2B7E-715C-4641-A526-EEDA9A268FA9}"/>
    <cellStyle name="Comma 10 5 7" xfId="3788" xr:uid="{00000000-0005-0000-0000-0000EF070000}"/>
    <cellStyle name="Comma 10 5 7 2" xfId="5502" xr:uid="{00000000-0005-0000-0000-0000F0070000}"/>
    <cellStyle name="Comma 10 5 7 2 2" xfId="23297" xr:uid="{33282C73-6D98-473A-8CB3-823B2F66BC5B}"/>
    <cellStyle name="Comma 10 5 7 2 3" xfId="17637" xr:uid="{EB7AD2AB-9E49-403A-B83C-402EEC80CA63}"/>
    <cellStyle name="Comma 10 5 7 2 4" xfId="28958" xr:uid="{D36A1326-C142-4BA1-86F5-025ACB28259F}"/>
    <cellStyle name="Comma 10 5 7 2 5" xfId="34610" xr:uid="{2072935B-F1E7-41EC-AC07-9DAF0622A227}"/>
    <cellStyle name="Comma 10 5 7 3" xfId="13593" xr:uid="{00000000-0005-0000-0000-0000F1070000}"/>
    <cellStyle name="Comma 10 5 7 3 2" xfId="25834" xr:uid="{5D66D6B3-E29D-499E-A6F0-201071DEA101}"/>
    <cellStyle name="Comma 10 5 7 3 3" xfId="20174" xr:uid="{64D65E97-5A2B-46D9-A38A-DEFD42984FE2}"/>
    <cellStyle name="Comma 10 5 7 3 4" xfId="34611" xr:uid="{9048BECC-35FF-4FF5-BD09-CF506EBC7040}"/>
    <cellStyle name="Comma 10 5 7 4" xfId="34609" xr:uid="{541979C5-FEFE-4BD4-8B30-9E830545F1D3}"/>
    <cellStyle name="Comma 10 5 8" xfId="3789" xr:uid="{00000000-0005-0000-0000-0000F2070000}"/>
    <cellStyle name="Comma 10 5 8 2" xfId="5503" xr:uid="{00000000-0005-0000-0000-0000F3070000}"/>
    <cellStyle name="Comma 10 5 8 2 2" xfId="23298" xr:uid="{441ACD82-D59D-4AC3-A0E6-B9AD4BD3655B}"/>
    <cellStyle name="Comma 10 5 8 2 3" xfId="17638" xr:uid="{8D588FE7-F507-40D4-A6A0-14630FC13B72}"/>
    <cellStyle name="Comma 10 5 8 2 4" xfId="28959" xr:uid="{A6488B89-BC53-4A65-9C6A-EFF9887E3FCF}"/>
    <cellStyle name="Comma 10 5 8 2 5" xfId="34613" xr:uid="{08BEC920-11F8-4759-84D0-BFD95F70154E}"/>
    <cellStyle name="Comma 10 5 8 3" xfId="13594" xr:uid="{00000000-0005-0000-0000-0000F4070000}"/>
    <cellStyle name="Comma 10 5 8 3 2" xfId="25835" xr:uid="{5201DF75-F7BF-42B5-BE0B-22CC4D6DB85F}"/>
    <cellStyle name="Comma 10 5 8 3 3" xfId="20175" xr:uid="{88FF355D-055A-4A1A-8013-B3006DB1943B}"/>
    <cellStyle name="Comma 10 5 8 3 4" xfId="34614" xr:uid="{4A3D0FAB-811E-4D02-B27B-57C150908106}"/>
    <cellStyle name="Comma 10 5 8 4" xfId="34612" xr:uid="{737C2718-C38F-4D01-A584-4098BEE96AFE}"/>
    <cellStyle name="Comma 10 5 9" xfId="3790" xr:uid="{00000000-0005-0000-0000-0000F5070000}"/>
    <cellStyle name="Comma 10 5 9 2" xfId="5504" xr:uid="{00000000-0005-0000-0000-0000F6070000}"/>
    <cellStyle name="Comma 10 5 9 2 2" xfId="23299" xr:uid="{5F9D9E73-D510-40B2-8152-9E4C87D37B34}"/>
    <cellStyle name="Comma 10 5 9 2 3" xfId="17639" xr:uid="{8052CFFB-ED05-4E32-8DD0-4E7566B2939B}"/>
    <cellStyle name="Comma 10 5 9 2 4" xfId="28960" xr:uid="{3DA61F22-FE5F-4D7A-86E2-4AB7D1E98FA4}"/>
    <cellStyle name="Comma 10 5 9 2 5" xfId="34616" xr:uid="{126D2A65-4472-49DF-AC4A-E691D78E8EAC}"/>
    <cellStyle name="Comma 10 5 9 3" xfId="13595" xr:uid="{00000000-0005-0000-0000-0000F7070000}"/>
    <cellStyle name="Comma 10 5 9 3 2" xfId="25836" xr:uid="{99E5D397-A8C9-4FE0-ABCB-49B0BB049E20}"/>
    <cellStyle name="Comma 10 5 9 3 3" xfId="20176" xr:uid="{39254368-D51A-47EC-9330-D68FBEDEC052}"/>
    <cellStyle name="Comma 10 5 9 3 4" xfId="34617" xr:uid="{2F1A83CA-EAA2-40F8-AD48-528418F0AD9B}"/>
    <cellStyle name="Comma 10 5 9 4" xfId="34615" xr:uid="{78E12D2E-4566-4482-A3A0-241C0C24A802}"/>
    <cellStyle name="Comma 10 6" xfId="3791" xr:uid="{00000000-0005-0000-0000-0000F8070000}"/>
    <cellStyle name="Comma 10 6 10" xfId="3792" xr:uid="{00000000-0005-0000-0000-0000F9070000}"/>
    <cellStyle name="Comma 10 6 10 2" xfId="5506" xr:uid="{00000000-0005-0000-0000-0000FA070000}"/>
    <cellStyle name="Comma 10 6 10 2 2" xfId="23301" xr:uid="{2ABA2AB4-D2D4-491F-9C21-22C00EB4D10A}"/>
    <cellStyle name="Comma 10 6 10 2 3" xfId="17641" xr:uid="{81C60B29-D253-4E47-A450-203ADBE52671}"/>
    <cellStyle name="Comma 10 6 10 2 4" xfId="28962" xr:uid="{3C1BD572-18A8-42E8-A841-AB49B762A2F5}"/>
    <cellStyle name="Comma 10 6 10 2 5" xfId="34620" xr:uid="{93F63F60-8C80-4E76-BB5F-E80D5C1BB957}"/>
    <cellStyle name="Comma 10 6 10 3" xfId="13597" xr:uid="{00000000-0005-0000-0000-0000FB070000}"/>
    <cellStyle name="Comma 10 6 10 3 2" xfId="25838" xr:uid="{94BB1498-FEF9-48A3-A520-448B139E8779}"/>
    <cellStyle name="Comma 10 6 10 3 3" xfId="20178" xr:uid="{7527D9B6-F348-4E03-AAC0-E6F35A02812B}"/>
    <cellStyle name="Comma 10 6 10 3 4" xfId="34621" xr:uid="{37F7C39A-159D-495A-A874-33B3FAE5BD31}"/>
    <cellStyle name="Comma 10 6 10 4" xfId="34619" xr:uid="{4ECD97BA-A2E1-4C18-87FF-F017A8F2E9C5}"/>
    <cellStyle name="Comma 10 6 11" xfId="3793" xr:uid="{00000000-0005-0000-0000-0000FC070000}"/>
    <cellStyle name="Comma 10 6 11 2" xfId="5507" xr:uid="{00000000-0005-0000-0000-0000FD070000}"/>
    <cellStyle name="Comma 10 6 11 2 2" xfId="23302" xr:uid="{3BF66027-E59F-4A4C-99FE-4B5343F59CE5}"/>
    <cellStyle name="Comma 10 6 11 2 3" xfId="17642" xr:uid="{93D2CD9D-FA1C-4F15-B3EE-4AB3CD7336AD}"/>
    <cellStyle name="Comma 10 6 11 2 4" xfId="28963" xr:uid="{F902ADE0-0CA3-4E99-B027-6D4CA07EF0CC}"/>
    <cellStyle name="Comma 10 6 11 2 5" xfId="34623" xr:uid="{85628A3E-B782-4ABC-9296-52D9F7994914}"/>
    <cellStyle name="Comma 10 6 11 3" xfId="13598" xr:uid="{00000000-0005-0000-0000-0000FE070000}"/>
    <cellStyle name="Comma 10 6 11 3 2" xfId="25839" xr:uid="{000E5280-FFE5-4EC4-8C9D-ECF523453A73}"/>
    <cellStyle name="Comma 10 6 11 3 3" xfId="20179" xr:uid="{FA3167E3-9E07-41EB-9820-FA6DCD3AF03F}"/>
    <cellStyle name="Comma 10 6 11 3 4" xfId="34624" xr:uid="{A24F0245-7219-4E9F-93EE-42DCA56411E2}"/>
    <cellStyle name="Comma 10 6 11 4" xfId="34622" xr:uid="{D5D1A2CC-D262-4568-87C6-C75D85A9EF31}"/>
    <cellStyle name="Comma 10 6 12" xfId="3794" xr:uid="{00000000-0005-0000-0000-0000FF070000}"/>
    <cellStyle name="Comma 10 6 12 2" xfId="5508" xr:uid="{00000000-0005-0000-0000-000000080000}"/>
    <cellStyle name="Comma 10 6 12 2 2" xfId="23303" xr:uid="{2B3D0C8A-EFA7-4148-968C-46B845DEB639}"/>
    <cellStyle name="Comma 10 6 12 2 3" xfId="17643" xr:uid="{D1433726-2A9F-4E86-A89C-FCB9E8CADAF3}"/>
    <cellStyle name="Comma 10 6 12 2 4" xfId="28964" xr:uid="{039000EC-44F8-40FA-A802-9B5A619E3CE0}"/>
    <cellStyle name="Comma 10 6 12 2 5" xfId="34626" xr:uid="{381023BF-7DF1-45C2-B55D-FAFB7EED0BF4}"/>
    <cellStyle name="Comma 10 6 12 3" xfId="13599" xr:uid="{00000000-0005-0000-0000-000001080000}"/>
    <cellStyle name="Comma 10 6 12 3 2" xfId="25840" xr:uid="{6B1CB24E-34A7-4236-B6F9-13ADA0303F61}"/>
    <cellStyle name="Comma 10 6 12 3 3" xfId="20180" xr:uid="{006F831C-CB2C-4B84-AF22-DDDDF1B728DD}"/>
    <cellStyle name="Comma 10 6 12 3 4" xfId="34627" xr:uid="{30B24346-8D27-4A83-9699-48252763BECE}"/>
    <cellStyle name="Comma 10 6 12 4" xfId="34625" xr:uid="{117B786D-E745-4B79-A2BE-62C18EA6F06D}"/>
    <cellStyle name="Comma 10 6 13" xfId="3795" xr:uid="{00000000-0005-0000-0000-000002080000}"/>
    <cellStyle name="Comma 10 6 13 2" xfId="5509" xr:uid="{00000000-0005-0000-0000-000003080000}"/>
    <cellStyle name="Comma 10 6 13 2 2" xfId="23304" xr:uid="{8EC3C835-D315-4FB9-8C91-0FBD30D860CE}"/>
    <cellStyle name="Comma 10 6 13 2 3" xfId="17644" xr:uid="{606E7216-D2D6-4BF4-A3C1-4055524BB15A}"/>
    <cellStyle name="Comma 10 6 13 2 4" xfId="28965" xr:uid="{5E600C93-878A-4A50-AB79-B5A7408A7B01}"/>
    <cellStyle name="Comma 10 6 13 2 5" xfId="34629" xr:uid="{C445D218-1FA0-4EB2-9DD1-444C0CD3EA92}"/>
    <cellStyle name="Comma 10 6 13 3" xfId="13600" xr:uid="{00000000-0005-0000-0000-000004080000}"/>
    <cellStyle name="Comma 10 6 13 3 2" xfId="25841" xr:uid="{EEFB6A14-18DA-4E1A-A9A4-0ACEEC7314D6}"/>
    <cellStyle name="Comma 10 6 13 3 3" xfId="20181" xr:uid="{B08EC91D-B78A-446B-B571-D5E577FE6DA3}"/>
    <cellStyle name="Comma 10 6 13 3 4" xfId="34630" xr:uid="{5FD73572-25D0-420C-8D85-34252F1D15CB}"/>
    <cellStyle name="Comma 10 6 13 4" xfId="34628" xr:uid="{AF91FEC9-EC6F-4D71-BBD6-1D8A07FB4F87}"/>
    <cellStyle name="Comma 10 6 14" xfId="3796" xr:uid="{00000000-0005-0000-0000-000005080000}"/>
    <cellStyle name="Comma 10 6 14 2" xfId="5510" xr:uid="{00000000-0005-0000-0000-000006080000}"/>
    <cellStyle name="Comma 10 6 14 2 2" xfId="23305" xr:uid="{B244A7EC-844C-4625-A38E-C5280F61929F}"/>
    <cellStyle name="Comma 10 6 14 2 3" xfId="17645" xr:uid="{CA64F617-D51E-4407-AFAE-0A2216046861}"/>
    <cellStyle name="Comma 10 6 14 2 4" xfId="28966" xr:uid="{550EADEE-4D24-4FEB-9FDD-0EBE1E23CCFC}"/>
    <cellStyle name="Comma 10 6 14 2 5" xfId="34632" xr:uid="{B7D8E6AB-D1B7-46C8-8FBE-37F4FF545F01}"/>
    <cellStyle name="Comma 10 6 14 3" xfId="13601" xr:uid="{00000000-0005-0000-0000-000007080000}"/>
    <cellStyle name="Comma 10 6 14 3 2" xfId="25842" xr:uid="{6D19D647-D532-4302-8C2C-2CB9F5EE2642}"/>
    <cellStyle name="Comma 10 6 14 3 3" xfId="20182" xr:uid="{39384623-D265-4FC4-A7D4-E24475D36AA5}"/>
    <cellStyle name="Comma 10 6 14 3 4" xfId="34633" xr:uid="{F54C14DB-890F-498C-8145-010B4EB5A191}"/>
    <cellStyle name="Comma 10 6 14 4" xfId="34631" xr:uid="{434414DA-7D5D-44AF-9F9C-A06C9FE9457B}"/>
    <cellStyle name="Comma 10 6 15" xfId="3797" xr:uid="{00000000-0005-0000-0000-000008080000}"/>
    <cellStyle name="Comma 10 6 15 2" xfId="5511" xr:uid="{00000000-0005-0000-0000-000009080000}"/>
    <cellStyle name="Comma 10 6 15 2 2" xfId="23306" xr:uid="{E51C318E-D88B-4FFB-B811-FB4FDA40ADD3}"/>
    <cellStyle name="Comma 10 6 15 2 3" xfId="17646" xr:uid="{713C89CD-82C3-4C73-BAED-F75AF3BBAED5}"/>
    <cellStyle name="Comma 10 6 15 2 4" xfId="28967" xr:uid="{16BEE407-4BB7-4B74-9355-82D1391D7792}"/>
    <cellStyle name="Comma 10 6 15 2 5" xfId="34635" xr:uid="{33EFCEC1-71E3-460F-BD97-3CC9D432A6E4}"/>
    <cellStyle name="Comma 10 6 15 3" xfId="13602" xr:uid="{00000000-0005-0000-0000-00000A080000}"/>
    <cellStyle name="Comma 10 6 15 3 2" xfId="25843" xr:uid="{C36E611C-4A66-4FB2-AEEA-8979A4158FB5}"/>
    <cellStyle name="Comma 10 6 15 3 3" xfId="20183" xr:uid="{2B92C338-010C-4D7F-BF67-86AFB4BAE905}"/>
    <cellStyle name="Comma 10 6 15 3 4" xfId="34636" xr:uid="{DB537F1E-98AF-4477-B2F4-E7A1E2535222}"/>
    <cellStyle name="Comma 10 6 15 4" xfId="34634" xr:uid="{AC471D01-25F7-4D0B-B558-4E764F2EE53D}"/>
    <cellStyle name="Comma 10 6 16" xfId="3798" xr:uid="{00000000-0005-0000-0000-00000B080000}"/>
    <cellStyle name="Comma 10 6 16 2" xfId="5512" xr:uid="{00000000-0005-0000-0000-00000C080000}"/>
    <cellStyle name="Comma 10 6 16 2 2" xfId="23307" xr:uid="{261E5183-8526-4D9C-9F47-DD987CD893C5}"/>
    <cellStyle name="Comma 10 6 16 2 3" xfId="17647" xr:uid="{B9C910F1-0635-4169-8895-E1D5C033A1B0}"/>
    <cellStyle name="Comma 10 6 16 2 4" xfId="28968" xr:uid="{176AB10C-3EC1-4727-9C24-B68D37EC358B}"/>
    <cellStyle name="Comma 10 6 16 2 5" xfId="34638" xr:uid="{0FF9E962-2B9A-44F7-8A73-FFF9F2927353}"/>
    <cellStyle name="Comma 10 6 16 3" xfId="13603" xr:uid="{00000000-0005-0000-0000-00000D080000}"/>
    <cellStyle name="Comma 10 6 16 3 2" xfId="25844" xr:uid="{5B36ED0A-8BFA-4E82-818A-540C3FF896D0}"/>
    <cellStyle name="Comma 10 6 16 3 3" xfId="20184" xr:uid="{5DD87F96-ED62-4765-BE31-4EF1F9A4A1BA}"/>
    <cellStyle name="Comma 10 6 16 3 4" xfId="34639" xr:uid="{C62BB972-7112-4AFE-8206-05B827153F5B}"/>
    <cellStyle name="Comma 10 6 16 4" xfId="34637" xr:uid="{AF0E66B2-8AE2-4000-A3D6-1985996DE9B4}"/>
    <cellStyle name="Comma 10 6 17" xfId="3799" xr:uid="{00000000-0005-0000-0000-00000E080000}"/>
    <cellStyle name="Comma 10 6 17 2" xfId="5513" xr:uid="{00000000-0005-0000-0000-00000F080000}"/>
    <cellStyle name="Comma 10 6 17 2 2" xfId="23308" xr:uid="{34A35029-C7F1-4AFF-8311-16F1F7FF392C}"/>
    <cellStyle name="Comma 10 6 17 2 3" xfId="17648" xr:uid="{F9355064-47BC-4DD3-B1B6-7AE985B3DE2E}"/>
    <cellStyle name="Comma 10 6 17 2 4" xfId="28969" xr:uid="{AC3AC99C-9B3B-45CE-9703-B5F856343E35}"/>
    <cellStyle name="Comma 10 6 17 2 5" xfId="34641" xr:uid="{BB11E469-7640-4B5A-AD9D-104635E9836C}"/>
    <cellStyle name="Comma 10 6 17 3" xfId="13604" xr:uid="{00000000-0005-0000-0000-000010080000}"/>
    <cellStyle name="Comma 10 6 17 3 2" xfId="25845" xr:uid="{ECE3AD33-620B-4018-816A-C22B1E442719}"/>
    <cellStyle name="Comma 10 6 17 3 3" xfId="20185" xr:uid="{048B1514-3645-4488-B727-0ADFB1C1A139}"/>
    <cellStyle name="Comma 10 6 17 3 4" xfId="34642" xr:uid="{D4950E40-4E2A-4246-B554-EF235BFED3F5}"/>
    <cellStyle name="Comma 10 6 17 4" xfId="34640" xr:uid="{352201D7-0081-4D6C-B365-A5118D7FB67C}"/>
    <cellStyle name="Comma 10 6 18" xfId="5505" xr:uid="{00000000-0005-0000-0000-000011080000}"/>
    <cellStyle name="Comma 10 6 18 2" xfId="23300" xr:uid="{1FA88BE8-8A3B-4F0D-BF18-400691E001E9}"/>
    <cellStyle name="Comma 10 6 18 3" xfId="17640" xr:uid="{776EDB54-EAFF-447B-A41B-7EEE5F24712B}"/>
    <cellStyle name="Comma 10 6 18 4" xfId="28961" xr:uid="{B8C173F6-F981-489F-8205-05B0804B2491}"/>
    <cellStyle name="Comma 10 6 18 5" xfId="34643" xr:uid="{E162ECCD-9D05-4325-BE37-45AC8DD05F18}"/>
    <cellStyle name="Comma 10 6 19" xfId="13596" xr:uid="{00000000-0005-0000-0000-000012080000}"/>
    <cellStyle name="Comma 10 6 19 2" xfId="25837" xr:uid="{E5C59D11-D343-41DD-9F52-D621C726B358}"/>
    <cellStyle name="Comma 10 6 19 3" xfId="20177" xr:uid="{C465EC1A-BFF2-4275-A446-0FED751F53A0}"/>
    <cellStyle name="Comma 10 6 19 4" xfId="34644" xr:uid="{224E5447-BA04-45C6-9BCE-700D9936B3CF}"/>
    <cellStyle name="Comma 10 6 2" xfId="3800" xr:uid="{00000000-0005-0000-0000-000013080000}"/>
    <cellStyle name="Comma 10 6 2 2" xfId="5514" xr:uid="{00000000-0005-0000-0000-000014080000}"/>
    <cellStyle name="Comma 10 6 2 2 2" xfId="23309" xr:uid="{E79D2186-7E84-49D9-9055-B6A4DA472989}"/>
    <cellStyle name="Comma 10 6 2 2 3" xfId="17649" xr:uid="{3FBA8DFF-CC91-4D42-8887-4FCA7B56F026}"/>
    <cellStyle name="Comma 10 6 2 2 4" xfId="28970" xr:uid="{39179F81-3561-454F-A1BC-71412E0430D6}"/>
    <cellStyle name="Comma 10 6 2 2 5" xfId="34646" xr:uid="{FA5D5ED8-0EB9-4624-A4F0-7BA008657809}"/>
    <cellStyle name="Comma 10 6 2 3" xfId="13605" xr:uid="{00000000-0005-0000-0000-000015080000}"/>
    <cellStyle name="Comma 10 6 2 3 2" xfId="25846" xr:uid="{938D65BD-BE40-41FE-9C69-CF76ADBCC3CD}"/>
    <cellStyle name="Comma 10 6 2 3 3" xfId="20186" xr:uid="{003732F9-12F9-484B-8178-175547ABC4E9}"/>
    <cellStyle name="Comma 10 6 2 3 4" xfId="34647" xr:uid="{2F825E69-5717-4216-AB0D-6B30FDE4D300}"/>
    <cellStyle name="Comma 10 6 2 4" xfId="34645" xr:uid="{A4EA03AA-9824-4F50-AD5B-479695A9C26D}"/>
    <cellStyle name="Comma 10 6 20" xfId="34618" xr:uid="{CE54F6E5-02C5-4BAA-9874-FCB9A954541C}"/>
    <cellStyle name="Comma 10 6 3" xfId="3801" xr:uid="{00000000-0005-0000-0000-000016080000}"/>
    <cellStyle name="Comma 10 6 3 2" xfId="5515" xr:uid="{00000000-0005-0000-0000-000017080000}"/>
    <cellStyle name="Comma 10 6 3 2 2" xfId="23310" xr:uid="{1350ABAB-9636-4B37-91E2-4DA054497B3C}"/>
    <cellStyle name="Comma 10 6 3 2 3" xfId="17650" xr:uid="{352D4829-B53E-4112-8325-F2B2F6A7C6EB}"/>
    <cellStyle name="Comma 10 6 3 2 4" xfId="28971" xr:uid="{AC6CDA82-9585-46D0-BF2B-3541CD854FC5}"/>
    <cellStyle name="Comma 10 6 3 2 5" xfId="34649" xr:uid="{5EF7B7C3-EEAF-4BF2-95DA-C0FD537BE4E3}"/>
    <cellStyle name="Comma 10 6 3 3" xfId="13606" xr:uid="{00000000-0005-0000-0000-000018080000}"/>
    <cellStyle name="Comma 10 6 3 3 2" xfId="25847" xr:uid="{1BB652C6-4D1B-4A64-ABE2-98CB817CC7AF}"/>
    <cellStyle name="Comma 10 6 3 3 3" xfId="20187" xr:uid="{A3C9F63B-CAE6-4180-B957-A4206960A940}"/>
    <cellStyle name="Comma 10 6 3 3 4" xfId="34650" xr:uid="{578868B7-A68C-4D8E-9000-04CA9DE0E056}"/>
    <cellStyle name="Comma 10 6 3 4" xfId="34648" xr:uid="{9B47A11B-C7CB-4DA4-87D2-40F0D7DA7AAD}"/>
    <cellStyle name="Comma 10 6 4" xfId="3802" xr:uid="{00000000-0005-0000-0000-000019080000}"/>
    <cellStyle name="Comma 10 6 4 2" xfId="5516" xr:uid="{00000000-0005-0000-0000-00001A080000}"/>
    <cellStyle name="Comma 10 6 4 2 2" xfId="23311" xr:uid="{7EB9E39F-0B7E-48DE-89D3-FDA6234E0E69}"/>
    <cellStyle name="Comma 10 6 4 2 3" xfId="17651" xr:uid="{A8767B4A-CEE3-4162-87D2-2510A65097F0}"/>
    <cellStyle name="Comma 10 6 4 2 4" xfId="28972" xr:uid="{D82D1CFB-0DED-4250-82F2-7DBF86FEA7B5}"/>
    <cellStyle name="Comma 10 6 4 2 5" xfId="34652" xr:uid="{0604F3DD-3207-4A1E-9CBF-604CE115D316}"/>
    <cellStyle name="Comma 10 6 4 3" xfId="13607" xr:uid="{00000000-0005-0000-0000-00001B080000}"/>
    <cellStyle name="Comma 10 6 4 3 2" xfId="25848" xr:uid="{CC11EBBC-001E-49E7-B132-CC5FB431AFBC}"/>
    <cellStyle name="Comma 10 6 4 3 3" xfId="20188" xr:uid="{8D0467D0-7932-4E66-9B7E-AB7897544146}"/>
    <cellStyle name="Comma 10 6 4 3 4" xfId="34653" xr:uid="{78144E8F-243B-4A99-81E9-C97C9426AB0F}"/>
    <cellStyle name="Comma 10 6 4 4" xfId="34651" xr:uid="{8D8D91C4-C082-44EC-904C-92F05C667916}"/>
    <cellStyle name="Comma 10 6 5" xfId="3803" xr:uid="{00000000-0005-0000-0000-00001C080000}"/>
    <cellStyle name="Comma 10 6 5 2" xfId="5517" xr:uid="{00000000-0005-0000-0000-00001D080000}"/>
    <cellStyle name="Comma 10 6 5 2 2" xfId="23312" xr:uid="{092CAB23-5E32-4BA9-B895-65F0D040064F}"/>
    <cellStyle name="Comma 10 6 5 2 3" xfId="17652" xr:uid="{82D667CD-A701-461D-B9BD-90D2625D3B7E}"/>
    <cellStyle name="Comma 10 6 5 2 4" xfId="28973" xr:uid="{D6CDF535-CE2C-4208-BAD2-4BB8729B700F}"/>
    <cellStyle name="Comma 10 6 5 2 5" xfId="34655" xr:uid="{30C18E3E-DA29-4F77-A408-BC77716CAF3E}"/>
    <cellStyle name="Comma 10 6 5 3" xfId="13608" xr:uid="{00000000-0005-0000-0000-00001E080000}"/>
    <cellStyle name="Comma 10 6 5 3 2" xfId="25849" xr:uid="{BA868C4B-D122-4E5C-B53E-3E2842101BED}"/>
    <cellStyle name="Comma 10 6 5 3 3" xfId="20189" xr:uid="{000C0098-4AC9-42BA-B3FC-D5B33CF52610}"/>
    <cellStyle name="Comma 10 6 5 3 4" xfId="34656" xr:uid="{58C237B7-DD50-4D26-99F4-6174D23F3606}"/>
    <cellStyle name="Comma 10 6 5 4" xfId="34654" xr:uid="{E617E541-E084-4819-8493-57E050DA0FF0}"/>
    <cellStyle name="Comma 10 6 6" xfId="3804" xr:uid="{00000000-0005-0000-0000-00001F080000}"/>
    <cellStyle name="Comma 10 6 6 2" xfId="5518" xr:uid="{00000000-0005-0000-0000-000020080000}"/>
    <cellStyle name="Comma 10 6 6 2 2" xfId="23313" xr:uid="{0ED64FD2-DDB8-47EB-841A-1DE88964D7D3}"/>
    <cellStyle name="Comma 10 6 6 2 3" xfId="17653" xr:uid="{2F53585B-097D-4FBF-83DD-4896BBB30704}"/>
    <cellStyle name="Comma 10 6 6 2 4" xfId="28974" xr:uid="{66956254-C4F1-447D-B710-A4B246993DCB}"/>
    <cellStyle name="Comma 10 6 6 2 5" xfId="34658" xr:uid="{A1F6E92D-BDBD-4992-B7BD-0C11BF9A15A9}"/>
    <cellStyle name="Comma 10 6 6 3" xfId="13609" xr:uid="{00000000-0005-0000-0000-000021080000}"/>
    <cellStyle name="Comma 10 6 6 3 2" xfId="25850" xr:uid="{5BCB7EED-D0A9-4A73-86D0-708810D08D09}"/>
    <cellStyle name="Comma 10 6 6 3 3" xfId="20190" xr:uid="{988C6F2A-2193-4AA3-8766-7EFCA335E7A8}"/>
    <cellStyle name="Comma 10 6 6 3 4" xfId="34659" xr:uid="{6B414591-A420-4B4E-ACCF-F12F245FDA41}"/>
    <cellStyle name="Comma 10 6 6 4" xfId="34657" xr:uid="{FCD6DDF6-5B5C-4C51-9F22-669184E1DFF5}"/>
    <cellStyle name="Comma 10 6 7" xfId="3805" xr:uid="{00000000-0005-0000-0000-000022080000}"/>
    <cellStyle name="Comma 10 6 7 2" xfId="5519" xr:uid="{00000000-0005-0000-0000-000023080000}"/>
    <cellStyle name="Comma 10 6 7 2 2" xfId="23314" xr:uid="{0AC51EBA-0184-42CA-84DA-616A64B648C7}"/>
    <cellStyle name="Comma 10 6 7 2 3" xfId="17654" xr:uid="{45A8A06F-B3AE-4D0B-A9A8-61738B9951FA}"/>
    <cellStyle name="Comma 10 6 7 2 4" xfId="28975" xr:uid="{12C34418-EA13-4BCD-B103-239C1399D4E1}"/>
    <cellStyle name="Comma 10 6 7 2 5" xfId="34661" xr:uid="{8405ECA3-2C5F-4426-B905-9317BF96F1F9}"/>
    <cellStyle name="Comma 10 6 7 3" xfId="13610" xr:uid="{00000000-0005-0000-0000-000024080000}"/>
    <cellStyle name="Comma 10 6 7 3 2" xfId="25851" xr:uid="{E52A2B4F-2B00-49A2-A3DC-9C327C235A93}"/>
    <cellStyle name="Comma 10 6 7 3 3" xfId="20191" xr:uid="{BC9A3ADE-7945-424C-82E8-EF9BE7354435}"/>
    <cellStyle name="Comma 10 6 7 3 4" xfId="34662" xr:uid="{66589C69-91ED-4852-B3CE-8D5E62D60C5F}"/>
    <cellStyle name="Comma 10 6 7 4" xfId="34660" xr:uid="{06BC9138-F8A8-4F97-AFE2-5B01E1E20DB4}"/>
    <cellStyle name="Comma 10 6 8" xfId="3806" xr:uid="{00000000-0005-0000-0000-000025080000}"/>
    <cellStyle name="Comma 10 6 8 2" xfId="5520" xr:uid="{00000000-0005-0000-0000-000026080000}"/>
    <cellStyle name="Comma 10 6 8 2 2" xfId="23315" xr:uid="{C1682FE6-D4D0-4DAF-80DE-0A17B1205A31}"/>
    <cellStyle name="Comma 10 6 8 2 3" xfId="17655" xr:uid="{F7C7894C-DBF0-4A6B-B254-ED0829554736}"/>
    <cellStyle name="Comma 10 6 8 2 4" xfId="28976" xr:uid="{F026AE33-6A2B-4222-BB8B-5D4014DE3495}"/>
    <cellStyle name="Comma 10 6 8 2 5" xfId="34664" xr:uid="{AD37132D-6109-423A-8059-DF2DD76ADB11}"/>
    <cellStyle name="Comma 10 6 8 3" xfId="13611" xr:uid="{00000000-0005-0000-0000-000027080000}"/>
    <cellStyle name="Comma 10 6 8 3 2" xfId="25852" xr:uid="{D3B253B1-99B0-4930-A8DD-DD2C97225535}"/>
    <cellStyle name="Comma 10 6 8 3 3" xfId="20192" xr:uid="{80BC8CC6-9115-4D12-ACCE-8BB4173FD08C}"/>
    <cellStyle name="Comma 10 6 8 3 4" xfId="34665" xr:uid="{3F77FF66-59FF-40AA-94ED-B5ADE43A879A}"/>
    <cellStyle name="Comma 10 6 8 4" xfId="34663" xr:uid="{63410810-A7EA-4E7A-A5DC-ADE2834ACE2A}"/>
    <cellStyle name="Comma 10 6 9" xfId="3807" xr:uid="{00000000-0005-0000-0000-000028080000}"/>
    <cellStyle name="Comma 10 6 9 2" xfId="5521" xr:uid="{00000000-0005-0000-0000-000029080000}"/>
    <cellStyle name="Comma 10 6 9 2 2" xfId="23316" xr:uid="{B36A0AA9-D7DA-4692-A1C4-2F72360F5A2A}"/>
    <cellStyle name="Comma 10 6 9 2 3" xfId="17656" xr:uid="{EBDA1502-B143-46A3-BF7C-F3D25AAED945}"/>
    <cellStyle name="Comma 10 6 9 2 4" xfId="28977" xr:uid="{D613B960-FF49-4F97-AF29-FB560C99C9BA}"/>
    <cellStyle name="Comma 10 6 9 2 5" xfId="34667" xr:uid="{3243B059-FEDD-45EC-8DFA-0DB4433A6A18}"/>
    <cellStyle name="Comma 10 6 9 3" xfId="13612" xr:uid="{00000000-0005-0000-0000-00002A080000}"/>
    <cellStyle name="Comma 10 6 9 3 2" xfId="25853" xr:uid="{6C6D480C-E2C5-48C2-936D-8D46B2ED39D2}"/>
    <cellStyle name="Comma 10 6 9 3 3" xfId="20193" xr:uid="{71EDBC9D-FDCD-41AB-829C-764F4852F465}"/>
    <cellStyle name="Comma 10 6 9 3 4" xfId="34668" xr:uid="{8197DF59-822E-4D24-92FF-2D6AA1FCD5A4}"/>
    <cellStyle name="Comma 10 6 9 4" xfId="34666" xr:uid="{20EE4634-B1D3-4379-A4F4-169370682819}"/>
    <cellStyle name="Comma 10 7" xfId="3808" xr:uid="{00000000-0005-0000-0000-00002B080000}"/>
    <cellStyle name="Comma 10 7 10" xfId="3809" xr:uid="{00000000-0005-0000-0000-00002C080000}"/>
    <cellStyle name="Comma 10 7 10 2" xfId="5523" xr:uid="{00000000-0005-0000-0000-00002D080000}"/>
    <cellStyle name="Comma 10 7 10 2 2" xfId="23318" xr:uid="{5F3A475D-5811-410A-917E-B82F626C0C42}"/>
    <cellStyle name="Comma 10 7 10 2 3" xfId="17658" xr:uid="{35D0F3FB-9E78-4928-9008-EB2D14D4A469}"/>
    <cellStyle name="Comma 10 7 10 2 4" xfId="28979" xr:uid="{929867AE-69EB-4B42-8B68-5D09E226BE92}"/>
    <cellStyle name="Comma 10 7 10 2 5" xfId="34671" xr:uid="{07829E2B-A12B-4E61-9A00-CFCA5389611E}"/>
    <cellStyle name="Comma 10 7 10 3" xfId="13614" xr:uid="{00000000-0005-0000-0000-00002E080000}"/>
    <cellStyle name="Comma 10 7 10 3 2" xfId="25855" xr:uid="{6BDF8B07-30D4-4D74-A9C9-B5ADB5C7A029}"/>
    <cellStyle name="Comma 10 7 10 3 3" xfId="20195" xr:uid="{EFACF496-CA82-4B40-95A0-BBA2B657A1DA}"/>
    <cellStyle name="Comma 10 7 10 3 4" xfId="34672" xr:uid="{ED262573-2951-4EF6-9B3F-72C58122AB87}"/>
    <cellStyle name="Comma 10 7 10 4" xfId="34670" xr:uid="{6B64AFFA-2509-4082-A013-2DA39D5F8B0C}"/>
    <cellStyle name="Comma 10 7 11" xfId="3810" xr:uid="{00000000-0005-0000-0000-00002F080000}"/>
    <cellStyle name="Comma 10 7 11 2" xfId="5524" xr:uid="{00000000-0005-0000-0000-000030080000}"/>
    <cellStyle name="Comma 10 7 11 2 2" xfId="23319" xr:uid="{1F7EBB5A-370D-4358-AD80-4A4DEE753061}"/>
    <cellStyle name="Comma 10 7 11 2 3" xfId="17659" xr:uid="{CE397B3B-E57D-4732-8CCD-401837D64625}"/>
    <cellStyle name="Comma 10 7 11 2 4" xfId="28980" xr:uid="{FBB4F461-0AE6-4606-A697-AB4C2587D491}"/>
    <cellStyle name="Comma 10 7 11 2 5" xfId="34674" xr:uid="{3BEC40A5-6103-4C9B-AC5F-5BA602F618D3}"/>
    <cellStyle name="Comma 10 7 11 3" xfId="13615" xr:uid="{00000000-0005-0000-0000-000031080000}"/>
    <cellStyle name="Comma 10 7 11 3 2" xfId="25856" xr:uid="{2F0C9E42-B77A-4EE3-8423-559A46F36735}"/>
    <cellStyle name="Comma 10 7 11 3 3" xfId="20196" xr:uid="{934C41ED-B09C-4C6E-B3F1-F9251A3C5C66}"/>
    <cellStyle name="Comma 10 7 11 3 4" xfId="34675" xr:uid="{14D499F8-EBB4-471B-882F-B857C64FF432}"/>
    <cellStyle name="Comma 10 7 11 4" xfId="34673" xr:uid="{C7A3B00C-79EA-4A75-9C04-0956263C8ECE}"/>
    <cellStyle name="Comma 10 7 12" xfId="3811" xr:uid="{00000000-0005-0000-0000-000032080000}"/>
    <cellStyle name="Comma 10 7 12 2" xfId="5525" xr:uid="{00000000-0005-0000-0000-000033080000}"/>
    <cellStyle name="Comma 10 7 12 2 2" xfId="23320" xr:uid="{7E41A83E-C4B0-409A-A5D6-D81389050179}"/>
    <cellStyle name="Comma 10 7 12 2 3" xfId="17660" xr:uid="{9DC18197-06B3-497F-9844-9C6A3EDEF967}"/>
    <cellStyle name="Comma 10 7 12 2 4" xfId="28981" xr:uid="{E3DBBE0A-E177-4157-8891-A253F0FF5B4D}"/>
    <cellStyle name="Comma 10 7 12 2 5" xfId="34677" xr:uid="{A6F4EF08-D0D3-4921-BC30-3DAA7EDE08B0}"/>
    <cellStyle name="Comma 10 7 12 3" xfId="13616" xr:uid="{00000000-0005-0000-0000-000034080000}"/>
    <cellStyle name="Comma 10 7 12 3 2" xfId="25857" xr:uid="{62271FE3-0A43-42A2-AA05-9941B53D5D16}"/>
    <cellStyle name="Comma 10 7 12 3 3" xfId="20197" xr:uid="{6FB7AE18-3CD3-4B28-B97C-8FB5439933D8}"/>
    <cellStyle name="Comma 10 7 12 3 4" xfId="34678" xr:uid="{434E30A6-629B-4FA9-9F66-427E3706DF42}"/>
    <cellStyle name="Comma 10 7 12 4" xfId="34676" xr:uid="{E4060486-884F-498D-92C0-4C034AD0CB44}"/>
    <cellStyle name="Comma 10 7 13" xfId="3812" xr:uid="{00000000-0005-0000-0000-000035080000}"/>
    <cellStyle name="Comma 10 7 13 2" xfId="5526" xr:uid="{00000000-0005-0000-0000-000036080000}"/>
    <cellStyle name="Comma 10 7 13 2 2" xfId="23321" xr:uid="{8540B762-D719-4F95-AF5A-DA97D4756E53}"/>
    <cellStyle name="Comma 10 7 13 2 3" xfId="17661" xr:uid="{A13ADFCE-6081-4912-81DC-8B0F3439CFC0}"/>
    <cellStyle name="Comma 10 7 13 2 4" xfId="28982" xr:uid="{7BCAE17E-D820-4C6B-9F6D-1E5B3C9408BB}"/>
    <cellStyle name="Comma 10 7 13 2 5" xfId="34680" xr:uid="{EBA3922E-A20A-4240-8954-5EDBC74C6300}"/>
    <cellStyle name="Comma 10 7 13 3" xfId="13617" xr:uid="{00000000-0005-0000-0000-000037080000}"/>
    <cellStyle name="Comma 10 7 13 3 2" xfId="25858" xr:uid="{1FE310A3-0752-4210-BE04-16E5C74DE14E}"/>
    <cellStyle name="Comma 10 7 13 3 3" xfId="20198" xr:uid="{87E56759-C0C4-4D38-9839-6AAE8A490977}"/>
    <cellStyle name="Comma 10 7 13 3 4" xfId="34681" xr:uid="{CB33EAFF-8987-47F8-AC4D-602F98B8666F}"/>
    <cellStyle name="Comma 10 7 13 4" xfId="34679" xr:uid="{136F30A8-079D-4C3B-96AD-4DDAC75E6DCF}"/>
    <cellStyle name="Comma 10 7 14" xfId="3813" xr:uid="{00000000-0005-0000-0000-000038080000}"/>
    <cellStyle name="Comma 10 7 14 2" xfId="5527" xr:uid="{00000000-0005-0000-0000-000039080000}"/>
    <cellStyle name="Comma 10 7 14 2 2" xfId="23322" xr:uid="{3D05225F-C46B-41AA-A210-9509BE7C423A}"/>
    <cellStyle name="Comma 10 7 14 2 3" xfId="17662" xr:uid="{6D2F886C-4202-46C3-B157-DF92566B0C99}"/>
    <cellStyle name="Comma 10 7 14 2 4" xfId="28983" xr:uid="{7D0B0989-CFCC-425A-8FF1-3082385DBA08}"/>
    <cellStyle name="Comma 10 7 14 2 5" xfId="34683" xr:uid="{30BBAB22-6184-42C9-9584-48005F14D8FE}"/>
    <cellStyle name="Comma 10 7 14 3" xfId="13618" xr:uid="{00000000-0005-0000-0000-00003A080000}"/>
    <cellStyle name="Comma 10 7 14 3 2" xfId="25859" xr:uid="{88014D7E-6DBE-45C0-8DC3-3A8E965DD5BB}"/>
    <cellStyle name="Comma 10 7 14 3 3" xfId="20199" xr:uid="{EACDE703-9E9D-46B5-A8F2-A8301B12B6B6}"/>
    <cellStyle name="Comma 10 7 14 3 4" xfId="34684" xr:uid="{1E7B38C5-BEFF-4E8D-A250-FCD6BE9BFE9F}"/>
    <cellStyle name="Comma 10 7 14 4" xfId="34682" xr:uid="{01EF9CB9-21C6-4680-89B6-8EBD4ECFFEBB}"/>
    <cellStyle name="Comma 10 7 15" xfId="3814" xr:uid="{00000000-0005-0000-0000-00003B080000}"/>
    <cellStyle name="Comma 10 7 15 2" xfId="5528" xr:uid="{00000000-0005-0000-0000-00003C080000}"/>
    <cellStyle name="Comma 10 7 15 2 2" xfId="23323" xr:uid="{1B3A41E2-2F97-45F2-8500-79317651AEE4}"/>
    <cellStyle name="Comma 10 7 15 2 3" xfId="17663" xr:uid="{C60A550D-AF76-4AA0-A61F-78D125999887}"/>
    <cellStyle name="Comma 10 7 15 2 4" xfId="28984" xr:uid="{316D3CA6-3DA9-4255-800F-DAB423CB6A03}"/>
    <cellStyle name="Comma 10 7 15 2 5" xfId="34686" xr:uid="{E7958BB2-AD85-4588-AD5B-F4073F77A727}"/>
    <cellStyle name="Comma 10 7 15 3" xfId="13619" xr:uid="{00000000-0005-0000-0000-00003D080000}"/>
    <cellStyle name="Comma 10 7 15 3 2" xfId="25860" xr:uid="{9303AE98-54A7-4848-A4EB-D9F9B86E4D66}"/>
    <cellStyle name="Comma 10 7 15 3 3" xfId="20200" xr:uid="{6CF238B4-4937-4E57-AB46-52DBBE6C8544}"/>
    <cellStyle name="Comma 10 7 15 3 4" xfId="34687" xr:uid="{386F9E81-FEB2-4351-8C49-B6B882083050}"/>
    <cellStyle name="Comma 10 7 15 4" xfId="34685" xr:uid="{BDF0CFE7-BC56-4A3B-A77D-6FC2D61984F7}"/>
    <cellStyle name="Comma 10 7 16" xfId="3815" xr:uid="{00000000-0005-0000-0000-00003E080000}"/>
    <cellStyle name="Comma 10 7 16 2" xfId="5529" xr:uid="{00000000-0005-0000-0000-00003F080000}"/>
    <cellStyle name="Comma 10 7 16 2 2" xfId="23324" xr:uid="{5568A0DE-A97B-4421-871E-51006414B821}"/>
    <cellStyle name="Comma 10 7 16 2 3" xfId="17664" xr:uid="{4D037C00-8AC7-4636-B607-E09AA727F01E}"/>
    <cellStyle name="Comma 10 7 16 2 4" xfId="28985" xr:uid="{EB7F16B6-B83D-43E6-A495-63A86BFB9358}"/>
    <cellStyle name="Comma 10 7 16 2 5" xfId="34689" xr:uid="{22EFE85C-D76C-4467-9D44-D1D109AA2230}"/>
    <cellStyle name="Comma 10 7 16 3" xfId="13620" xr:uid="{00000000-0005-0000-0000-000040080000}"/>
    <cellStyle name="Comma 10 7 16 3 2" xfId="25861" xr:uid="{AF1AB2C8-6346-4171-91BC-5F2F2F410CE1}"/>
    <cellStyle name="Comma 10 7 16 3 3" xfId="20201" xr:uid="{4399836F-D32F-4F0D-B01C-0F27BCDB7052}"/>
    <cellStyle name="Comma 10 7 16 3 4" xfId="34690" xr:uid="{400F89CC-E415-455F-A848-2D870778F32B}"/>
    <cellStyle name="Comma 10 7 16 4" xfId="34688" xr:uid="{0475F13A-735D-4A59-A9DA-C93C98F5DCFC}"/>
    <cellStyle name="Comma 10 7 17" xfId="3816" xr:uid="{00000000-0005-0000-0000-000041080000}"/>
    <cellStyle name="Comma 10 7 17 2" xfId="5530" xr:uid="{00000000-0005-0000-0000-000042080000}"/>
    <cellStyle name="Comma 10 7 17 2 2" xfId="23325" xr:uid="{6B0DAD80-DA14-4592-A3AF-4DE049B469D9}"/>
    <cellStyle name="Comma 10 7 17 2 3" xfId="17665" xr:uid="{39F744FB-4224-40E1-B0B6-9A86383887E8}"/>
    <cellStyle name="Comma 10 7 17 2 4" xfId="28986" xr:uid="{17566E3C-E604-428D-B99E-49F8F6EFBEA6}"/>
    <cellStyle name="Comma 10 7 17 2 5" xfId="34692" xr:uid="{B4BC9BC0-D86C-4CD2-B760-2EA4F4ED8885}"/>
    <cellStyle name="Comma 10 7 17 3" xfId="13621" xr:uid="{00000000-0005-0000-0000-000043080000}"/>
    <cellStyle name="Comma 10 7 17 3 2" xfId="25862" xr:uid="{FA5A1BB5-2ECB-4462-A8DA-F0F6A95A73F6}"/>
    <cellStyle name="Comma 10 7 17 3 3" xfId="20202" xr:uid="{AB0112DE-3EED-41AC-9667-6D31F6C605A6}"/>
    <cellStyle name="Comma 10 7 17 3 4" xfId="34693" xr:uid="{33A4A1B4-1F1E-4FD9-B9CF-81A4FDCEF574}"/>
    <cellStyle name="Comma 10 7 17 4" xfId="34691" xr:uid="{1874D4D9-B89A-41EE-A154-02BD01D16CD2}"/>
    <cellStyle name="Comma 10 7 18" xfId="5522" xr:uid="{00000000-0005-0000-0000-000044080000}"/>
    <cellStyle name="Comma 10 7 18 2" xfId="23317" xr:uid="{BF3AE04C-4BB3-4118-A9C0-8F6618A7A701}"/>
    <cellStyle name="Comma 10 7 18 3" xfId="17657" xr:uid="{F4886AC1-53C5-4CF3-9705-6358574EDC6C}"/>
    <cellStyle name="Comma 10 7 18 4" xfId="28978" xr:uid="{EDFC3643-E64A-450D-A04C-78F95239ED55}"/>
    <cellStyle name="Comma 10 7 18 5" xfId="34694" xr:uid="{4DFFD55A-34CF-4839-9095-225E78BDE293}"/>
    <cellStyle name="Comma 10 7 19" xfId="13613" xr:uid="{00000000-0005-0000-0000-000045080000}"/>
    <cellStyle name="Comma 10 7 19 2" xfId="25854" xr:uid="{8D688B6D-B458-4538-AE87-1BF093EC7D90}"/>
    <cellStyle name="Comma 10 7 19 3" xfId="20194" xr:uid="{B675FCFF-32DD-4DE7-81CD-557406013EFB}"/>
    <cellStyle name="Comma 10 7 19 4" xfId="34695" xr:uid="{D8F21F02-BE76-4E23-AC05-64D10EBC0AAF}"/>
    <cellStyle name="Comma 10 7 2" xfId="3817" xr:uid="{00000000-0005-0000-0000-000046080000}"/>
    <cellStyle name="Comma 10 7 2 2" xfId="5531" xr:uid="{00000000-0005-0000-0000-000047080000}"/>
    <cellStyle name="Comma 10 7 2 2 2" xfId="23326" xr:uid="{3536CB72-A8F5-4E80-BAD0-68A93C17B6FF}"/>
    <cellStyle name="Comma 10 7 2 2 3" xfId="17666" xr:uid="{BC8F29E5-23D0-41DD-B76A-AF6F51541C79}"/>
    <cellStyle name="Comma 10 7 2 2 4" xfId="28987" xr:uid="{1C419485-60E8-44F9-83E1-5824C1C8B8E3}"/>
    <cellStyle name="Comma 10 7 2 2 5" xfId="34697" xr:uid="{CBC3A8ED-5705-4533-AEDE-F51F9A6B0763}"/>
    <cellStyle name="Comma 10 7 2 3" xfId="13622" xr:uid="{00000000-0005-0000-0000-000048080000}"/>
    <cellStyle name="Comma 10 7 2 3 2" xfId="25863" xr:uid="{DCFF8242-481E-4AF5-A814-C7E973EE7CB3}"/>
    <cellStyle name="Comma 10 7 2 3 3" xfId="20203" xr:uid="{4CF3B9C9-53A5-4FDA-B274-9BBEEC738648}"/>
    <cellStyle name="Comma 10 7 2 3 4" xfId="34698" xr:uid="{D937BCA0-BE10-4BB3-BBA0-A1879C768E40}"/>
    <cellStyle name="Comma 10 7 2 4" xfId="34696" xr:uid="{6D7B42E7-C288-4BD7-8D01-D353CB95BD9A}"/>
    <cellStyle name="Comma 10 7 20" xfId="34669" xr:uid="{982A9727-06F5-4871-B8E5-CA072E7093D5}"/>
    <cellStyle name="Comma 10 7 3" xfId="3818" xr:uid="{00000000-0005-0000-0000-000049080000}"/>
    <cellStyle name="Comma 10 7 3 2" xfId="5532" xr:uid="{00000000-0005-0000-0000-00004A080000}"/>
    <cellStyle name="Comma 10 7 3 2 2" xfId="23327" xr:uid="{FDF581BF-B145-4A45-9599-2AD7C52786C5}"/>
    <cellStyle name="Comma 10 7 3 2 3" xfId="17667" xr:uid="{7BEF9BB2-8382-4736-B00D-139EB348799A}"/>
    <cellStyle name="Comma 10 7 3 2 4" xfId="28988" xr:uid="{9ABA993C-102A-4798-9849-49DE40E49012}"/>
    <cellStyle name="Comma 10 7 3 2 5" xfId="34700" xr:uid="{C36923D5-675D-4676-803E-BD1CE0BD1004}"/>
    <cellStyle name="Comma 10 7 3 3" xfId="13623" xr:uid="{00000000-0005-0000-0000-00004B080000}"/>
    <cellStyle name="Comma 10 7 3 3 2" xfId="25864" xr:uid="{6766B9CD-CC50-4795-BC04-8D7EC3830EE6}"/>
    <cellStyle name="Comma 10 7 3 3 3" xfId="20204" xr:uid="{4F9E9CFE-95AC-46DB-A21D-92ED33BC516B}"/>
    <cellStyle name="Comma 10 7 3 3 4" xfId="34701" xr:uid="{4C893BAE-DCA4-4DF8-B424-6243986038B5}"/>
    <cellStyle name="Comma 10 7 3 4" xfId="34699" xr:uid="{67D9D641-F6BC-4F75-BE17-8CF1898544A2}"/>
    <cellStyle name="Comma 10 7 4" xfId="3819" xr:uid="{00000000-0005-0000-0000-00004C080000}"/>
    <cellStyle name="Comma 10 7 4 2" xfId="5533" xr:uid="{00000000-0005-0000-0000-00004D080000}"/>
    <cellStyle name="Comma 10 7 4 2 2" xfId="23328" xr:uid="{A2AB56E6-D5A8-427F-B7B6-23963B42F2AE}"/>
    <cellStyle name="Comma 10 7 4 2 3" xfId="17668" xr:uid="{8F8633B9-AD02-4E50-A3AA-A07BA54A2083}"/>
    <cellStyle name="Comma 10 7 4 2 4" xfId="28989" xr:uid="{15B8EF30-DA6C-487A-B95A-1655048D1FC0}"/>
    <cellStyle name="Comma 10 7 4 2 5" xfId="34703" xr:uid="{93F2CD95-94E7-45AE-A251-E5BA3D65EBBC}"/>
    <cellStyle name="Comma 10 7 4 3" xfId="13624" xr:uid="{00000000-0005-0000-0000-00004E080000}"/>
    <cellStyle name="Comma 10 7 4 3 2" xfId="25865" xr:uid="{C4B2E2B1-A7C8-4A83-A415-51291AB0AC62}"/>
    <cellStyle name="Comma 10 7 4 3 3" xfId="20205" xr:uid="{090D676C-5080-40CC-9BE2-8E042943EF0E}"/>
    <cellStyle name="Comma 10 7 4 3 4" xfId="34704" xr:uid="{0427B267-3208-4F7E-90B8-8E2903B5CA32}"/>
    <cellStyle name="Comma 10 7 4 4" xfId="34702" xr:uid="{12FA4506-76E9-4C38-B900-0FEFC59C89CF}"/>
    <cellStyle name="Comma 10 7 5" xfId="3820" xr:uid="{00000000-0005-0000-0000-00004F080000}"/>
    <cellStyle name="Comma 10 7 5 2" xfId="5534" xr:uid="{00000000-0005-0000-0000-000050080000}"/>
    <cellStyle name="Comma 10 7 5 2 2" xfId="23329" xr:uid="{8F980462-31CD-4D93-9B56-4AEF80FC000E}"/>
    <cellStyle name="Comma 10 7 5 2 3" xfId="17669" xr:uid="{BDB04DE6-FCFD-4DD9-96BB-EB2102DC953A}"/>
    <cellStyle name="Comma 10 7 5 2 4" xfId="28990" xr:uid="{023FB6A3-1DC6-41DF-AC1A-2082F1CCF502}"/>
    <cellStyle name="Comma 10 7 5 2 5" xfId="34706" xr:uid="{CFE91443-F5FD-4D58-B356-21C5E74103B2}"/>
    <cellStyle name="Comma 10 7 5 3" xfId="13625" xr:uid="{00000000-0005-0000-0000-000051080000}"/>
    <cellStyle name="Comma 10 7 5 3 2" xfId="25866" xr:uid="{3C9B88AC-E5CE-4F07-8132-C66786F9AF22}"/>
    <cellStyle name="Comma 10 7 5 3 3" xfId="20206" xr:uid="{B10C7410-FB29-4D1A-91E2-24550CA08D38}"/>
    <cellStyle name="Comma 10 7 5 3 4" xfId="34707" xr:uid="{14C3FF79-3EE8-4B1C-9382-C37A4DAB3C16}"/>
    <cellStyle name="Comma 10 7 5 4" xfId="34705" xr:uid="{E78125B6-7CE1-4009-844B-181F99B3E68B}"/>
    <cellStyle name="Comma 10 7 6" xfId="3821" xr:uid="{00000000-0005-0000-0000-000052080000}"/>
    <cellStyle name="Comma 10 7 6 2" xfId="5535" xr:uid="{00000000-0005-0000-0000-000053080000}"/>
    <cellStyle name="Comma 10 7 6 2 2" xfId="23330" xr:uid="{40EF4D33-2AF8-4D8A-91A8-BE58C0F8DB01}"/>
    <cellStyle name="Comma 10 7 6 2 3" xfId="17670" xr:uid="{AEF4DF53-126A-406F-A081-2A81D634E97A}"/>
    <cellStyle name="Comma 10 7 6 2 4" xfId="28991" xr:uid="{23DCAE78-7279-4312-8101-786770604563}"/>
    <cellStyle name="Comma 10 7 6 2 5" xfId="34709" xr:uid="{ECF1BD79-C58C-438A-9B6E-FA7AF6E7B10B}"/>
    <cellStyle name="Comma 10 7 6 3" xfId="13626" xr:uid="{00000000-0005-0000-0000-000054080000}"/>
    <cellStyle name="Comma 10 7 6 3 2" xfId="25867" xr:uid="{F59949A5-FA42-43CE-9880-F60DCD974067}"/>
    <cellStyle name="Comma 10 7 6 3 3" xfId="20207" xr:uid="{C607029F-255E-4AE3-A523-0759DAC77BE4}"/>
    <cellStyle name="Comma 10 7 6 3 4" xfId="34710" xr:uid="{69C83B9E-5F57-47EA-AE61-CD664817087C}"/>
    <cellStyle name="Comma 10 7 6 4" xfId="34708" xr:uid="{56F2EF48-461C-4002-9CBB-0DCC70FAD4C6}"/>
    <cellStyle name="Comma 10 7 7" xfId="3822" xr:uid="{00000000-0005-0000-0000-000055080000}"/>
    <cellStyle name="Comma 10 7 7 2" xfId="5536" xr:uid="{00000000-0005-0000-0000-000056080000}"/>
    <cellStyle name="Comma 10 7 7 2 2" xfId="23331" xr:uid="{C1DB1EE1-9C77-425A-9CA3-F1B49F881656}"/>
    <cellStyle name="Comma 10 7 7 2 3" xfId="17671" xr:uid="{B63B4B4E-E21C-4118-8AD8-452783B3975D}"/>
    <cellStyle name="Comma 10 7 7 2 4" xfId="28992" xr:uid="{F5D3F1B8-566D-4213-A765-B343A1F2A985}"/>
    <cellStyle name="Comma 10 7 7 2 5" xfId="34712" xr:uid="{2C752E29-9501-4911-BD10-66B23E8517D8}"/>
    <cellStyle name="Comma 10 7 7 3" xfId="13627" xr:uid="{00000000-0005-0000-0000-000057080000}"/>
    <cellStyle name="Comma 10 7 7 3 2" xfId="25868" xr:uid="{D70900B8-91D5-49C6-B4C5-43AA9DC57E5F}"/>
    <cellStyle name="Comma 10 7 7 3 3" xfId="20208" xr:uid="{B24C6B77-9103-4578-ACEC-FE938CF83A7E}"/>
    <cellStyle name="Comma 10 7 7 3 4" xfId="34713" xr:uid="{03D6B177-101A-486B-8941-95A11A1400F4}"/>
    <cellStyle name="Comma 10 7 7 4" xfId="34711" xr:uid="{C326379B-6534-4B36-9FE8-B35D6C7C195C}"/>
    <cellStyle name="Comma 10 7 8" xfId="3823" xr:uid="{00000000-0005-0000-0000-000058080000}"/>
    <cellStyle name="Comma 10 7 8 2" xfId="5537" xr:uid="{00000000-0005-0000-0000-000059080000}"/>
    <cellStyle name="Comma 10 7 8 2 2" xfId="23332" xr:uid="{7D18C20A-6662-4C61-B026-4A576C22B0FC}"/>
    <cellStyle name="Comma 10 7 8 2 3" xfId="17672" xr:uid="{F11EEA99-E4C4-46D5-8A45-994D23FBAEA3}"/>
    <cellStyle name="Comma 10 7 8 2 4" xfId="28993" xr:uid="{A57C45A3-1E7D-41D8-B022-CDC7D490B38A}"/>
    <cellStyle name="Comma 10 7 8 2 5" xfId="34715" xr:uid="{9D75DAB6-BDF7-4AEA-8554-0D3003CDCFCE}"/>
    <cellStyle name="Comma 10 7 8 3" xfId="13628" xr:uid="{00000000-0005-0000-0000-00005A080000}"/>
    <cellStyle name="Comma 10 7 8 3 2" xfId="25869" xr:uid="{8392B0FA-202C-4C53-AB11-2D79375A476C}"/>
    <cellStyle name="Comma 10 7 8 3 3" xfId="20209" xr:uid="{34E87429-1B1A-4AE9-BFE6-9B12297F0FF6}"/>
    <cellStyle name="Comma 10 7 8 3 4" xfId="34716" xr:uid="{CC374022-1053-4193-9D99-D0D52A47A8C8}"/>
    <cellStyle name="Comma 10 7 8 4" xfId="34714" xr:uid="{6938E78F-CCCB-4A23-A50F-8D2FC121A62D}"/>
    <cellStyle name="Comma 10 7 9" xfId="3824" xr:uid="{00000000-0005-0000-0000-00005B080000}"/>
    <cellStyle name="Comma 10 7 9 2" xfId="5538" xr:uid="{00000000-0005-0000-0000-00005C080000}"/>
    <cellStyle name="Comma 10 7 9 2 2" xfId="23333" xr:uid="{22A08ABB-FE5E-4B15-B00E-78EFA85A11AD}"/>
    <cellStyle name="Comma 10 7 9 2 3" xfId="17673" xr:uid="{CAF05A86-34B2-4013-94A6-6EFF0EBFCC78}"/>
    <cellStyle name="Comma 10 7 9 2 4" xfId="28994" xr:uid="{30844E22-E572-48A6-B56E-B441B626BE49}"/>
    <cellStyle name="Comma 10 7 9 2 5" xfId="34718" xr:uid="{4F961AF9-1340-4178-A233-C99FC3B53236}"/>
    <cellStyle name="Comma 10 7 9 3" xfId="13629" xr:uid="{00000000-0005-0000-0000-00005D080000}"/>
    <cellStyle name="Comma 10 7 9 3 2" xfId="25870" xr:uid="{4EA99D67-FD8E-432E-A07B-E974262F7D37}"/>
    <cellStyle name="Comma 10 7 9 3 3" xfId="20210" xr:uid="{37BBC3AC-F331-4C08-A221-EB6515C5BEC4}"/>
    <cellStyle name="Comma 10 7 9 3 4" xfId="34719" xr:uid="{C0C93B15-7B1E-416E-985C-BED8AC35E5E1}"/>
    <cellStyle name="Comma 10 7 9 4" xfId="34717" xr:uid="{E040385E-B79D-4774-A060-A93D9DE0B61A}"/>
    <cellStyle name="Comma 10 8" xfId="3825" xr:uid="{00000000-0005-0000-0000-00005E080000}"/>
    <cellStyle name="Comma 10 8 10" xfId="3826" xr:uid="{00000000-0005-0000-0000-00005F080000}"/>
    <cellStyle name="Comma 10 8 10 2" xfId="5540" xr:uid="{00000000-0005-0000-0000-000060080000}"/>
    <cellStyle name="Comma 10 8 10 2 2" xfId="23335" xr:uid="{54CF4873-E1B3-4FE6-A470-EB92DABB6374}"/>
    <cellStyle name="Comma 10 8 10 2 3" xfId="17675" xr:uid="{3D520662-5882-4C98-8372-921D3BA4F28E}"/>
    <cellStyle name="Comma 10 8 10 2 4" xfId="28996" xr:uid="{4521F849-A3D3-48A4-882F-C7B5282D013D}"/>
    <cellStyle name="Comma 10 8 10 2 5" xfId="34722" xr:uid="{AD743985-0BC4-4FC5-BFCE-9F2C457160FD}"/>
    <cellStyle name="Comma 10 8 10 3" xfId="13631" xr:uid="{00000000-0005-0000-0000-000061080000}"/>
    <cellStyle name="Comma 10 8 10 3 2" xfId="25872" xr:uid="{5799D742-19DE-4528-83E2-F104EAED5EA6}"/>
    <cellStyle name="Comma 10 8 10 3 3" xfId="20212" xr:uid="{B12E0B8B-0AE3-4F41-BDDC-95AC3813E779}"/>
    <cellStyle name="Comma 10 8 10 3 4" xfId="34723" xr:uid="{DC639EFF-6BCB-4DA6-AD4A-B2EE8586BA52}"/>
    <cellStyle name="Comma 10 8 10 4" xfId="34721" xr:uid="{F8B8199D-7BE4-48B1-BF3A-7862DF47F5A3}"/>
    <cellStyle name="Comma 10 8 11" xfId="3827" xr:uid="{00000000-0005-0000-0000-000062080000}"/>
    <cellStyle name="Comma 10 8 11 2" xfId="5541" xr:uid="{00000000-0005-0000-0000-000063080000}"/>
    <cellStyle name="Comma 10 8 11 2 2" xfId="23336" xr:uid="{F4A74725-8FA8-4C59-B9B4-904157C0A62C}"/>
    <cellStyle name="Comma 10 8 11 2 3" xfId="17676" xr:uid="{50E1B558-6CA1-4337-A554-90BC433C0949}"/>
    <cellStyle name="Comma 10 8 11 2 4" xfId="28997" xr:uid="{40DCF26E-2EC1-4077-83F4-0CE3A7809175}"/>
    <cellStyle name="Comma 10 8 11 2 5" xfId="34725" xr:uid="{3B8684A6-AC68-4ACC-8D77-14AEC9AF1E69}"/>
    <cellStyle name="Comma 10 8 11 3" xfId="13632" xr:uid="{00000000-0005-0000-0000-000064080000}"/>
    <cellStyle name="Comma 10 8 11 3 2" xfId="25873" xr:uid="{7CECC493-CEE9-4793-B340-21503CA92283}"/>
    <cellStyle name="Comma 10 8 11 3 3" xfId="20213" xr:uid="{0C55501E-BF27-4659-86D4-2C81A34E2114}"/>
    <cellStyle name="Comma 10 8 11 3 4" xfId="34726" xr:uid="{9B1BB351-D396-496E-A030-32EAA5C43195}"/>
    <cellStyle name="Comma 10 8 11 4" xfId="34724" xr:uid="{18DDEA53-08F5-4ADA-8AE3-337EAF2E70D7}"/>
    <cellStyle name="Comma 10 8 12" xfId="3828" xr:uid="{00000000-0005-0000-0000-000065080000}"/>
    <cellStyle name="Comma 10 8 12 2" xfId="5542" xr:uid="{00000000-0005-0000-0000-000066080000}"/>
    <cellStyle name="Comma 10 8 12 2 2" xfId="23337" xr:uid="{3DC3BD0A-C9C5-4A1A-930D-557FFA97D5BA}"/>
    <cellStyle name="Comma 10 8 12 2 3" xfId="17677" xr:uid="{C2B11DB9-9055-410A-8692-C273E21008A1}"/>
    <cellStyle name="Comma 10 8 12 2 4" xfId="28998" xr:uid="{1EC909C8-5AF3-47C4-A45D-B0FF8B14C3BF}"/>
    <cellStyle name="Comma 10 8 12 2 5" xfId="34728" xr:uid="{C59BBFC4-5483-4B5A-8612-FA202D30BFC9}"/>
    <cellStyle name="Comma 10 8 12 3" xfId="13633" xr:uid="{00000000-0005-0000-0000-000067080000}"/>
    <cellStyle name="Comma 10 8 12 3 2" xfId="25874" xr:uid="{314F5A93-0D4D-4C08-859D-A312FBE6FAD3}"/>
    <cellStyle name="Comma 10 8 12 3 3" xfId="20214" xr:uid="{EC53A3B6-98FF-40A3-A923-7577F1E24000}"/>
    <cellStyle name="Comma 10 8 12 3 4" xfId="34729" xr:uid="{EAD5A02D-68FB-4E0F-AE54-B7765AE7A9A2}"/>
    <cellStyle name="Comma 10 8 12 4" xfId="34727" xr:uid="{DA9AC3A9-DEC2-442B-B638-9B7DF5FEEDC8}"/>
    <cellStyle name="Comma 10 8 13" xfId="3829" xr:uid="{00000000-0005-0000-0000-000068080000}"/>
    <cellStyle name="Comma 10 8 13 2" xfId="5543" xr:uid="{00000000-0005-0000-0000-000069080000}"/>
    <cellStyle name="Comma 10 8 13 2 2" xfId="23338" xr:uid="{F36ADE63-2269-44A0-8A65-215A26DD1741}"/>
    <cellStyle name="Comma 10 8 13 2 3" xfId="17678" xr:uid="{DC677C85-2F3C-4FDD-B840-2E9A3160664B}"/>
    <cellStyle name="Comma 10 8 13 2 4" xfId="28999" xr:uid="{D2D245A8-3850-4603-A59C-C44E21398BB5}"/>
    <cellStyle name="Comma 10 8 13 2 5" xfId="34731" xr:uid="{01EAEF5B-AA95-4E69-8558-2AB486B42FB0}"/>
    <cellStyle name="Comma 10 8 13 3" xfId="13634" xr:uid="{00000000-0005-0000-0000-00006A080000}"/>
    <cellStyle name="Comma 10 8 13 3 2" xfId="25875" xr:uid="{300060BD-290C-4F12-8510-68A252DD88DC}"/>
    <cellStyle name="Comma 10 8 13 3 3" xfId="20215" xr:uid="{A142C38C-0058-4166-875A-907685230874}"/>
    <cellStyle name="Comma 10 8 13 3 4" xfId="34732" xr:uid="{A44F4872-8A5B-4F51-96DC-6524C74C62DE}"/>
    <cellStyle name="Comma 10 8 13 4" xfId="34730" xr:uid="{349ECEF6-8EC5-4BD5-9B81-8CC9F5E8571F}"/>
    <cellStyle name="Comma 10 8 14" xfId="3830" xr:uid="{00000000-0005-0000-0000-00006B080000}"/>
    <cellStyle name="Comma 10 8 14 2" xfId="5544" xr:uid="{00000000-0005-0000-0000-00006C080000}"/>
    <cellStyle name="Comma 10 8 14 2 2" xfId="23339" xr:uid="{0E7F0EF1-9A8D-4597-BA4B-1B98A29DA4EA}"/>
    <cellStyle name="Comma 10 8 14 2 3" xfId="17679" xr:uid="{5FFA72D0-546E-4441-AC1B-7A7A8212295E}"/>
    <cellStyle name="Comma 10 8 14 2 4" xfId="29000" xr:uid="{A1F6B273-069B-4CAB-B232-63F0774FCF0C}"/>
    <cellStyle name="Comma 10 8 14 2 5" xfId="34734" xr:uid="{AD2700D4-8254-4375-888B-0CF8D5587954}"/>
    <cellStyle name="Comma 10 8 14 3" xfId="13635" xr:uid="{00000000-0005-0000-0000-00006D080000}"/>
    <cellStyle name="Comma 10 8 14 3 2" xfId="25876" xr:uid="{9CDEA01F-8238-46DE-9DE6-361CCBA7B5C0}"/>
    <cellStyle name="Comma 10 8 14 3 3" xfId="20216" xr:uid="{29291552-6D72-4E1B-B9E5-84ADE19AB09F}"/>
    <cellStyle name="Comma 10 8 14 3 4" xfId="34735" xr:uid="{B7F59DDB-7260-4629-B2CF-CB76A22A8E9F}"/>
    <cellStyle name="Comma 10 8 14 4" xfId="34733" xr:uid="{16FAACCE-7D40-4992-B6BE-2625F05CD124}"/>
    <cellStyle name="Comma 10 8 15" xfId="3831" xr:uid="{00000000-0005-0000-0000-00006E080000}"/>
    <cellStyle name="Comma 10 8 15 2" xfId="5545" xr:uid="{00000000-0005-0000-0000-00006F080000}"/>
    <cellStyle name="Comma 10 8 15 2 2" xfId="23340" xr:uid="{DA4E3F5F-568E-4F46-A28F-D228E0FBEC07}"/>
    <cellStyle name="Comma 10 8 15 2 3" xfId="17680" xr:uid="{F5AD8100-CC10-49B3-A3E1-F6FD0EE6E8D7}"/>
    <cellStyle name="Comma 10 8 15 2 4" xfId="29001" xr:uid="{CE4ADBE9-9206-47A4-87A0-46FE8A77BDB4}"/>
    <cellStyle name="Comma 10 8 15 2 5" xfId="34737" xr:uid="{08485232-D07D-4E85-8773-86AA6F0AB6D0}"/>
    <cellStyle name="Comma 10 8 15 3" xfId="13636" xr:uid="{00000000-0005-0000-0000-000070080000}"/>
    <cellStyle name="Comma 10 8 15 3 2" xfId="25877" xr:uid="{E5129B5A-F425-460F-A169-36AD792518E1}"/>
    <cellStyle name="Comma 10 8 15 3 3" xfId="20217" xr:uid="{8C011A1D-9B07-4E2F-A2B0-027B7E5C4F20}"/>
    <cellStyle name="Comma 10 8 15 3 4" xfId="34738" xr:uid="{A9777631-1A5B-41A6-89DA-6CD0F5496180}"/>
    <cellStyle name="Comma 10 8 15 4" xfId="34736" xr:uid="{94DBC84D-1FF6-4C69-881D-9E531EFDDB39}"/>
    <cellStyle name="Comma 10 8 16" xfId="3832" xr:uid="{00000000-0005-0000-0000-000071080000}"/>
    <cellStyle name="Comma 10 8 16 2" xfId="5546" xr:uid="{00000000-0005-0000-0000-000072080000}"/>
    <cellStyle name="Comma 10 8 16 2 2" xfId="23341" xr:uid="{DE408E57-7B6A-49B8-B09C-47AD6E2697F2}"/>
    <cellStyle name="Comma 10 8 16 2 3" xfId="17681" xr:uid="{9ABC6D13-0333-4C77-9C68-15A1D4C300E0}"/>
    <cellStyle name="Comma 10 8 16 2 4" xfId="29002" xr:uid="{813FBF56-69C2-4655-AE48-77E1BB01F255}"/>
    <cellStyle name="Comma 10 8 16 2 5" xfId="34740" xr:uid="{82260011-1187-4C9C-A5C3-F0281BB224D3}"/>
    <cellStyle name="Comma 10 8 16 3" xfId="13637" xr:uid="{00000000-0005-0000-0000-000073080000}"/>
    <cellStyle name="Comma 10 8 16 3 2" xfId="25878" xr:uid="{D80851EF-3F10-45BB-8F20-4AFBEAF10AA6}"/>
    <cellStyle name="Comma 10 8 16 3 3" xfId="20218" xr:uid="{4CCCA135-8722-42DF-AC4B-7B0BF08A0501}"/>
    <cellStyle name="Comma 10 8 16 3 4" xfId="34741" xr:uid="{D7B55246-8B82-449A-922D-A121329BB08C}"/>
    <cellStyle name="Comma 10 8 16 4" xfId="34739" xr:uid="{971B1694-6DCE-42A8-9584-ED7C57F99C88}"/>
    <cellStyle name="Comma 10 8 17" xfId="3833" xr:uid="{00000000-0005-0000-0000-000074080000}"/>
    <cellStyle name="Comma 10 8 17 2" xfId="5547" xr:uid="{00000000-0005-0000-0000-000075080000}"/>
    <cellStyle name="Comma 10 8 17 2 2" xfId="23342" xr:uid="{01815EA6-9DE9-4FC5-831F-52A19EF5EE93}"/>
    <cellStyle name="Comma 10 8 17 2 3" xfId="17682" xr:uid="{9650C8B7-6FEC-45A6-AADC-FC171CF6BA01}"/>
    <cellStyle name="Comma 10 8 17 2 4" xfId="29003" xr:uid="{EAFF7EE0-7695-4555-98CC-48945889F81D}"/>
    <cellStyle name="Comma 10 8 17 2 5" xfId="34743" xr:uid="{756D4C88-E654-4E2A-8A38-C1319FFF3718}"/>
    <cellStyle name="Comma 10 8 17 3" xfId="13638" xr:uid="{00000000-0005-0000-0000-000076080000}"/>
    <cellStyle name="Comma 10 8 17 3 2" xfId="25879" xr:uid="{55316260-76AC-4604-9D58-1A69C93E2BE7}"/>
    <cellStyle name="Comma 10 8 17 3 3" xfId="20219" xr:uid="{EE16ACA7-AD04-422A-8315-617AB2B8672E}"/>
    <cellStyle name="Comma 10 8 17 3 4" xfId="34744" xr:uid="{8AFFB856-82D7-4546-83BB-83685517C07C}"/>
    <cellStyle name="Comma 10 8 17 4" xfId="34742" xr:uid="{16AB2B18-5EBE-4FB0-838D-EE06EBE24640}"/>
    <cellStyle name="Comma 10 8 18" xfId="5539" xr:uid="{00000000-0005-0000-0000-000077080000}"/>
    <cellStyle name="Comma 10 8 18 2" xfId="23334" xr:uid="{41FA22C5-66DD-4E70-832E-55DBF6AD1AAE}"/>
    <cellStyle name="Comma 10 8 18 3" xfId="17674" xr:uid="{3CA95058-93AB-464A-9B29-60143570522D}"/>
    <cellStyle name="Comma 10 8 18 4" xfId="28995" xr:uid="{62EC621F-3922-4A90-830B-CB4501E03FAC}"/>
    <cellStyle name="Comma 10 8 18 5" xfId="34745" xr:uid="{5F01AF09-A20D-4F78-A45F-42E2DDE50B38}"/>
    <cellStyle name="Comma 10 8 19" xfId="13630" xr:uid="{00000000-0005-0000-0000-000078080000}"/>
    <cellStyle name="Comma 10 8 19 2" xfId="25871" xr:uid="{20279F53-2193-4F4E-97FB-F60B609E1C94}"/>
    <cellStyle name="Comma 10 8 19 3" xfId="20211" xr:uid="{3FAC65B6-F4B0-455D-BE4E-2504C9CA563C}"/>
    <cellStyle name="Comma 10 8 19 4" xfId="34746" xr:uid="{A3750F2C-30AD-4F15-8CF2-A4A41B37E5C0}"/>
    <cellStyle name="Comma 10 8 2" xfId="3834" xr:uid="{00000000-0005-0000-0000-000079080000}"/>
    <cellStyle name="Comma 10 8 2 2" xfId="5548" xr:uid="{00000000-0005-0000-0000-00007A080000}"/>
    <cellStyle name="Comma 10 8 2 2 2" xfId="23343" xr:uid="{39589DC8-0A0B-406B-AF9E-C662EC3319D1}"/>
    <cellStyle name="Comma 10 8 2 2 3" xfId="17683" xr:uid="{32D0DCDE-6322-4ADA-A783-B3BC8055D6DF}"/>
    <cellStyle name="Comma 10 8 2 2 4" xfId="29004" xr:uid="{9A74EED9-2F8C-4764-B807-8A1CB77C4C9B}"/>
    <cellStyle name="Comma 10 8 2 2 5" xfId="34748" xr:uid="{89448B02-6E64-4598-8422-22F652BA673D}"/>
    <cellStyle name="Comma 10 8 2 3" xfId="13639" xr:uid="{00000000-0005-0000-0000-00007B080000}"/>
    <cellStyle name="Comma 10 8 2 3 2" xfId="25880" xr:uid="{A35C31E6-645E-4808-AE39-2A8BA43F52AF}"/>
    <cellStyle name="Comma 10 8 2 3 3" xfId="20220" xr:uid="{40DF46E9-01C1-478A-AFD7-2419B7EB2654}"/>
    <cellStyle name="Comma 10 8 2 3 4" xfId="34749" xr:uid="{A1ED5899-2019-43EE-AED2-C6BC333CD1BA}"/>
    <cellStyle name="Comma 10 8 2 4" xfId="34747" xr:uid="{B7183228-47D6-4D54-865F-D5FD3BD0683D}"/>
    <cellStyle name="Comma 10 8 20" xfId="34720" xr:uid="{E7AD3B21-9ADB-4372-9F10-84F483FBDEF5}"/>
    <cellStyle name="Comma 10 8 3" xfId="3835" xr:uid="{00000000-0005-0000-0000-00007C080000}"/>
    <cellStyle name="Comma 10 8 3 2" xfId="5549" xr:uid="{00000000-0005-0000-0000-00007D080000}"/>
    <cellStyle name="Comma 10 8 3 2 2" xfId="23344" xr:uid="{2A028EFF-67AE-4308-91A3-0CE99722ADD2}"/>
    <cellStyle name="Comma 10 8 3 2 3" xfId="17684" xr:uid="{94B1F88C-3546-4CCD-B166-1CFD685B5835}"/>
    <cellStyle name="Comma 10 8 3 2 4" xfId="29005" xr:uid="{E6734B2F-243C-4B87-A0BB-E3FC138BD186}"/>
    <cellStyle name="Comma 10 8 3 2 5" xfId="34751" xr:uid="{0256570D-EB06-458D-B496-F245853119C0}"/>
    <cellStyle name="Comma 10 8 3 3" xfId="13640" xr:uid="{00000000-0005-0000-0000-00007E080000}"/>
    <cellStyle name="Comma 10 8 3 3 2" xfId="25881" xr:uid="{963FD0FC-6126-41CD-A490-73D56BCD76CA}"/>
    <cellStyle name="Comma 10 8 3 3 3" xfId="20221" xr:uid="{ABC53FF6-EE48-4D60-AE7D-E8C6B4B74919}"/>
    <cellStyle name="Comma 10 8 3 3 4" xfId="34752" xr:uid="{AF79C692-56E5-4EB1-984E-EF21C237620D}"/>
    <cellStyle name="Comma 10 8 3 4" xfId="34750" xr:uid="{85C07F17-D6C5-4FBD-B786-CD75BCCC556D}"/>
    <cellStyle name="Comma 10 8 4" xfId="3836" xr:uid="{00000000-0005-0000-0000-00007F080000}"/>
    <cellStyle name="Comma 10 8 4 2" xfId="5550" xr:uid="{00000000-0005-0000-0000-000080080000}"/>
    <cellStyle name="Comma 10 8 4 2 2" xfId="23345" xr:uid="{FE4F9946-D2C6-4741-9B59-AE346715ADD8}"/>
    <cellStyle name="Comma 10 8 4 2 3" xfId="17685" xr:uid="{BADADE6F-CB4E-46B0-95DE-5CB34AFCE9FF}"/>
    <cellStyle name="Comma 10 8 4 2 4" xfId="29006" xr:uid="{C3C3BE53-11F1-4888-8CD1-B8C82CE9BECD}"/>
    <cellStyle name="Comma 10 8 4 2 5" xfId="34754" xr:uid="{F6A2DBD4-C574-4CA0-B046-7985F2DA4773}"/>
    <cellStyle name="Comma 10 8 4 3" xfId="13641" xr:uid="{00000000-0005-0000-0000-000081080000}"/>
    <cellStyle name="Comma 10 8 4 3 2" xfId="25882" xr:uid="{D9921A07-8FEA-4F1F-B216-22A356157D6B}"/>
    <cellStyle name="Comma 10 8 4 3 3" xfId="20222" xr:uid="{7BEEB286-6926-469A-A3CC-A6FA8C066576}"/>
    <cellStyle name="Comma 10 8 4 3 4" xfId="34755" xr:uid="{5CB813F6-3D38-4893-84A1-314050A849D9}"/>
    <cellStyle name="Comma 10 8 4 4" xfId="34753" xr:uid="{FA52129D-C264-4420-BEAD-D230A0BC165B}"/>
    <cellStyle name="Comma 10 8 5" xfId="3837" xr:uid="{00000000-0005-0000-0000-000082080000}"/>
    <cellStyle name="Comma 10 8 5 2" xfId="5551" xr:uid="{00000000-0005-0000-0000-000083080000}"/>
    <cellStyle name="Comma 10 8 5 2 2" xfId="23346" xr:uid="{870856B1-2B63-41C2-86C1-F89D141B2717}"/>
    <cellStyle name="Comma 10 8 5 2 3" xfId="17686" xr:uid="{2217F852-2E71-44B2-AE0D-3D25534D5205}"/>
    <cellStyle name="Comma 10 8 5 2 4" xfId="29007" xr:uid="{2ADDCB57-E6F6-4571-A231-FC5BF342BE18}"/>
    <cellStyle name="Comma 10 8 5 2 5" xfId="34757" xr:uid="{AFBF0CD6-83C0-4AF9-ADF4-F255E96DE657}"/>
    <cellStyle name="Comma 10 8 5 3" xfId="13642" xr:uid="{00000000-0005-0000-0000-000084080000}"/>
    <cellStyle name="Comma 10 8 5 3 2" xfId="25883" xr:uid="{2B642805-E372-48AB-B468-B63118B6005E}"/>
    <cellStyle name="Comma 10 8 5 3 3" xfId="20223" xr:uid="{82BE13A5-4EC9-4215-AC57-24A8DEFA366F}"/>
    <cellStyle name="Comma 10 8 5 3 4" xfId="34758" xr:uid="{94014A50-9E65-41A3-AABC-EDA48B931513}"/>
    <cellStyle name="Comma 10 8 5 4" xfId="34756" xr:uid="{9410E04F-9BC7-4213-8EB4-602502C01789}"/>
    <cellStyle name="Comma 10 8 6" xfId="3838" xr:uid="{00000000-0005-0000-0000-000085080000}"/>
    <cellStyle name="Comma 10 8 6 2" xfId="5552" xr:uid="{00000000-0005-0000-0000-000086080000}"/>
    <cellStyle name="Comma 10 8 6 2 2" xfId="23347" xr:uid="{7B450194-E19C-4D05-841A-B00B46E5A812}"/>
    <cellStyle name="Comma 10 8 6 2 3" xfId="17687" xr:uid="{DA4E3D6C-3630-497B-AF4C-0F6EA4D9B0A1}"/>
    <cellStyle name="Comma 10 8 6 2 4" xfId="29008" xr:uid="{F62758D1-8C42-4FD9-BE50-6EFFCD3D13A7}"/>
    <cellStyle name="Comma 10 8 6 2 5" xfId="34760" xr:uid="{8A81CDCF-BF1B-4D5B-9D49-B0012D5F5D90}"/>
    <cellStyle name="Comma 10 8 6 3" xfId="13643" xr:uid="{00000000-0005-0000-0000-000087080000}"/>
    <cellStyle name="Comma 10 8 6 3 2" xfId="25884" xr:uid="{9C815FBE-19FC-4E07-AF51-8FC2A2A271B9}"/>
    <cellStyle name="Comma 10 8 6 3 3" xfId="20224" xr:uid="{84FF75BC-2AE9-4E4E-97D0-0ED246A7B3D0}"/>
    <cellStyle name="Comma 10 8 6 3 4" xfId="34761" xr:uid="{37B683DE-9BB8-4E7F-B6F9-C99439DFBD2D}"/>
    <cellStyle name="Comma 10 8 6 4" xfId="34759" xr:uid="{F23CFA15-556C-49DA-91A9-E529D2F4EEAF}"/>
    <cellStyle name="Comma 10 8 7" xfId="3839" xr:uid="{00000000-0005-0000-0000-000088080000}"/>
    <cellStyle name="Comma 10 8 7 2" xfId="5553" xr:uid="{00000000-0005-0000-0000-000089080000}"/>
    <cellStyle name="Comma 10 8 7 2 2" xfId="23348" xr:uid="{481D971C-704A-4878-908B-4988C6083C00}"/>
    <cellStyle name="Comma 10 8 7 2 3" xfId="17688" xr:uid="{BE63E190-F7B9-46B7-BB25-3F4DB877C9BE}"/>
    <cellStyle name="Comma 10 8 7 2 4" xfId="29009" xr:uid="{25C97DB9-BBAE-484D-9063-99D7AEC7B188}"/>
    <cellStyle name="Comma 10 8 7 2 5" xfId="34763" xr:uid="{30EEA976-1C21-4C0C-B0DA-D22F166E61D0}"/>
    <cellStyle name="Comma 10 8 7 3" xfId="13644" xr:uid="{00000000-0005-0000-0000-00008A080000}"/>
    <cellStyle name="Comma 10 8 7 3 2" xfId="25885" xr:uid="{73E78012-C997-4FF6-8BC2-80040982AADD}"/>
    <cellStyle name="Comma 10 8 7 3 3" xfId="20225" xr:uid="{09D3ED03-38AA-4ED7-BA1F-71ACB2CAF9A8}"/>
    <cellStyle name="Comma 10 8 7 3 4" xfId="34764" xr:uid="{A1A2F8BA-FD93-4F31-BA8A-D185DB948BA9}"/>
    <cellStyle name="Comma 10 8 7 4" xfId="34762" xr:uid="{711D5FDA-05F3-4D1E-91D1-ECB08CF9112F}"/>
    <cellStyle name="Comma 10 8 8" xfId="3840" xr:uid="{00000000-0005-0000-0000-00008B080000}"/>
    <cellStyle name="Comma 10 8 8 2" xfId="5554" xr:uid="{00000000-0005-0000-0000-00008C080000}"/>
    <cellStyle name="Comma 10 8 8 2 2" xfId="23349" xr:uid="{A4724E74-D279-4175-AE3A-8BEA042D2098}"/>
    <cellStyle name="Comma 10 8 8 2 3" xfId="17689" xr:uid="{2E91C040-5D0D-4CB5-AC69-0A63CBBB654B}"/>
    <cellStyle name="Comma 10 8 8 2 4" xfId="29010" xr:uid="{FF6C0C8C-2327-4F92-85A3-638A6D8B0FCD}"/>
    <cellStyle name="Comma 10 8 8 2 5" xfId="34766" xr:uid="{30CC37D3-EC25-4138-A85D-008AF24A173A}"/>
    <cellStyle name="Comma 10 8 8 3" xfId="13645" xr:uid="{00000000-0005-0000-0000-00008D080000}"/>
    <cellStyle name="Comma 10 8 8 3 2" xfId="25886" xr:uid="{43F86AD1-39D7-4B1F-BFFC-4E5381062804}"/>
    <cellStyle name="Comma 10 8 8 3 3" xfId="20226" xr:uid="{5CD6E36F-3C43-49C5-A41C-B2DF767431F3}"/>
    <cellStyle name="Comma 10 8 8 3 4" xfId="34767" xr:uid="{E574B621-C235-43E9-958F-F0CDCCC110C4}"/>
    <cellStyle name="Comma 10 8 8 4" xfId="34765" xr:uid="{DBEA81F6-08C4-4E34-89B6-25293ED79C0F}"/>
    <cellStyle name="Comma 10 8 9" xfId="3841" xr:uid="{00000000-0005-0000-0000-00008E080000}"/>
    <cellStyle name="Comma 10 8 9 2" xfId="5555" xr:uid="{00000000-0005-0000-0000-00008F080000}"/>
    <cellStyle name="Comma 10 8 9 2 2" xfId="23350" xr:uid="{FBE617E8-2BAB-4E86-92B6-C1D0781DF3A5}"/>
    <cellStyle name="Comma 10 8 9 2 3" xfId="17690" xr:uid="{4FD7476D-BF88-4E0B-9360-952468089728}"/>
    <cellStyle name="Comma 10 8 9 2 4" xfId="29011" xr:uid="{63B58483-2C3E-4227-B588-319FCF80D872}"/>
    <cellStyle name="Comma 10 8 9 2 5" xfId="34769" xr:uid="{5B58332C-58EE-4C45-A773-F287FDCFBAA7}"/>
    <cellStyle name="Comma 10 8 9 3" xfId="13646" xr:uid="{00000000-0005-0000-0000-000090080000}"/>
    <cellStyle name="Comma 10 8 9 3 2" xfId="25887" xr:uid="{4D5079C7-9DF1-421C-90A3-DA3424F862E1}"/>
    <cellStyle name="Comma 10 8 9 3 3" xfId="20227" xr:uid="{A7A1BD82-78DF-44BD-BA50-6CB2C7D9D7DD}"/>
    <cellStyle name="Comma 10 8 9 3 4" xfId="34770" xr:uid="{B215FB22-3DE2-4010-8426-32B5CEF66E45}"/>
    <cellStyle name="Comma 10 8 9 4" xfId="34768" xr:uid="{763B06ED-742C-42AB-829F-A42593BA0ABC}"/>
    <cellStyle name="Comma 10 9" xfId="5872" xr:uid="{00000000-0005-0000-0000-000091080000}"/>
    <cellStyle name="Comma 10 9 2" xfId="14410" xr:uid="{00000000-0005-0000-0000-000092080000}"/>
    <cellStyle name="Comma 10 9 2 2" xfId="26380" xr:uid="{CE8543DD-B935-4485-A9E0-5D5D3347CC8C}"/>
    <cellStyle name="Comma 10 9 2 3" xfId="20720" xr:uid="{F986B6D0-62AB-4BE1-B641-ED152117C4DA}"/>
    <cellStyle name="Comma 10 9 2 4" xfId="31760" xr:uid="{CF4389AB-F244-4932-97A0-D1A8108D2D61}"/>
    <cellStyle name="Comma 10 9 2 5" xfId="34772" xr:uid="{AEE698E4-F48A-475C-8DFE-D9A164CB9688}"/>
    <cellStyle name="Comma 10 9 3" xfId="9568" xr:uid="{00000000-0005-0000-0000-000093080000}"/>
    <cellStyle name="Comma 10 9 3 2" xfId="25630" xr:uid="{5E86FC57-49AA-42CA-8A46-5B0914EB0094}"/>
    <cellStyle name="Comma 10 9 3 3" xfId="19970" xr:uid="{A24D3264-894D-44F3-91EC-9614215535B0}"/>
    <cellStyle name="Comma 10 9 3 4" xfId="34773" xr:uid="{0EA7EA1F-6FE2-4507-951F-5330D3584DDB}"/>
    <cellStyle name="Comma 10 9 4" xfId="23464" xr:uid="{F4AEF43E-C507-43BD-8400-3A6E4BA10460}"/>
    <cellStyle name="Comma 10 9 5" xfId="17804" xr:uid="{59097C74-1D3E-4B60-A5BA-4B6E7F0DA691}"/>
    <cellStyle name="Comma 10 9 6" xfId="29125" xr:uid="{CF213C67-D6A4-491E-935C-D3B0BBDAE38F}"/>
    <cellStyle name="Comma 10 9 7" xfId="34771" xr:uid="{04972243-D8F4-4A15-894F-5A26B8E7E53F}"/>
    <cellStyle name="Comma 11" xfId="3842" xr:uid="{00000000-0005-0000-0000-000094080000}"/>
    <cellStyle name="Comma 11 2" xfId="5873" xr:uid="{00000000-0005-0000-0000-000095080000}"/>
    <cellStyle name="Comma 11 2 2" xfId="23465" xr:uid="{06C2CC9B-A75C-4A01-BB73-75C6477A0111}"/>
    <cellStyle name="Comma 11 2 3" xfId="17805" xr:uid="{D49DCF9B-C931-4BA6-B8CC-A2C678B1E45F}"/>
    <cellStyle name="Comma 11 2 4" xfId="29126" xr:uid="{F5504569-3271-48C2-A45E-1B35C1F7FE86}"/>
    <cellStyle name="Comma 11 2 5" xfId="34775" xr:uid="{6043D74C-0EFF-43B7-8E49-87CCFB8945EF}"/>
    <cellStyle name="Comma 11 3" xfId="34774" xr:uid="{5331E281-AC55-4DA6-A2E9-EAD772122CCD}"/>
    <cellStyle name="Comma 12" xfId="3843" xr:uid="{00000000-0005-0000-0000-000096080000}"/>
    <cellStyle name="Comma 12 2" xfId="5874" xr:uid="{00000000-0005-0000-0000-000097080000}"/>
    <cellStyle name="Comma 12 2 2" xfId="23466" xr:uid="{45FDAB67-0139-4EAA-8BAB-45BD4053FFA1}"/>
    <cellStyle name="Comma 12 2 3" xfId="17806" xr:uid="{CB93E945-FC6D-4709-9779-0DDFA56EC7B1}"/>
    <cellStyle name="Comma 12 2 4" xfId="29127" xr:uid="{21FDBA31-1D7D-4B48-AE66-2F403396EB33}"/>
    <cellStyle name="Comma 12 2 5" xfId="34777" xr:uid="{F45E0903-1FD4-4266-BCA1-0AD986EB30A1}"/>
    <cellStyle name="Comma 12 3" xfId="34776" xr:uid="{5397BEAB-AC7F-47FD-9D1D-257F022D3D56}"/>
    <cellStyle name="Comma 13" xfId="3844" xr:uid="{00000000-0005-0000-0000-000098080000}"/>
    <cellStyle name="Comma 13 2" xfId="5875" xr:uid="{00000000-0005-0000-0000-000099080000}"/>
    <cellStyle name="Comma 13 2 2" xfId="23467" xr:uid="{2616E1EA-76A2-42ED-BBAB-094B634DE9BD}"/>
    <cellStyle name="Comma 13 2 3" xfId="17807" xr:uid="{AB90E857-DE51-4A84-848C-64CB742B5687}"/>
    <cellStyle name="Comma 13 2 4" xfId="29128" xr:uid="{F7AB8F29-7A96-4D06-9AC9-8A120BCAFF29}"/>
    <cellStyle name="Comma 13 2 5" xfId="34779" xr:uid="{C3DD318D-B302-46AC-A22C-A20FFB622035}"/>
    <cellStyle name="Comma 13 3" xfId="34778" xr:uid="{D569B539-FB38-423D-93EE-14BFF3884254}"/>
    <cellStyle name="Comma 14" xfId="1487" xr:uid="{00000000-0005-0000-0000-00009A080000}"/>
    <cellStyle name="Comma 14 2" xfId="3845" xr:uid="{00000000-0005-0000-0000-00009B080000}"/>
    <cellStyle name="Comma 14 2 2" xfId="5876" xr:uid="{00000000-0005-0000-0000-00009C080000}"/>
    <cellStyle name="Comma 14 2 2 2" xfId="23468" xr:uid="{99D3E2B1-0A8B-42EF-A062-B7969C8D6AE8}"/>
    <cellStyle name="Comma 14 2 2 3" xfId="17808" xr:uid="{EA9DBF7A-025B-459A-95D5-1C86F22224B8}"/>
    <cellStyle name="Comma 14 2 2 4" xfId="29129" xr:uid="{B1A31603-5D4C-4608-8298-9F0A60C47E68}"/>
    <cellStyle name="Comma 14 2 2 5" xfId="34781" xr:uid="{DF858FAC-5B00-48E3-AC06-6F3E60E2D9EB}"/>
    <cellStyle name="Comma 14 2 3" xfId="13648" xr:uid="{00000000-0005-0000-0000-00009D080000}"/>
    <cellStyle name="Comma 14 2 3 2" xfId="25888" xr:uid="{9BC35EC5-F75B-47AF-8582-FD233D550106}"/>
    <cellStyle name="Comma 14 2 3 3" xfId="20228" xr:uid="{A2252BCD-02B1-4B7F-8B9C-CD39D8DCD0C2}"/>
    <cellStyle name="Comma 14 2 3 4" xfId="34782" xr:uid="{4BD57DB8-54AD-4069-AE9C-189A99A9C02C}"/>
    <cellStyle name="Comma 14 2 4" xfId="34780" xr:uid="{A6429382-A883-4F88-BCA2-5F40EC4FB05B}"/>
    <cellStyle name="Comma 14 3" xfId="7716" xr:uid="{00000000-0005-0000-0000-00009E080000}"/>
    <cellStyle name="Comma 15" xfId="3846" xr:uid="{00000000-0005-0000-0000-00009F080000}"/>
    <cellStyle name="Comma 15 2" xfId="5877" xr:uid="{00000000-0005-0000-0000-0000A0080000}"/>
    <cellStyle name="Comma 15 2 2" xfId="12165" xr:uid="{00000000-0005-0000-0000-0000A1080000}"/>
    <cellStyle name="Comma 15 2 2 2" xfId="25647" xr:uid="{A413C196-7E64-421B-89B4-6D86A5329275}"/>
    <cellStyle name="Comma 15 2 2 3" xfId="19987" xr:uid="{3D41AF1B-34E3-4C7E-A9D7-EB34FDCA195B}"/>
    <cellStyle name="Comma 15 2 2 4" xfId="31294" xr:uid="{1E3DC0C9-1B78-4DF0-A9A7-92FF63BB4867}"/>
    <cellStyle name="Comma 15 2 2 5" xfId="34785" xr:uid="{DB9C6D38-8AEB-4B22-9C65-7B77DAFC97D9}"/>
    <cellStyle name="Comma 15 2 3" xfId="12164" xr:uid="{00000000-0005-0000-0000-0000A2080000}"/>
    <cellStyle name="Comma 15 2 3 2" xfId="25646" xr:uid="{B68CF3B6-B404-475B-AF7E-96B85200A168}"/>
    <cellStyle name="Comma 15 2 3 3" xfId="19986" xr:uid="{85CDBE59-A431-4DD9-B246-C5C1FDDA5D30}"/>
    <cellStyle name="Comma 15 2 3 4" xfId="34786" xr:uid="{E7B5040E-3ADA-45C3-AFEA-9739D0B292B1}"/>
    <cellStyle name="Comma 15 2 4" xfId="23469" xr:uid="{A92C2BF6-ADAB-4A3C-A957-42E5CBA142A3}"/>
    <cellStyle name="Comma 15 2 4 2" xfId="34787" xr:uid="{1A7EFEDE-B2BA-4EFF-BEE9-8CC8B8432F5F}"/>
    <cellStyle name="Comma 15 2 5" xfId="17809" xr:uid="{E72AC589-E73E-40D0-BCC9-7A764EB97D1A}"/>
    <cellStyle name="Comma 15 2 6" xfId="29130" xr:uid="{53BCB15C-7224-4441-9FE4-9FE6EB0AB450}"/>
    <cellStyle name="Comma 15 2 7" xfId="34784" xr:uid="{A3E9E318-A1B9-4BD8-9B5F-0BB2D0C27931}"/>
    <cellStyle name="Comma 15 3" xfId="12166" xr:uid="{00000000-0005-0000-0000-0000A3080000}"/>
    <cellStyle name="Comma 15 3 2" xfId="12167" xr:uid="{00000000-0005-0000-0000-0000A4080000}"/>
    <cellStyle name="Comma 15 3 2 2" xfId="25649" xr:uid="{1E070EDC-A116-49FE-BAB6-3A2C5F412D3B}"/>
    <cellStyle name="Comma 15 3 2 3" xfId="19989" xr:uid="{5DF57800-CFC0-40BE-8C21-BEE2020DF019}"/>
    <cellStyle name="Comma 15 3 2 4" xfId="31296" xr:uid="{0C70BE0A-D376-4287-BDE7-7D5E549DF832}"/>
    <cellStyle name="Comma 15 3 2 5" xfId="34789" xr:uid="{419D5B9B-129E-422F-AAD8-8D61FB6916EE}"/>
    <cellStyle name="Comma 15 3 3" xfId="25648" xr:uid="{A8FB4336-40EC-4AFC-921A-9004A414B519}"/>
    <cellStyle name="Comma 15 3 4" xfId="19988" xr:uid="{326B3850-341F-4198-8B9A-96E8889C9141}"/>
    <cellStyle name="Comma 15 3 5" xfId="31295" xr:uid="{A4299C04-4BAF-448A-9463-6969A98EC152}"/>
    <cellStyle name="Comma 15 3 6" xfId="34788" xr:uid="{E8F5925A-AFD6-4DAE-A893-195E21D03943}"/>
    <cellStyle name="Comma 15 4" xfId="12168" xr:uid="{00000000-0005-0000-0000-0000A5080000}"/>
    <cellStyle name="Comma 15 4 2" xfId="25650" xr:uid="{EAD4B799-12C9-4358-B569-730502777227}"/>
    <cellStyle name="Comma 15 4 3" xfId="19990" xr:uid="{699EF2A9-6521-49FA-8F1D-3443E7EC5051}"/>
    <cellStyle name="Comma 15 4 4" xfId="31297" xr:uid="{7708A6DE-B0EA-495E-AFC1-BFE68D90280E}"/>
    <cellStyle name="Comma 15 4 5" xfId="34790" xr:uid="{3A9828AA-9467-4C65-B4A5-EA1C79C8B3A0}"/>
    <cellStyle name="Comma 15 5" xfId="12163" xr:uid="{00000000-0005-0000-0000-0000A6080000}"/>
    <cellStyle name="Comma 15 5 2" xfId="25645" xr:uid="{CF9D80DF-379A-494B-9472-0CFC475E93A2}"/>
    <cellStyle name="Comma 15 5 3" xfId="19985" xr:uid="{8FF141AA-8B3D-418D-9E6E-E4864F7402AF}"/>
    <cellStyle name="Comma 15 5 4" xfId="34791" xr:uid="{3CA88D43-CD4A-4F0D-BAD9-C998A8C09D19}"/>
    <cellStyle name="Comma 15 6" xfId="34792" xr:uid="{F69BA2E4-6D03-4F7F-9506-545B69927288}"/>
    <cellStyle name="Comma 15 7" xfId="34783" xr:uid="{9F47F642-E474-4A0F-9A73-EC1D55215702}"/>
    <cellStyle name="Comma 16" xfId="3847" xr:uid="{00000000-0005-0000-0000-0000A7080000}"/>
    <cellStyle name="Comma 16 2" xfId="5878" xr:uid="{00000000-0005-0000-0000-0000A8080000}"/>
    <cellStyle name="Comma 16 2 2" xfId="12171" xr:uid="{00000000-0005-0000-0000-0000A9080000}"/>
    <cellStyle name="Comma 16 2 2 2" xfId="25653" xr:uid="{8DD79E34-1D9B-4172-BB6C-3F310239E3CB}"/>
    <cellStyle name="Comma 16 2 2 3" xfId="19993" xr:uid="{C593388B-CA24-4770-A3CF-B7E67F1E030C}"/>
    <cellStyle name="Comma 16 2 2 4" xfId="31298" xr:uid="{D1F81B4C-8FA4-4E11-8EDD-F2EAE35CC66E}"/>
    <cellStyle name="Comma 16 2 2 5" xfId="34795" xr:uid="{28027022-537A-4539-96ED-BF2FC8DB1906}"/>
    <cellStyle name="Comma 16 2 3" xfId="12170" xr:uid="{00000000-0005-0000-0000-0000AA080000}"/>
    <cellStyle name="Comma 16 2 3 2" xfId="25652" xr:uid="{FA8BECC9-0AC8-498B-AA74-D0B7516CBF2F}"/>
    <cellStyle name="Comma 16 2 3 3" xfId="19992" xr:uid="{03C3FF7D-1E38-4ADB-9803-5726DB166B61}"/>
    <cellStyle name="Comma 16 2 3 4" xfId="34796" xr:uid="{82ECD355-B12D-4962-896F-C8789585FBE1}"/>
    <cellStyle name="Comma 16 2 4" xfId="23470" xr:uid="{E4B4A9EF-D60C-4728-A76A-D02CB184840E}"/>
    <cellStyle name="Comma 16 2 4 2" xfId="34797" xr:uid="{6430B86D-5069-435D-A23A-0DA00A8703ED}"/>
    <cellStyle name="Comma 16 2 5" xfId="17810" xr:uid="{0326D2D8-2231-4B9F-8141-A8CEF0E1ABA9}"/>
    <cellStyle name="Comma 16 2 6" xfId="29131" xr:uid="{8E7731D3-21D7-4256-9AE4-D70CD7CBBBFC}"/>
    <cellStyle name="Comma 16 2 7" xfId="34794" xr:uid="{2C7127E7-8EEF-4530-B745-F782795492E1}"/>
    <cellStyle name="Comma 16 3" xfId="12172" xr:uid="{00000000-0005-0000-0000-0000AB080000}"/>
    <cellStyle name="Comma 16 3 2" xfId="12173" xr:uid="{00000000-0005-0000-0000-0000AC080000}"/>
    <cellStyle name="Comma 16 3 2 2" xfId="25655" xr:uid="{3385236D-6A05-47FD-8DEA-0E1DD842AB5F}"/>
    <cellStyle name="Comma 16 3 2 3" xfId="19995" xr:uid="{28D9B205-E8C4-42C6-ADEF-492C1E287B97}"/>
    <cellStyle name="Comma 16 3 2 4" xfId="31300" xr:uid="{2E5D0ABC-5633-42F6-968A-86877543FEA8}"/>
    <cellStyle name="Comma 16 3 2 5" xfId="34799" xr:uid="{5654DCBC-E05A-4A87-A8BB-6E236384DCA7}"/>
    <cellStyle name="Comma 16 3 3" xfId="25654" xr:uid="{C0CA466C-68C2-42D9-B0C4-27CBE9A544FD}"/>
    <cellStyle name="Comma 16 3 4" xfId="19994" xr:uid="{2730491B-0FF2-4D97-B036-C8A7AF1E35DB}"/>
    <cellStyle name="Comma 16 3 5" xfId="31299" xr:uid="{3F5E622D-4819-4D42-9176-87AE817D81B9}"/>
    <cellStyle name="Comma 16 3 6" xfId="34798" xr:uid="{7127A363-6ABE-434F-A007-41FF75096E9D}"/>
    <cellStyle name="Comma 16 4" xfId="12174" xr:uid="{00000000-0005-0000-0000-0000AD080000}"/>
    <cellStyle name="Comma 16 4 2" xfId="25656" xr:uid="{C35F575A-F897-4BF7-BF4F-33CC3CC4A343}"/>
    <cellStyle name="Comma 16 4 3" xfId="19996" xr:uid="{EC32A536-4313-4606-AB5C-DA3DE8D2F7E2}"/>
    <cellStyle name="Comma 16 4 4" xfId="31301" xr:uid="{FB7D2B75-624D-4D9A-BBC9-193071881CB5}"/>
    <cellStyle name="Comma 16 4 5" xfId="34800" xr:uid="{3E9BF598-338F-4859-BFCB-E26886DB031E}"/>
    <cellStyle name="Comma 16 5" xfId="12169" xr:uid="{00000000-0005-0000-0000-0000AE080000}"/>
    <cellStyle name="Comma 16 5 2" xfId="25651" xr:uid="{741173CE-9C8F-494D-99AB-DF797835D1BA}"/>
    <cellStyle name="Comma 16 5 3" xfId="19991" xr:uid="{8C80F4D1-3006-4773-9A63-B5FA1339E847}"/>
    <cellStyle name="Comma 16 5 4" xfId="34801" xr:uid="{4FDD4841-AB8F-4E7D-9E84-3019E72F978F}"/>
    <cellStyle name="Comma 16 6" xfId="34802" xr:uid="{404F9950-60E4-4C6F-95E5-1D7DCD380458}"/>
    <cellStyle name="Comma 16 7" xfId="34793" xr:uid="{A2178A12-684C-447D-BFFA-0C61890D718B}"/>
    <cellStyle name="Comma 17" xfId="3848" xr:uid="{00000000-0005-0000-0000-0000AF080000}"/>
    <cellStyle name="Comma 17 2" xfId="5879" xr:uid="{00000000-0005-0000-0000-0000B0080000}"/>
    <cellStyle name="Comma 17 2 2" xfId="12177" xr:uid="{00000000-0005-0000-0000-0000B1080000}"/>
    <cellStyle name="Comma 17 2 2 2" xfId="25659" xr:uid="{A724BCFD-18AC-4DEF-B35D-6BB2B18952A9}"/>
    <cellStyle name="Comma 17 2 2 3" xfId="19999" xr:uid="{F52446D3-1CA2-404F-A156-CB6CDBC4FB7E}"/>
    <cellStyle name="Comma 17 2 2 4" xfId="31303" xr:uid="{3A891C6B-B73F-4E67-9099-631FC95FA6B8}"/>
    <cellStyle name="Comma 17 2 2 5" xfId="34805" xr:uid="{6C4D4A51-C82D-4FCB-8FF3-BC70A0977A97}"/>
    <cellStyle name="Comma 17 2 3" xfId="12176" xr:uid="{00000000-0005-0000-0000-0000B2080000}"/>
    <cellStyle name="Comma 17 2 3 2" xfId="25658" xr:uid="{F78E980E-1941-4EE6-B18C-DEE30C31FAA2}"/>
    <cellStyle name="Comma 17 2 3 3" xfId="19998" xr:uid="{C579ECC6-24CD-4912-A547-CD13793AE7D2}"/>
    <cellStyle name="Comma 17 2 3 4" xfId="31302" xr:uid="{D00CB09C-20A7-46FE-A6FC-A36C3A1564E8}"/>
    <cellStyle name="Comma 17 2 3 5" xfId="34806" xr:uid="{9BC01393-AF89-4BF3-8AAD-D6DA5BE3343E}"/>
    <cellStyle name="Comma 17 2 4" xfId="23471" xr:uid="{8E48039E-391E-4F5E-BBE3-DF10B8AB175C}"/>
    <cellStyle name="Comma 17 2 5" xfId="17811" xr:uid="{5631129A-CBFC-453D-A8C8-8CDE3F2D60F0}"/>
    <cellStyle name="Comma 17 2 6" xfId="29132" xr:uid="{C24F51B3-ED90-41D2-AA47-2FDC0885B24F}"/>
    <cellStyle name="Comma 17 2 7" xfId="34804" xr:uid="{11FEBD70-214D-45B4-8F7E-98C737E515F4}"/>
    <cellStyle name="Comma 17 2 8" xfId="49747" xr:uid="{E53D235E-27DC-4C74-B29F-F04E4D1B6F9B}"/>
    <cellStyle name="Comma 17 3" xfId="12178" xr:uid="{00000000-0005-0000-0000-0000B3080000}"/>
    <cellStyle name="Comma 17 3 2" xfId="25660" xr:uid="{48DABC3B-FF98-4682-A496-F68867DFA4B9}"/>
    <cellStyle name="Comma 17 3 3" xfId="20000" xr:uid="{C423D8A6-74F0-4ED2-ABF1-999B94CB3226}"/>
    <cellStyle name="Comma 17 3 4" xfId="31304" xr:uid="{3AAFEF77-8123-40EF-BA91-AED9D4D7F9EC}"/>
    <cellStyle name="Comma 17 3 5" xfId="34807" xr:uid="{4255BA70-96A8-4E49-9F87-F2C2C4735D4E}"/>
    <cellStyle name="Comma 17 4" xfId="12175" xr:uid="{00000000-0005-0000-0000-0000B4080000}"/>
    <cellStyle name="Comma 17 4 2" xfId="25657" xr:uid="{C2D245C3-D0E0-417C-B397-AD2732713FEC}"/>
    <cellStyle name="Comma 17 4 3" xfId="19997" xr:uid="{868033F4-54FD-444B-A1DB-F78355B73C73}"/>
    <cellStyle name="Comma 17 4 4" xfId="34808" xr:uid="{90868051-884B-4FD9-8FB7-CC3D4F875D36}"/>
    <cellStyle name="Comma 17 5" xfId="34809" xr:uid="{0F66F13A-C71F-484B-A33A-09A1B8AF61A3}"/>
    <cellStyle name="Comma 17 6" xfId="34803" xr:uid="{77F1ED2B-6A05-4584-B4EF-55E772B944B3}"/>
    <cellStyle name="Comma 18" xfId="3849" xr:uid="{00000000-0005-0000-0000-0000B5080000}"/>
    <cellStyle name="Comma 18 2" xfId="5880" xr:uid="{00000000-0005-0000-0000-0000B6080000}"/>
    <cellStyle name="Comma 18 2 2" xfId="12180" xr:uid="{00000000-0005-0000-0000-0000B7080000}"/>
    <cellStyle name="Comma 18 2 2 2" xfId="25662" xr:uid="{2BD0A998-33C4-4E01-88CA-FDDE46D6A7B0}"/>
    <cellStyle name="Comma 18 2 2 3" xfId="20002" xr:uid="{A39DD90A-F6FA-48A3-8742-1E04F1819CB9}"/>
    <cellStyle name="Comma 18 2 2 4" xfId="31306" xr:uid="{93B6E262-B699-4E62-BF3B-003F56E8DC54}"/>
    <cellStyle name="Comma 18 2 2 5" xfId="34812" xr:uid="{E51D4E8F-F145-4536-B7AA-9C77BFF0DF18}"/>
    <cellStyle name="Comma 18 2 3" xfId="23472" xr:uid="{A996E08D-0A07-42B1-8794-B1C25E13F7E3}"/>
    <cellStyle name="Comma 18 2 4" xfId="17812" xr:uid="{AEC4C909-A953-43ED-9FEC-CAEE22C75582}"/>
    <cellStyle name="Comma 18 2 5" xfId="29133" xr:uid="{6D813E54-637F-455D-8D9A-9087AC7A00CF}"/>
    <cellStyle name="Comma 18 2 6" xfId="34811" xr:uid="{BAA9D385-92D1-496E-A1A2-06FFD6BE3FAB}"/>
    <cellStyle name="Comma 18 3" xfId="12179" xr:uid="{00000000-0005-0000-0000-0000B8080000}"/>
    <cellStyle name="Comma 18 3 2" xfId="25661" xr:uid="{19BC8BC7-9BBE-442C-818D-54C2F51329BB}"/>
    <cellStyle name="Comma 18 3 3" xfId="20001" xr:uid="{E2F1675F-7403-4E48-94D6-EFF8545655E3}"/>
    <cellStyle name="Comma 18 3 4" xfId="31305" xr:uid="{4A20D942-156F-4DEA-95E9-78247F7F302D}"/>
    <cellStyle name="Comma 18 3 5" xfId="34813" xr:uid="{DF865E9E-A6BE-40B7-8B8C-B1361204EA3F}"/>
    <cellStyle name="Comma 18 4" xfId="34810" xr:uid="{0BECD7DF-180F-48E5-A5DF-9287BEEB222C}"/>
    <cellStyle name="Comma 18 5" xfId="49748" xr:uid="{0F6EAB6F-198B-4001-A873-4C36E6340551}"/>
    <cellStyle name="Comma 19" xfId="3850" xr:uid="{00000000-0005-0000-0000-0000B9080000}"/>
    <cellStyle name="Comma 19 2" xfId="5881" xr:uid="{00000000-0005-0000-0000-0000BA080000}"/>
    <cellStyle name="Comma 19 2 2" xfId="12182" xr:uid="{00000000-0005-0000-0000-0000BB080000}"/>
    <cellStyle name="Comma 19 2 2 2" xfId="25664" xr:uid="{39F4FFE8-6A07-4AA1-AB26-639DFAB44E82}"/>
    <cellStyle name="Comma 19 2 2 3" xfId="20004" xr:uid="{A0E60997-5FE6-4E21-BC62-449C71F69D60}"/>
    <cellStyle name="Comma 19 2 2 4" xfId="31308" xr:uid="{4E368F98-AEBD-4A4E-B067-FA38AD8615F3}"/>
    <cellStyle name="Comma 19 2 2 5" xfId="34816" xr:uid="{95F9AE3B-8B3D-41C9-A386-001A0A5FE1F6}"/>
    <cellStyle name="Comma 19 2 3" xfId="23473" xr:uid="{8093FF71-F047-4E4E-8E5B-6DD3BB3AFACC}"/>
    <cellStyle name="Comma 19 2 4" xfId="17813" xr:uid="{DAA32172-6CF8-49D4-97F9-111E18E0EE88}"/>
    <cellStyle name="Comma 19 2 5" xfId="29134" xr:uid="{0174E785-CD4A-407E-9958-EAB2DEC04862}"/>
    <cellStyle name="Comma 19 2 6" xfId="34815" xr:uid="{2DC156CA-A09D-4B46-BC6D-3EA08FD32AE2}"/>
    <cellStyle name="Comma 19 3" xfId="12181" xr:uid="{00000000-0005-0000-0000-0000BC080000}"/>
    <cellStyle name="Comma 19 3 2" xfId="25663" xr:uid="{A732E0B8-1791-47CA-913A-C611F840409C}"/>
    <cellStyle name="Comma 19 3 3" xfId="20003" xr:uid="{B9B793F3-EC65-445C-967D-ECF62C476E64}"/>
    <cellStyle name="Comma 19 3 4" xfId="31307" xr:uid="{8D647706-AEC1-4D81-9761-7F46D6C08D53}"/>
    <cellStyle name="Comma 19 3 5" xfId="34817" xr:uid="{F167329C-552A-4312-858B-32617C0E1302}"/>
    <cellStyle name="Comma 19 4" xfId="34814" xr:uid="{2D59EC02-A6E8-43A7-AEFF-B14548E15F2B}"/>
    <cellStyle name="Comma 2" xfId="63" xr:uid="{00000000-0005-0000-0000-0000BD080000}"/>
    <cellStyle name="Comma 2 10" xfId="1488" xr:uid="{00000000-0005-0000-0000-0000BE080000}"/>
    <cellStyle name="Comma 2 10 2" xfId="3851" xr:uid="{00000000-0005-0000-0000-0000BF080000}"/>
    <cellStyle name="Comma 2 10 3" xfId="5882" xr:uid="{00000000-0005-0000-0000-0000C0080000}"/>
    <cellStyle name="Comma 2 10 3 2" xfId="23474" xr:uid="{94E090CE-F91F-4549-9894-7FCE3776E939}"/>
    <cellStyle name="Comma 2 10 3 3" xfId="17814" xr:uid="{59C4BEDB-9C47-4A60-8C12-BD94BE4C3F2C}"/>
    <cellStyle name="Comma 2 10 3 4" xfId="29135" xr:uid="{8B388CF3-FD56-467F-B8AC-52051E824621}"/>
    <cellStyle name="Comma 2 10 3 5" xfId="34820" xr:uid="{14BF44EE-6D39-41D4-974C-A49CC97B3A61}"/>
    <cellStyle name="Comma 2 10 4" xfId="12675" xr:uid="{00000000-0005-0000-0000-0000C1080000}"/>
    <cellStyle name="Comma 2 10 4 2" xfId="25721" xr:uid="{2256161F-5420-4884-8FF1-C7FDF672FBF2}"/>
    <cellStyle name="Comma 2 10 4 3" xfId="20061" xr:uid="{CE4F512C-C8B7-4C28-8487-A3616AB082E6}"/>
    <cellStyle name="Comma 2 10 4 4" xfId="34821" xr:uid="{3EF01FD8-CCD7-451F-A1B5-02DE07595EE9}"/>
    <cellStyle name="Comma 2 10 5" xfId="34819" xr:uid="{F1011860-0B32-4777-B6C3-B392D2D31368}"/>
    <cellStyle name="Comma 2 11" xfId="1489" xr:uid="{00000000-0005-0000-0000-0000C2080000}"/>
    <cellStyle name="Comma 2 11 2" xfId="3852" xr:uid="{00000000-0005-0000-0000-0000C3080000}"/>
    <cellStyle name="Comma 2 11 3" xfId="5883" xr:uid="{00000000-0005-0000-0000-0000C4080000}"/>
    <cellStyle name="Comma 2 11 3 2" xfId="23475" xr:uid="{7B1BD23E-88D4-401F-B814-694C3EE1D5F2}"/>
    <cellStyle name="Comma 2 11 3 3" xfId="17815" xr:uid="{6101B637-51EE-459E-AC74-12B94E685F66}"/>
    <cellStyle name="Comma 2 11 3 4" xfId="29136" xr:uid="{387E97A0-BC37-403A-BFF1-4423E5F4BE49}"/>
    <cellStyle name="Comma 2 11 3 5" xfId="34823" xr:uid="{A0807A5A-8262-4751-A142-D382AA9B7D07}"/>
    <cellStyle name="Comma 2 11 4" xfId="12676" xr:uid="{00000000-0005-0000-0000-0000C5080000}"/>
    <cellStyle name="Comma 2 11 4 2" xfId="25722" xr:uid="{8A5C6E95-E2D7-4BCE-99A7-64A5633641CB}"/>
    <cellStyle name="Comma 2 11 4 3" xfId="20062" xr:uid="{F49ABC7E-2B61-45C9-8171-5C5921E7ED57}"/>
    <cellStyle name="Comma 2 11 4 4" xfId="34824" xr:uid="{484AF223-E493-467B-9153-4970FC4FD6E6}"/>
    <cellStyle name="Comma 2 11 5" xfId="34822" xr:uid="{CF7BB21E-47A7-447B-8C3C-736BACAA0A6D}"/>
    <cellStyle name="Comma 2 12" xfId="1490" xr:uid="{00000000-0005-0000-0000-0000C6080000}"/>
    <cellStyle name="Comma 2 12 2" xfId="3853" xr:uid="{00000000-0005-0000-0000-0000C7080000}"/>
    <cellStyle name="Comma 2 12 3" xfId="5884" xr:uid="{00000000-0005-0000-0000-0000C8080000}"/>
    <cellStyle name="Comma 2 12 3 2" xfId="23476" xr:uid="{992AD958-605A-491D-ADDE-DB03A60BF54E}"/>
    <cellStyle name="Comma 2 12 3 3" xfId="17816" xr:uid="{CBC096A9-DDD0-4C1B-9455-076B7C665DA8}"/>
    <cellStyle name="Comma 2 12 3 4" xfId="29137" xr:uid="{DF051C7E-806F-4D21-A863-B7FB586913AB}"/>
    <cellStyle name="Comma 2 12 3 5" xfId="34826" xr:uid="{DC0A2756-7330-40C3-858B-E9DC0623AACA}"/>
    <cellStyle name="Comma 2 12 4" xfId="12677" xr:uid="{00000000-0005-0000-0000-0000C9080000}"/>
    <cellStyle name="Comma 2 12 4 2" xfId="25723" xr:uid="{A38865F6-C729-492B-ACB8-A638E02352DB}"/>
    <cellStyle name="Comma 2 12 4 3" xfId="20063" xr:uid="{1EA880D5-03EF-477A-9D37-2ED0DCFC3E57}"/>
    <cellStyle name="Comma 2 12 4 4" xfId="34827" xr:uid="{369EE038-FA8B-4B07-A23E-7BEE42496950}"/>
    <cellStyle name="Comma 2 12 5" xfId="34825" xr:uid="{54D5245B-3C19-4C66-B6DF-EDDD86A2D845}"/>
    <cellStyle name="Comma 2 13" xfId="1491" xr:uid="{00000000-0005-0000-0000-0000CA080000}"/>
    <cellStyle name="Comma 2 13 2" xfId="3854" xr:uid="{00000000-0005-0000-0000-0000CB080000}"/>
    <cellStyle name="Comma 2 13 3" xfId="5885" xr:uid="{00000000-0005-0000-0000-0000CC080000}"/>
    <cellStyle name="Comma 2 13 3 2" xfId="23477" xr:uid="{2997C61D-F727-43FB-9D69-4425CCF6AC04}"/>
    <cellStyle name="Comma 2 13 3 3" xfId="17817" xr:uid="{6EBD0402-15F0-46CB-8F79-DF2CEFE6F989}"/>
    <cellStyle name="Comma 2 13 3 4" xfId="29138" xr:uid="{58721F0C-996B-4361-BFCC-183A8578FBDB}"/>
    <cellStyle name="Comma 2 13 3 5" xfId="34829" xr:uid="{593C70FA-9165-40E3-B4DB-11ABA2464CF3}"/>
    <cellStyle name="Comma 2 13 4" xfId="12678" xr:uid="{00000000-0005-0000-0000-0000CD080000}"/>
    <cellStyle name="Comma 2 13 4 2" xfId="25724" xr:uid="{7344C750-19B1-4186-91DE-46F07007326D}"/>
    <cellStyle name="Comma 2 13 4 3" xfId="20064" xr:uid="{53A163E0-E096-4DBF-A042-417B14E0E974}"/>
    <cellStyle name="Comma 2 13 4 4" xfId="34830" xr:uid="{98FF0984-AD12-4A5D-AA6C-9A73A60B5A67}"/>
    <cellStyle name="Comma 2 13 5" xfId="34828" xr:uid="{5D15FBC6-C4A0-4927-877C-23183FA7FF5C}"/>
    <cellStyle name="Comma 2 14" xfId="3855" xr:uid="{00000000-0005-0000-0000-0000CE080000}"/>
    <cellStyle name="Comma 2 15" xfId="3856" xr:uid="{00000000-0005-0000-0000-0000CF080000}"/>
    <cellStyle name="Comma 2 16" xfId="3857" xr:uid="{00000000-0005-0000-0000-0000D0080000}"/>
    <cellStyle name="Comma 2 17" xfId="3858" xr:uid="{00000000-0005-0000-0000-0000D1080000}"/>
    <cellStyle name="Comma 2 17 2" xfId="5886" xr:uid="{00000000-0005-0000-0000-0000D2080000}"/>
    <cellStyle name="Comma 2 17 2 2" xfId="23478" xr:uid="{982DDEA8-95D4-4BA5-9A3C-514D7C9085F8}"/>
    <cellStyle name="Comma 2 17 2 3" xfId="17818" xr:uid="{F77F1059-344C-4305-988E-90123D6B17E2}"/>
    <cellStyle name="Comma 2 17 2 4" xfId="29139" xr:uid="{CBCADCE6-7C69-44C7-B89F-32F26E523234}"/>
    <cellStyle name="Comma 2 17 2 5" xfId="34832" xr:uid="{FF558993-B6D2-407D-B6E5-253D18AAF65E}"/>
    <cellStyle name="Comma 2 17 3" xfId="34831" xr:uid="{A733353A-2CDD-43CF-A9A0-938043D96231}"/>
    <cellStyle name="Comma 2 18" xfId="3859" xr:uid="{00000000-0005-0000-0000-0000D3080000}"/>
    <cellStyle name="Comma 2 18 2" xfId="5887" xr:uid="{00000000-0005-0000-0000-0000D4080000}"/>
    <cellStyle name="Comma 2 18 2 2" xfId="23479" xr:uid="{189FBB51-8782-4B5D-B9F4-D8CFA63A5BCC}"/>
    <cellStyle name="Comma 2 18 2 3" xfId="17819" xr:uid="{4BC8B4F3-7B82-469F-96BC-FAF444EB660D}"/>
    <cellStyle name="Comma 2 18 2 4" xfId="29140" xr:uid="{B4772D28-2431-45E1-88ED-3FD3106D602A}"/>
    <cellStyle name="Comma 2 18 2 5" xfId="34834" xr:uid="{EED1BCD7-EAEE-4A09-BEE2-5CC9AA5F036F}"/>
    <cellStyle name="Comma 2 18 3" xfId="34833" xr:uid="{059C1453-975D-4360-820E-4411085AF4EE}"/>
    <cellStyle name="Comma 2 19" xfId="3860" xr:uid="{00000000-0005-0000-0000-0000D5080000}"/>
    <cellStyle name="Comma 2 19 2" xfId="3861" xr:uid="{00000000-0005-0000-0000-0000D6080000}"/>
    <cellStyle name="Comma 2 19 2 2" xfId="5889" xr:uid="{00000000-0005-0000-0000-0000D7080000}"/>
    <cellStyle name="Comma 2 19 2 2 2" xfId="23481" xr:uid="{44737AD0-4DB5-48CC-8376-16AE6388843E}"/>
    <cellStyle name="Comma 2 19 2 2 3" xfId="17821" xr:uid="{B59B1B19-542E-4F5B-84BA-CFFD5A7BE6DC}"/>
    <cellStyle name="Comma 2 19 2 2 4" xfId="29142" xr:uid="{3C876D73-199C-45F4-B0EF-AB90903E0F34}"/>
    <cellStyle name="Comma 2 19 2 2 5" xfId="34837" xr:uid="{9761D76B-9200-4120-B1CE-610B9CE1FA65}"/>
    <cellStyle name="Comma 2 19 2 3" xfId="34836" xr:uid="{5A1C83B6-3429-4682-B312-C231BDAE10D1}"/>
    <cellStyle name="Comma 2 19 3" xfId="5888" xr:uid="{00000000-0005-0000-0000-0000D8080000}"/>
    <cellStyle name="Comma 2 19 3 2" xfId="9570" xr:uid="{00000000-0005-0000-0000-0000D9080000}"/>
    <cellStyle name="Comma 2 19 3 2 2" xfId="12183" xr:uid="{00000000-0005-0000-0000-0000DA080000}"/>
    <cellStyle name="Comma 2 19 3 2 2 2" xfId="25665" xr:uid="{08C3D77B-32A8-48D3-8E99-7AE76BD79CF2}"/>
    <cellStyle name="Comma 2 19 3 2 2 3" xfId="20005" xr:uid="{297170DA-5927-4D64-9D4F-D01AAA4989E5}"/>
    <cellStyle name="Comma 2 19 3 2 2 4" xfId="31309" xr:uid="{C1180B22-6536-403A-BC23-5E4C285CE56F}"/>
    <cellStyle name="Comma 2 19 3 2 2 5" xfId="34840" xr:uid="{2DE0E828-C196-4C24-B9FD-7002488FDB49}"/>
    <cellStyle name="Comma 2 19 3 2 3" xfId="34839" xr:uid="{D300DC44-CF04-448B-AA38-55CCFF61FD07}"/>
    <cellStyle name="Comma 2 19 3 3" xfId="23480" xr:uid="{BDB4DC93-580D-4147-99E0-9AB612A7C2E7}"/>
    <cellStyle name="Comma 2 19 3 4" xfId="17820" xr:uid="{D87ED84F-3BB8-41E6-A897-56241EDBF072}"/>
    <cellStyle name="Comma 2 19 3 5" xfId="29141" xr:uid="{8919D6CE-070D-4CEC-A0F4-78D69D077F64}"/>
    <cellStyle name="Comma 2 19 3 6" xfId="34838" xr:uid="{3F4D32F7-2425-4758-9399-00B6436D399E}"/>
    <cellStyle name="Comma 2 19 4" xfId="9571" xr:uid="{00000000-0005-0000-0000-0000DB080000}"/>
    <cellStyle name="Comma 2 19 4 2" xfId="12184" xr:uid="{00000000-0005-0000-0000-0000DC080000}"/>
    <cellStyle name="Comma 2 19 4 2 2" xfId="25666" xr:uid="{60D10070-67A0-4ED7-B548-EADB9C77E698}"/>
    <cellStyle name="Comma 2 19 4 2 3" xfId="20006" xr:uid="{AFCAEB0E-EDD0-4961-97B2-F36AFDA7AAD7}"/>
    <cellStyle name="Comma 2 19 4 2 4" xfId="31310" xr:uid="{433DC789-CEF5-4FC9-8273-CE6B2AE1A1AB}"/>
    <cellStyle name="Comma 2 19 4 2 5" xfId="34842" xr:uid="{35265F5F-987F-4073-9F66-574852076296}"/>
    <cellStyle name="Comma 2 19 4 3" xfId="34841" xr:uid="{3F213679-3B45-4793-A390-4815081AF849}"/>
    <cellStyle name="Comma 2 19 5" xfId="34835" xr:uid="{66F2DF37-528E-4DBB-BB83-41BB6DAD0779}"/>
    <cellStyle name="Comma 2 2" xfId="64" xr:uid="{00000000-0005-0000-0000-0000DD080000}"/>
    <cellStyle name="Comma 2 2 10" xfId="34843" xr:uid="{32D28782-13BA-46AD-8086-3B1DAB053D2C}"/>
    <cellStyle name="Comma 2 2 2" xfId="65" xr:uid="{00000000-0005-0000-0000-0000DE080000}"/>
    <cellStyle name="Comma 2 2 2 2" xfId="66" xr:uid="{00000000-0005-0000-0000-0000DF080000}"/>
    <cellStyle name="Comma 2 2 2 2 2" xfId="5747" xr:uid="{00000000-0005-0000-0000-0000E0080000}"/>
    <cellStyle name="Comma 2 2 2 2 2 2" xfId="23424" xr:uid="{CABFF5DD-F815-4E95-946B-12ED020CCA70}"/>
    <cellStyle name="Comma 2 2 2 2 2 3" xfId="17764" xr:uid="{90935E83-9AD1-4F84-9D14-81F12FC4D495}"/>
    <cellStyle name="Comma 2 2 2 2 2 4" xfId="29085" xr:uid="{B4468E2A-F0A0-49D1-A8C9-4BCE1C83D9A0}"/>
    <cellStyle name="Comma 2 2 2 2 2 5" xfId="34846" xr:uid="{F027AEE6-851C-47EA-A5B4-D9EC59B8D460}"/>
    <cellStyle name="Comma 2 2 2 2 3" xfId="12396" xr:uid="{00000000-0005-0000-0000-0000E1080000}"/>
    <cellStyle name="Comma 2 2 2 2 3 2" xfId="25689" xr:uid="{B32C224A-C20F-448A-BB24-4BC432CA73CD}"/>
    <cellStyle name="Comma 2 2 2 2 3 3" xfId="20029" xr:uid="{36CD0070-3F7E-4F76-90C0-F75613C378B7}"/>
    <cellStyle name="Comma 2 2 2 2 3 4" xfId="34847" xr:uid="{801C2108-8337-450F-B117-BA320A887484}"/>
    <cellStyle name="Comma 2 2 2 2 4" xfId="34848" xr:uid="{CA47D72F-352D-4726-92FA-B8C787846ED5}"/>
    <cellStyle name="Comma 2 2 2 2 5" xfId="34845" xr:uid="{9920DA5D-93FA-4D86-8C54-6C432DACA861}"/>
    <cellStyle name="Comma 2 2 2 2 6" xfId="49749" xr:uid="{F4AE6C7C-7DFD-4F47-BA9D-CD713D790E95}"/>
    <cellStyle name="Comma 2 2 2 3" xfId="67" xr:uid="{00000000-0005-0000-0000-0000E2080000}"/>
    <cellStyle name="Comma 2 2 2 3 2" xfId="5748" xr:uid="{00000000-0005-0000-0000-0000E3080000}"/>
    <cellStyle name="Comma 2 2 2 3 2 2" xfId="23425" xr:uid="{62E212EE-0773-4E49-ADB9-0946139E6BA2}"/>
    <cellStyle name="Comma 2 2 2 3 2 3" xfId="17765" xr:uid="{AD955D74-4A02-4F90-877F-28E704C01CB9}"/>
    <cellStyle name="Comma 2 2 2 3 2 4" xfId="29086" xr:uid="{332CCBCE-D1A2-4772-956B-31937ABF0638}"/>
    <cellStyle name="Comma 2 2 2 3 2 5" xfId="34850" xr:uid="{C0C89018-74AE-47E4-8F7A-FFE124FB2AED}"/>
    <cellStyle name="Comma 2 2 2 3 3" xfId="12397" xr:uid="{00000000-0005-0000-0000-0000E4080000}"/>
    <cellStyle name="Comma 2 2 2 3 3 2" xfId="25690" xr:uid="{04D94B90-2134-49B2-8416-A61732F65F81}"/>
    <cellStyle name="Comma 2 2 2 3 3 3" xfId="20030" xr:uid="{531F20F0-66A7-4C91-9815-7E1E210D418E}"/>
    <cellStyle name="Comma 2 2 2 3 3 4" xfId="34851" xr:uid="{944400A0-7632-48F9-AB86-64BC2A769DEE}"/>
    <cellStyle name="Comma 2 2 2 3 4" xfId="34849" xr:uid="{DD34086B-A4E6-4CFD-9553-F5300F5ADEA3}"/>
    <cellStyle name="Comma 2 2 2 4" xfId="1492" xr:uid="{00000000-0005-0000-0000-0000E5080000}"/>
    <cellStyle name="Comma 2 2 2 4 2" xfId="1493" xr:uid="{00000000-0005-0000-0000-0000E6080000}"/>
    <cellStyle name="Comma 2 2 2 4 2 2" xfId="5891" xr:uid="{00000000-0005-0000-0000-0000E7080000}"/>
    <cellStyle name="Comma 2 2 2 4 2 2 2" xfId="23483" xr:uid="{B7DF8D9B-F97D-4D6A-A986-FA7D682F0897}"/>
    <cellStyle name="Comma 2 2 2 4 2 2 3" xfId="17823" xr:uid="{9307CB15-56D7-4518-80B6-39120B37B9A2}"/>
    <cellStyle name="Comma 2 2 2 4 2 2 4" xfId="29144" xr:uid="{C31323C3-2485-4031-874D-9F12639909EC}"/>
    <cellStyle name="Comma 2 2 2 4 2 2 5" xfId="34854" xr:uid="{3A34538F-1C41-4633-9474-A7FB92A101AD}"/>
    <cellStyle name="Comma 2 2 2 4 2 3" xfId="12680" xr:uid="{00000000-0005-0000-0000-0000E8080000}"/>
    <cellStyle name="Comma 2 2 2 4 2 3 2" xfId="25726" xr:uid="{31148B4D-7217-49F9-97CD-CDD96575C5CE}"/>
    <cellStyle name="Comma 2 2 2 4 2 3 3" xfId="20066" xr:uid="{890F74CB-58C8-4E61-A74F-E840BBF91438}"/>
    <cellStyle name="Comma 2 2 2 4 2 3 4" xfId="34855" xr:uid="{7BA197C1-C0C8-4E84-B17A-00C5344EF41B}"/>
    <cellStyle name="Comma 2 2 2 4 2 4" xfId="34853" xr:uid="{E6711712-E5A0-4FFF-A500-D844660118BB}"/>
    <cellStyle name="Comma 2 2 2 4 3" xfId="1494" xr:uid="{00000000-0005-0000-0000-0000E9080000}"/>
    <cellStyle name="Comma 2 2 2 4 3 2" xfId="5892" xr:uid="{00000000-0005-0000-0000-0000EA080000}"/>
    <cellStyle name="Comma 2 2 2 4 3 2 2" xfId="23484" xr:uid="{9BA4E195-1023-4A89-BB8D-AC6CC0EC61DE}"/>
    <cellStyle name="Comma 2 2 2 4 3 2 3" xfId="17824" xr:uid="{2A9EB9DC-0F96-48D2-A8ED-0076E7EB9910}"/>
    <cellStyle name="Comma 2 2 2 4 3 2 4" xfId="29145" xr:uid="{7302234E-5360-4808-A09C-230B6DAFDB68}"/>
    <cellStyle name="Comma 2 2 2 4 3 2 5" xfId="34857" xr:uid="{462E248C-3758-4A7E-BB29-6D54BA99F4CF}"/>
    <cellStyle name="Comma 2 2 2 4 3 3" xfId="12681" xr:uid="{00000000-0005-0000-0000-0000EB080000}"/>
    <cellStyle name="Comma 2 2 2 4 3 3 2" xfId="25727" xr:uid="{CD0D9342-51CF-4226-914E-9E03ABD461D7}"/>
    <cellStyle name="Comma 2 2 2 4 3 3 3" xfId="20067" xr:uid="{81F18394-A224-48E2-A5CC-32E527A071D7}"/>
    <cellStyle name="Comma 2 2 2 4 3 3 4" xfId="34858" xr:uid="{66ADDABD-136C-4576-8BEB-0E4A6D10A2DA}"/>
    <cellStyle name="Comma 2 2 2 4 3 4" xfId="34856" xr:uid="{40C15518-48FB-4799-BA54-CA523222B102}"/>
    <cellStyle name="Comma 2 2 2 4 4" xfId="5890" xr:uid="{00000000-0005-0000-0000-0000EC080000}"/>
    <cellStyle name="Comma 2 2 2 4 4 2" xfId="23482" xr:uid="{195BD186-9A85-4FA4-A892-6F096FDD317E}"/>
    <cellStyle name="Comma 2 2 2 4 4 3" xfId="17822" xr:uid="{A8584FCB-2CE3-4E31-863F-58F189585E5E}"/>
    <cellStyle name="Comma 2 2 2 4 4 4" xfId="29143" xr:uid="{EDC39687-1AFD-482C-98CE-350CEEE839CF}"/>
    <cellStyle name="Comma 2 2 2 4 4 5" xfId="34859" xr:uid="{41992426-2D98-4D98-ADDF-7A2526F27F9A}"/>
    <cellStyle name="Comma 2 2 2 4 5" xfId="12679" xr:uid="{00000000-0005-0000-0000-0000ED080000}"/>
    <cellStyle name="Comma 2 2 2 4 5 2" xfId="25725" xr:uid="{5A7BEE83-89C4-4FC8-86CF-AB6FF30CFFFC}"/>
    <cellStyle name="Comma 2 2 2 4 5 3" xfId="20065" xr:uid="{226916F9-FD04-43FC-B8F0-E822F88D0B69}"/>
    <cellStyle name="Comma 2 2 2 4 5 4" xfId="34860" xr:uid="{B6BBB9F1-0CBD-4DC9-93B3-2D900F88CE78}"/>
    <cellStyle name="Comma 2 2 2 4 6" xfId="34852" xr:uid="{8D5F387C-32BE-4457-BE0D-588D0CEA8E1E}"/>
    <cellStyle name="Comma 2 2 2 5" xfId="1495" xr:uid="{00000000-0005-0000-0000-0000EE080000}"/>
    <cellStyle name="Comma 2 2 2 5 2" xfId="5893" xr:uid="{00000000-0005-0000-0000-0000EF080000}"/>
    <cellStyle name="Comma 2 2 2 5 2 2" xfId="23485" xr:uid="{42DE7C27-9E18-493F-86C0-58F3DE7C0EC4}"/>
    <cellStyle name="Comma 2 2 2 5 2 3" xfId="17825" xr:uid="{B9A1449B-D769-43B3-94AA-F5D6E464DDBA}"/>
    <cellStyle name="Comma 2 2 2 5 2 4" xfId="29146" xr:uid="{6EFF152F-B268-40E9-A08C-48C181A58722}"/>
    <cellStyle name="Comma 2 2 2 5 2 5" xfId="34862" xr:uid="{AE9CC7F0-B45E-48BC-A552-9FB78E8B25FA}"/>
    <cellStyle name="Comma 2 2 2 5 3" xfId="12682" xr:uid="{00000000-0005-0000-0000-0000F0080000}"/>
    <cellStyle name="Comma 2 2 2 5 3 2" xfId="25728" xr:uid="{6E21846D-F8DE-4122-BFEF-6C6680B8862F}"/>
    <cellStyle name="Comma 2 2 2 5 3 3" xfId="20068" xr:uid="{88677F57-CF2B-4EAC-BB02-B0A802CA5CD7}"/>
    <cellStyle name="Comma 2 2 2 5 3 4" xfId="34863" xr:uid="{89217685-7013-46A1-B20A-6A5B4D01B15A}"/>
    <cellStyle name="Comma 2 2 2 5 4" xfId="34861" xr:uid="{21AFCE7F-BE74-4261-AF00-3C3731EC37CF}"/>
    <cellStyle name="Comma 2 2 2 6" xfId="3863" xr:uid="{00000000-0005-0000-0000-0000F1080000}"/>
    <cellStyle name="Comma 2 2 2 7" xfId="5746" xr:uid="{00000000-0005-0000-0000-0000F2080000}"/>
    <cellStyle name="Comma 2 2 2 7 2" xfId="23423" xr:uid="{0C6E0443-540E-4F33-B077-1C1C68289310}"/>
    <cellStyle name="Comma 2 2 2 7 3" xfId="17763" xr:uid="{61AE1FDF-970A-4B14-9122-57AE4711B68B}"/>
    <cellStyle name="Comma 2 2 2 7 4" xfId="29084" xr:uid="{F2170376-72A8-41B7-B429-826F84B96312}"/>
    <cellStyle name="Comma 2 2 2 7 5" xfId="34864" xr:uid="{FC6487D4-345E-47B2-815C-907CFA284D33}"/>
    <cellStyle name="Comma 2 2 2 8" xfId="12395" xr:uid="{00000000-0005-0000-0000-0000F3080000}"/>
    <cellStyle name="Comma 2 2 2 8 2" xfId="25688" xr:uid="{DC9D3487-3BDD-444B-89E8-D857FBE824CD}"/>
    <cellStyle name="Comma 2 2 2 8 3" xfId="20028" xr:uid="{C6EEAE1C-9277-434F-A2CA-D0B93608C057}"/>
    <cellStyle name="Comma 2 2 2 8 4" xfId="34865" xr:uid="{2B81AA72-8379-4FC5-887F-4622ACE98625}"/>
    <cellStyle name="Comma 2 2 2 9" xfId="34844" xr:uid="{6F98102D-A4AD-4B62-895D-49CBB6EF9992}"/>
    <cellStyle name="Comma 2 2 3" xfId="68" xr:uid="{00000000-0005-0000-0000-0000F4080000}"/>
    <cellStyle name="Comma 2 2 3 2" xfId="69" xr:uid="{00000000-0005-0000-0000-0000F5080000}"/>
    <cellStyle name="Comma 2 2 3 2 2" xfId="5750" xr:uid="{00000000-0005-0000-0000-0000F6080000}"/>
    <cellStyle name="Comma 2 2 3 2 2 2" xfId="23427" xr:uid="{6A907BA7-7D46-4542-89BD-C5164E8D43B9}"/>
    <cellStyle name="Comma 2 2 3 2 2 3" xfId="17767" xr:uid="{79020909-6661-4C9A-945B-1539846A0136}"/>
    <cellStyle name="Comma 2 2 3 2 2 4" xfId="29088" xr:uid="{58813392-208A-4238-B522-41782104838C}"/>
    <cellStyle name="Comma 2 2 3 2 2 5" xfId="34868" xr:uid="{459C26D4-1F50-4CEA-A635-61BF0F9ADD5C}"/>
    <cellStyle name="Comma 2 2 3 2 2 6" xfId="49750" xr:uid="{0FB20532-9E06-494D-BEAD-AD024D31AE71}"/>
    <cellStyle name="Comma 2 2 3 2 3" xfId="12398" xr:uid="{00000000-0005-0000-0000-0000F7080000}"/>
    <cellStyle name="Comma 2 2 3 2 3 2" xfId="25691" xr:uid="{7BE83BA4-0E70-4948-8229-7C730C484D91}"/>
    <cellStyle name="Comma 2 2 3 2 3 3" xfId="20031" xr:uid="{56EF30EC-1585-4A15-8533-C83EC37DB79E}"/>
    <cellStyle name="Comma 2 2 3 2 3 4" xfId="34869" xr:uid="{1E1620DF-B17E-43E7-ABE4-A6D4C50F5C41}"/>
    <cellStyle name="Comma 2 2 3 2 4" xfId="34867" xr:uid="{7ED7CD97-EF79-4CC4-B63C-E1A99FCC990F}"/>
    <cellStyle name="Comma 2 2 3 3" xfId="70" xr:uid="{00000000-0005-0000-0000-0000F8080000}"/>
    <cellStyle name="Comma 2 2 3 3 2" xfId="5751" xr:uid="{00000000-0005-0000-0000-0000F9080000}"/>
    <cellStyle name="Comma 2 2 3 3 2 2" xfId="23428" xr:uid="{04891650-4A99-437D-85D2-69E38019F6A2}"/>
    <cellStyle name="Comma 2 2 3 3 2 3" xfId="17768" xr:uid="{BE093379-67A1-4A0E-8370-63982B7AEC62}"/>
    <cellStyle name="Comma 2 2 3 3 2 4" xfId="29089" xr:uid="{C2A7F45A-DBF7-4549-B01D-3FE3EFD816E7}"/>
    <cellStyle name="Comma 2 2 3 3 2 5" xfId="34871" xr:uid="{0D2F8FAB-B64B-4646-B8FC-0E4F3509EEFF}"/>
    <cellStyle name="Comma 2 2 3 3 3" xfId="12399" xr:uid="{00000000-0005-0000-0000-0000FA080000}"/>
    <cellStyle name="Comma 2 2 3 3 3 2" xfId="25692" xr:uid="{F66604A7-379C-4C0A-9F11-008516107C28}"/>
    <cellStyle name="Comma 2 2 3 3 3 3" xfId="20032" xr:uid="{004C75FE-B15A-4B97-82E2-6D4F845FD2DD}"/>
    <cellStyle name="Comma 2 2 3 3 3 4" xfId="34872" xr:uid="{499C6941-EEF3-410F-B35B-948B60A7A581}"/>
    <cellStyle name="Comma 2 2 3 3 4" xfId="34873" xr:uid="{5C3C80E4-CBAC-4AC1-B06D-378DEB13B2ED}"/>
    <cellStyle name="Comma 2 2 3 3 5" xfId="34870" xr:uid="{C5D1E981-198D-465A-893D-BB4E4A5F85D5}"/>
    <cellStyle name="Comma 2 2 3 3 6" xfId="49751" xr:uid="{F46711D2-4B33-4C83-919F-6A1F6ED20098}"/>
    <cellStyle name="Comma 2 2 3 4" xfId="290" xr:uid="{00000000-0005-0000-0000-0000FB080000}"/>
    <cellStyle name="Comma 2 2 3 4 2" xfId="1496" xr:uid="{00000000-0005-0000-0000-0000FC080000}"/>
    <cellStyle name="Comma 2 2 3 4 2 2" xfId="5895" xr:uid="{00000000-0005-0000-0000-0000FD080000}"/>
    <cellStyle name="Comma 2 2 3 4 2 2 2" xfId="23487" xr:uid="{831CE9FB-E112-4E86-AB97-F3D85E69D11A}"/>
    <cellStyle name="Comma 2 2 3 4 2 2 3" xfId="17827" xr:uid="{B83C17B0-3333-4300-BB0D-CD3A7A4C37ED}"/>
    <cellStyle name="Comma 2 2 3 4 2 2 4" xfId="29148" xr:uid="{F2952455-AF1B-4C97-BFBB-04D62B6E8D7C}"/>
    <cellStyle name="Comma 2 2 3 4 2 2 5" xfId="34876" xr:uid="{CCC5DEB3-0963-4130-866B-16C42B65F697}"/>
    <cellStyle name="Comma 2 2 3 4 2 3" xfId="12683" xr:uid="{00000000-0005-0000-0000-0000FE080000}"/>
    <cellStyle name="Comma 2 2 3 4 2 3 2" xfId="25729" xr:uid="{4EDD48A1-80EC-4510-905A-05C254B8574F}"/>
    <cellStyle name="Comma 2 2 3 4 2 3 3" xfId="20069" xr:uid="{40BF43A2-3BC1-4D2B-AA0F-0810216805E4}"/>
    <cellStyle name="Comma 2 2 3 4 2 3 4" xfId="34877" xr:uid="{77FDA110-D81A-4542-8EF4-9E083EB32454}"/>
    <cellStyle name="Comma 2 2 3 4 2 4" xfId="34875" xr:uid="{9A387FB9-13B0-40E7-806C-509E25346BC8}"/>
    <cellStyle name="Comma 2 2 3 4 3" xfId="5894" xr:uid="{00000000-0005-0000-0000-0000FF080000}"/>
    <cellStyle name="Comma 2 2 3 4 3 2" xfId="23486" xr:uid="{FAFDC6DE-BA4C-4986-BD6B-578314933C16}"/>
    <cellStyle name="Comma 2 2 3 4 3 3" xfId="17826" xr:uid="{7FC09F5C-9CB4-4AC2-A07F-78040E9CFF37}"/>
    <cellStyle name="Comma 2 2 3 4 3 4" xfId="29147" xr:uid="{7DD66FFB-CEE4-4769-802E-779F7639EB40}"/>
    <cellStyle name="Comma 2 2 3 4 3 5" xfId="34878" xr:uid="{6E980375-CB79-4642-9C58-82E0E0A10A7A}"/>
    <cellStyle name="Comma 2 2 3 4 4" xfId="12473" xr:uid="{00000000-0005-0000-0000-000000090000}"/>
    <cellStyle name="Comma 2 2 3 4 4 2" xfId="25713" xr:uid="{F4293E1E-1F42-41D2-887C-3906C95CAA9D}"/>
    <cellStyle name="Comma 2 2 3 4 4 3" xfId="20053" xr:uid="{CB8FF6DC-2E51-4CC5-B1B1-A022A0B30146}"/>
    <cellStyle name="Comma 2 2 3 4 4 4" xfId="34879" xr:uid="{AE6A995F-2C41-4325-A6BF-4CF33F8D7109}"/>
    <cellStyle name="Comma 2 2 3 4 5" xfId="34874" xr:uid="{E1C9DAE7-D8EC-49D1-A525-F313676FBCD3}"/>
    <cellStyle name="Comma 2 2 3 5" xfId="3864" xr:uid="{00000000-0005-0000-0000-000001090000}"/>
    <cellStyle name="Comma 2 2 3 5 2" xfId="5896" xr:uid="{00000000-0005-0000-0000-000002090000}"/>
    <cellStyle name="Comma 2 2 3 5 2 2" xfId="23488" xr:uid="{141F1D6F-E43B-4380-9128-436CBADC071A}"/>
    <cellStyle name="Comma 2 2 3 5 2 3" xfId="17828" xr:uid="{DD6832F5-19EA-43CD-95B7-BAFF070DAF47}"/>
    <cellStyle name="Comma 2 2 3 5 2 4" xfId="29149" xr:uid="{1A1D2668-2E09-47C4-910F-38E22930BD39}"/>
    <cellStyle name="Comma 2 2 3 5 2 5" xfId="34881" xr:uid="{42C5E465-D729-4508-8995-4726B5C226AD}"/>
    <cellStyle name="Comma 2 2 3 5 3" xfId="13651" xr:uid="{00000000-0005-0000-0000-000003090000}"/>
    <cellStyle name="Comma 2 2 3 5 3 2" xfId="25889" xr:uid="{B7D3856A-3FAF-4051-86D6-1587651FD49A}"/>
    <cellStyle name="Comma 2 2 3 5 3 3" xfId="20229" xr:uid="{1A534175-DBD0-4FB2-A8F3-2E689A4351CD}"/>
    <cellStyle name="Comma 2 2 3 5 3 4" xfId="34882" xr:uid="{07FA541C-5BEF-4837-9F10-5679E71099DD}"/>
    <cellStyle name="Comma 2 2 3 5 4" xfId="34880" xr:uid="{6D09FDB7-06CA-49A5-8B23-EECCD6F468E3}"/>
    <cellStyle name="Comma 2 2 3 6" xfId="5749" xr:uid="{00000000-0005-0000-0000-000004090000}"/>
    <cellStyle name="Comma 2 2 3 6 2" xfId="23426" xr:uid="{F8081A28-FCDA-48BA-B99B-14D7FA996286}"/>
    <cellStyle name="Comma 2 2 3 6 3" xfId="17766" xr:uid="{7CE33396-7F77-4C30-AC44-15D370F4EC54}"/>
    <cellStyle name="Comma 2 2 3 6 4" xfId="29087" xr:uid="{692DE3A9-4FFA-4BC3-8C34-55A274E37F5F}"/>
    <cellStyle name="Comma 2 2 3 6 5" xfId="34883" xr:uid="{26855CEA-FEAA-4440-B72A-E750EBEB2B62}"/>
    <cellStyle name="Comma 2 2 3 7" xfId="34866" xr:uid="{77E84F5D-5F21-4B44-B4C1-2B1CEB73BC7B}"/>
    <cellStyle name="Comma 2 2 4" xfId="71" xr:uid="{00000000-0005-0000-0000-000005090000}"/>
    <cellStyle name="Comma 2 2 4 2" xfId="1497" xr:uid="{00000000-0005-0000-0000-000006090000}"/>
    <cellStyle name="Comma 2 2 4 2 2" xfId="5897" xr:uid="{00000000-0005-0000-0000-000007090000}"/>
    <cellStyle name="Comma 2 2 4 2 2 2" xfId="23489" xr:uid="{46DED04B-14EC-419D-A158-EC828AF7661A}"/>
    <cellStyle name="Comma 2 2 4 2 2 3" xfId="17829" xr:uid="{BF8CB67D-18E8-46F1-8492-3D340BF46E32}"/>
    <cellStyle name="Comma 2 2 4 2 2 4" xfId="29150" xr:uid="{2AE5B78A-F63F-4D62-8BD7-307F32ACFD77}"/>
    <cellStyle name="Comma 2 2 4 2 2 5" xfId="34886" xr:uid="{EF6BF28F-8A6A-4FD4-B159-FF68A8761BAD}"/>
    <cellStyle name="Comma 2 2 4 2 3" xfId="12684" xr:uid="{00000000-0005-0000-0000-000008090000}"/>
    <cellStyle name="Comma 2 2 4 2 3 2" xfId="25730" xr:uid="{175AF542-578C-4688-92FE-E59A5009E0D1}"/>
    <cellStyle name="Comma 2 2 4 2 3 3" xfId="20070" xr:uid="{C287EA99-CBB9-40E3-9483-C2DB9B71E1D3}"/>
    <cellStyle name="Comma 2 2 4 2 3 4" xfId="34887" xr:uid="{34969B3F-FA84-49D3-A801-9CC347C73DF9}"/>
    <cellStyle name="Comma 2 2 4 2 4" xfId="34885" xr:uid="{50577383-C2BA-4DAD-B71C-61CCF8AC78A7}"/>
    <cellStyle name="Comma 2 2 4 3" xfId="5752" xr:uid="{00000000-0005-0000-0000-000009090000}"/>
    <cellStyle name="Comma 2 2 4 3 2" xfId="23429" xr:uid="{185CFF86-8E46-4094-90EE-A7CBFD99F8A1}"/>
    <cellStyle name="Comma 2 2 4 3 3" xfId="17769" xr:uid="{80DF4E3C-D274-4E5B-902B-CF89A1BE3955}"/>
    <cellStyle name="Comma 2 2 4 3 4" xfId="29090" xr:uid="{87B09C48-0E7A-407C-A999-68263634325F}"/>
    <cellStyle name="Comma 2 2 4 3 5" xfId="34888" xr:uid="{956EE15B-1F19-4A0F-AF09-D16815A343F5}"/>
    <cellStyle name="Comma 2 2 4 4" xfId="12400" xr:uid="{00000000-0005-0000-0000-00000A090000}"/>
    <cellStyle name="Comma 2 2 4 4 2" xfId="25693" xr:uid="{905E13D7-E50B-478F-B79A-C9558894A66D}"/>
    <cellStyle name="Comma 2 2 4 4 3" xfId="20033" xr:uid="{B4B47568-D379-4FEA-BE55-8B1DF4D0B916}"/>
    <cellStyle name="Comma 2 2 4 4 4" xfId="34889" xr:uid="{39C43BB6-D2D9-4D22-BD8E-3F9287107525}"/>
    <cellStyle name="Comma 2 2 4 5" xfId="34890" xr:uid="{F0889CD3-9487-4DA9-97D6-9968232D7AC8}"/>
    <cellStyle name="Comma 2 2 4 6" xfId="34884" xr:uid="{972374BC-074B-4E32-9B9A-CD05D765E6DF}"/>
    <cellStyle name="Comma 2 2 4 7" xfId="49752" xr:uid="{87CD63F6-5E6A-41BA-82CF-50D77EFD3F06}"/>
    <cellStyle name="Comma 2 2 5" xfId="72" xr:uid="{00000000-0005-0000-0000-00000B090000}"/>
    <cellStyle name="Comma 2 2 5 2" xfId="5753" xr:uid="{00000000-0005-0000-0000-00000C090000}"/>
    <cellStyle name="Comma 2 2 5 2 2" xfId="23430" xr:uid="{DCAC6D1C-0895-4707-811B-2C981F4F7921}"/>
    <cellStyle name="Comma 2 2 5 2 3" xfId="17770" xr:uid="{82ABAB24-232D-411A-84CA-96A0BF933217}"/>
    <cellStyle name="Comma 2 2 5 2 4" xfId="29091" xr:uid="{FA693430-026B-484E-AC5A-7B140402A714}"/>
    <cellStyle name="Comma 2 2 5 2 5" xfId="34892" xr:uid="{D9ABD7F9-B9A3-45FE-BBB0-5F1E31290B6A}"/>
    <cellStyle name="Comma 2 2 5 3" xfId="12401" xr:uid="{00000000-0005-0000-0000-00000D090000}"/>
    <cellStyle name="Comma 2 2 5 3 2" xfId="25694" xr:uid="{26AFE0EA-0F5B-4FAF-8805-843C7F02480D}"/>
    <cellStyle name="Comma 2 2 5 3 3" xfId="20034" xr:uid="{2DBFA8FD-E22F-4F04-AE88-01B5E113E152}"/>
    <cellStyle name="Comma 2 2 5 3 4" xfId="34893" xr:uid="{76E25353-0BA0-4064-BFF9-303FF6668DFE}"/>
    <cellStyle name="Comma 2 2 5 4" xfId="34891" xr:uid="{04F9A890-E43D-48DD-B909-27D04F58C163}"/>
    <cellStyle name="Comma 2 2 6" xfId="289" xr:uid="{00000000-0005-0000-0000-00000E090000}"/>
    <cellStyle name="Comma 2 2 6 2" xfId="1498" xr:uid="{00000000-0005-0000-0000-00000F090000}"/>
    <cellStyle name="Comma 2 2 6 2 2" xfId="5899" xr:uid="{00000000-0005-0000-0000-000010090000}"/>
    <cellStyle name="Comma 2 2 6 2 2 2" xfId="23491" xr:uid="{A4BA5D9D-0E2F-4866-9437-C165584C11A2}"/>
    <cellStyle name="Comma 2 2 6 2 2 3" xfId="17831" xr:uid="{D75DCA9E-9E12-4323-970A-B2DAAD6B2341}"/>
    <cellStyle name="Comma 2 2 6 2 2 4" xfId="29152" xr:uid="{C268A29A-F655-4330-A731-C8A16F4A2513}"/>
    <cellStyle name="Comma 2 2 6 2 2 5" xfId="34896" xr:uid="{30DAEC9B-5E51-454B-A6D6-8EFC0950E596}"/>
    <cellStyle name="Comma 2 2 6 2 3" xfId="12685" xr:uid="{00000000-0005-0000-0000-000011090000}"/>
    <cellStyle name="Comma 2 2 6 2 3 2" xfId="25731" xr:uid="{E8A6D47E-D0D4-4350-B9CA-F7F25C04ACE3}"/>
    <cellStyle name="Comma 2 2 6 2 3 3" xfId="20071" xr:uid="{944A1DE8-9E4F-4CD1-BF80-739AA986F3C1}"/>
    <cellStyle name="Comma 2 2 6 2 3 4" xfId="34897" xr:uid="{EE9C799D-0BEE-40DC-91CF-FD7B7E83A51E}"/>
    <cellStyle name="Comma 2 2 6 2 4" xfId="34895" xr:uid="{53FC1461-DDF7-4458-A427-6D664B64EE4B}"/>
    <cellStyle name="Comma 2 2 6 3" xfId="1499" xr:uid="{00000000-0005-0000-0000-000012090000}"/>
    <cellStyle name="Comma 2 2 6 3 2" xfId="5900" xr:uid="{00000000-0005-0000-0000-000013090000}"/>
    <cellStyle name="Comma 2 2 6 3 2 2" xfId="23492" xr:uid="{08EAB189-8E48-4200-9C5A-279221E33970}"/>
    <cellStyle name="Comma 2 2 6 3 2 3" xfId="17832" xr:uid="{35172513-EC84-4927-ADAC-8C47111ECFA6}"/>
    <cellStyle name="Comma 2 2 6 3 2 4" xfId="29153" xr:uid="{9D228D31-53B6-486F-86CB-A11386DB5452}"/>
    <cellStyle name="Comma 2 2 6 3 2 5" xfId="34899" xr:uid="{865B25CE-4191-4548-906F-47AD97FD5072}"/>
    <cellStyle name="Comma 2 2 6 3 3" xfId="12686" xr:uid="{00000000-0005-0000-0000-000014090000}"/>
    <cellStyle name="Comma 2 2 6 3 3 2" xfId="25732" xr:uid="{06E8C34D-AFB1-4E7A-BA36-9CAD0B74D3CF}"/>
    <cellStyle name="Comma 2 2 6 3 3 3" xfId="20072" xr:uid="{C483C0D6-3DCB-4DD8-AC3D-7BF3EFB2114F}"/>
    <cellStyle name="Comma 2 2 6 3 3 4" xfId="34900" xr:uid="{FEE1D7A3-CD3C-41B5-8B02-45D02276177B}"/>
    <cellStyle name="Comma 2 2 6 3 4" xfId="34898" xr:uid="{10DDFF25-6B6C-4B31-9CA7-80E9152CC047}"/>
    <cellStyle name="Comma 2 2 6 4" xfId="5898" xr:uid="{00000000-0005-0000-0000-000015090000}"/>
    <cellStyle name="Comma 2 2 6 4 2" xfId="23490" xr:uid="{A196A19C-8B93-48E6-A437-75CCD3B562CC}"/>
    <cellStyle name="Comma 2 2 6 4 3" xfId="17830" xr:uid="{4242A5F6-4CCA-42EB-9F9D-0E20F64D9EBD}"/>
    <cellStyle name="Comma 2 2 6 4 4" xfId="29151" xr:uid="{B990947B-DF29-438A-8D39-7FC082599F06}"/>
    <cellStyle name="Comma 2 2 6 4 5" xfId="34901" xr:uid="{AE416328-7904-4151-83C1-93EF0267FB3A}"/>
    <cellStyle name="Comma 2 2 6 5" xfId="12472" xr:uid="{00000000-0005-0000-0000-000016090000}"/>
    <cellStyle name="Comma 2 2 6 5 2" xfId="25712" xr:uid="{F222B2D4-09AB-4B0F-B25C-AFC85A131C4E}"/>
    <cellStyle name="Comma 2 2 6 5 3" xfId="20052" xr:uid="{BB1D6E03-A98B-44C0-B659-92D1524600D7}"/>
    <cellStyle name="Comma 2 2 6 5 4" xfId="34902" xr:uid="{4E8CABDD-BDFA-434B-8DA9-386CD050645A}"/>
    <cellStyle name="Comma 2 2 6 6" xfId="34894" xr:uid="{CB9AA30C-2778-4ABD-B560-94B523B62637}"/>
    <cellStyle name="Comma 2 2 7" xfId="1500" xr:uid="{00000000-0005-0000-0000-000017090000}"/>
    <cellStyle name="Comma 2 2 7 2" xfId="5901" xr:uid="{00000000-0005-0000-0000-000018090000}"/>
    <cellStyle name="Comma 2 2 7 2 2" xfId="23493" xr:uid="{E363CBB5-7E68-43B6-9E82-A56C37A33016}"/>
    <cellStyle name="Comma 2 2 7 2 3" xfId="17833" xr:uid="{F3014FAB-737C-4A70-8769-CEE7709B3FE9}"/>
    <cellStyle name="Comma 2 2 7 2 4" xfId="29154" xr:uid="{91BD5CE7-D8E1-4065-B7D2-6B6AE2B05B56}"/>
    <cellStyle name="Comma 2 2 7 2 5" xfId="34904" xr:uid="{14BE718E-E1D1-42EC-BA7B-E2EAD3914AC6}"/>
    <cellStyle name="Comma 2 2 7 3" xfId="12687" xr:uid="{00000000-0005-0000-0000-000019090000}"/>
    <cellStyle name="Comma 2 2 7 3 2" xfId="25733" xr:uid="{E8BF08BB-AA87-4D6D-95C8-64C97314A4DC}"/>
    <cellStyle name="Comma 2 2 7 3 3" xfId="20073" xr:uid="{6489FA96-EFC4-46F4-9ACC-D81DAF1B6CF8}"/>
    <cellStyle name="Comma 2 2 7 3 4" xfId="34905" xr:uid="{F1F25FAB-CDA8-4337-8223-43EB94A6A556}"/>
    <cellStyle name="Comma 2 2 7 4" xfId="34903" xr:uid="{AB0CCB36-03ED-4322-89B3-EC91FC8E901D}"/>
    <cellStyle name="Comma 2 2 8" xfId="3862" xr:uid="{00000000-0005-0000-0000-00001A090000}"/>
    <cellStyle name="Comma 2 2 9" xfId="5745" xr:uid="{00000000-0005-0000-0000-00001B090000}"/>
    <cellStyle name="Comma 2 2 9 2" xfId="23422" xr:uid="{14535273-CC0A-4045-A637-F8BFDB148F95}"/>
    <cellStyle name="Comma 2 2 9 3" xfId="17762" xr:uid="{65EA6AAB-D3CB-4479-8ABF-F27E45EB18C7}"/>
    <cellStyle name="Comma 2 2 9 4" xfId="29083" xr:uid="{8D4AD44B-3D99-4CD0-9CDD-CF82F1407AA5}"/>
    <cellStyle name="Comma 2 2 9 5" xfId="34906" xr:uid="{1246F042-810C-4F72-B42C-047D4CF085B5}"/>
    <cellStyle name="Comma 2 20" xfId="3865" xr:uid="{00000000-0005-0000-0000-00001C090000}"/>
    <cellStyle name="Comma 2 20 2" xfId="5902" xr:uid="{00000000-0005-0000-0000-00001D090000}"/>
    <cellStyle name="Comma 2 20 2 2" xfId="23494" xr:uid="{16FB5008-A29C-4A20-8F7E-E2C758F976CE}"/>
    <cellStyle name="Comma 2 20 2 3" xfId="17834" xr:uid="{D95033D0-8707-4FC7-A962-216C20B8CB2E}"/>
    <cellStyle name="Comma 2 20 2 4" xfId="29155" xr:uid="{4FD99AB7-B624-41C8-90E3-49453B2BF3CA}"/>
    <cellStyle name="Comma 2 20 2 5" xfId="34908" xr:uid="{0012EDF8-1D1B-4ECB-9E0F-037C2BA2ED74}"/>
    <cellStyle name="Comma 2 20 3" xfId="34907" xr:uid="{C6DB27FA-A787-4C61-BCC6-90419CAEBAAD}"/>
    <cellStyle name="Comma 2 21" xfId="3866" xr:uid="{00000000-0005-0000-0000-00001E090000}"/>
    <cellStyle name="Comma 2 21 2" xfId="5903" xr:uid="{00000000-0005-0000-0000-00001F090000}"/>
    <cellStyle name="Comma 2 21 2 2" xfId="23495" xr:uid="{7E6523B3-C4DF-46E2-AF0A-3CDF317B9557}"/>
    <cellStyle name="Comma 2 21 2 3" xfId="17835" xr:uid="{111016EC-29F3-46B3-AFED-F0B81BD54B95}"/>
    <cellStyle name="Comma 2 21 2 4" xfId="29156" xr:uid="{B16D15EB-CEB0-46C8-9048-B0842F27F76B}"/>
    <cellStyle name="Comma 2 21 2 5" xfId="34910" xr:uid="{9AD6136F-1DDD-4FAA-8E8D-335B160059FD}"/>
    <cellStyle name="Comma 2 21 3" xfId="34909" xr:uid="{A4ED0089-C14B-4799-B932-B7D69A1D29B3}"/>
    <cellStyle name="Comma 2 22" xfId="5744" xr:uid="{00000000-0005-0000-0000-000020090000}"/>
    <cellStyle name="Comma 2 22 2" xfId="14359" xr:uid="{00000000-0005-0000-0000-000021090000}"/>
    <cellStyle name="Comma 2 22 2 2" xfId="26359" xr:uid="{128876B8-41C3-412D-86B1-CB5477F8990D}"/>
    <cellStyle name="Comma 2 22 2 3" xfId="20699" xr:uid="{460BCDEF-9034-478A-B56B-C8F09A1ED371}"/>
    <cellStyle name="Comma 2 22 2 4" xfId="31739" xr:uid="{AB47F55A-76E4-4341-80C4-E0D83972120C}"/>
    <cellStyle name="Comma 2 22 2 5" xfId="34912" xr:uid="{F349FA4C-25BC-4322-85DC-36A27642BB36}"/>
    <cellStyle name="Comma 2 22 3" xfId="9569" xr:uid="{00000000-0005-0000-0000-000022090000}"/>
    <cellStyle name="Comma 2 22 3 2" xfId="25631" xr:uid="{8834815E-DF3C-482C-980B-ACE89781E5F9}"/>
    <cellStyle name="Comma 2 22 3 3" xfId="19971" xr:uid="{02BD70E8-0FE6-4EDE-943A-7174BF2E1772}"/>
    <cellStyle name="Comma 2 22 3 4" xfId="34913" xr:uid="{B3721D63-50FA-4350-A150-FC7F4459C79B}"/>
    <cellStyle name="Comma 2 22 4" xfId="23421" xr:uid="{55769CA2-C63B-49B3-8136-78DCE22F6521}"/>
    <cellStyle name="Comma 2 22 5" xfId="17761" xr:uid="{5717ED2A-809C-48A9-8A60-989F46AB81D7}"/>
    <cellStyle name="Comma 2 22 6" xfId="29082" xr:uid="{82EA5B4D-F147-4ACC-96CA-5BF6DF820E16}"/>
    <cellStyle name="Comma 2 22 7" xfId="34911" xr:uid="{93606EC8-77CE-4C58-8ACC-2B4823691454}"/>
    <cellStyle name="Comma 2 23" xfId="34818" xr:uid="{2C7D3A6F-BF3C-4FD1-B280-264876F6050B}"/>
    <cellStyle name="Comma 2 3" xfId="73" xr:uid="{00000000-0005-0000-0000-000023090000}"/>
    <cellStyle name="Comma 2 3 2" xfId="74" xr:uid="{00000000-0005-0000-0000-000024090000}"/>
    <cellStyle name="Comma 2 3 2 10" xfId="49753" xr:uid="{B87F2751-C686-432A-8E42-792B23DABC15}"/>
    <cellStyle name="Comma 2 3 2 2" xfId="75" xr:uid="{00000000-0005-0000-0000-000025090000}"/>
    <cellStyle name="Comma 2 3 2 2 2" xfId="5756" xr:uid="{00000000-0005-0000-0000-000026090000}"/>
    <cellStyle name="Comma 2 3 2 2 2 2" xfId="23433" xr:uid="{24CBBA62-8FFA-4651-97DE-ADCCF5A8D57C}"/>
    <cellStyle name="Comma 2 3 2 2 2 3" xfId="17773" xr:uid="{73067E44-C583-4F43-9036-7353F66E48D8}"/>
    <cellStyle name="Comma 2 3 2 2 2 4" xfId="29094" xr:uid="{C50EB2C8-7D08-4F54-BDC2-F26A159DA85B}"/>
    <cellStyle name="Comma 2 3 2 2 2 5" xfId="34917" xr:uid="{192BC546-2712-4D0C-A560-1FFFD2FE7AEE}"/>
    <cellStyle name="Comma 2 3 2 2 3" xfId="12403" xr:uid="{00000000-0005-0000-0000-000027090000}"/>
    <cellStyle name="Comma 2 3 2 2 3 2" xfId="25696" xr:uid="{9B9675AF-18AA-4AA3-82C6-327F2F09963F}"/>
    <cellStyle name="Comma 2 3 2 2 3 3" xfId="20036" xr:uid="{93AFF87C-760A-4AC8-8BD9-D0A20A07E8D7}"/>
    <cellStyle name="Comma 2 3 2 2 3 4" xfId="34918" xr:uid="{4377DCC0-5BA7-4F94-AAA5-C68D48FBB515}"/>
    <cellStyle name="Comma 2 3 2 2 4" xfId="34916" xr:uid="{C262BFDC-C315-40BC-85BE-9EFFC64A3A96}"/>
    <cellStyle name="Comma 2 3 2 3" xfId="76" xr:uid="{00000000-0005-0000-0000-000028090000}"/>
    <cellStyle name="Comma 2 3 2 3 2" xfId="5757" xr:uid="{00000000-0005-0000-0000-000029090000}"/>
    <cellStyle name="Comma 2 3 2 3 2 2" xfId="23434" xr:uid="{900D0B6D-1EC9-4096-8B84-70399072DF5A}"/>
    <cellStyle name="Comma 2 3 2 3 2 3" xfId="17774" xr:uid="{541EE9BF-E203-409E-819C-05E5C035F5E4}"/>
    <cellStyle name="Comma 2 3 2 3 2 4" xfId="29095" xr:uid="{F8C52DE9-7E44-4CE5-8009-4CE4677F25B0}"/>
    <cellStyle name="Comma 2 3 2 3 2 5" xfId="34920" xr:uid="{138F893E-3140-486B-B869-AF05A8BE193F}"/>
    <cellStyle name="Comma 2 3 2 3 3" xfId="12404" xr:uid="{00000000-0005-0000-0000-00002A090000}"/>
    <cellStyle name="Comma 2 3 2 3 3 2" xfId="25697" xr:uid="{F9D631DD-BB03-4243-81D8-0E3EDCE66011}"/>
    <cellStyle name="Comma 2 3 2 3 3 3" xfId="20037" xr:uid="{4FA065E7-D8DB-42F7-A47A-763918D7BFD5}"/>
    <cellStyle name="Comma 2 3 2 3 3 4" xfId="34921" xr:uid="{E81179B0-34F9-41C7-A89C-42430B2104A1}"/>
    <cellStyle name="Comma 2 3 2 3 4" xfId="34919" xr:uid="{3A03246D-FE99-41CF-9885-DEA67471214B}"/>
    <cellStyle name="Comma 2 3 2 4" xfId="292" xr:uid="{00000000-0005-0000-0000-00002B090000}"/>
    <cellStyle name="Comma 2 3 2 4 2" xfId="1502" xr:uid="{00000000-0005-0000-0000-00002C090000}"/>
    <cellStyle name="Comma 2 3 2 4 2 2" xfId="5905" xr:uid="{00000000-0005-0000-0000-00002D090000}"/>
    <cellStyle name="Comma 2 3 2 4 2 2 2" xfId="23497" xr:uid="{7D299CC5-0C9E-4CAA-A8AE-4B9F7A5BB08E}"/>
    <cellStyle name="Comma 2 3 2 4 2 2 3" xfId="17837" xr:uid="{94B543DC-93B9-4CDD-8752-902B918AC37C}"/>
    <cellStyle name="Comma 2 3 2 4 2 2 4" xfId="29158" xr:uid="{FE17225F-6508-4DA2-96BF-CB51FDFB7261}"/>
    <cellStyle name="Comma 2 3 2 4 2 2 5" xfId="34924" xr:uid="{2138DF5D-3024-4F71-97EA-F13EAD9B1A70}"/>
    <cellStyle name="Comma 2 3 2 4 2 3" xfId="12689" xr:uid="{00000000-0005-0000-0000-00002E090000}"/>
    <cellStyle name="Comma 2 3 2 4 2 3 2" xfId="25735" xr:uid="{5D0136C0-8DBB-47E5-ADD7-CA9680E5BDE1}"/>
    <cellStyle name="Comma 2 3 2 4 2 3 3" xfId="20075" xr:uid="{36225983-D9D7-4B3F-A401-42CAB25145FE}"/>
    <cellStyle name="Comma 2 3 2 4 2 3 4" xfId="34925" xr:uid="{F8DC6266-6EAB-494D-BFAB-673E71B3B314}"/>
    <cellStyle name="Comma 2 3 2 4 2 4" xfId="34923" xr:uid="{67302275-7EC5-405F-9878-50CCA2C95FF6}"/>
    <cellStyle name="Comma 2 3 2 4 3" xfId="1503" xr:uid="{00000000-0005-0000-0000-00002F090000}"/>
    <cellStyle name="Comma 2 3 2 4 3 2" xfId="5906" xr:uid="{00000000-0005-0000-0000-000030090000}"/>
    <cellStyle name="Comma 2 3 2 4 3 2 2" xfId="23498" xr:uid="{916AC15F-35F6-4BCF-B9FE-653E6700BBC7}"/>
    <cellStyle name="Comma 2 3 2 4 3 2 3" xfId="17838" xr:uid="{B074CB39-05FD-42CE-8F21-9F0AA3FD812A}"/>
    <cellStyle name="Comma 2 3 2 4 3 2 4" xfId="29159" xr:uid="{BCF7FCDD-096E-422D-A38D-8B83D62E71F8}"/>
    <cellStyle name="Comma 2 3 2 4 3 2 5" xfId="34927" xr:uid="{8A999E9A-5114-4081-A1CC-013B4001A826}"/>
    <cellStyle name="Comma 2 3 2 4 3 3" xfId="12690" xr:uid="{00000000-0005-0000-0000-000031090000}"/>
    <cellStyle name="Comma 2 3 2 4 3 3 2" xfId="25736" xr:uid="{F7F1C0E1-F6EF-4855-8304-8A2CD13E76B3}"/>
    <cellStyle name="Comma 2 3 2 4 3 3 3" xfId="20076" xr:uid="{71B5802E-EEA0-4742-9B95-CA7617B7B631}"/>
    <cellStyle name="Comma 2 3 2 4 3 3 4" xfId="34928" xr:uid="{66D72C4C-7B88-4CC6-92E5-F6A37933651A}"/>
    <cellStyle name="Comma 2 3 2 4 3 4" xfId="34926" xr:uid="{97F42D0F-AD85-45C9-9816-29BFDA5A37AC}"/>
    <cellStyle name="Comma 2 3 2 4 4" xfId="1501" xr:uid="{00000000-0005-0000-0000-000032090000}"/>
    <cellStyle name="Comma 2 3 2 4 4 2" xfId="5907" xr:uid="{00000000-0005-0000-0000-000033090000}"/>
    <cellStyle name="Comma 2 3 2 4 4 2 2" xfId="23499" xr:uid="{D2CA7E61-06B2-4B41-A1B1-30760FF73C43}"/>
    <cellStyle name="Comma 2 3 2 4 4 2 3" xfId="17839" xr:uid="{3810A510-1777-4360-AB4E-D33C0DEBDB41}"/>
    <cellStyle name="Comma 2 3 2 4 4 2 4" xfId="29160" xr:uid="{D5AFBC27-D714-4CF3-8EAD-80EA52046CFD}"/>
    <cellStyle name="Comma 2 3 2 4 4 2 5" xfId="34930" xr:uid="{81AE3A6D-933F-433D-9957-A709068C223B}"/>
    <cellStyle name="Comma 2 3 2 4 4 3" xfId="12688" xr:uid="{00000000-0005-0000-0000-000034090000}"/>
    <cellStyle name="Comma 2 3 2 4 4 3 2" xfId="25734" xr:uid="{8582858F-E7E1-4B4B-8A52-E18B11359D14}"/>
    <cellStyle name="Comma 2 3 2 4 4 3 3" xfId="20074" xr:uid="{C848C3FE-4C5E-4E7E-97CA-FD62377C3DDD}"/>
    <cellStyle name="Comma 2 3 2 4 4 3 4" xfId="34931" xr:uid="{17438533-F98B-4823-99ED-E949A5B0FF45}"/>
    <cellStyle name="Comma 2 3 2 4 4 4" xfId="34929" xr:uid="{A435D6D7-079D-4DDE-9E1A-7D5A127320F9}"/>
    <cellStyle name="Comma 2 3 2 4 5" xfId="5904" xr:uid="{00000000-0005-0000-0000-000035090000}"/>
    <cellStyle name="Comma 2 3 2 4 5 2" xfId="23496" xr:uid="{119A6A72-7DCF-4EE2-8239-DFAE122BEA98}"/>
    <cellStyle name="Comma 2 3 2 4 5 3" xfId="17836" xr:uid="{FBEF75B4-9D1C-4383-8897-12A43D7A35D8}"/>
    <cellStyle name="Comma 2 3 2 4 5 4" xfId="29157" xr:uid="{C44B47F5-6AAB-4E13-90DA-4E258FA4B82E}"/>
    <cellStyle name="Comma 2 3 2 4 5 5" xfId="34932" xr:uid="{816ECD6E-1937-4321-A1B8-054BD5C1636A}"/>
    <cellStyle name="Comma 2 3 2 4 6" xfId="12475" xr:uid="{00000000-0005-0000-0000-000036090000}"/>
    <cellStyle name="Comma 2 3 2 4 6 2" xfId="25715" xr:uid="{6EF47150-5359-455F-9BF9-16E4EF4976F4}"/>
    <cellStyle name="Comma 2 3 2 4 6 3" xfId="20055" xr:uid="{38FF3797-D9CD-461D-BEA3-F3247B0158E4}"/>
    <cellStyle name="Comma 2 3 2 4 6 4" xfId="34933" xr:uid="{B4BB58AA-075F-4DAF-87BE-C4DB4A0E2D50}"/>
    <cellStyle name="Comma 2 3 2 4 7" xfId="34922" xr:uid="{81A9C54C-51EF-46E6-88EB-CD4E2214C121}"/>
    <cellStyle name="Comma 2 3 2 5" xfId="1504" xr:uid="{00000000-0005-0000-0000-000037090000}"/>
    <cellStyle name="Comma 2 3 2 5 2" xfId="5908" xr:uid="{00000000-0005-0000-0000-000038090000}"/>
    <cellStyle name="Comma 2 3 2 5 2 2" xfId="23500" xr:uid="{880E9177-8AA3-41FF-B5A7-48745C22F1E9}"/>
    <cellStyle name="Comma 2 3 2 5 2 3" xfId="17840" xr:uid="{117AA7CD-E927-4545-B5A8-D439093CAC33}"/>
    <cellStyle name="Comma 2 3 2 5 2 4" xfId="29161" xr:uid="{8B30B2C0-BD92-4D02-B13E-F6EA2B5E7776}"/>
    <cellStyle name="Comma 2 3 2 5 2 5" xfId="34935" xr:uid="{91E20C5D-BCFE-43B9-BE48-CBF23162ABBA}"/>
    <cellStyle name="Comma 2 3 2 5 3" xfId="12691" xr:uid="{00000000-0005-0000-0000-000039090000}"/>
    <cellStyle name="Comma 2 3 2 5 3 2" xfId="25737" xr:uid="{B75F0726-B1E1-457B-B7A2-6E1AF24662F9}"/>
    <cellStyle name="Comma 2 3 2 5 3 3" xfId="20077" xr:uid="{EB68E9F4-4271-4368-8917-BCBA94981970}"/>
    <cellStyle name="Comma 2 3 2 5 3 4" xfId="34936" xr:uid="{A823E224-9D1A-4DEF-A115-8D6EF9F76A1F}"/>
    <cellStyle name="Comma 2 3 2 5 4" xfId="34934" xr:uid="{2C056F04-C038-4F74-B6D1-4867B8ED00D7}"/>
    <cellStyle name="Comma 2 3 2 6" xfId="5755" xr:uid="{00000000-0005-0000-0000-00003A090000}"/>
    <cellStyle name="Comma 2 3 2 6 2" xfId="14361" xr:uid="{00000000-0005-0000-0000-00003B090000}"/>
    <cellStyle name="Comma 2 3 2 6 2 2" xfId="26361" xr:uid="{A50490F7-98C3-4A17-853D-096ED602F24E}"/>
    <cellStyle name="Comma 2 3 2 6 2 3" xfId="20701" xr:uid="{28F881E6-4A97-4088-A6DF-A26A63A31C06}"/>
    <cellStyle name="Comma 2 3 2 6 2 4" xfId="31741" xr:uid="{A46D2AD9-3DB0-41FA-91FF-BAF2F5BF56DF}"/>
    <cellStyle name="Comma 2 3 2 6 2 5" xfId="34938" xr:uid="{1A022110-F8F5-4FC3-9F1C-20B2EFA17164}"/>
    <cellStyle name="Comma 2 3 2 6 3" xfId="9573" xr:uid="{00000000-0005-0000-0000-00003C090000}"/>
    <cellStyle name="Comma 2 3 2 6 4" xfId="23432" xr:uid="{05E8AF7D-C20D-4B7D-803E-6D0B139D7ED2}"/>
    <cellStyle name="Comma 2 3 2 6 5" xfId="17772" xr:uid="{9B9B4A32-D925-408E-971F-DBB1E2AEDBD3}"/>
    <cellStyle name="Comma 2 3 2 6 6" xfId="29093" xr:uid="{E467ADE0-66ED-4514-8ACA-38CFE678F4A5}"/>
    <cellStyle name="Comma 2 3 2 6 7" xfId="34937" xr:uid="{06B0FFEF-3512-4841-92F2-64CCF80CB10A}"/>
    <cellStyle name="Comma 2 3 2 7" xfId="12402" xr:uid="{00000000-0005-0000-0000-00003D090000}"/>
    <cellStyle name="Comma 2 3 2 7 2" xfId="25695" xr:uid="{4498F6B8-A9D9-4E0D-B397-1F10E6764D3B}"/>
    <cellStyle name="Comma 2 3 2 7 3" xfId="20035" xr:uid="{459DE99C-B304-45C1-8594-4E7DAF0959A0}"/>
    <cellStyle name="Comma 2 3 2 7 4" xfId="34939" xr:uid="{1F39B880-18C3-47C6-AF55-B69BEB01C449}"/>
    <cellStyle name="Comma 2 3 2 8" xfId="34940" xr:uid="{C8CA586A-6FF5-4CC4-AD88-7882BC7146BE}"/>
    <cellStyle name="Comma 2 3 2 9" xfId="34915" xr:uid="{DF4E4449-E2FC-4540-AE0E-1ECD88D20647}"/>
    <cellStyle name="Comma 2 3 3" xfId="77" xr:uid="{00000000-0005-0000-0000-00003E090000}"/>
    <cellStyle name="Comma 2 3 3 2" xfId="78" xr:uid="{00000000-0005-0000-0000-00003F090000}"/>
    <cellStyle name="Comma 2 3 3 2 2" xfId="5759" xr:uid="{00000000-0005-0000-0000-000040090000}"/>
    <cellStyle name="Comma 2 3 3 2 2 2" xfId="23436" xr:uid="{FB0C7259-E5BC-4140-90AA-06243ECCBBF8}"/>
    <cellStyle name="Comma 2 3 3 2 2 3" xfId="17776" xr:uid="{E63D6A19-9769-431D-ABD7-F054B1736F0C}"/>
    <cellStyle name="Comma 2 3 3 2 2 4" xfId="29097" xr:uid="{D7F1556C-46E9-4116-A515-E8F32A3558FF}"/>
    <cellStyle name="Comma 2 3 3 2 2 5" xfId="34943" xr:uid="{F161AE54-EC79-42DA-A76C-6C8F0A00AEC4}"/>
    <cellStyle name="Comma 2 3 3 2 3" xfId="12406" xr:uid="{00000000-0005-0000-0000-000041090000}"/>
    <cellStyle name="Comma 2 3 3 2 3 2" xfId="25699" xr:uid="{3C6925A5-C6BB-4815-BA94-400F5226E40F}"/>
    <cellStyle name="Comma 2 3 3 2 3 3" xfId="20039" xr:uid="{D5D377E5-1381-4683-BF08-BCED18F8EC76}"/>
    <cellStyle name="Comma 2 3 3 2 3 4" xfId="34944" xr:uid="{8B2DEF3F-E195-4414-83BD-32E2DAB34FAA}"/>
    <cellStyle name="Comma 2 3 3 2 4" xfId="34942" xr:uid="{903935E5-869B-4286-9A5B-862A7C1B1FFB}"/>
    <cellStyle name="Comma 2 3 3 3" xfId="79" xr:uid="{00000000-0005-0000-0000-000042090000}"/>
    <cellStyle name="Comma 2 3 3 3 2" xfId="5760" xr:uid="{00000000-0005-0000-0000-000043090000}"/>
    <cellStyle name="Comma 2 3 3 3 2 2" xfId="23437" xr:uid="{0EC2A698-05B5-4284-999A-4E9D6E169DD3}"/>
    <cellStyle name="Comma 2 3 3 3 2 3" xfId="17777" xr:uid="{FF8AD130-A013-47DA-B3F4-5A28FEF1F4D4}"/>
    <cellStyle name="Comma 2 3 3 3 2 4" xfId="29098" xr:uid="{B50CF374-121E-46CD-97A1-FCE772E84AEC}"/>
    <cellStyle name="Comma 2 3 3 3 2 5" xfId="34946" xr:uid="{9C789478-A5B3-4A39-8A5F-196BD8791936}"/>
    <cellStyle name="Comma 2 3 3 3 3" xfId="12407" xr:uid="{00000000-0005-0000-0000-000044090000}"/>
    <cellStyle name="Comma 2 3 3 3 3 2" xfId="25700" xr:uid="{F7484973-7E91-4338-B57F-FD9CC607F944}"/>
    <cellStyle name="Comma 2 3 3 3 3 3" xfId="20040" xr:uid="{6B463602-7190-45CE-980B-348193CA4E44}"/>
    <cellStyle name="Comma 2 3 3 3 3 4" xfId="34947" xr:uid="{E2CDFB1D-9819-47EF-856E-D2CABF166DAF}"/>
    <cellStyle name="Comma 2 3 3 3 4" xfId="34945" xr:uid="{BC6D64BE-522D-461D-A6EB-1E3377AD51B8}"/>
    <cellStyle name="Comma 2 3 3 4" xfId="293" xr:uid="{00000000-0005-0000-0000-000045090000}"/>
    <cellStyle name="Comma 2 3 3 4 2" xfId="1505" xr:uid="{00000000-0005-0000-0000-000046090000}"/>
    <cellStyle name="Comma 2 3 3 4 2 2" xfId="5910" xr:uid="{00000000-0005-0000-0000-000047090000}"/>
    <cellStyle name="Comma 2 3 3 4 2 2 2" xfId="23502" xr:uid="{EE73E0C2-5BD4-4815-B6AB-B859B18F5E6C}"/>
    <cellStyle name="Comma 2 3 3 4 2 2 3" xfId="17842" xr:uid="{E6323262-1667-4C4F-B932-E50B5B640069}"/>
    <cellStyle name="Comma 2 3 3 4 2 2 4" xfId="29163" xr:uid="{1D56E438-5A9A-45B5-BE2F-188980F702F3}"/>
    <cellStyle name="Comma 2 3 3 4 2 2 5" xfId="34950" xr:uid="{C9068287-DFEF-4BA5-B471-6A4FB8110304}"/>
    <cellStyle name="Comma 2 3 3 4 2 3" xfId="12692" xr:uid="{00000000-0005-0000-0000-000048090000}"/>
    <cellStyle name="Comma 2 3 3 4 2 3 2" xfId="25738" xr:uid="{663B07FE-A539-4730-A6AB-7862B83BEEC3}"/>
    <cellStyle name="Comma 2 3 3 4 2 3 3" xfId="20078" xr:uid="{D5BCA42E-85E0-4507-8C7F-79C3D64E3BAE}"/>
    <cellStyle name="Comma 2 3 3 4 2 3 4" xfId="34951" xr:uid="{CD78D206-C01B-447B-93CF-8656F273EC1E}"/>
    <cellStyle name="Comma 2 3 3 4 2 4" xfId="34949" xr:uid="{C164B835-372B-4F03-98AB-ADAB70942D0A}"/>
    <cellStyle name="Comma 2 3 3 4 3" xfId="5909" xr:uid="{00000000-0005-0000-0000-000049090000}"/>
    <cellStyle name="Comma 2 3 3 4 3 2" xfId="23501" xr:uid="{F99C68D8-BEB5-4AB5-9B77-004A1B18C17D}"/>
    <cellStyle name="Comma 2 3 3 4 3 3" xfId="17841" xr:uid="{FADB56D0-FE28-4B2E-8B1A-49CC1EB77839}"/>
    <cellStyle name="Comma 2 3 3 4 3 4" xfId="29162" xr:uid="{AEECF76E-BFF3-428B-B1FF-EF99A9662221}"/>
    <cellStyle name="Comma 2 3 3 4 3 5" xfId="34952" xr:uid="{3168FE42-2E91-45D7-AA61-8A66A882F77E}"/>
    <cellStyle name="Comma 2 3 3 4 4" xfId="12476" xr:uid="{00000000-0005-0000-0000-00004A090000}"/>
    <cellStyle name="Comma 2 3 3 4 4 2" xfId="25716" xr:uid="{1DADCF0C-286F-440D-B0E8-E1B3507539B7}"/>
    <cellStyle name="Comma 2 3 3 4 4 3" xfId="20056" xr:uid="{5EB4D00C-C154-4A19-B1A7-92FC6CB665D5}"/>
    <cellStyle name="Comma 2 3 3 4 4 4" xfId="34953" xr:uid="{9FF2B75A-3630-42A0-B8C6-BAA341C7C1DA}"/>
    <cellStyle name="Comma 2 3 3 4 5" xfId="34948" xr:uid="{BA568FCA-84C3-4D2F-95D4-D8549C336425}"/>
    <cellStyle name="Comma 2 3 3 5" xfId="5758" xr:uid="{00000000-0005-0000-0000-00004B090000}"/>
    <cellStyle name="Comma 2 3 3 5 2" xfId="23435" xr:uid="{D1A208F9-EE21-42D9-96FF-099A2CC5789C}"/>
    <cellStyle name="Comma 2 3 3 5 3" xfId="17775" xr:uid="{90A5E12A-27ED-4DF3-B1DA-270A11D94F36}"/>
    <cellStyle name="Comma 2 3 3 5 4" xfId="29096" xr:uid="{7DB875DD-85F0-4229-9161-3AD988C30B35}"/>
    <cellStyle name="Comma 2 3 3 5 5" xfId="34954" xr:uid="{20BA6FF3-30F8-4ED7-9D39-E8AEE0D1A43A}"/>
    <cellStyle name="Comma 2 3 3 6" xfId="12405" xr:uid="{00000000-0005-0000-0000-00004C090000}"/>
    <cellStyle name="Comma 2 3 3 6 2" xfId="25698" xr:uid="{D038BA63-094B-418C-A487-B16D4750664D}"/>
    <cellStyle name="Comma 2 3 3 6 3" xfId="20038" xr:uid="{97808FB2-EF0F-463B-801B-A01B6054650D}"/>
    <cellStyle name="Comma 2 3 3 6 4" xfId="34955" xr:uid="{C9E5FE1E-15A6-4287-B47E-EF69DA49F6B9}"/>
    <cellStyle name="Comma 2 3 3 7" xfId="34941" xr:uid="{2A0BBF35-8440-49EE-9AAB-78BF1B3D3B75}"/>
    <cellStyle name="Comma 2 3 4" xfId="80" xr:uid="{00000000-0005-0000-0000-00004D090000}"/>
    <cellStyle name="Comma 2 3 4 2" xfId="1506" xr:uid="{00000000-0005-0000-0000-00004E090000}"/>
    <cellStyle name="Comma 2 3 4 2 2" xfId="5911" xr:uid="{00000000-0005-0000-0000-00004F090000}"/>
    <cellStyle name="Comma 2 3 4 2 2 2" xfId="23503" xr:uid="{09818E52-426B-478B-9327-9EB457267D4F}"/>
    <cellStyle name="Comma 2 3 4 2 2 3" xfId="17843" xr:uid="{B2F0554B-BB37-4826-AFD2-E3820E5CD8FC}"/>
    <cellStyle name="Comma 2 3 4 2 2 4" xfId="29164" xr:uid="{ACD6D58D-AD36-41A7-8A49-5151E3B2FF17}"/>
    <cellStyle name="Comma 2 3 4 2 2 5" xfId="34958" xr:uid="{CB24F36E-FD61-4254-AE80-1B0F639C4550}"/>
    <cellStyle name="Comma 2 3 4 2 3" xfId="12693" xr:uid="{00000000-0005-0000-0000-000050090000}"/>
    <cellStyle name="Comma 2 3 4 2 3 2" xfId="25739" xr:uid="{92B952FF-4F0F-48F3-BF11-1CDBCF42EB1E}"/>
    <cellStyle name="Comma 2 3 4 2 3 3" xfId="20079" xr:uid="{173F153B-8F60-4B62-B05A-D83F520A7065}"/>
    <cellStyle name="Comma 2 3 4 2 3 4" xfId="34959" xr:uid="{368D2000-4F77-47FE-9DAA-A8BE1CE6C404}"/>
    <cellStyle name="Comma 2 3 4 2 4" xfId="34957" xr:uid="{E52D6022-4F2B-47CE-8DDC-4B24017395D2}"/>
    <cellStyle name="Comma 2 3 4 3" xfId="5761" xr:uid="{00000000-0005-0000-0000-000051090000}"/>
    <cellStyle name="Comma 2 3 4 3 2" xfId="23438" xr:uid="{336FAE85-825B-4EB3-ABE2-5B55A6DE38FA}"/>
    <cellStyle name="Comma 2 3 4 3 3" xfId="17778" xr:uid="{5E97B324-BF46-45BF-B79E-B06A313C80E5}"/>
    <cellStyle name="Comma 2 3 4 3 4" xfId="29099" xr:uid="{D502DB78-0612-4B8D-8F0C-0747444B20BA}"/>
    <cellStyle name="Comma 2 3 4 3 5" xfId="34960" xr:uid="{657D91F1-C1B6-4C4D-BA83-54860FC02952}"/>
    <cellStyle name="Comma 2 3 4 4" xfId="12408" xr:uid="{00000000-0005-0000-0000-000052090000}"/>
    <cellStyle name="Comma 2 3 4 4 2" xfId="25701" xr:uid="{64642777-8AC1-40BB-9561-21ECCF2334F7}"/>
    <cellStyle name="Comma 2 3 4 4 3" xfId="20041" xr:uid="{57531C49-CFBE-426C-9FA8-6823B9C7EBB4}"/>
    <cellStyle name="Comma 2 3 4 4 4" xfId="34961" xr:uid="{AD78EF3F-E15A-4AEE-9E39-752AE52705D9}"/>
    <cellStyle name="Comma 2 3 4 5" xfId="34956" xr:uid="{1B9C4CA5-EF3F-4431-BAC5-3969F422DD3B}"/>
    <cellStyle name="Comma 2 3 5" xfId="81" xr:uid="{00000000-0005-0000-0000-000053090000}"/>
    <cellStyle name="Comma 2 3 5 2" xfId="5762" xr:uid="{00000000-0005-0000-0000-000054090000}"/>
    <cellStyle name="Comma 2 3 5 2 2" xfId="23439" xr:uid="{60A00978-86DB-4AB5-8AF7-D79366837901}"/>
    <cellStyle name="Comma 2 3 5 2 3" xfId="17779" xr:uid="{72CC8163-83AB-4ED9-B3FA-5A92D8556E0E}"/>
    <cellStyle name="Comma 2 3 5 2 4" xfId="29100" xr:uid="{8B90D4D7-676B-4599-86A1-DE08A7A36042}"/>
    <cellStyle name="Comma 2 3 5 2 5" xfId="34963" xr:uid="{2A86C6B7-3967-4D35-B777-5A92ECFF5055}"/>
    <cellStyle name="Comma 2 3 5 3" xfId="12409" xr:uid="{00000000-0005-0000-0000-000055090000}"/>
    <cellStyle name="Comma 2 3 5 3 2" xfId="25702" xr:uid="{35DFD7D8-4518-47AE-86FA-B680BB75C493}"/>
    <cellStyle name="Comma 2 3 5 3 3" xfId="20042" xr:uid="{B114E022-EBF7-4E72-BD85-0A513DD8E1AD}"/>
    <cellStyle name="Comma 2 3 5 3 4" xfId="34964" xr:uid="{1E7F4CBE-937F-4A0E-B5D3-AF279AD86E8C}"/>
    <cellStyle name="Comma 2 3 5 4" xfId="34962" xr:uid="{21ED1986-E487-4B08-9132-E796BDF724E0}"/>
    <cellStyle name="Comma 2 3 6" xfId="291" xr:uid="{00000000-0005-0000-0000-000056090000}"/>
    <cellStyle name="Comma 2 3 6 2" xfId="1507" xr:uid="{00000000-0005-0000-0000-000057090000}"/>
    <cellStyle name="Comma 2 3 6 2 2" xfId="5913" xr:uid="{00000000-0005-0000-0000-000058090000}"/>
    <cellStyle name="Comma 2 3 6 2 2 2" xfId="23505" xr:uid="{ACBF4F13-BFBA-4064-BD39-34835C6EDBC1}"/>
    <cellStyle name="Comma 2 3 6 2 2 3" xfId="17845" xr:uid="{F5656F13-FA6B-4BDE-8ED2-3511186396D6}"/>
    <cellStyle name="Comma 2 3 6 2 2 4" xfId="29166" xr:uid="{A741B00F-0380-401A-9E61-DC2F4CB4CE55}"/>
    <cellStyle name="Comma 2 3 6 2 2 5" xfId="34967" xr:uid="{FD56E2EC-8A2E-4854-AE67-BBECC2E70D66}"/>
    <cellStyle name="Comma 2 3 6 2 3" xfId="12694" xr:uid="{00000000-0005-0000-0000-000059090000}"/>
    <cellStyle name="Comma 2 3 6 2 3 2" xfId="25740" xr:uid="{E736B2C3-6990-4481-A4DE-CFD392FE63BB}"/>
    <cellStyle name="Comma 2 3 6 2 3 3" xfId="20080" xr:uid="{DC98B759-67DC-4AC3-A823-2E7B18768822}"/>
    <cellStyle name="Comma 2 3 6 2 3 4" xfId="34968" xr:uid="{6BD573B8-BC99-41D4-A908-4F6ECE6780B4}"/>
    <cellStyle name="Comma 2 3 6 2 4" xfId="34966" xr:uid="{A66BE6A4-481A-468D-A941-0CF3041CCF24}"/>
    <cellStyle name="Comma 2 3 6 3" xfId="5912" xr:uid="{00000000-0005-0000-0000-00005A090000}"/>
    <cellStyle name="Comma 2 3 6 3 2" xfId="23504" xr:uid="{C03D730C-B718-4028-AC8A-370459BDD447}"/>
    <cellStyle name="Comma 2 3 6 3 3" xfId="17844" xr:uid="{CDE3B5C3-C250-49D1-A5E9-26F6B3EC6C6D}"/>
    <cellStyle name="Comma 2 3 6 3 4" xfId="29165" xr:uid="{EB5CB3C1-04D8-4F00-B0CD-6B18410D3960}"/>
    <cellStyle name="Comma 2 3 6 3 5" xfId="34969" xr:uid="{CD2CB725-9F9F-4821-9995-D32633B76320}"/>
    <cellStyle name="Comma 2 3 6 4" xfId="12474" xr:uid="{00000000-0005-0000-0000-00005B090000}"/>
    <cellStyle name="Comma 2 3 6 4 2" xfId="25714" xr:uid="{216505E7-F332-4E05-8D10-92FB9CB5862A}"/>
    <cellStyle name="Comma 2 3 6 4 3" xfId="20054" xr:uid="{D281267E-4EB5-436D-B890-15925AFD73FD}"/>
    <cellStyle name="Comma 2 3 6 4 4" xfId="34970" xr:uid="{4A11820D-B126-436E-B661-FAE1827AF547}"/>
    <cellStyle name="Comma 2 3 6 5" xfId="34965" xr:uid="{AFCC0C0D-5F88-488D-9C48-858F3DBA8D7A}"/>
    <cellStyle name="Comma 2 3 7" xfId="3867" xr:uid="{00000000-0005-0000-0000-00005C090000}"/>
    <cellStyle name="Comma 2 3 8" xfId="5754" xr:uid="{00000000-0005-0000-0000-00005D090000}"/>
    <cellStyle name="Comma 2 3 8 2" xfId="14360" xr:uid="{00000000-0005-0000-0000-00005E090000}"/>
    <cellStyle name="Comma 2 3 8 2 2" xfId="26360" xr:uid="{5D8AD2DD-D585-451F-ACDF-5FAEEFEF8467}"/>
    <cellStyle name="Comma 2 3 8 2 3" xfId="20700" xr:uid="{F8BCFCEB-B5D0-42E2-8918-2A705DE28DD1}"/>
    <cellStyle name="Comma 2 3 8 2 4" xfId="31740" xr:uid="{7600CB0A-D29B-4608-BBFA-7D2C4816FAD5}"/>
    <cellStyle name="Comma 2 3 8 2 5" xfId="34972" xr:uid="{E4E02A71-D083-47C2-998E-9FB274CE6759}"/>
    <cellStyle name="Comma 2 3 8 3" xfId="9572" xr:uid="{00000000-0005-0000-0000-00005F090000}"/>
    <cellStyle name="Comma 2 3 8 3 2" xfId="25632" xr:uid="{3FE79A12-BEF2-42EF-A1FD-9D7B54547D10}"/>
    <cellStyle name="Comma 2 3 8 3 3" xfId="19972" xr:uid="{FE0B1462-C6B1-449E-8CC5-817A29EBC913}"/>
    <cellStyle name="Comma 2 3 8 3 4" xfId="34973" xr:uid="{A0A74E3C-4E82-45D2-BACF-8977D55BD9AD}"/>
    <cellStyle name="Comma 2 3 8 4" xfId="23431" xr:uid="{888D0F4A-8121-4C88-98C1-24935BAA3D20}"/>
    <cellStyle name="Comma 2 3 8 5" xfId="17771" xr:uid="{CAEF93B1-7497-4BBF-9EDE-1420BF081014}"/>
    <cellStyle name="Comma 2 3 8 6" xfId="29092" xr:uid="{913DF06D-445F-4E7F-B815-4C5A8EC02D57}"/>
    <cellStyle name="Comma 2 3 8 7" xfId="34971" xr:uid="{E729ADAE-4EF5-4EBF-81A7-41D84CC0A4C2}"/>
    <cellStyle name="Comma 2 3 9" xfId="34914" xr:uid="{5322C5C4-59FA-4C8F-8692-56224212A733}"/>
    <cellStyle name="Comma 2 4" xfId="82" xr:uid="{00000000-0005-0000-0000-000060090000}"/>
    <cellStyle name="Comma 2 4 10" xfId="34974" xr:uid="{BB4B4D8B-3102-4396-9AFC-30B639F0A755}"/>
    <cellStyle name="Comma 2 4 2" xfId="83" xr:uid="{00000000-0005-0000-0000-000061090000}"/>
    <cellStyle name="Comma 2 4 2 2" xfId="5764" xr:uid="{00000000-0005-0000-0000-000062090000}"/>
    <cellStyle name="Comma 2 4 2 2 2" xfId="14362" xr:uid="{00000000-0005-0000-0000-000063090000}"/>
    <cellStyle name="Comma 2 4 2 2 2 2" xfId="26362" xr:uid="{228A988E-C15C-4021-BBDA-3E0ED412BEC7}"/>
    <cellStyle name="Comma 2 4 2 2 2 3" xfId="20702" xr:uid="{74E40187-9EA5-48BD-8CAA-CDE27A51DE57}"/>
    <cellStyle name="Comma 2 4 2 2 2 4" xfId="31742" xr:uid="{E0AD5933-1CEA-4F73-99B3-E8C814D1DA82}"/>
    <cellStyle name="Comma 2 4 2 2 2 5" xfId="34977" xr:uid="{09968765-86B1-453B-A54D-0BC2BF0FF1DA}"/>
    <cellStyle name="Comma 2 4 2 2 3" xfId="9575" xr:uid="{00000000-0005-0000-0000-000064090000}"/>
    <cellStyle name="Comma 2 4 2 2 4" xfId="23441" xr:uid="{BA2056B4-07A8-4C1B-8C44-B6012F7056AB}"/>
    <cellStyle name="Comma 2 4 2 2 5" xfId="17781" xr:uid="{6A329A10-0194-4D8E-9962-94DC45A180B9}"/>
    <cellStyle name="Comma 2 4 2 2 6" xfId="29102" xr:uid="{49E3CD76-2A66-41E1-8D53-B77E2A332E43}"/>
    <cellStyle name="Comma 2 4 2 2 7" xfId="34976" xr:uid="{E30D2875-A6B3-4E00-B8CF-17D108FD9F51}"/>
    <cellStyle name="Comma 2 4 2 3" xfId="12410" xr:uid="{00000000-0005-0000-0000-000065090000}"/>
    <cellStyle name="Comma 2 4 2 3 2" xfId="25703" xr:uid="{27EABDBF-8D82-440B-8E4B-C5C9A609FC0E}"/>
    <cellStyle name="Comma 2 4 2 3 3" xfId="20043" xr:uid="{94FD2402-A07D-4F01-8D5D-81BB9514C5CB}"/>
    <cellStyle name="Comma 2 4 2 3 4" xfId="34978" xr:uid="{1C11C75B-17BA-4702-B240-2D1D55FF9FF8}"/>
    <cellStyle name="Comma 2 4 2 4" xfId="34979" xr:uid="{65B1698B-CBA0-481D-B3AD-EC41FF5DFAD2}"/>
    <cellStyle name="Comma 2 4 2 5" xfId="34975" xr:uid="{2A0FD4E8-7F0E-460B-8DAD-0FF08E18DD0E}"/>
    <cellStyle name="Comma 2 4 3" xfId="84" xr:uid="{00000000-0005-0000-0000-000066090000}"/>
    <cellStyle name="Comma 2 4 3 2" xfId="5765" xr:uid="{00000000-0005-0000-0000-000067090000}"/>
    <cellStyle name="Comma 2 4 3 2 2" xfId="14363" xr:uid="{00000000-0005-0000-0000-000068090000}"/>
    <cellStyle name="Comma 2 4 3 2 2 2" xfId="26363" xr:uid="{AC7D323F-7089-439C-940D-7D5E5CFFAB0E}"/>
    <cellStyle name="Comma 2 4 3 2 2 3" xfId="20703" xr:uid="{F5889DB3-BE7D-43ED-AA3F-B257042C2E18}"/>
    <cellStyle name="Comma 2 4 3 2 2 4" xfId="31743" xr:uid="{2AA276CE-F8D8-4084-986E-A1FF2061D595}"/>
    <cellStyle name="Comma 2 4 3 2 2 5" xfId="34982" xr:uid="{3F3D2C09-9614-4C98-9874-526A1D848021}"/>
    <cellStyle name="Comma 2 4 3 2 3" xfId="9576" xr:uid="{00000000-0005-0000-0000-000069090000}"/>
    <cellStyle name="Comma 2 4 3 2 3 2" xfId="25634" xr:uid="{26AF3760-EDC2-44FF-A398-E69038C06503}"/>
    <cellStyle name="Comma 2 4 3 2 3 3" xfId="19974" xr:uid="{D985C77C-BAA0-432A-B646-7CACDCC16F5F}"/>
    <cellStyle name="Comma 2 4 3 2 3 4" xfId="34983" xr:uid="{B14D5021-2AE0-435A-8139-1B4B135A0501}"/>
    <cellStyle name="Comma 2 4 3 2 4" xfId="23442" xr:uid="{69995466-561A-4531-B29F-6BCAF0D429E7}"/>
    <cellStyle name="Comma 2 4 3 2 5" xfId="17782" xr:uid="{29D6DE9D-1B27-40F7-858B-097A7D52BD6B}"/>
    <cellStyle name="Comma 2 4 3 2 6" xfId="29103" xr:uid="{3CE48395-BF62-49DE-98A0-A009227232FC}"/>
    <cellStyle name="Comma 2 4 3 2 7" xfId="34981" xr:uid="{A893E56B-505F-4D18-B5D7-EADBADCF0CB0}"/>
    <cellStyle name="Comma 2 4 3 3" xfId="34980" xr:uid="{8E8D641F-A02A-491E-89C0-35C907559EBE}"/>
    <cellStyle name="Comma 2 4 4" xfId="294" xr:uid="{00000000-0005-0000-0000-00006A090000}"/>
    <cellStyle name="Comma 2 4 4 2" xfId="1509" xr:uid="{00000000-0005-0000-0000-00006B090000}"/>
    <cellStyle name="Comma 2 4 4 2 2" xfId="5915" xr:uid="{00000000-0005-0000-0000-00006C090000}"/>
    <cellStyle name="Comma 2 4 4 2 2 2" xfId="23507" xr:uid="{E3503682-8980-4CC2-8D03-1334AB9B684B}"/>
    <cellStyle name="Comma 2 4 4 2 2 3" xfId="17847" xr:uid="{E7711E3C-6672-480A-BA44-47390858C414}"/>
    <cellStyle name="Comma 2 4 4 2 2 4" xfId="29168" xr:uid="{3D5A2A38-91D2-4446-A8F1-7DB76C7A9A8F}"/>
    <cellStyle name="Comma 2 4 4 2 2 5" xfId="34986" xr:uid="{FF57E154-3FC9-4A80-A14E-E5A57458FCC5}"/>
    <cellStyle name="Comma 2 4 4 2 3" xfId="12696" xr:uid="{00000000-0005-0000-0000-00006D090000}"/>
    <cellStyle name="Comma 2 4 4 2 3 2" xfId="25742" xr:uid="{F85C9D95-85FE-4584-9AC0-2F189027E12E}"/>
    <cellStyle name="Comma 2 4 4 2 3 3" xfId="20082" xr:uid="{EDD20A85-07D9-4B98-BC18-32BF0D9B338D}"/>
    <cellStyle name="Comma 2 4 4 2 3 4" xfId="34987" xr:uid="{5D27E30B-2B76-4410-BC1A-FF24A0187246}"/>
    <cellStyle name="Comma 2 4 4 2 4" xfId="34985" xr:uid="{03F30B27-328F-4F19-93FE-635004A0FBDF}"/>
    <cellStyle name="Comma 2 4 4 3" xfId="1510" xr:uid="{00000000-0005-0000-0000-00006E090000}"/>
    <cellStyle name="Comma 2 4 4 3 2" xfId="5916" xr:uid="{00000000-0005-0000-0000-00006F090000}"/>
    <cellStyle name="Comma 2 4 4 3 2 2" xfId="23508" xr:uid="{911B946E-D391-4746-89C7-7E59435EC787}"/>
    <cellStyle name="Comma 2 4 4 3 2 3" xfId="17848" xr:uid="{4A8E407C-EEC6-4B88-A2ED-F3040F46597F}"/>
    <cellStyle name="Comma 2 4 4 3 2 4" xfId="29169" xr:uid="{3A98D519-C0A0-4C5F-A700-91A2F8FFE092}"/>
    <cellStyle name="Comma 2 4 4 3 2 5" xfId="34989" xr:uid="{233166E9-CBDA-4233-94A7-B9F2EF5B4C01}"/>
    <cellStyle name="Comma 2 4 4 3 3" xfId="12697" xr:uid="{00000000-0005-0000-0000-000070090000}"/>
    <cellStyle name="Comma 2 4 4 3 3 2" xfId="25743" xr:uid="{59907574-A54E-4409-82AB-0A82835A4DB9}"/>
    <cellStyle name="Comma 2 4 4 3 3 3" xfId="20083" xr:uid="{B64953D3-5B11-4C5A-A671-A2E846F48816}"/>
    <cellStyle name="Comma 2 4 4 3 3 4" xfId="34990" xr:uid="{73D919C5-2666-4984-A626-F949AAC69609}"/>
    <cellStyle name="Comma 2 4 4 3 4" xfId="34988" xr:uid="{04B74311-2231-40BB-979E-0F3D7F7447E8}"/>
    <cellStyle name="Comma 2 4 4 4" xfId="1508" xr:uid="{00000000-0005-0000-0000-000071090000}"/>
    <cellStyle name="Comma 2 4 4 4 2" xfId="5917" xr:uid="{00000000-0005-0000-0000-000072090000}"/>
    <cellStyle name="Comma 2 4 4 4 2 2" xfId="23509" xr:uid="{89AF84D0-EED2-4327-90DC-04948EE3329F}"/>
    <cellStyle name="Comma 2 4 4 4 2 3" xfId="17849" xr:uid="{1980BC17-6B06-4D7A-AAA5-6ACC9CA31EEF}"/>
    <cellStyle name="Comma 2 4 4 4 2 4" xfId="29170" xr:uid="{B7F604CE-44D0-47BE-B0E4-CE21431D355E}"/>
    <cellStyle name="Comma 2 4 4 4 2 5" xfId="34992" xr:uid="{E033C53E-FAFF-4D0E-9D65-F7EE21878288}"/>
    <cellStyle name="Comma 2 4 4 4 3" xfId="12695" xr:uid="{00000000-0005-0000-0000-000073090000}"/>
    <cellStyle name="Comma 2 4 4 4 3 2" xfId="25741" xr:uid="{92E0FD18-DF76-4E84-9ACD-D1525E00C908}"/>
    <cellStyle name="Comma 2 4 4 4 3 3" xfId="20081" xr:uid="{9B8B50C9-BC55-48F4-BBAA-3392126C6124}"/>
    <cellStyle name="Comma 2 4 4 4 3 4" xfId="34993" xr:uid="{466CD624-D61C-4984-A9A6-3719F59D3B00}"/>
    <cellStyle name="Comma 2 4 4 4 4" xfId="34991" xr:uid="{9845013F-147D-4910-BEA1-AA597B3D38EE}"/>
    <cellStyle name="Comma 2 4 4 5" xfId="5914" xr:uid="{00000000-0005-0000-0000-000074090000}"/>
    <cellStyle name="Comma 2 4 4 5 2" xfId="23506" xr:uid="{1F3B9C0E-F3F1-479D-826C-B47FE5F8E4A9}"/>
    <cellStyle name="Comma 2 4 4 5 3" xfId="17846" xr:uid="{D92760B0-9C19-42BF-801C-601E8CA95749}"/>
    <cellStyle name="Comma 2 4 4 5 4" xfId="29167" xr:uid="{6BDCF329-3539-41C5-A838-1ED0FFB14782}"/>
    <cellStyle name="Comma 2 4 4 5 5" xfId="34994" xr:uid="{F1E4C1B8-9592-4EBA-8254-5AA722DFDDFA}"/>
    <cellStyle name="Comma 2 4 4 6" xfId="12477" xr:uid="{00000000-0005-0000-0000-000075090000}"/>
    <cellStyle name="Comma 2 4 4 6 2" xfId="25717" xr:uid="{7D279C11-2112-4457-B3A6-3250776EDE19}"/>
    <cellStyle name="Comma 2 4 4 6 3" xfId="20057" xr:uid="{2970DB45-FA9D-469A-AD35-D3BD64C3A272}"/>
    <cellStyle name="Comma 2 4 4 6 4" xfId="34995" xr:uid="{91FA5590-AF4D-44BF-8519-51D8D80E46B1}"/>
    <cellStyle name="Comma 2 4 4 7" xfId="34984" xr:uid="{11435FC5-EF3B-4EC9-B77B-61B18D020A26}"/>
    <cellStyle name="Comma 2 4 5" xfId="1511" xr:uid="{00000000-0005-0000-0000-000076090000}"/>
    <cellStyle name="Comma 2 4 5 2" xfId="5918" xr:uid="{00000000-0005-0000-0000-000077090000}"/>
    <cellStyle name="Comma 2 4 5 2 2" xfId="23510" xr:uid="{8F110F4B-43BF-4F29-97CC-4225C43E9ABF}"/>
    <cellStyle name="Comma 2 4 5 2 3" xfId="17850" xr:uid="{F94108D5-B09E-4FA6-BF65-AFF1A5ED4973}"/>
    <cellStyle name="Comma 2 4 5 2 4" xfId="29171" xr:uid="{CD888E12-8350-41F1-AFF4-45F76A2BD298}"/>
    <cellStyle name="Comma 2 4 5 2 5" xfId="34997" xr:uid="{3889D00B-2270-4CF9-85F3-0F44C18A1D65}"/>
    <cellStyle name="Comma 2 4 5 3" xfId="12698" xr:uid="{00000000-0005-0000-0000-000078090000}"/>
    <cellStyle name="Comma 2 4 5 3 2" xfId="25744" xr:uid="{50EBFD3B-B4F4-4B24-A52A-DA5017411DE7}"/>
    <cellStyle name="Comma 2 4 5 3 3" xfId="20084" xr:uid="{9331F15C-58D8-4837-9EDE-C1022710C67E}"/>
    <cellStyle name="Comma 2 4 5 3 4" xfId="34998" xr:uid="{8A321D0F-3198-4BF6-AD73-2BA3D4F5DBE7}"/>
    <cellStyle name="Comma 2 4 5 4" xfId="34996" xr:uid="{C25B7F17-75CA-4861-8335-DF317AB4A44D}"/>
    <cellStyle name="Comma 2 4 6" xfId="3868" xr:uid="{00000000-0005-0000-0000-000079090000}"/>
    <cellStyle name="Comma 2 4 7" xfId="5763" xr:uid="{00000000-0005-0000-0000-00007A090000}"/>
    <cellStyle name="Comma 2 4 7 2" xfId="23440" xr:uid="{423F5190-6290-403D-9A5A-D056D386A2DC}"/>
    <cellStyle name="Comma 2 4 7 3" xfId="17780" xr:uid="{1EC49AC9-3017-460F-A072-E097EE9BCB8E}"/>
    <cellStyle name="Comma 2 4 7 4" xfId="29101" xr:uid="{9D466080-0F5B-4136-BCFF-A99987292EC5}"/>
    <cellStyle name="Comma 2 4 7 5" xfId="34999" xr:uid="{6C765837-7D71-478B-92A5-558C1F1ACC08}"/>
    <cellStyle name="Comma 2 4 8" xfId="9574" xr:uid="{00000000-0005-0000-0000-00007B090000}"/>
    <cellStyle name="Comma 2 4 8 2" xfId="25633" xr:uid="{18AF515F-C853-471F-B886-E86204088E9B}"/>
    <cellStyle name="Comma 2 4 8 3" xfId="19973" xr:uid="{C7751C81-E1BB-4162-B1B4-CC510953B67E}"/>
    <cellStyle name="Comma 2 4 8 4" xfId="35000" xr:uid="{2D473E35-65CD-49EF-BF94-1FBD0095E8DA}"/>
    <cellStyle name="Comma 2 4 9" xfId="35001" xr:uid="{41D7A961-CCD0-454E-AA21-69344890C9B4}"/>
    <cellStyle name="Comma 2 5" xfId="85" xr:uid="{00000000-0005-0000-0000-00007C090000}"/>
    <cellStyle name="Comma 2 5 2" xfId="86" xr:uid="{00000000-0005-0000-0000-00007D090000}"/>
    <cellStyle name="Comma 2 5 2 2" xfId="5767" xr:uid="{00000000-0005-0000-0000-00007E090000}"/>
    <cellStyle name="Comma 2 5 2 2 2" xfId="23444" xr:uid="{74FD6A9E-7013-4A64-8D67-1EEEECC5F15E}"/>
    <cellStyle name="Comma 2 5 2 2 3" xfId="17784" xr:uid="{CE111B4B-CC8C-4B8F-A7AC-540A1DA64E80}"/>
    <cellStyle name="Comma 2 5 2 2 4" xfId="29105" xr:uid="{A7727440-72FC-4AFC-A588-154EE351326C}"/>
    <cellStyle name="Comma 2 5 2 2 5" xfId="35004" xr:uid="{D8D6A2F2-74A6-40F8-8B8A-52BB837329D3}"/>
    <cellStyle name="Comma 2 5 2 3" xfId="12412" xr:uid="{00000000-0005-0000-0000-00007F090000}"/>
    <cellStyle name="Comma 2 5 2 3 2" xfId="25705" xr:uid="{B30AAFF9-220D-40EF-AC9C-EF0D5F857298}"/>
    <cellStyle name="Comma 2 5 2 3 3" xfId="20045" xr:uid="{1ED0B56C-D74A-4FF2-9E1E-6E92A6509840}"/>
    <cellStyle name="Comma 2 5 2 3 4" xfId="35005" xr:uid="{43BDEAA2-2574-4F6B-AF49-EFCFD52485F5}"/>
    <cellStyle name="Comma 2 5 2 4" xfId="35003" xr:uid="{54499AD4-D2D7-40CB-892F-913333FA66A8}"/>
    <cellStyle name="Comma 2 5 3" xfId="87" xr:uid="{00000000-0005-0000-0000-000080090000}"/>
    <cellStyle name="Comma 2 5 3 2" xfId="5768" xr:uid="{00000000-0005-0000-0000-000081090000}"/>
    <cellStyle name="Comma 2 5 3 2 2" xfId="23445" xr:uid="{A0DF1051-D4A0-4EC9-BEDB-FF2A8238828A}"/>
    <cellStyle name="Comma 2 5 3 2 3" xfId="17785" xr:uid="{8C7E756E-58D6-40C5-B0CF-C70CC70E54C2}"/>
    <cellStyle name="Comma 2 5 3 2 4" xfId="29106" xr:uid="{DE3F3FA0-B1EE-43A2-B2EC-4380AA9352E4}"/>
    <cellStyle name="Comma 2 5 3 2 5" xfId="35007" xr:uid="{1F2F2D1D-BA99-4ADE-87F6-877DDEC4766B}"/>
    <cellStyle name="Comma 2 5 3 3" xfId="12413" xr:uid="{00000000-0005-0000-0000-000082090000}"/>
    <cellStyle name="Comma 2 5 3 3 2" xfId="25706" xr:uid="{FD026173-FC57-40A7-B421-ED62FC36F222}"/>
    <cellStyle name="Comma 2 5 3 3 3" xfId="20046" xr:uid="{AB220F2D-D7E3-45E6-B445-16A03EE495DC}"/>
    <cellStyle name="Comma 2 5 3 3 4" xfId="35008" xr:uid="{0B001CDE-9AFB-4BCD-824B-E4BC01129CF3}"/>
    <cellStyle name="Comma 2 5 3 4" xfId="35006" xr:uid="{F7E1EE08-25B3-4971-8F4E-A97F0F5216DF}"/>
    <cellStyle name="Comma 2 5 4" xfId="295" xr:uid="{00000000-0005-0000-0000-000083090000}"/>
    <cellStyle name="Comma 2 5 4 2" xfId="1512" xr:uid="{00000000-0005-0000-0000-000084090000}"/>
    <cellStyle name="Comma 2 5 4 2 2" xfId="5920" xr:uid="{00000000-0005-0000-0000-000085090000}"/>
    <cellStyle name="Comma 2 5 4 2 2 2" xfId="23512" xr:uid="{311F2654-F57D-45DC-BB0F-0D834BEA1257}"/>
    <cellStyle name="Comma 2 5 4 2 2 3" xfId="17852" xr:uid="{A64BF248-81C1-49E7-942A-140F122B7870}"/>
    <cellStyle name="Comma 2 5 4 2 2 4" xfId="29173" xr:uid="{9B178DDE-C8FC-4BD3-8038-CC41B40A86C2}"/>
    <cellStyle name="Comma 2 5 4 2 2 5" xfId="35011" xr:uid="{807AFBCE-4C00-4A68-893F-49CF0C91BA35}"/>
    <cellStyle name="Comma 2 5 4 2 3" xfId="12699" xr:uid="{00000000-0005-0000-0000-000086090000}"/>
    <cellStyle name="Comma 2 5 4 2 3 2" xfId="25745" xr:uid="{B27F40A7-AFB4-4420-86B3-985EE79BFA66}"/>
    <cellStyle name="Comma 2 5 4 2 3 3" xfId="20085" xr:uid="{C8AE5EDB-EFC1-4065-B1DC-F605771C0BD6}"/>
    <cellStyle name="Comma 2 5 4 2 3 4" xfId="35012" xr:uid="{8E014630-A1D3-4A79-9EF2-BCEB28234741}"/>
    <cellStyle name="Comma 2 5 4 2 4" xfId="35010" xr:uid="{0B9F7DEC-F260-41C4-A002-179AB74B8A2B}"/>
    <cellStyle name="Comma 2 5 4 3" xfId="5919" xr:uid="{00000000-0005-0000-0000-000087090000}"/>
    <cellStyle name="Comma 2 5 4 3 2" xfId="23511" xr:uid="{1886EE3C-A824-4F8B-8012-0DEDF452A1F7}"/>
    <cellStyle name="Comma 2 5 4 3 3" xfId="17851" xr:uid="{9B97E630-D70F-4750-8BAC-207251687D3F}"/>
    <cellStyle name="Comma 2 5 4 3 4" xfId="29172" xr:uid="{9B47E697-1DAF-4A37-A31A-824248427B4E}"/>
    <cellStyle name="Comma 2 5 4 3 5" xfId="35013" xr:uid="{FFD649BD-4050-4F0E-8E94-E6F2A9E56349}"/>
    <cellStyle name="Comma 2 5 4 4" xfId="12478" xr:uid="{00000000-0005-0000-0000-000088090000}"/>
    <cellStyle name="Comma 2 5 4 4 2" xfId="25718" xr:uid="{8A272C49-341D-4EB4-A3CC-5175F51C13B6}"/>
    <cellStyle name="Comma 2 5 4 4 3" xfId="20058" xr:uid="{15D44714-D75A-47D7-A99A-73A3B76D22D3}"/>
    <cellStyle name="Comma 2 5 4 4 4" xfId="35014" xr:uid="{EC9426FB-56F5-4A14-A534-6F541141F58A}"/>
    <cellStyle name="Comma 2 5 4 5" xfId="35009" xr:uid="{B5825341-49BD-4CB7-9939-2A148A82C28C}"/>
    <cellStyle name="Comma 2 5 5" xfId="3869" xr:uid="{00000000-0005-0000-0000-000089090000}"/>
    <cellStyle name="Comma 2 5 6" xfId="5766" xr:uid="{00000000-0005-0000-0000-00008A090000}"/>
    <cellStyle name="Comma 2 5 6 2" xfId="23443" xr:uid="{9A040ADF-1249-44D8-A2B3-519771C32F03}"/>
    <cellStyle name="Comma 2 5 6 3" xfId="17783" xr:uid="{EA3F76ED-C27C-44C9-B9AC-14E6A1B58DC2}"/>
    <cellStyle name="Comma 2 5 6 4" xfId="29104" xr:uid="{BD389BA7-9D14-487B-9BAD-4DE96891263E}"/>
    <cellStyle name="Comma 2 5 6 5" xfId="35015" xr:uid="{2D2D7C09-D577-433C-8909-4984DC88017A}"/>
    <cellStyle name="Comma 2 5 7" xfId="12411" xr:uid="{00000000-0005-0000-0000-00008B090000}"/>
    <cellStyle name="Comma 2 5 7 2" xfId="25704" xr:uid="{372B513A-B3B8-4AAB-9E0D-87DBC6A9EAB2}"/>
    <cellStyle name="Comma 2 5 7 3" xfId="20044" xr:uid="{F7EB1DA3-3F76-4A92-9DE9-A7F7D9C26E29}"/>
    <cellStyle name="Comma 2 5 7 4" xfId="35016" xr:uid="{24A7AFC5-A6F4-49EA-B2E3-E33461C60064}"/>
    <cellStyle name="Comma 2 5 8" xfId="35017" xr:uid="{C01FD929-4CD9-4B44-ACBE-0440C953EAA5}"/>
    <cellStyle name="Comma 2 5 9" xfId="35002" xr:uid="{7C25FF50-84EC-46A9-AB12-170740053048}"/>
    <cellStyle name="Comma 2 6" xfId="88" xr:uid="{00000000-0005-0000-0000-00008C090000}"/>
    <cellStyle name="Comma 2 6 2" xfId="296" xr:uid="{00000000-0005-0000-0000-00008D090000}"/>
    <cellStyle name="Comma 2 6 2 2" xfId="1513" xr:uid="{00000000-0005-0000-0000-00008E090000}"/>
    <cellStyle name="Comma 2 6 2 2 2" xfId="5922" xr:uid="{00000000-0005-0000-0000-00008F090000}"/>
    <cellStyle name="Comma 2 6 2 2 2 2" xfId="23514" xr:uid="{DE471BB8-5771-47C0-86E3-DF925EE79D63}"/>
    <cellStyle name="Comma 2 6 2 2 2 3" xfId="17854" xr:uid="{E6D0307C-EFA2-47F9-9679-56C4C7C41AE1}"/>
    <cellStyle name="Comma 2 6 2 2 2 4" xfId="29175" xr:uid="{DD29249E-5EF0-4630-9145-ED0BFD60DAA7}"/>
    <cellStyle name="Comma 2 6 2 2 2 5" xfId="35021" xr:uid="{FA61A257-FA4E-41C6-8F5A-E3C223F8F5AF}"/>
    <cellStyle name="Comma 2 6 2 2 3" xfId="12700" xr:uid="{00000000-0005-0000-0000-000090090000}"/>
    <cellStyle name="Comma 2 6 2 2 3 2" xfId="25746" xr:uid="{89D7BC8F-CF9B-465B-ABF8-2DF7DD304FE1}"/>
    <cellStyle name="Comma 2 6 2 2 3 3" xfId="20086" xr:uid="{DE2ACD28-5302-44F8-9028-E04495A6031B}"/>
    <cellStyle name="Comma 2 6 2 2 3 4" xfId="35022" xr:uid="{E8195DB8-1987-41F9-B82A-B3A7B0ED4D16}"/>
    <cellStyle name="Comma 2 6 2 2 4" xfId="35020" xr:uid="{6A45C120-B2C9-431E-8DF0-D78E36031D08}"/>
    <cellStyle name="Comma 2 6 2 3" xfId="5921" xr:uid="{00000000-0005-0000-0000-000091090000}"/>
    <cellStyle name="Comma 2 6 2 3 2" xfId="23513" xr:uid="{F2171531-502A-44CE-8D01-39BC46EC98B1}"/>
    <cellStyle name="Comma 2 6 2 3 3" xfId="17853" xr:uid="{1018096E-6F5A-414C-A374-C3763A8E82FA}"/>
    <cellStyle name="Comma 2 6 2 3 4" xfId="29174" xr:uid="{7397BC05-F637-4D89-A9C1-2DB3538B5EF4}"/>
    <cellStyle name="Comma 2 6 2 3 5" xfId="35023" xr:uid="{125C9324-8AD6-43BA-9626-D23DAD549B1B}"/>
    <cellStyle name="Comma 2 6 2 4" xfId="12479" xr:uid="{00000000-0005-0000-0000-000092090000}"/>
    <cellStyle name="Comma 2 6 2 4 2" xfId="25719" xr:uid="{48A5970F-7C6B-4565-80D5-49E560313B34}"/>
    <cellStyle name="Comma 2 6 2 4 3" xfId="20059" xr:uid="{9557166D-EACD-42B6-93A1-819C08380C2F}"/>
    <cellStyle name="Comma 2 6 2 4 4" xfId="35024" xr:uid="{BFC7AD0B-EDA0-496E-B1B8-382F6516330F}"/>
    <cellStyle name="Comma 2 6 2 5" xfId="35025" xr:uid="{DDC21EDD-9E77-4B0E-9120-7BC025BDA7A4}"/>
    <cellStyle name="Comma 2 6 2 6" xfId="35019" xr:uid="{352524B4-A87C-4EBA-91D3-911C43B8690E}"/>
    <cellStyle name="Comma 2 6 3" xfId="3870" xr:uid="{00000000-0005-0000-0000-000093090000}"/>
    <cellStyle name="Comma 2 6 4" xfId="5769" xr:uid="{00000000-0005-0000-0000-000094090000}"/>
    <cellStyle name="Comma 2 6 4 2" xfId="23446" xr:uid="{A45227AB-6029-4051-94DD-8562FE369958}"/>
    <cellStyle name="Comma 2 6 4 3" xfId="17786" xr:uid="{BFBAB1E1-AD77-4BA2-B2B1-B9260A056BEF}"/>
    <cellStyle name="Comma 2 6 4 4" xfId="29107" xr:uid="{54EF9C55-EF52-4547-898F-1F42F667FDB4}"/>
    <cellStyle name="Comma 2 6 4 5" xfId="35026" xr:uid="{E5E15592-47AE-4995-8D2D-3831B6360639}"/>
    <cellStyle name="Comma 2 6 5" xfId="12414" xr:uid="{00000000-0005-0000-0000-000095090000}"/>
    <cellStyle name="Comma 2 6 5 2" xfId="25707" xr:uid="{7DD61C35-0FC7-4A51-A3AE-95C85E9870AF}"/>
    <cellStyle name="Comma 2 6 5 3" xfId="20047" xr:uid="{4A7620E8-FCF8-412F-8ED7-6298AB858EC7}"/>
    <cellStyle name="Comma 2 6 5 4" xfId="35027" xr:uid="{A84CCB72-5AFE-4916-8267-CB6A14CB5165}"/>
    <cellStyle name="Comma 2 6 6" xfId="35018" xr:uid="{D2BE9F1B-6395-422A-B399-31A9D4C1EE6B}"/>
    <cellStyle name="Comma 2 7" xfId="89" xr:uid="{00000000-0005-0000-0000-000096090000}"/>
    <cellStyle name="Comma 2 7 2" xfId="297" xr:uid="{00000000-0005-0000-0000-000097090000}"/>
    <cellStyle name="Comma 2 7 2 2" xfId="1514" xr:uid="{00000000-0005-0000-0000-000098090000}"/>
    <cellStyle name="Comma 2 7 2 2 2" xfId="5924" xr:uid="{00000000-0005-0000-0000-000099090000}"/>
    <cellStyle name="Comma 2 7 2 2 2 2" xfId="23516" xr:uid="{D2E467A2-C51D-439C-A40B-91D4162FC7C3}"/>
    <cellStyle name="Comma 2 7 2 2 2 3" xfId="17856" xr:uid="{32055AFD-C65D-45B7-962E-28CE95A74147}"/>
    <cellStyle name="Comma 2 7 2 2 2 4" xfId="29177" xr:uid="{0A3362E5-5EB9-46B4-B81D-118981B48AD7}"/>
    <cellStyle name="Comma 2 7 2 2 2 5" xfId="35031" xr:uid="{CE658473-BD74-41A9-8650-5203583E8FAF}"/>
    <cellStyle name="Comma 2 7 2 2 3" xfId="12701" xr:uid="{00000000-0005-0000-0000-00009A090000}"/>
    <cellStyle name="Comma 2 7 2 2 3 2" xfId="25747" xr:uid="{05672560-06A7-40F3-8491-B79D1A3584D8}"/>
    <cellStyle name="Comma 2 7 2 2 3 3" xfId="20087" xr:uid="{3691312C-23D8-412F-B555-2DA564E98EE9}"/>
    <cellStyle name="Comma 2 7 2 2 3 4" xfId="35032" xr:uid="{5A5C3FFC-A5A8-457E-91FD-2FBB05FE2077}"/>
    <cellStyle name="Comma 2 7 2 2 4" xfId="35030" xr:uid="{95F0F1EE-8BD1-46E0-A1BE-524F7572FE56}"/>
    <cellStyle name="Comma 2 7 2 3" xfId="5923" xr:uid="{00000000-0005-0000-0000-00009B090000}"/>
    <cellStyle name="Comma 2 7 2 3 2" xfId="23515" xr:uid="{CA09B390-FA05-4EEF-AB9B-2141797521D2}"/>
    <cellStyle name="Comma 2 7 2 3 3" xfId="17855" xr:uid="{259A9976-291D-4A59-8764-4A4C7FCE1F0E}"/>
    <cellStyle name="Comma 2 7 2 3 4" xfId="29176" xr:uid="{19FE04D4-4184-4D8A-8D48-D9DF1CF19056}"/>
    <cellStyle name="Comma 2 7 2 3 5" xfId="35033" xr:uid="{B05A28A7-4BE3-40AE-B223-0CDA86C57D30}"/>
    <cellStyle name="Comma 2 7 2 4" xfId="12480" xr:uid="{00000000-0005-0000-0000-00009C090000}"/>
    <cellStyle name="Comma 2 7 2 4 2" xfId="25720" xr:uid="{5567B818-8FAC-401D-BF38-DCCDF21FD13D}"/>
    <cellStyle name="Comma 2 7 2 4 3" xfId="20060" xr:uid="{3750D09A-B992-4837-9C55-B9A6D5BED49A}"/>
    <cellStyle name="Comma 2 7 2 4 4" xfId="35034" xr:uid="{0A558CA9-5165-4010-A9CD-1AD46F8CCAE3}"/>
    <cellStyle name="Comma 2 7 2 5" xfId="35029" xr:uid="{B1CB72F2-B525-4696-A9DD-A4B33374B614}"/>
    <cellStyle name="Comma 2 7 3" xfId="3871" xr:uid="{00000000-0005-0000-0000-00009D090000}"/>
    <cellStyle name="Comma 2 7 4" xfId="5770" xr:uid="{00000000-0005-0000-0000-00009E090000}"/>
    <cellStyle name="Comma 2 7 4 2" xfId="23447" xr:uid="{9FA6BF69-F57C-4801-B001-16EFF07CD80A}"/>
    <cellStyle name="Comma 2 7 4 3" xfId="17787" xr:uid="{FCAACC76-C7F0-420F-B51A-44F5A93527D3}"/>
    <cellStyle name="Comma 2 7 4 4" xfId="29108" xr:uid="{EF6B2F07-8641-4AE0-A2B7-30CE188F2DB8}"/>
    <cellStyle name="Comma 2 7 4 5" xfId="35035" xr:uid="{72A7DF1A-FBEB-443C-978C-063E87FB726E}"/>
    <cellStyle name="Comma 2 7 5" xfId="12415" xr:uid="{00000000-0005-0000-0000-00009F090000}"/>
    <cellStyle name="Comma 2 7 5 2" xfId="25708" xr:uid="{F0C78C2F-6855-44A4-8B6E-BD78B98B9709}"/>
    <cellStyle name="Comma 2 7 5 3" xfId="20048" xr:uid="{451BA035-1A11-4128-AD06-B9549821A41C}"/>
    <cellStyle name="Comma 2 7 5 4" xfId="35036" xr:uid="{072DF100-CCA0-4886-8ACC-9269F0DC346E}"/>
    <cellStyle name="Comma 2 7 6" xfId="35037" xr:uid="{02E41558-86CE-41E7-83BF-CF0F2BF80BCB}"/>
    <cellStyle name="Comma 2 7 7" xfId="35028" xr:uid="{BD0F0728-50FE-421B-AAE1-2209F6458EC1}"/>
    <cellStyle name="Comma 2 8" xfId="288" xr:uid="{00000000-0005-0000-0000-0000A0090000}"/>
    <cellStyle name="Comma 2 8 2" xfId="1516" xr:uid="{00000000-0005-0000-0000-0000A1090000}"/>
    <cellStyle name="Comma 2 8 2 2" xfId="5926" xr:uid="{00000000-0005-0000-0000-0000A2090000}"/>
    <cellStyle name="Comma 2 8 2 2 2" xfId="23518" xr:uid="{0A8402EC-F913-474A-9B06-5F66C9E893C4}"/>
    <cellStyle name="Comma 2 8 2 2 3" xfId="17858" xr:uid="{CB4D5A29-520F-4F4C-9E44-3A255F09CED6}"/>
    <cellStyle name="Comma 2 8 2 2 4" xfId="29179" xr:uid="{B1E039DD-084F-43E9-A7D1-D2D3905E6F7D}"/>
    <cellStyle name="Comma 2 8 2 2 5" xfId="35040" xr:uid="{8EAEA9B9-20D6-4D82-B336-FB16273F1E20}"/>
    <cellStyle name="Comma 2 8 2 3" xfId="12703" xr:uid="{00000000-0005-0000-0000-0000A3090000}"/>
    <cellStyle name="Comma 2 8 2 3 2" xfId="25749" xr:uid="{2D8F8F9E-6DCA-4189-8116-2260FF34B698}"/>
    <cellStyle name="Comma 2 8 2 3 3" xfId="20089" xr:uid="{3F341C86-7258-46BC-80CE-CC1745A13C8B}"/>
    <cellStyle name="Comma 2 8 2 3 4" xfId="35041" xr:uid="{58920B41-9FE6-4287-82E6-208663449107}"/>
    <cellStyle name="Comma 2 8 2 4" xfId="35039" xr:uid="{AFB2AEDD-B461-42B8-905D-F94CA1DF9A65}"/>
    <cellStyle name="Comma 2 8 3" xfId="1517" xr:uid="{00000000-0005-0000-0000-0000A4090000}"/>
    <cellStyle name="Comma 2 8 3 2" xfId="5927" xr:uid="{00000000-0005-0000-0000-0000A5090000}"/>
    <cellStyle name="Comma 2 8 3 2 2" xfId="23519" xr:uid="{5BBD4DD2-DFEA-4BEB-8F01-77AA9787C208}"/>
    <cellStyle name="Comma 2 8 3 2 3" xfId="17859" xr:uid="{05928ACF-4B5B-4B73-A21A-001ABF05524F}"/>
    <cellStyle name="Comma 2 8 3 2 4" xfId="29180" xr:uid="{34C54A60-13B3-4A0A-9349-7C5BB7DBAC16}"/>
    <cellStyle name="Comma 2 8 3 2 5" xfId="35043" xr:uid="{81AA8093-D484-45CF-8897-C7BB6325E4FA}"/>
    <cellStyle name="Comma 2 8 3 3" xfId="12704" xr:uid="{00000000-0005-0000-0000-0000A6090000}"/>
    <cellStyle name="Comma 2 8 3 3 2" xfId="25750" xr:uid="{5D31FCA7-1B0F-44DE-A8C6-6E3DCAEBE5D0}"/>
    <cellStyle name="Comma 2 8 3 3 3" xfId="20090" xr:uid="{FC34C9AA-D834-4F91-86A6-644BF9AECA87}"/>
    <cellStyle name="Comma 2 8 3 3 4" xfId="35044" xr:uid="{9C97C16B-BA6A-4F97-A85B-ED91D6C50981}"/>
    <cellStyle name="Comma 2 8 3 4" xfId="35042" xr:uid="{22380E7F-10A5-4991-A513-CC140365F237}"/>
    <cellStyle name="Comma 2 8 4" xfId="1515" xr:uid="{00000000-0005-0000-0000-0000A7090000}"/>
    <cellStyle name="Comma 2 8 4 2" xfId="5928" xr:uid="{00000000-0005-0000-0000-0000A8090000}"/>
    <cellStyle name="Comma 2 8 4 2 2" xfId="23520" xr:uid="{D30CCDA2-6CC4-4525-A76B-5BEAAE15CD78}"/>
    <cellStyle name="Comma 2 8 4 2 3" xfId="17860" xr:uid="{65BEF446-AA17-4B36-BC58-C597A4C49334}"/>
    <cellStyle name="Comma 2 8 4 2 4" xfId="29181" xr:uid="{C1281178-D025-4749-9E76-C8E6B0FA3358}"/>
    <cellStyle name="Comma 2 8 4 2 5" xfId="35046" xr:uid="{57430E1D-2722-47BF-8098-F67FAD8DE6F7}"/>
    <cellStyle name="Comma 2 8 4 3" xfId="12702" xr:uid="{00000000-0005-0000-0000-0000A9090000}"/>
    <cellStyle name="Comma 2 8 4 3 2" xfId="25748" xr:uid="{A150D2DB-0A77-465A-936A-B2FFF93330B8}"/>
    <cellStyle name="Comma 2 8 4 3 3" xfId="20088" xr:uid="{3B237934-5113-4F37-BEA8-57E70C769222}"/>
    <cellStyle name="Comma 2 8 4 3 4" xfId="35047" xr:uid="{4C4155A6-B2B8-4AAE-AC74-FC5BC718155E}"/>
    <cellStyle name="Comma 2 8 4 4" xfId="35045" xr:uid="{A5896534-B0B4-4C48-9F92-44C5C3CAA4A8}"/>
    <cellStyle name="Comma 2 8 5" xfId="3872" xr:uid="{00000000-0005-0000-0000-0000AA090000}"/>
    <cellStyle name="Comma 2 8 6" xfId="5925" xr:uid="{00000000-0005-0000-0000-0000AB090000}"/>
    <cellStyle name="Comma 2 8 6 2" xfId="23517" xr:uid="{DCB6818D-35DA-4ABE-91D7-B5A5650E9A39}"/>
    <cellStyle name="Comma 2 8 6 3" xfId="17857" xr:uid="{1FD56F3F-E662-4285-B71F-B4B0BE821178}"/>
    <cellStyle name="Comma 2 8 6 4" xfId="29178" xr:uid="{C2F98A02-B46F-4711-915A-936B344520C9}"/>
    <cellStyle name="Comma 2 8 6 5" xfId="35048" xr:uid="{307D9984-DC0B-4371-B0C8-3C74CF3FA6B8}"/>
    <cellStyle name="Comma 2 8 7" xfId="12471" xr:uid="{00000000-0005-0000-0000-0000AC090000}"/>
    <cellStyle name="Comma 2 8 7 2" xfId="25711" xr:uid="{B68A9C90-DB2E-4783-B22A-B975C0593482}"/>
    <cellStyle name="Comma 2 8 7 3" xfId="20051" xr:uid="{EE0F779C-14AE-4359-80CC-519D1EA94795}"/>
    <cellStyle name="Comma 2 8 7 4" xfId="35049" xr:uid="{092459CB-F657-412E-96AC-651FE1680ED4}"/>
    <cellStyle name="Comma 2 8 8" xfId="35038" xr:uid="{0770F9D0-499E-4F28-A688-93B1D4C68127}"/>
    <cellStyle name="Comma 2 9" xfId="1518" xr:uid="{00000000-0005-0000-0000-0000AD090000}"/>
    <cellStyle name="Comma 2 9 2" xfId="3873" xr:uid="{00000000-0005-0000-0000-0000AE090000}"/>
    <cellStyle name="Comma 2 9 3" xfId="5929" xr:uid="{00000000-0005-0000-0000-0000AF090000}"/>
    <cellStyle name="Comma 2 9 3 2" xfId="23521" xr:uid="{F5C2CB40-341B-453F-91A1-3D03F6460FAA}"/>
    <cellStyle name="Comma 2 9 3 3" xfId="17861" xr:uid="{1F2339A1-EAA0-42F1-B5FB-DE23A35457BE}"/>
    <cellStyle name="Comma 2 9 3 4" xfId="29182" xr:uid="{3544D6E0-8D90-4D7C-8CE2-4AD4124641C5}"/>
    <cellStyle name="Comma 2 9 3 5" xfId="35051" xr:uid="{3ACB43D3-6FA4-4D17-B9DA-12A745D1836F}"/>
    <cellStyle name="Comma 2 9 4" xfId="12705" xr:uid="{00000000-0005-0000-0000-0000B0090000}"/>
    <cellStyle name="Comma 2 9 4 2" xfId="25751" xr:uid="{61E9DA3E-BFC2-410B-B2AF-85058D33E47A}"/>
    <cellStyle name="Comma 2 9 4 3" xfId="20091" xr:uid="{943CA6BD-5364-42AA-88BB-1491B86E5817}"/>
    <cellStyle name="Comma 2 9 4 4" xfId="35052" xr:uid="{A0133F88-9D08-422E-A60A-77FCD7EB8BDB}"/>
    <cellStyle name="Comma 2 9 5" xfId="35050" xr:uid="{E40A1628-779C-45EA-A3FE-9966E6F3C99D}"/>
    <cellStyle name="Comma 2_PrimaryEnergyPrices_TIMES" xfId="9577" xr:uid="{00000000-0005-0000-0000-0000B1090000}"/>
    <cellStyle name="Comma 20" xfId="12185" xr:uid="{00000000-0005-0000-0000-0000B2090000}"/>
    <cellStyle name="Comma 20 2" xfId="12186" xr:uid="{00000000-0005-0000-0000-0000B3090000}"/>
    <cellStyle name="Comma 20 2 2" xfId="25668" xr:uid="{FE8EA506-3140-4B8E-8863-5E99C36F3B28}"/>
    <cellStyle name="Comma 20 2 3" xfId="20008" xr:uid="{4B8EA90A-3F66-4224-9A2F-901AC9778AB9}"/>
    <cellStyle name="Comma 20 2 4" xfId="31312" xr:uid="{1D2C30ED-9E46-4670-A3DC-752C6280B6C5}"/>
    <cellStyle name="Comma 20 2 5" xfId="35054" xr:uid="{2FF0ABAC-66A5-4DDF-BC81-48935DF9EFA6}"/>
    <cellStyle name="Comma 20 3" xfId="25667" xr:uid="{7DB6B474-627F-410B-8B9C-9B533D072B95}"/>
    <cellStyle name="Comma 20 4" xfId="20007" xr:uid="{581FA82D-6F94-4785-9631-193C2FCCD9B7}"/>
    <cellStyle name="Comma 20 5" xfId="31311" xr:uid="{3BCFD2C9-4994-4E6A-82BB-96DD1C38AF94}"/>
    <cellStyle name="Comma 20 6" xfId="35053" xr:uid="{F6E99656-0A03-41E9-B1C9-AB01EA2194B0}"/>
    <cellStyle name="Comma 21" xfId="12187" xr:uid="{00000000-0005-0000-0000-0000B4090000}"/>
    <cellStyle name="Comma 21 2" xfId="12188" xr:uid="{00000000-0005-0000-0000-0000B5090000}"/>
    <cellStyle name="Comma 21 2 2" xfId="25670" xr:uid="{ADA04044-9571-412D-AB52-CCFC06D9B483}"/>
    <cellStyle name="Comma 21 2 3" xfId="20010" xr:uid="{939FABC7-B17B-4F2D-B1B8-E3D11D683396}"/>
    <cellStyle name="Comma 21 2 4" xfId="31314" xr:uid="{86405E78-BFB8-46D3-894E-56A518EAB660}"/>
    <cellStyle name="Comma 21 2 5" xfId="35056" xr:uid="{7EE85D19-31E1-4FC4-B932-C0DD107ED5DB}"/>
    <cellStyle name="Comma 21 3" xfId="25669" xr:uid="{776223C4-C3A3-40CC-A0D5-A6ADD8E21821}"/>
    <cellStyle name="Comma 21 4" xfId="20009" xr:uid="{F4FE72A3-7751-4794-A91C-92B3B3D14A09}"/>
    <cellStyle name="Comma 21 5" xfId="31313" xr:uid="{A5EFA953-790E-4142-A3EC-7B14333CD3BC}"/>
    <cellStyle name="Comma 21 6" xfId="35055" xr:uid="{AB590414-0763-4FAB-B92F-FA697CD2B810}"/>
    <cellStyle name="Comma 22" xfId="12189" xr:uid="{00000000-0005-0000-0000-0000B6090000}"/>
    <cellStyle name="Comma 22 2" xfId="12190" xr:uid="{00000000-0005-0000-0000-0000B7090000}"/>
    <cellStyle name="Comma 22 2 2" xfId="25672" xr:uid="{03073280-C26A-41CC-A55B-65DD715270D9}"/>
    <cellStyle name="Comma 22 2 3" xfId="20012" xr:uid="{02AC0CBE-FF04-4A88-AC26-03078E0504EF}"/>
    <cellStyle name="Comma 22 2 4" xfId="31316" xr:uid="{64D362FF-AEC5-4949-A8A3-7C61B33762B6}"/>
    <cellStyle name="Comma 22 2 5" xfId="35058" xr:uid="{79AD1737-D64F-4F6D-8C5C-55D7896F49E8}"/>
    <cellStyle name="Comma 22 3" xfId="25671" xr:uid="{35148841-BD78-4BBA-ADF9-CE9ABC824A5D}"/>
    <cellStyle name="Comma 22 4" xfId="20011" xr:uid="{1EAEE608-B876-4991-A599-04243317AEF0}"/>
    <cellStyle name="Comma 22 5" xfId="31315" xr:uid="{A2574FFB-E7D8-4582-8209-6EBA0DFC85EA}"/>
    <cellStyle name="Comma 22 6" xfId="35057" xr:uid="{B494B954-5896-4ADC-AEB3-122E9E934070}"/>
    <cellStyle name="Comma 23" xfId="12191" xr:uid="{00000000-0005-0000-0000-0000B8090000}"/>
    <cellStyle name="Comma 23 2" xfId="12192" xr:uid="{00000000-0005-0000-0000-0000B9090000}"/>
    <cellStyle name="Comma 23 2 2" xfId="25674" xr:uid="{B52582C4-2388-4875-8D18-44C8A34B7EF0}"/>
    <cellStyle name="Comma 23 2 3" xfId="20014" xr:uid="{1C29A648-A5A0-4384-AD61-1A23003FD1FB}"/>
    <cellStyle name="Comma 23 2 4" xfId="31318" xr:uid="{1CAA58F7-BEEA-4631-B690-C5BA06E25287}"/>
    <cellStyle name="Comma 23 2 5" xfId="35060" xr:uid="{237180FA-B4B7-4462-8C31-A92C742389B0}"/>
    <cellStyle name="Comma 23 3" xfId="25673" xr:uid="{33674878-0E85-40E9-B8D1-E3FAAADFF29B}"/>
    <cellStyle name="Comma 23 4" xfId="20013" xr:uid="{A8EA1878-0DDC-4489-B6B9-CD5AE08CC030}"/>
    <cellStyle name="Comma 23 5" xfId="31317" xr:uid="{6787A7E5-FD6C-4BCF-BC60-1C833C4CF87E}"/>
    <cellStyle name="Comma 23 6" xfId="35059" xr:uid="{37AE12AF-B19B-4416-8FB0-EB3B5C021261}"/>
    <cellStyle name="Comma 24" xfId="12193" xr:uid="{00000000-0005-0000-0000-0000BA090000}"/>
    <cellStyle name="Comma 24 2" xfId="12194" xr:uid="{00000000-0005-0000-0000-0000BB090000}"/>
    <cellStyle name="Comma 24 2 2" xfId="25676" xr:uid="{E1CC3BD1-3CD3-4C24-8E79-933DBCFA6223}"/>
    <cellStyle name="Comma 24 2 3" xfId="20016" xr:uid="{E1B51548-CF62-493F-AA01-DADD601F3FBA}"/>
    <cellStyle name="Comma 24 2 4" xfId="31320" xr:uid="{A8FB169C-D39B-4948-9789-C4C541FC933B}"/>
    <cellStyle name="Comma 24 2 5" xfId="35062" xr:uid="{C8E7D948-B4EB-449B-B95C-BB9A068BF9E4}"/>
    <cellStyle name="Comma 24 3" xfId="25675" xr:uid="{32416994-0D03-4B1A-AA46-77CE1663DF53}"/>
    <cellStyle name="Comma 24 4" xfId="20015" xr:uid="{0924AB07-17EF-4636-964B-3FB1DCCF901A}"/>
    <cellStyle name="Comma 24 5" xfId="31319" xr:uid="{DC2B15C0-6774-402C-BC45-E6736603DF16}"/>
    <cellStyle name="Comma 24 6" xfId="35061" xr:uid="{6DA43A1D-3927-4A74-9A12-815706CD13DF}"/>
    <cellStyle name="Comma 25" xfId="12195" xr:uid="{00000000-0005-0000-0000-0000BC090000}"/>
    <cellStyle name="Comma 25 2" xfId="12196" xr:uid="{00000000-0005-0000-0000-0000BD090000}"/>
    <cellStyle name="Comma 25 2 2" xfId="25678" xr:uid="{D2BE4FC0-7D4F-4B11-90E5-A85EBC60A274}"/>
    <cellStyle name="Comma 25 2 3" xfId="20018" xr:uid="{7E16AE20-1B7D-465D-BEFD-FF5480B456D9}"/>
    <cellStyle name="Comma 25 2 4" xfId="31322" xr:uid="{540CE134-25AA-4A37-A48F-0168A5C94017}"/>
    <cellStyle name="Comma 25 2 5" xfId="35064" xr:uid="{0B27E524-238F-4FE9-937F-0458B9052366}"/>
    <cellStyle name="Comma 25 3" xfId="25677" xr:uid="{70131628-02DE-4A59-9DF3-19739FC0EDE7}"/>
    <cellStyle name="Comma 25 4" xfId="20017" xr:uid="{0BC07B94-505E-4387-8AEB-20D02A0F8437}"/>
    <cellStyle name="Comma 25 5" xfId="31321" xr:uid="{BBF984F5-850D-4DEC-810A-4C45EBD2DF05}"/>
    <cellStyle name="Comma 25 6" xfId="35063" xr:uid="{662D503A-BF26-4045-8B11-DC3C4CDD4FD3}"/>
    <cellStyle name="Comma 26" xfId="12197" xr:uid="{00000000-0005-0000-0000-0000BE090000}"/>
    <cellStyle name="Comma 26 2" xfId="12198" xr:uid="{00000000-0005-0000-0000-0000BF090000}"/>
    <cellStyle name="Comma 26 2 2" xfId="25680" xr:uid="{28615472-A3F1-43AF-9692-AE80D7F9ED2D}"/>
    <cellStyle name="Comma 26 2 3" xfId="20020" xr:uid="{3537F51A-0D98-47CC-A367-94FBFB4020D6}"/>
    <cellStyle name="Comma 26 2 4" xfId="31324" xr:uid="{BF93765D-0085-4864-90BF-8DBF83AF50C0}"/>
    <cellStyle name="Comma 26 2 5" xfId="35066" xr:uid="{739C50B3-D775-41C8-B97C-1F293536DF77}"/>
    <cellStyle name="Comma 26 3" xfId="25679" xr:uid="{B387A099-02F6-4C7F-ADFD-B3D70D8F8D44}"/>
    <cellStyle name="Comma 26 4" xfId="20019" xr:uid="{D6FA98DA-493E-4EC5-8170-FF0F6E720121}"/>
    <cellStyle name="Comma 26 5" xfId="31323" xr:uid="{0EAAC454-B3B2-4E05-BC85-FA1FAB180495}"/>
    <cellStyle name="Comma 26 6" xfId="35065" xr:uid="{6156DDBE-EEC5-41CF-B968-D1716667D543}"/>
    <cellStyle name="Comma 27" xfId="12199" xr:uid="{00000000-0005-0000-0000-0000C0090000}"/>
    <cellStyle name="Comma 27 2" xfId="25681" xr:uid="{F83B6627-672A-4846-9ADB-17A6797017F0}"/>
    <cellStyle name="Comma 27 3" xfId="20021" xr:uid="{E93722A1-3538-4447-BDF2-1C0168F8EDD4}"/>
    <cellStyle name="Comma 27 4" xfId="31325" xr:uid="{4C3AD797-AB88-4560-81D6-2E48F70C086B}"/>
    <cellStyle name="Comma 27 5" xfId="35067" xr:uid="{A4257752-D277-4486-B8C8-CE75C2A4D792}"/>
    <cellStyle name="Comma 28" xfId="12162" xr:uid="{00000000-0005-0000-0000-0000C1090000}"/>
    <cellStyle name="Comma 28 2" xfId="25644" xr:uid="{73530FF6-38D3-4649-B73B-189AD458FEBC}"/>
    <cellStyle name="Comma 28 3" xfId="19984" xr:uid="{EE25684D-CD8F-452E-9D78-BB8E5D019F44}"/>
    <cellStyle name="Comma 28 4" xfId="35068" xr:uid="{E38AA325-9950-49AF-B150-D6B0D52B2173}"/>
    <cellStyle name="Comma 29" xfId="12205" xr:uid="{00000000-0005-0000-0000-0000C2090000}"/>
    <cellStyle name="Comma 29 2" xfId="25685" xr:uid="{188505E0-5408-4B6E-9998-2FC5BCF73D61}"/>
    <cellStyle name="Comma 29 3" xfId="20025" xr:uid="{DE13DDCA-B7A8-4B0B-AE51-E469227A7C3F}"/>
    <cellStyle name="Comma 29 4" xfId="35069" xr:uid="{B83CA43D-DA02-463A-9AAC-8D3AE659D7C3}"/>
    <cellStyle name="Comma 3" xfId="1519" xr:uid="{00000000-0005-0000-0000-0000C3090000}"/>
    <cellStyle name="Comma 3 10" xfId="3875" xr:uid="{00000000-0005-0000-0000-0000C4090000}"/>
    <cellStyle name="Comma 3 10 2" xfId="5931" xr:uid="{00000000-0005-0000-0000-0000C5090000}"/>
    <cellStyle name="Comma 3 10 2 2" xfId="12201" xr:uid="{00000000-0005-0000-0000-0000C6090000}"/>
    <cellStyle name="Comma 3 10 2 2 2" xfId="25683" xr:uid="{F7324D7B-A827-4138-AA7F-70E4D02B5869}"/>
    <cellStyle name="Comma 3 10 2 2 3" xfId="20023" xr:uid="{91D607EF-D498-4294-B384-E6A9345901CF}"/>
    <cellStyle name="Comma 3 10 2 2 4" xfId="31327" xr:uid="{A7A127E2-A95C-427F-BC28-1F0E42411FF2}"/>
    <cellStyle name="Comma 3 10 2 2 5" xfId="35073" xr:uid="{F5E3B115-5389-4AEB-9FA8-95EB43C488F1}"/>
    <cellStyle name="Comma 3 10 2 3" xfId="23522" xr:uid="{AC3B1DAB-3F75-4A27-AA49-769F41D8F775}"/>
    <cellStyle name="Comma 3 10 2 4" xfId="17862" xr:uid="{C61CCFBC-1CF9-414B-AC9D-C33FF8D7BC15}"/>
    <cellStyle name="Comma 3 10 2 5" xfId="29183" xr:uid="{2B010287-BB7C-47B9-8CF0-90EED6076FF4}"/>
    <cellStyle name="Comma 3 10 2 6" xfId="35072" xr:uid="{3095B296-94F3-40C4-93EC-7AF7901B8A0D}"/>
    <cellStyle name="Comma 3 10 3" xfId="12200" xr:uid="{00000000-0005-0000-0000-0000C7090000}"/>
    <cellStyle name="Comma 3 10 3 2" xfId="25682" xr:uid="{57B4A3CE-04F3-46E4-803F-91FE3B87672F}"/>
    <cellStyle name="Comma 3 10 3 3" xfId="20022" xr:uid="{334D1636-0BD1-490D-AC8F-5F7F3D73EF23}"/>
    <cellStyle name="Comma 3 10 3 4" xfId="31326" xr:uid="{9E5FC1FE-ED47-46DD-9D76-9E2837521AC5}"/>
    <cellStyle name="Comma 3 10 3 5" xfId="35074" xr:uid="{BA5908F0-59DA-42F1-AA17-EC0EDDB73DE2}"/>
    <cellStyle name="Comma 3 10 4" xfId="35071" xr:uid="{1EAF7472-C5D7-4B85-8D67-423F6EF142BF}"/>
    <cellStyle name="Comma 3 11" xfId="3874" xr:uid="{00000000-0005-0000-0000-0000C8090000}"/>
    <cellStyle name="Comma 3 11 2" xfId="5932" xr:uid="{00000000-0005-0000-0000-0000C9090000}"/>
    <cellStyle name="Comma 3 11 2 2" xfId="23523" xr:uid="{15C6551E-5F5C-43FC-A715-6CD72D049765}"/>
    <cellStyle name="Comma 3 11 2 3" xfId="17863" xr:uid="{4B5182D5-69C1-4705-BE15-0E3A1705498C}"/>
    <cellStyle name="Comma 3 11 2 4" xfId="29184" xr:uid="{FC64E0A6-BB7A-49E7-8C49-93EAF0D673EA}"/>
    <cellStyle name="Comma 3 11 2 5" xfId="35076" xr:uid="{59753DBA-AC7C-45EA-BCFC-793E5F50F055}"/>
    <cellStyle name="Comma 3 11 3" xfId="13653" xr:uid="{00000000-0005-0000-0000-0000CA090000}"/>
    <cellStyle name="Comma 3 11 3 2" xfId="25890" xr:uid="{C1E251D2-7D01-4F10-BF8E-BA96D9C0E32E}"/>
    <cellStyle name="Comma 3 11 3 3" xfId="20230" xr:uid="{62E48FE1-BC4A-4630-A390-2B62386C1C06}"/>
    <cellStyle name="Comma 3 11 3 4" xfId="35077" xr:uid="{DA7DFD85-7E0A-4395-9A4F-16915CB630A2}"/>
    <cellStyle name="Comma 3 11 4" xfId="35075" xr:uid="{49F86EE0-7C43-4F9D-9107-D9D159CAEE1E}"/>
    <cellStyle name="Comma 3 12" xfId="5930" xr:uid="{00000000-0005-0000-0000-0000CB090000}"/>
    <cellStyle name="Comma 3 13" xfId="5556" xr:uid="{00000000-0005-0000-0000-0000CC090000}"/>
    <cellStyle name="Comma 3 13 2" xfId="14334" xr:uid="{00000000-0005-0000-0000-0000CD090000}"/>
    <cellStyle name="Comma 3 13 2 2" xfId="26353" xr:uid="{3E133A5C-EFBD-4B01-B62F-593D9159C56C}"/>
    <cellStyle name="Comma 3 13 2 3" xfId="20693" xr:uid="{4EFC90E6-3E74-4440-BF2A-62D29277D8AD}"/>
    <cellStyle name="Comma 3 13 2 4" xfId="31733" xr:uid="{018DD4F2-23CB-4D92-8EDB-CEE22F73AC45}"/>
    <cellStyle name="Comma 3 13 2 5" xfId="35079" xr:uid="{7436B6B5-B0E4-4566-BC6A-57D4FEC297F1}"/>
    <cellStyle name="Comma 3 13 3" xfId="9578" xr:uid="{00000000-0005-0000-0000-0000CE090000}"/>
    <cellStyle name="Comma 3 13 3 2" xfId="25635" xr:uid="{C8112B96-A1B6-42DF-B0FD-B729DEBF7E9A}"/>
    <cellStyle name="Comma 3 13 3 3" xfId="19975" xr:uid="{4C07C411-F12C-40B2-B54E-7F4E1BBA1DF9}"/>
    <cellStyle name="Comma 3 13 3 4" xfId="35080" xr:uid="{2571607C-C127-494E-A323-313C1A007453}"/>
    <cellStyle name="Comma 3 13 4" xfId="23351" xr:uid="{FD81E730-98AE-4D2C-84DA-EB08165740AC}"/>
    <cellStyle name="Comma 3 13 5" xfId="17691" xr:uid="{52DBDC15-479D-46B5-A420-4EA45A46602F}"/>
    <cellStyle name="Comma 3 13 6" xfId="29012" xr:uid="{F7E61713-DAE7-4360-AA22-1286C0E77880}"/>
    <cellStyle name="Comma 3 13 7" xfId="35078" xr:uid="{88CA7275-8F94-4036-97F5-90FFC95B60B0}"/>
    <cellStyle name="Comma 3 14" xfId="35081" xr:uid="{0AB3EBFA-A64C-4690-906E-D4A2F3AABD9E}"/>
    <cellStyle name="Comma 3 15" xfId="35070" xr:uid="{D0A27D32-B27A-41C9-99D1-C8F922DE2B32}"/>
    <cellStyle name="Comma 3 2" xfId="1520" xr:uid="{00000000-0005-0000-0000-0000CF090000}"/>
    <cellStyle name="Comma 3 2 2" xfId="1521" xr:uid="{00000000-0005-0000-0000-0000D0090000}"/>
    <cellStyle name="Comma 3 2 2 2" xfId="5934" xr:uid="{00000000-0005-0000-0000-0000D1090000}"/>
    <cellStyle name="Comma 3 2 2 2 2" xfId="23524" xr:uid="{3A864098-68E9-4836-A0CD-A13F27949033}"/>
    <cellStyle name="Comma 3 2 2 2 3" xfId="17864" xr:uid="{1CBFBF4D-4F0E-4A74-808C-94DD1CA9EB50}"/>
    <cellStyle name="Comma 3 2 2 2 4" xfId="29185" xr:uid="{D125FA4C-6FC9-4C0D-A71B-8884219C9066}"/>
    <cellStyle name="Comma 3 2 2 2 5" xfId="35084" xr:uid="{A204B809-F056-4CE7-9DC7-619854274E16}"/>
    <cellStyle name="Comma 3 2 2 3" xfId="12706" xr:uid="{00000000-0005-0000-0000-0000D2090000}"/>
    <cellStyle name="Comma 3 2 2 3 2" xfId="25752" xr:uid="{39B1617F-C753-4567-8C50-1154BA180C70}"/>
    <cellStyle name="Comma 3 2 2 3 3" xfId="20092" xr:uid="{C8469799-2A07-4957-98E8-2A86C9EE2578}"/>
    <cellStyle name="Comma 3 2 2 3 4" xfId="35085" xr:uid="{2C695640-B796-4874-9C6C-897B96A35F49}"/>
    <cellStyle name="Comma 3 2 2 4" xfId="35086" xr:uid="{E73F2B82-8314-47AE-ABDD-9D3CCDD10EF4}"/>
    <cellStyle name="Comma 3 2 2 5" xfId="35083" xr:uid="{57B78867-D1C9-40DA-B000-6DEBA4122A3B}"/>
    <cellStyle name="Comma 3 2 2 6" xfId="49754" xr:uid="{40E923D5-C02A-4BBE-AC8C-651CE9C29DE3}"/>
    <cellStyle name="Comma 3 2 3" xfId="3876" xr:uid="{00000000-0005-0000-0000-0000D3090000}"/>
    <cellStyle name="Comma 3 2 3 2" xfId="5935" xr:uid="{00000000-0005-0000-0000-0000D4090000}"/>
    <cellStyle name="Comma 3 2 3 2 2" xfId="23525" xr:uid="{9E7F051A-93C1-45B0-A2AC-9C8371FBBCCE}"/>
    <cellStyle name="Comma 3 2 3 2 3" xfId="17865" xr:uid="{987F1638-5A0D-4E61-B251-0CDA8EBCCC28}"/>
    <cellStyle name="Comma 3 2 3 2 4" xfId="29186" xr:uid="{CFE75E45-6E5D-437D-9A00-83CC0DD19C0D}"/>
    <cellStyle name="Comma 3 2 3 2 5" xfId="35088" xr:uid="{14DEB23D-558E-4064-BAA1-8879F81EFB96}"/>
    <cellStyle name="Comma 3 2 3 3" xfId="13654" xr:uid="{00000000-0005-0000-0000-0000D5090000}"/>
    <cellStyle name="Comma 3 2 3 3 2" xfId="25891" xr:uid="{0E6981A7-ECE4-4D63-87FA-3EA174FFDA90}"/>
    <cellStyle name="Comma 3 2 3 3 3" xfId="20231" xr:uid="{35225DA8-EB26-4B42-A831-EAE8ADBA9A85}"/>
    <cellStyle name="Comma 3 2 3 3 4" xfId="35089" xr:uid="{74D771F0-6C6D-4F4A-9DAE-BF6586BAC904}"/>
    <cellStyle name="Comma 3 2 3 4" xfId="35087" xr:uid="{3E926077-7ABD-4FDC-9023-F3B9A6444EC5}"/>
    <cellStyle name="Comma 3 2 4" xfId="5933" xr:uid="{00000000-0005-0000-0000-0000D6090000}"/>
    <cellStyle name="Comma 3 2 5" xfId="5557" xr:uid="{00000000-0005-0000-0000-0000D7090000}"/>
    <cellStyle name="Comma 3 2 5 2" xfId="14335" xr:uid="{00000000-0005-0000-0000-0000D8090000}"/>
    <cellStyle name="Comma 3 2 5 2 2" xfId="26354" xr:uid="{10425CC0-CA2C-4966-8810-6C88248BB339}"/>
    <cellStyle name="Comma 3 2 5 2 3" xfId="20694" xr:uid="{DD2DB8B4-64C5-44B7-9D0D-6A574A40B306}"/>
    <cellStyle name="Comma 3 2 5 2 4" xfId="31734" xr:uid="{3D445A28-B828-4CDF-9B72-6D39A999ABD8}"/>
    <cellStyle name="Comma 3 2 5 2 5" xfId="35091" xr:uid="{4AAD8A18-89F0-410A-B3DC-5E08538B1D2B}"/>
    <cellStyle name="Comma 3 2 5 3" xfId="9579" xr:uid="{00000000-0005-0000-0000-0000D9090000}"/>
    <cellStyle name="Comma 3 2 5 3 2" xfId="25636" xr:uid="{CF2CF40D-72E0-4A03-B60C-97A3855BEDBC}"/>
    <cellStyle name="Comma 3 2 5 3 3" xfId="19976" xr:uid="{D4B8B824-CCB1-4EAE-9A3B-A01C77AA8B34}"/>
    <cellStyle name="Comma 3 2 5 3 4" xfId="35092" xr:uid="{30AD90F9-D44D-4B8E-9302-CEA0F3A6F5FC}"/>
    <cellStyle name="Comma 3 2 5 4" xfId="23352" xr:uid="{7827F6FE-F945-460E-8B58-04B6991F360E}"/>
    <cellStyle name="Comma 3 2 5 5" xfId="17692" xr:uid="{881BF875-7B6F-4E58-B40F-6AC6CF57B96A}"/>
    <cellStyle name="Comma 3 2 5 6" xfId="29013" xr:uid="{501B2BBD-51D6-4C29-BBBD-DD3B36090BB2}"/>
    <cellStyle name="Comma 3 2 5 7" xfId="35090" xr:uid="{29028D73-45A2-4D90-BDA1-6CA7D0B309DC}"/>
    <cellStyle name="Comma 3 2 6" xfId="35093" xr:uid="{069108C6-75FA-492B-8FC2-556AAA0CC3DB}"/>
    <cellStyle name="Comma 3 2 7" xfId="35082" xr:uid="{84AE99C5-59DA-4C5D-BDFB-BD133C1AA494}"/>
    <cellStyle name="Comma 3 3" xfId="1522" xr:uid="{00000000-0005-0000-0000-0000DA090000}"/>
    <cellStyle name="Comma 3 3 10" xfId="28088" xr:uid="{9B3C930D-EF27-43EB-BC5B-6A94B504759F}"/>
    <cellStyle name="Comma 3 3 11" xfId="35094" xr:uid="{25C831CF-4362-4915-91C2-C1315DB38A74}"/>
    <cellStyle name="Comma 3 3 2" xfId="3877" xr:uid="{00000000-0005-0000-0000-0000DB090000}"/>
    <cellStyle name="Comma 3 3 2 2" xfId="5937" xr:uid="{00000000-0005-0000-0000-0000DC090000}"/>
    <cellStyle name="Comma 3 3 2 2 2" xfId="23527" xr:uid="{49D56BBE-4909-4A20-9460-588936877DB7}"/>
    <cellStyle name="Comma 3 3 2 2 3" xfId="17867" xr:uid="{D12D898C-2156-4F5B-92D2-8892A3245960}"/>
    <cellStyle name="Comma 3 3 2 2 4" xfId="29188" xr:uid="{3330927F-DAE0-4C5C-9524-26E3F54D1B52}"/>
    <cellStyle name="Comma 3 3 2 2 5" xfId="35096" xr:uid="{C190DE93-ACC6-4F2B-908D-A31FE4537022}"/>
    <cellStyle name="Comma 3 3 2 3" xfId="13655" xr:uid="{00000000-0005-0000-0000-0000DD090000}"/>
    <cellStyle name="Comma 3 3 2 3 2" xfId="25892" xr:uid="{7A42F5A1-9B7F-4F43-8C49-5A6FF4C7E074}"/>
    <cellStyle name="Comma 3 3 2 3 3" xfId="20232" xr:uid="{0F3100AC-F4F4-4A69-84D6-5BB5FDEB17D8}"/>
    <cellStyle name="Comma 3 3 2 3 4" xfId="35097" xr:uid="{656E0A46-A5DF-4109-9DCD-46737E1AD40B}"/>
    <cellStyle name="Comma 3 3 2 4" xfId="35095" xr:uid="{9AB3A8ED-B67F-471B-AF87-0F2B040FF1B9}"/>
    <cellStyle name="Comma 3 3 3" xfId="4840" xr:uid="{00000000-0005-0000-0000-0000DE090000}"/>
    <cellStyle name="Comma 3 3 3 10" xfId="35098" xr:uid="{390F07ED-A7A8-4CA4-A0BA-91D63876311A}"/>
    <cellStyle name="Comma 3 3 3 2" xfId="5259" xr:uid="{00000000-0005-0000-0000-0000DF090000}"/>
    <cellStyle name="Comma 3 3 3 2 2" xfId="7122" xr:uid="{00000000-0005-0000-0000-0000E0090000}"/>
    <cellStyle name="Comma 3 3 3 2 2 2" xfId="15555" xr:uid="{00000000-0005-0000-0000-0000E1090000}"/>
    <cellStyle name="Comma 3 3 3 2 2 2 2" xfId="27449" xr:uid="{4F1AB214-EB0F-49CC-B7E8-9CFFBC115905}"/>
    <cellStyle name="Comma 3 3 3 2 2 2 3" xfId="21789" xr:uid="{17D3DAAB-DD0F-4B00-8A76-08BA3449A905}"/>
    <cellStyle name="Comma 3 3 3 2 2 2 4" xfId="32829" xr:uid="{21BED847-E942-4518-8514-2689817C35BA}"/>
    <cellStyle name="Comma 3 3 3 2 2 2 5" xfId="35101" xr:uid="{65181A14-FCCF-4338-AE7C-8D94C0295C85}"/>
    <cellStyle name="Comma 3 3 3 2 2 3" xfId="24616" xr:uid="{099BD7AF-5B0B-4484-BF34-A75650F9F473}"/>
    <cellStyle name="Comma 3 3 3 2 2 4" xfId="18956" xr:uid="{26868A6F-B7A4-46DF-A642-CFE5D72F722E}"/>
    <cellStyle name="Comma 3 3 3 2 2 5" xfId="30277" xr:uid="{E4AF7DE8-18AD-42D1-BCEF-53C5F302EB20}"/>
    <cellStyle name="Comma 3 3 3 2 2 6" xfId="35100" xr:uid="{12D0C19C-2403-4F5D-81E1-1303E41789C4}"/>
    <cellStyle name="Comma 3 3 3 2 3" xfId="14145" xr:uid="{00000000-0005-0000-0000-0000E2090000}"/>
    <cellStyle name="Comma 3 3 3 2 3 2" xfId="26184" xr:uid="{F78C67EE-F7E0-4BE3-A174-02BC2ECD721C}"/>
    <cellStyle name="Comma 3 3 3 2 3 3" xfId="20524" xr:uid="{1D826E44-EB31-4803-8D77-8E2D9040C5A1}"/>
    <cellStyle name="Comma 3 3 3 2 3 4" xfId="31564" xr:uid="{9A9122ED-5366-45E1-AF5D-0782B4382147}"/>
    <cellStyle name="Comma 3 3 3 2 3 5" xfId="35102" xr:uid="{25F51992-76B5-4146-96AA-F76AE56D21C2}"/>
    <cellStyle name="Comma 3 3 3 2 4" xfId="23054" xr:uid="{6A1B309B-D818-4310-A806-164D5C8A6ACC}"/>
    <cellStyle name="Comma 3 3 3 2 5" xfId="17394" xr:uid="{1092B179-9227-492D-8658-BCD02C6A96C1}"/>
    <cellStyle name="Comma 3 3 3 2 6" xfId="28715" xr:uid="{989A70DF-FDB6-457E-BD0B-38F663DEDFEB}"/>
    <cellStyle name="Comma 3 3 3 2 7" xfId="35099" xr:uid="{4E44EE41-9A5E-4FB4-A081-AB8A86D19E52}"/>
    <cellStyle name="Comma 3 3 3 3" xfId="5938" xr:uid="{00000000-0005-0000-0000-0000E3090000}"/>
    <cellStyle name="Comma 3 3 3 3 2" xfId="7312" xr:uid="{00000000-0005-0000-0000-0000E4090000}"/>
    <cellStyle name="Comma 3 3 3 3 2 2" xfId="15745" xr:uid="{00000000-0005-0000-0000-0000E5090000}"/>
    <cellStyle name="Comma 3 3 3 3 2 2 2" xfId="27639" xr:uid="{64AD7A58-9802-46B2-BD37-C145E2C6ECE2}"/>
    <cellStyle name="Comma 3 3 3 3 2 2 3" xfId="21979" xr:uid="{16858BCF-9F68-4DBB-B834-C2403D035B13}"/>
    <cellStyle name="Comma 3 3 3 3 2 2 4" xfId="33019" xr:uid="{4C329F5D-B2E8-4EA8-B99A-1A81289626D6}"/>
    <cellStyle name="Comma 3 3 3 3 2 2 5" xfId="35105" xr:uid="{32CE324C-FCFC-434B-AE16-DEF1E199FA42}"/>
    <cellStyle name="Comma 3 3 3 3 2 3" xfId="24806" xr:uid="{1E84F92D-64C9-4245-80B7-ABC2E4DA33A8}"/>
    <cellStyle name="Comma 3 3 3 3 2 4" xfId="19146" xr:uid="{657A3157-E7A0-4FA9-8DEF-CCA662D4E68A}"/>
    <cellStyle name="Comma 3 3 3 3 2 5" xfId="30467" xr:uid="{C2BE2B36-F2F3-417F-8980-A442DBC04228}"/>
    <cellStyle name="Comma 3 3 3 3 2 6" xfId="35104" xr:uid="{77CA0FC4-E9E9-4723-8C87-67B66A231C33}"/>
    <cellStyle name="Comma 3 3 3 3 3" xfId="14414" xr:uid="{00000000-0005-0000-0000-0000E6090000}"/>
    <cellStyle name="Comma 3 3 3 3 3 2" xfId="26382" xr:uid="{32CEAAA2-D1D4-4DE0-B135-F4672EDEC3D4}"/>
    <cellStyle name="Comma 3 3 3 3 3 3" xfId="20722" xr:uid="{ACF1A537-ACC5-4F1A-9E35-88976098CC35}"/>
    <cellStyle name="Comma 3 3 3 3 3 4" xfId="31762" xr:uid="{438B63A5-87AA-4B1A-8674-464BBF0426D4}"/>
    <cellStyle name="Comma 3 3 3 3 3 5" xfId="35106" xr:uid="{145A1F92-60B2-490A-8884-F71DA21A593E}"/>
    <cellStyle name="Comma 3 3 3 3 4" xfId="23528" xr:uid="{F35D2F37-84EE-4EB8-A975-53EAC2511F5C}"/>
    <cellStyle name="Comma 3 3 3 3 5" xfId="17868" xr:uid="{263249F4-1982-4F35-A971-7B273F4A90B1}"/>
    <cellStyle name="Comma 3 3 3 3 6" xfId="29189" xr:uid="{756C474F-25DC-43B6-B1F5-890C7CCEE396}"/>
    <cellStyle name="Comma 3 3 3 3 7" xfId="35103" xr:uid="{70848DC2-5619-47E2-82DE-9D108306A0A2}"/>
    <cellStyle name="Comma 3 3 3 4" xfId="6704" xr:uid="{00000000-0005-0000-0000-0000E7090000}"/>
    <cellStyle name="Comma 3 3 3 4 2" xfId="15137" xr:uid="{00000000-0005-0000-0000-0000E8090000}"/>
    <cellStyle name="Comma 3 3 3 4 2 2" xfId="27031" xr:uid="{E22A253B-3EA8-4765-AEEF-89A5D0A0F5E0}"/>
    <cellStyle name="Comma 3 3 3 4 2 3" xfId="21371" xr:uid="{468B119F-A4BD-4F30-A090-E37BFC40A625}"/>
    <cellStyle name="Comma 3 3 3 4 2 4" xfId="32411" xr:uid="{33BC57EF-55B5-4C76-B290-F950E2FBC895}"/>
    <cellStyle name="Comma 3 3 3 4 2 5" xfId="35108" xr:uid="{592CE2F2-0B84-4CA3-896D-DE69DC5C3EE8}"/>
    <cellStyle name="Comma 3 3 3 4 3" xfId="24198" xr:uid="{FC302A19-01B2-418C-97E1-83DFAA179A7B}"/>
    <cellStyle name="Comma 3 3 3 4 4" xfId="18538" xr:uid="{9CDC634E-A126-4DEB-AEB7-FD92A36A3394}"/>
    <cellStyle name="Comma 3 3 3 4 5" xfId="29859" xr:uid="{E3663F68-EC9A-413D-92AA-857757AC4B5F}"/>
    <cellStyle name="Comma 3 3 3 4 6" xfId="35107" xr:uid="{0CCCCA2D-70C3-4926-944E-EBBE61D652EC}"/>
    <cellStyle name="Comma 3 3 3 5" xfId="13890" xr:uid="{00000000-0005-0000-0000-0000E9090000}"/>
    <cellStyle name="Comma 3 3 3 5 2" xfId="25959" xr:uid="{EE84286F-3AAB-4F97-BC4F-0D6FCD6E3CBD}"/>
    <cellStyle name="Comma 3 3 3 5 3" xfId="20299" xr:uid="{B6D939B3-E3B1-448A-BA0A-B6C417E27C69}"/>
    <cellStyle name="Comma 3 3 3 5 4" xfId="31339" xr:uid="{05B04E9B-838D-49A3-BAE4-F43CF0F3949F}"/>
    <cellStyle name="Comma 3 3 3 5 5" xfId="35109" xr:uid="{5F2E4C90-8392-47F3-A6F9-C1C39224E891}"/>
    <cellStyle name="Comma 3 3 3 6" xfId="7717" xr:uid="{00000000-0005-0000-0000-0000EA090000}"/>
    <cellStyle name="Comma 3 3 3 6 2" xfId="25209" xr:uid="{2ABFBBEC-8AA5-4353-8BB6-7EFA63FC5445}"/>
    <cellStyle name="Comma 3 3 3 6 3" xfId="19549" xr:uid="{CE68B1C8-FFE1-441F-A7FD-DF6D7C4D895A}"/>
    <cellStyle name="Comma 3 3 3 6 4" xfId="30870" xr:uid="{9B4363B6-D3F2-49CA-94B4-DD279939E3F7}"/>
    <cellStyle name="Comma 3 3 3 6 5" xfId="35110" xr:uid="{AEA1AD0B-9CFA-40F7-806B-3CCD6C8E2E76}"/>
    <cellStyle name="Comma 3 3 3 7" xfId="22636" xr:uid="{302C4ADD-867C-4BE0-ADD7-1B2945B463BB}"/>
    <cellStyle name="Comma 3 3 3 8" xfId="16976" xr:uid="{55D7858D-BE88-4F3D-B258-E918E5D2C98F}"/>
    <cellStyle name="Comma 3 3 3 9" xfId="28297" xr:uid="{346650E7-3DFB-4BF6-9151-BBD5DB092DF8}"/>
    <cellStyle name="Comma 3 3 4" xfId="5050" xr:uid="{00000000-0005-0000-0000-0000EB090000}"/>
    <cellStyle name="Comma 3 3 4 2" xfId="5936" xr:uid="{00000000-0005-0000-0000-0000EC090000}"/>
    <cellStyle name="Comma 3 3 4 2 2" xfId="7311" xr:uid="{00000000-0005-0000-0000-0000ED090000}"/>
    <cellStyle name="Comma 3 3 4 2 2 2" xfId="15744" xr:uid="{00000000-0005-0000-0000-0000EE090000}"/>
    <cellStyle name="Comma 3 3 4 2 2 2 2" xfId="27638" xr:uid="{A791885C-25A0-4357-88E9-D7BD00F8C9EC}"/>
    <cellStyle name="Comma 3 3 4 2 2 2 3" xfId="21978" xr:uid="{C2496233-9E80-41C9-96FE-94E6D8B7A10E}"/>
    <cellStyle name="Comma 3 3 4 2 2 2 4" xfId="33018" xr:uid="{F467AB18-3F3A-4ADF-9906-E25FF130D2CA}"/>
    <cellStyle name="Comma 3 3 4 2 2 2 5" xfId="35114" xr:uid="{EEB5B83D-E26B-41AA-A6EF-E84F8CF29A1D}"/>
    <cellStyle name="Comma 3 3 4 2 2 3" xfId="24805" xr:uid="{CD334D71-2823-4F81-8383-CA0A3D8807D7}"/>
    <cellStyle name="Comma 3 3 4 2 2 4" xfId="19145" xr:uid="{C1B0A855-0DE9-46BF-AC3D-4A1BE2A233C0}"/>
    <cellStyle name="Comma 3 3 4 2 2 5" xfId="30466" xr:uid="{AE39F9A6-75DA-4B8E-AD5A-B09AD6DC1B14}"/>
    <cellStyle name="Comma 3 3 4 2 2 6" xfId="35113" xr:uid="{734C2F6A-281F-4940-913C-DF9CF7DD4FC6}"/>
    <cellStyle name="Comma 3 3 4 2 3" xfId="14413" xr:uid="{00000000-0005-0000-0000-0000EF090000}"/>
    <cellStyle name="Comma 3 3 4 2 3 2" xfId="26381" xr:uid="{5F6781A1-FBB9-474D-AA36-AB9F6B0F254A}"/>
    <cellStyle name="Comma 3 3 4 2 3 3" xfId="20721" xr:uid="{F628E3A0-1448-4641-A88C-A330AD224B9F}"/>
    <cellStyle name="Comma 3 3 4 2 3 4" xfId="31761" xr:uid="{3812DE5D-D2EF-4612-944B-3E7A8CEC69CE}"/>
    <cellStyle name="Comma 3 3 4 2 3 5" xfId="35115" xr:uid="{07F4552B-59B9-4271-B3F4-AB3CF3B8FAD0}"/>
    <cellStyle name="Comma 3 3 4 2 4" xfId="23526" xr:uid="{F4D0CE5E-8136-4AB4-8005-EDA2E5E2BF44}"/>
    <cellStyle name="Comma 3 3 4 2 5" xfId="17866" xr:uid="{6C57A378-8306-49B6-B253-C513F345C21B}"/>
    <cellStyle name="Comma 3 3 4 2 6" xfId="29187" xr:uid="{42DD04D1-C903-4387-8B5D-4AD6776EDDF5}"/>
    <cellStyle name="Comma 3 3 4 2 7" xfId="35112" xr:uid="{E739D9B8-DA5E-4D62-9B7A-CDC7C682A632}"/>
    <cellStyle name="Comma 3 3 4 3" xfId="6913" xr:uid="{00000000-0005-0000-0000-0000F0090000}"/>
    <cellStyle name="Comma 3 3 4 3 2" xfId="15346" xr:uid="{00000000-0005-0000-0000-0000F1090000}"/>
    <cellStyle name="Comma 3 3 4 3 2 2" xfId="27240" xr:uid="{28EEC34F-6687-43C4-90AE-822DF50C124A}"/>
    <cellStyle name="Comma 3 3 4 3 2 3" xfId="21580" xr:uid="{67889E51-AA7F-4EE9-A3EE-FB8A519C53FA}"/>
    <cellStyle name="Comma 3 3 4 3 2 4" xfId="32620" xr:uid="{70150074-2AFE-4178-944A-88AECB8CD71C}"/>
    <cellStyle name="Comma 3 3 4 3 2 5" xfId="35117" xr:uid="{AD8DC59E-CB0F-43B5-BDBD-4C8C54C9F5B0}"/>
    <cellStyle name="Comma 3 3 4 3 3" xfId="24407" xr:uid="{4EE49206-096E-4126-B832-034FBBFD40BE}"/>
    <cellStyle name="Comma 3 3 4 3 4" xfId="18747" xr:uid="{FA08A077-EA08-4837-9D4E-F67C0FC1FB74}"/>
    <cellStyle name="Comma 3 3 4 3 5" xfId="30068" xr:uid="{2043B9A6-1644-4B5D-9C03-B5A768E25002}"/>
    <cellStyle name="Comma 3 3 4 3 6" xfId="35116" xr:uid="{FA3AF491-57A9-4F6D-BB8F-C5A31ABB2EAA}"/>
    <cellStyle name="Comma 3 3 4 4" xfId="13946" xr:uid="{00000000-0005-0000-0000-0000F2090000}"/>
    <cellStyle name="Comma 3 3 4 4 2" xfId="25987" xr:uid="{86A54D10-FEEA-4A53-99AF-4F7B38CFA5A6}"/>
    <cellStyle name="Comma 3 3 4 4 3" xfId="20327" xr:uid="{425B5C5D-12CC-4BCE-8191-B233B855D665}"/>
    <cellStyle name="Comma 3 3 4 4 4" xfId="31367" xr:uid="{54A21FC8-A37B-4018-8900-50A7A7233749}"/>
    <cellStyle name="Comma 3 3 4 4 5" xfId="35118" xr:uid="{6E0F20B9-633C-4F31-8C34-7A7417EEE00C}"/>
    <cellStyle name="Comma 3 3 4 5" xfId="7718" xr:uid="{00000000-0005-0000-0000-0000F3090000}"/>
    <cellStyle name="Comma 3 3 4 5 2" xfId="25210" xr:uid="{B7F5AE9B-FE63-4281-8CDA-0DF9AF22372C}"/>
    <cellStyle name="Comma 3 3 4 5 3" xfId="19550" xr:uid="{588BBBD9-D778-417C-8BDF-72D5968E85FF}"/>
    <cellStyle name="Comma 3 3 4 5 4" xfId="30871" xr:uid="{A5DACAF8-39BA-4538-BBAC-94B6B67C47E8}"/>
    <cellStyle name="Comma 3 3 4 5 5" xfId="35119" xr:uid="{BB160C57-1A83-4F6E-85F3-2A9BF62A0A95}"/>
    <cellStyle name="Comma 3 3 4 6" xfId="22845" xr:uid="{4F00EE43-4E0C-4047-A258-35AC185928AA}"/>
    <cellStyle name="Comma 3 3 4 7" xfId="17185" xr:uid="{B7E222B7-2E0D-41C3-9014-D4D93A2CFA46}"/>
    <cellStyle name="Comma 3 3 4 8" xfId="28506" xr:uid="{6BA12AA6-EE36-47E5-9510-1AD077CF3E89}"/>
    <cellStyle name="Comma 3 3 4 9" xfId="35111" xr:uid="{25A793B8-5BF5-4A78-9B8E-5DB693589888}"/>
    <cellStyle name="Comma 3 3 5" xfId="5558" xr:uid="{00000000-0005-0000-0000-0000F4090000}"/>
    <cellStyle name="Comma 3 3 5 2" xfId="23353" xr:uid="{B604DC0A-DF59-4395-8CA0-143A2AFF9F92}"/>
    <cellStyle name="Comma 3 3 5 3" xfId="17693" xr:uid="{6EC9B87B-36AC-4E48-A238-85B4414BD472}"/>
    <cellStyle name="Comma 3 3 5 4" xfId="29014" xr:uid="{44B49D35-1E7F-4B7B-A9DA-60040E5442EC}"/>
    <cellStyle name="Comma 3 3 5 5" xfId="35120" xr:uid="{737F58C9-65EC-4AE2-B5C2-65FB4F3FE144}"/>
    <cellStyle name="Comma 3 3 6" xfId="6495" xr:uid="{00000000-0005-0000-0000-0000F5090000}"/>
    <cellStyle name="Comma 3 3 6 2" xfId="14928" xr:uid="{00000000-0005-0000-0000-0000F6090000}"/>
    <cellStyle name="Comma 3 3 6 2 2" xfId="26822" xr:uid="{63BE439B-EE98-4251-9420-1CACAE9C400D}"/>
    <cellStyle name="Comma 3 3 6 2 3" xfId="21162" xr:uid="{646EF986-8686-4273-BACB-A236E187C3C9}"/>
    <cellStyle name="Comma 3 3 6 2 4" xfId="32202" xr:uid="{822445FD-BB18-4D77-A142-26BB889AC5DB}"/>
    <cellStyle name="Comma 3 3 6 2 5" xfId="35122" xr:uid="{935E8E10-4A5B-49CE-AACB-72DE85A1ACE4}"/>
    <cellStyle name="Comma 3 3 6 3" xfId="23989" xr:uid="{37DB556A-FF81-4B45-B3C3-0A2BBD3B2268}"/>
    <cellStyle name="Comma 3 3 6 4" xfId="18329" xr:uid="{62A0C37A-8E4B-4D47-BE7E-B8352CDE7227}"/>
    <cellStyle name="Comma 3 3 6 5" xfId="29650" xr:uid="{920D6081-2572-4C4C-88FA-2E3AF8C3C378}"/>
    <cellStyle name="Comma 3 3 6 6" xfId="35121" xr:uid="{66BB0C70-E68A-4A41-BAEC-ECA8E1BB990D}"/>
    <cellStyle name="Comma 3 3 7" xfId="12707" xr:uid="{00000000-0005-0000-0000-0000F7090000}"/>
    <cellStyle name="Comma 3 3 7 2" xfId="25753" xr:uid="{C00EBBAD-11D4-495A-B362-4C8B8A06DACD}"/>
    <cellStyle name="Comma 3 3 7 3" xfId="20093" xr:uid="{31197611-BC8B-49BD-B939-B3FE10D7F905}"/>
    <cellStyle name="Comma 3 3 7 4" xfId="31333" xr:uid="{A7770432-D439-4E6B-A838-DD512B729728}"/>
    <cellStyle name="Comma 3 3 7 5" xfId="35123" xr:uid="{74184AD8-C7D3-4EB7-AEDD-54DA31A5A635}"/>
    <cellStyle name="Comma 3 3 8" xfId="22427" xr:uid="{65F7584F-DA40-4404-8812-EAA04542262A}"/>
    <cellStyle name="Comma 3 3 8 2" xfId="35124" xr:uid="{DF21AD9B-0237-4F6A-A536-59FFFFAF605B}"/>
    <cellStyle name="Comma 3 3 9" xfId="16767" xr:uid="{561E201F-A2DF-43CC-B960-A88CFA3A055B}"/>
    <cellStyle name="Comma 3 4" xfId="1523" xr:uid="{00000000-0005-0000-0000-0000F8090000}"/>
    <cellStyle name="Comma 3 4 2" xfId="3878" xr:uid="{00000000-0005-0000-0000-0000F9090000}"/>
    <cellStyle name="Comma 3 4 2 2" xfId="5939" xr:uid="{00000000-0005-0000-0000-0000FA090000}"/>
    <cellStyle name="Comma 3 4 2 2 2" xfId="23529" xr:uid="{64885525-B44C-4CFF-902F-413F71BEF37E}"/>
    <cellStyle name="Comma 3 4 2 2 3" xfId="17869" xr:uid="{BA113111-7E4F-471D-90B2-DF7820A8B539}"/>
    <cellStyle name="Comma 3 4 2 2 4" xfId="29190" xr:uid="{3A818255-BA05-49E9-855F-2FB51B6A794D}"/>
    <cellStyle name="Comma 3 4 2 2 5" xfId="35127" xr:uid="{24BC13F0-7A7D-432B-B50C-ACC1A19A01E9}"/>
    <cellStyle name="Comma 3 4 2 3" xfId="13656" xr:uid="{00000000-0005-0000-0000-0000FB090000}"/>
    <cellStyle name="Comma 3 4 2 3 2" xfId="25893" xr:uid="{FA21826F-E164-4003-B43E-D96A36AA674D}"/>
    <cellStyle name="Comma 3 4 2 3 3" xfId="20233" xr:uid="{B1B669B1-9D1F-4CB4-B87D-BAE156F7C1FF}"/>
    <cellStyle name="Comma 3 4 2 3 4" xfId="35128" xr:uid="{80267EF9-0D04-4031-8E13-1E2BFA61AB47}"/>
    <cellStyle name="Comma 3 4 2 4" xfId="35126" xr:uid="{7B49EF9C-A1E6-4F78-86A5-FE4D9F40BD30}"/>
    <cellStyle name="Comma 3 4 3" xfId="5559" xr:uid="{00000000-0005-0000-0000-0000FC090000}"/>
    <cellStyle name="Comma 3 4 3 2" xfId="23354" xr:uid="{F6571F7C-2F86-4402-9365-E3A4CFCD39E9}"/>
    <cellStyle name="Comma 3 4 3 3" xfId="17694" xr:uid="{8D432F29-5892-4430-B2AF-6FA24E9486BD}"/>
    <cellStyle name="Comma 3 4 3 4" xfId="29015" xr:uid="{79E21DE1-0AAB-4B8D-9709-0AB076315435}"/>
    <cellStyle name="Comma 3 4 3 5" xfId="35129" xr:uid="{0976DEB0-D388-4BBC-A64B-73EEB6BB64B6}"/>
    <cellStyle name="Comma 3 4 4" xfId="12708" xr:uid="{00000000-0005-0000-0000-0000FD090000}"/>
    <cellStyle name="Comma 3 4 4 2" xfId="25754" xr:uid="{0F6EFE37-BB4B-472E-93BA-0EDEA6B2A941}"/>
    <cellStyle name="Comma 3 4 4 3" xfId="20094" xr:uid="{02973121-2EFF-44A9-BD39-0FEA39C41735}"/>
    <cellStyle name="Comma 3 4 4 4" xfId="35130" xr:uid="{87FBDF90-56A8-4045-A4F7-6F25D9603B15}"/>
    <cellStyle name="Comma 3 4 5" xfId="35125" xr:uid="{76C5B556-2A90-43DB-8C71-904B7B0CDF68}"/>
    <cellStyle name="Comma 3 5" xfId="3879" xr:uid="{00000000-0005-0000-0000-0000FE090000}"/>
    <cellStyle name="Comma 3 5 2" xfId="5560" xr:uid="{00000000-0005-0000-0000-0000FF090000}"/>
    <cellStyle name="Comma 3 5 2 2" xfId="23355" xr:uid="{15D8B84A-AF11-41E2-8455-D17608AF9597}"/>
    <cellStyle name="Comma 3 5 2 3" xfId="17695" xr:uid="{6EFE4D6E-1FF7-4C48-A37E-69FD9119A8C1}"/>
    <cellStyle name="Comma 3 5 2 4" xfId="29016" xr:uid="{94C2EE79-6EBD-4822-A3D9-0CAAFCB4B1D6}"/>
    <cellStyle name="Comma 3 5 2 5" xfId="35132" xr:uid="{A3656B0C-DE60-48FB-8BDE-1832415886EA}"/>
    <cellStyle name="Comma 3 5 3" xfId="13657" xr:uid="{00000000-0005-0000-0000-0000000A0000}"/>
    <cellStyle name="Comma 3 5 3 2" xfId="25894" xr:uid="{129C8DB1-0AB7-4D58-BDE4-559A46324CAD}"/>
    <cellStyle name="Comma 3 5 3 3" xfId="20234" xr:uid="{FD5CB241-E0BD-4C2B-B8E8-B615E81ADE6A}"/>
    <cellStyle name="Comma 3 5 3 4" xfId="35133" xr:uid="{ECE68A47-3C3B-4C42-AA09-34A164D41120}"/>
    <cellStyle name="Comma 3 5 4" xfId="35131" xr:uid="{DF604664-C545-49A4-B234-79D26848436D}"/>
    <cellStyle name="Comma 3 6" xfId="3880" xr:uid="{00000000-0005-0000-0000-0000010A0000}"/>
    <cellStyle name="Comma 3 6 2" xfId="5561" xr:uid="{00000000-0005-0000-0000-0000020A0000}"/>
    <cellStyle name="Comma 3 6 2 2" xfId="23356" xr:uid="{F2343E1D-B2DE-4D03-BA40-365AA87DE6AE}"/>
    <cellStyle name="Comma 3 6 2 3" xfId="17696" xr:uid="{C30EE796-AA2A-4CB5-92CD-942DC9CBA251}"/>
    <cellStyle name="Comma 3 6 2 4" xfId="29017" xr:uid="{D51CAE8B-B3BC-4B8D-ADCB-07D3D7F0FEF9}"/>
    <cellStyle name="Comma 3 6 2 5" xfId="35135" xr:uid="{D79FC02D-B814-4FE8-92B3-855A1D246CC1}"/>
    <cellStyle name="Comma 3 6 3" xfId="13658" xr:uid="{00000000-0005-0000-0000-0000030A0000}"/>
    <cellStyle name="Comma 3 6 3 2" xfId="25895" xr:uid="{4B175749-7C65-4D96-81CB-7539FCCFDA89}"/>
    <cellStyle name="Comma 3 6 3 3" xfId="20235" xr:uid="{5782B7B2-AC2C-4179-8157-7EEB94448422}"/>
    <cellStyle name="Comma 3 6 3 4" xfId="35136" xr:uid="{D717AFA0-2293-43A7-8400-656E84D3EB6D}"/>
    <cellStyle name="Comma 3 6 4" xfId="35134" xr:uid="{D6918ABB-47B6-4A0E-96D2-EAF3D92B6CF8}"/>
    <cellStyle name="Comma 3 7" xfId="3881" xr:uid="{00000000-0005-0000-0000-0000040A0000}"/>
    <cellStyle name="Comma 3 7 2" xfId="5562" xr:uid="{00000000-0005-0000-0000-0000050A0000}"/>
    <cellStyle name="Comma 3 7 2 2" xfId="23357" xr:uid="{9EDAFEFD-1E1E-4320-837F-229904FA9150}"/>
    <cellStyle name="Comma 3 7 2 3" xfId="17697" xr:uid="{74A7A23A-6045-4E3D-93EA-773A1F76719B}"/>
    <cellStyle name="Comma 3 7 2 4" xfId="29018" xr:uid="{943DDA29-6856-4A83-8375-809FF1A39C23}"/>
    <cellStyle name="Comma 3 7 2 5" xfId="35138" xr:uid="{54C6693F-3812-4080-AC91-D5BB9535C198}"/>
    <cellStyle name="Comma 3 7 3" xfId="13659" xr:uid="{00000000-0005-0000-0000-0000060A0000}"/>
    <cellStyle name="Comma 3 7 3 2" xfId="25896" xr:uid="{5B528777-0AAF-4CE1-901E-8CD7DDA6B615}"/>
    <cellStyle name="Comma 3 7 3 3" xfId="20236" xr:uid="{121238F4-8D3C-415F-A350-3B5A77FF33BA}"/>
    <cellStyle name="Comma 3 7 3 4" xfId="35139" xr:uid="{B077C565-DEB5-463C-8477-C4F865AA0BA4}"/>
    <cellStyle name="Comma 3 7 4" xfId="35137" xr:uid="{A80CE3C7-7C10-4D53-A7E4-068DF1BFC46D}"/>
    <cellStyle name="Comma 3 8" xfId="3882" xr:uid="{00000000-0005-0000-0000-0000070A0000}"/>
    <cellStyle name="Comma 3 8 2" xfId="5563" xr:uid="{00000000-0005-0000-0000-0000080A0000}"/>
    <cellStyle name="Comma 3 8 2 2" xfId="23358" xr:uid="{6DAEAA87-39DB-4CD2-9395-2A6419FA7DA8}"/>
    <cellStyle name="Comma 3 8 2 3" xfId="17698" xr:uid="{7C012E6B-629D-44F8-9B75-302E16CEA60A}"/>
    <cellStyle name="Comma 3 8 2 4" xfId="29019" xr:uid="{DADBAD22-19FF-4972-BB48-0059ABB8B0C1}"/>
    <cellStyle name="Comma 3 8 2 5" xfId="35141" xr:uid="{53F19D14-EAAE-4C1F-803E-F7DF4C569256}"/>
    <cellStyle name="Comma 3 8 3" xfId="13660" xr:uid="{00000000-0005-0000-0000-0000090A0000}"/>
    <cellStyle name="Comma 3 8 3 2" xfId="25897" xr:uid="{BF8CAD1F-6189-43D4-B660-5BC682991B66}"/>
    <cellStyle name="Comma 3 8 3 3" xfId="20237" xr:uid="{9D375416-D1A7-47B7-BC98-D7796431874D}"/>
    <cellStyle name="Comma 3 8 3 4" xfId="35142" xr:uid="{F29450E9-72DB-4AA7-9B44-89226F4ACE3C}"/>
    <cellStyle name="Comma 3 8 4" xfId="35140" xr:uid="{F4AC34E1-B4AD-48FA-B91F-68D209910D95}"/>
    <cellStyle name="Comma 3 9" xfId="3883" xr:uid="{00000000-0005-0000-0000-00000A0A0000}"/>
    <cellStyle name="Comma 3 9 2" xfId="5940" xr:uid="{00000000-0005-0000-0000-00000B0A0000}"/>
    <cellStyle name="Comma 3 9 2 2" xfId="23530" xr:uid="{C320D95F-F9D1-44B5-B5B2-28215C38351E}"/>
    <cellStyle name="Comma 3 9 2 3" xfId="17870" xr:uid="{057DB2CB-32CD-414B-A385-87DCBB3E82C3}"/>
    <cellStyle name="Comma 3 9 2 4" xfId="29191" xr:uid="{6C3B1771-DEC9-499A-9EA8-E1E8878EB695}"/>
    <cellStyle name="Comma 3 9 2 5" xfId="35144" xr:uid="{59309D7D-FB5F-4D69-83BF-C4E0D9DDE124}"/>
    <cellStyle name="Comma 3 9 3" xfId="13661" xr:uid="{00000000-0005-0000-0000-00000C0A0000}"/>
    <cellStyle name="Comma 3 9 3 2" xfId="25898" xr:uid="{ED9328D6-9A4C-47BD-8D4A-9363488A5107}"/>
    <cellStyle name="Comma 3 9 3 3" xfId="20238" xr:uid="{F349875A-261A-4378-8BCB-50604EE2F458}"/>
    <cellStyle name="Comma 3 9 3 4" xfId="35145" xr:uid="{5D713DE1-D162-43ED-ACFD-B7F6FE0FFC45}"/>
    <cellStyle name="Comma 3 9 4" xfId="35143" xr:uid="{0553458C-3ADF-438B-BF15-7311A135C85F}"/>
    <cellStyle name="Comma 30" xfId="33452" xr:uid="{E8C1B3CA-15EA-4FC2-B189-C6E5ACFFADB1}"/>
    <cellStyle name="Comma 31" xfId="33453" xr:uid="{01A130B1-736C-46F3-81B1-BAE988959B25}"/>
    <cellStyle name="Comma 32" xfId="49746" xr:uid="{5B441980-7B27-4072-A0D5-F90FA8B51C65}"/>
    <cellStyle name="Comma 33" xfId="16698" xr:uid="{674128A0-376C-411B-986E-5D622D518A33}"/>
    <cellStyle name="Comma 33 2" xfId="33426" xr:uid="{9C1F4A35-7838-407F-A6F5-3F48BAF4196E}"/>
    <cellStyle name="Comma 33 3" xfId="35146" xr:uid="{A54210EA-062E-44F9-ACD2-C204F60EDF9C}"/>
    <cellStyle name="Comma 4" xfId="1524" xr:uid="{00000000-0005-0000-0000-00000D0A0000}"/>
    <cellStyle name="Comma 4 10" xfId="5941" xr:uid="{00000000-0005-0000-0000-00000E0A0000}"/>
    <cellStyle name="Comma 4 10 2" xfId="23531" xr:uid="{DAEB41E8-CB4E-417E-9727-0DB3EEE891AA}"/>
    <cellStyle name="Comma 4 10 3" xfId="17871" xr:uid="{094206E4-B6EA-4EA4-A6CD-8AC33125560F}"/>
    <cellStyle name="Comma 4 10 4" xfId="29192" xr:uid="{BAD86CA0-EF2D-457E-BEBB-15996CCFE97D}"/>
    <cellStyle name="Comma 4 10 5" xfId="35147" xr:uid="{7D6A31A9-35AE-4692-8E9E-46F31BC75079}"/>
    <cellStyle name="Comma 4 11" xfId="5564" xr:uid="{00000000-0005-0000-0000-00000F0A0000}"/>
    <cellStyle name="Comma 4 11 2" xfId="23359" xr:uid="{BC052766-B166-4914-A398-4D7D1BCB80CE}"/>
    <cellStyle name="Comma 4 11 3" xfId="17699" xr:uid="{C1BE0C6E-78E5-43F2-B509-A6A7E2012CA1}"/>
    <cellStyle name="Comma 4 11 4" xfId="29020" xr:uid="{00D1F1F4-B5D0-415C-A8D8-F71FA202117A}"/>
    <cellStyle name="Comma 4 11 5" xfId="35148" xr:uid="{CFC180AD-30B3-4C73-AAFB-069786078486}"/>
    <cellStyle name="Comma 4 12" xfId="12709" xr:uid="{00000000-0005-0000-0000-0000100A0000}"/>
    <cellStyle name="Comma 4 12 2" xfId="25755" xr:uid="{DA12215F-9A3C-4F06-93C0-13BF205326E6}"/>
    <cellStyle name="Comma 4 12 3" xfId="20095" xr:uid="{0A5337C7-EE2F-48DC-A87D-50A9B5BEB89C}"/>
    <cellStyle name="Comma 4 12 4" xfId="35149" xr:uid="{B50E1FD6-9EA3-440A-8D62-C9A54A700A23}"/>
    <cellStyle name="Comma 4 13" xfId="35150" xr:uid="{28FCF388-42E8-455A-AC27-C8CBF751ECC6}"/>
    <cellStyle name="Comma 4 2" xfId="1525" xr:uid="{00000000-0005-0000-0000-0000110A0000}"/>
    <cellStyle name="Comma 4 2 2" xfId="3885" xr:uid="{00000000-0005-0000-0000-0000120A0000}"/>
    <cellStyle name="Comma 4 2 2 2" xfId="5943" xr:uid="{00000000-0005-0000-0000-0000130A0000}"/>
    <cellStyle name="Comma 4 2 2 2 2" xfId="23532" xr:uid="{7A8D9FD4-BB01-44D3-B79E-679C48E01903}"/>
    <cellStyle name="Comma 4 2 2 2 3" xfId="17872" xr:uid="{72598C76-1D5C-47CA-B957-0574C950E125}"/>
    <cellStyle name="Comma 4 2 2 2 4" xfId="29193" xr:uid="{4CB9A0CF-9D03-48FA-98FA-67DD63D38EAA}"/>
    <cellStyle name="Comma 4 2 2 2 5" xfId="35153" xr:uid="{8DB70BF1-86C8-4D3C-905A-0B88BFCE0D3E}"/>
    <cellStyle name="Comma 4 2 2 3" xfId="13663" xr:uid="{00000000-0005-0000-0000-0000140A0000}"/>
    <cellStyle name="Comma 4 2 2 3 2" xfId="25900" xr:uid="{D25F2402-A6CC-4A36-835B-E293E9E6F048}"/>
    <cellStyle name="Comma 4 2 2 3 3" xfId="20240" xr:uid="{3C6F21D3-8160-4909-A637-0F308D32FF15}"/>
    <cellStyle name="Comma 4 2 2 3 4" xfId="35154" xr:uid="{7DBF3FA1-47FE-4292-A7AF-4DD707F1057B}"/>
    <cellStyle name="Comma 4 2 2 4" xfId="35155" xr:uid="{1300260B-8FE8-44FC-9D77-EB99A03DAC92}"/>
    <cellStyle name="Comma 4 2 2 5" xfId="35152" xr:uid="{1528741A-D612-464C-A99F-0D328739D8FD}"/>
    <cellStyle name="Comma 4 2 2 6" xfId="49755" xr:uid="{C0B8A5A0-71FD-4D46-8841-584CB2135CD3}"/>
    <cellStyle name="Comma 4 2 3" xfId="5942" xr:uid="{00000000-0005-0000-0000-0000150A0000}"/>
    <cellStyle name="Comma 4 2 4" xfId="5565" xr:uid="{00000000-0005-0000-0000-0000160A0000}"/>
    <cellStyle name="Comma 4 2 4 2" xfId="23360" xr:uid="{00C10EFF-0E73-4648-8978-E3231329D314}"/>
    <cellStyle name="Comma 4 2 4 3" xfId="17700" xr:uid="{7A5D493D-7B78-4E4A-8ED1-0BF4751D170C}"/>
    <cellStyle name="Comma 4 2 4 4" xfId="29021" xr:uid="{05151094-419F-4379-AF31-23DD3EA47D4D}"/>
    <cellStyle name="Comma 4 2 4 5" xfId="35156" xr:uid="{856838A6-909A-4920-A968-A1FDE0142CAE}"/>
    <cellStyle name="Comma 4 2 5" xfId="35157" xr:uid="{8D5B2775-687E-40B6-B61D-E423331A056F}"/>
    <cellStyle name="Comma 4 2 6" xfId="35151" xr:uid="{72B2AA07-F193-4879-BE6F-1C9EF7688F5C}"/>
    <cellStyle name="Comma 4 3" xfId="3886" xr:uid="{00000000-0005-0000-0000-0000170A0000}"/>
    <cellStyle name="Comma 4 3 2" xfId="5566" xr:uid="{00000000-0005-0000-0000-0000180A0000}"/>
    <cellStyle name="Comma 4 3 2 2" xfId="23361" xr:uid="{C9E18212-A42A-4ABF-A398-133BDE4673D3}"/>
    <cellStyle name="Comma 4 3 2 3" xfId="17701" xr:uid="{F2EA2B10-5292-48BF-AA97-8CFC56BCB0DF}"/>
    <cellStyle name="Comma 4 3 2 4" xfId="29022" xr:uid="{E2ACD494-1497-4BDD-9381-2D913DD70643}"/>
    <cellStyle name="Comma 4 3 2 5" xfId="35159" xr:uid="{E1350068-6BD2-41B2-9009-E796157AE258}"/>
    <cellStyle name="Comma 4 3 3" xfId="13664" xr:uid="{00000000-0005-0000-0000-0000190A0000}"/>
    <cellStyle name="Comma 4 3 3 2" xfId="25901" xr:uid="{01F4B640-E6A3-490E-A7CE-30E6336AE1F5}"/>
    <cellStyle name="Comma 4 3 3 3" xfId="20241" xr:uid="{F2907831-D260-4D71-BC9A-ACDB7E6334E6}"/>
    <cellStyle name="Comma 4 3 3 4" xfId="35160" xr:uid="{E2FFBE86-2308-4BB0-B5EA-008F10769E42}"/>
    <cellStyle name="Comma 4 3 4" xfId="35158" xr:uid="{27B00A2D-76C9-4B4C-9A90-A9295804DC56}"/>
    <cellStyle name="Comma 4 4" xfId="3887" xr:uid="{00000000-0005-0000-0000-00001A0A0000}"/>
    <cellStyle name="Comma 4 4 2" xfId="5567" xr:uid="{00000000-0005-0000-0000-00001B0A0000}"/>
    <cellStyle name="Comma 4 4 2 2" xfId="23362" xr:uid="{11562877-651A-4C93-BFD9-AC37E7AAA6D9}"/>
    <cellStyle name="Comma 4 4 2 3" xfId="17702" xr:uid="{5C3E1B32-08F5-464B-A230-4F2D2A68FBE7}"/>
    <cellStyle name="Comma 4 4 2 4" xfId="29023" xr:uid="{3E07CE28-8608-4B03-ABAC-FABECC984A98}"/>
    <cellStyle name="Comma 4 4 2 5" xfId="35162" xr:uid="{26584D93-1E9F-4EFA-A476-88D678812F9B}"/>
    <cellStyle name="Comma 4 4 3" xfId="13665" xr:uid="{00000000-0005-0000-0000-00001C0A0000}"/>
    <cellStyle name="Comma 4 4 3 2" xfId="25902" xr:uid="{757AD042-D0F8-4AA8-AC90-92B9C5216232}"/>
    <cellStyle name="Comma 4 4 3 3" xfId="20242" xr:uid="{62175B7D-2A7A-4F52-97C1-D845E41BE97F}"/>
    <cellStyle name="Comma 4 4 3 4" xfId="35163" xr:uid="{10B40C82-5373-46E0-A207-BCBBCC003BB0}"/>
    <cellStyle name="Comma 4 4 4" xfId="35161" xr:uid="{BDE6911D-8162-4065-8D3C-B18306BB7EB3}"/>
    <cellStyle name="Comma 4 5" xfId="3888" xr:uid="{00000000-0005-0000-0000-00001D0A0000}"/>
    <cellStyle name="Comma 4 5 2" xfId="5568" xr:uid="{00000000-0005-0000-0000-00001E0A0000}"/>
    <cellStyle name="Comma 4 5 2 2" xfId="23363" xr:uid="{E2E01A15-74E6-434E-915E-4DBED21177FB}"/>
    <cellStyle name="Comma 4 5 2 3" xfId="17703" xr:uid="{4CE7BF7C-627E-4CC0-BC56-B2EDBF3DF4E8}"/>
    <cellStyle name="Comma 4 5 2 4" xfId="29024" xr:uid="{00061570-53E6-489D-AA7F-5B30F04CB236}"/>
    <cellStyle name="Comma 4 5 2 5" xfId="35165" xr:uid="{737F7708-9AC5-4A32-AD82-0BB544D3550C}"/>
    <cellStyle name="Comma 4 5 3" xfId="13666" xr:uid="{00000000-0005-0000-0000-00001F0A0000}"/>
    <cellStyle name="Comma 4 5 3 2" xfId="25903" xr:uid="{8BA74948-49C3-421E-BD81-92F8F84EBEB0}"/>
    <cellStyle name="Comma 4 5 3 3" xfId="20243" xr:uid="{EF11E59F-F62A-40DF-A437-F9F1F2412565}"/>
    <cellStyle name="Comma 4 5 3 4" xfId="35166" xr:uid="{56E20D3D-F297-4BB8-8530-5E5E2419AF0C}"/>
    <cellStyle name="Comma 4 5 4" xfId="35164" xr:uid="{E09D908C-5B35-432C-AA2C-C32126655A37}"/>
    <cellStyle name="Comma 4 6" xfId="3889" xr:uid="{00000000-0005-0000-0000-0000200A0000}"/>
    <cellStyle name="Comma 4 6 2" xfId="5569" xr:uid="{00000000-0005-0000-0000-0000210A0000}"/>
    <cellStyle name="Comma 4 6 2 2" xfId="23364" xr:uid="{E2341262-6DEB-4BC1-8C9E-9DFDD1507A15}"/>
    <cellStyle name="Comma 4 6 2 3" xfId="17704" xr:uid="{A57D2595-FAB3-405A-8E59-9AD33F70F9D2}"/>
    <cellStyle name="Comma 4 6 2 4" xfId="29025" xr:uid="{60FC27FD-CD23-4FCF-96B5-26F6B4A4094D}"/>
    <cellStyle name="Comma 4 6 2 5" xfId="35168" xr:uid="{505135F5-729E-41AB-A14F-F9CDE9C01E9B}"/>
    <cellStyle name="Comma 4 6 3" xfId="13667" xr:uid="{00000000-0005-0000-0000-0000220A0000}"/>
    <cellStyle name="Comma 4 6 3 2" xfId="25904" xr:uid="{4166D896-3532-4A69-A297-E980028EFED6}"/>
    <cellStyle name="Comma 4 6 3 3" xfId="20244" xr:uid="{9B09CA3E-E392-4D85-8FC0-CD2FC5148E45}"/>
    <cellStyle name="Comma 4 6 3 4" xfId="35169" xr:uid="{D3575C66-3B6D-4566-83CA-18ABF62C1DCE}"/>
    <cellStyle name="Comma 4 6 4" xfId="35167" xr:uid="{D184112F-1612-40B1-85E1-5B3BECDECE5A}"/>
    <cellStyle name="Comma 4 7" xfId="3890" xr:uid="{00000000-0005-0000-0000-0000230A0000}"/>
    <cellStyle name="Comma 4 7 2" xfId="5570" xr:uid="{00000000-0005-0000-0000-0000240A0000}"/>
    <cellStyle name="Comma 4 7 2 2" xfId="23365" xr:uid="{C728EE53-BE73-454E-A1B3-6FFBCF2BC1B8}"/>
    <cellStyle name="Comma 4 7 2 3" xfId="17705" xr:uid="{1C3C5074-A030-4CAE-890B-894024772D6D}"/>
    <cellStyle name="Comma 4 7 2 4" xfId="29026" xr:uid="{ABEFA175-DA07-449B-8FAB-DD1251EC9095}"/>
    <cellStyle name="Comma 4 7 2 5" xfId="35171" xr:uid="{2438EE77-8FFA-4B77-8072-83177F66C7EA}"/>
    <cellStyle name="Comma 4 7 3" xfId="13668" xr:uid="{00000000-0005-0000-0000-0000250A0000}"/>
    <cellStyle name="Comma 4 7 3 2" xfId="25905" xr:uid="{01A35838-3EE9-472E-9F7E-7EA00669214A}"/>
    <cellStyle name="Comma 4 7 3 3" xfId="20245" xr:uid="{DF869612-A5BB-46CA-A716-18D870BDAA91}"/>
    <cellStyle name="Comma 4 7 3 4" xfId="35172" xr:uid="{3C64FDC4-AD1D-4C0C-AB0D-CE2071637550}"/>
    <cellStyle name="Comma 4 7 4" xfId="35170" xr:uid="{7870510A-702D-41D9-96D5-199C31C8D98F}"/>
    <cellStyle name="Comma 4 8" xfId="3891" xr:uid="{00000000-0005-0000-0000-0000260A0000}"/>
    <cellStyle name="Comma 4 8 2" xfId="5571" xr:uid="{00000000-0005-0000-0000-0000270A0000}"/>
    <cellStyle name="Comma 4 8 2 2" xfId="23366" xr:uid="{B4BF0015-9157-4129-9BD5-D7CAA9050021}"/>
    <cellStyle name="Comma 4 8 2 3" xfId="17706" xr:uid="{31096AE4-52B6-4152-8635-504DC8776E52}"/>
    <cellStyle name="Comma 4 8 2 4" xfId="29027" xr:uid="{25FE736A-B55B-486D-A3DA-03CE80854529}"/>
    <cellStyle name="Comma 4 8 2 5" xfId="35174" xr:uid="{35557737-51DC-4DF4-9007-01A9EC5273F0}"/>
    <cellStyle name="Comma 4 8 3" xfId="13669" xr:uid="{00000000-0005-0000-0000-0000280A0000}"/>
    <cellStyle name="Comma 4 8 3 2" xfId="25906" xr:uid="{AD3EE499-3CAF-4908-99B9-3479E3C87EF5}"/>
    <cellStyle name="Comma 4 8 3 3" xfId="20246" xr:uid="{B87E8D81-DA4E-4285-9E30-245E89E849A6}"/>
    <cellStyle name="Comma 4 8 3 4" xfId="35175" xr:uid="{E2AB304F-4C7E-4726-AB62-BF082E430145}"/>
    <cellStyle name="Comma 4 8 4" xfId="35173" xr:uid="{BC56BB04-1E2C-474C-958F-40DA251D5120}"/>
    <cellStyle name="Comma 4 9" xfId="3884" xr:uid="{00000000-0005-0000-0000-0000290A0000}"/>
    <cellStyle name="Comma 4 9 2" xfId="5944" xr:uid="{00000000-0005-0000-0000-00002A0A0000}"/>
    <cellStyle name="Comma 4 9 2 2" xfId="23533" xr:uid="{BFFBAC82-833A-458E-92C2-30DD29A6A850}"/>
    <cellStyle name="Comma 4 9 2 3" xfId="17873" xr:uid="{81D37989-D8EB-4EB6-B775-0206D3530803}"/>
    <cellStyle name="Comma 4 9 2 4" xfId="29194" xr:uid="{281FF22A-8D08-4DEA-82D2-891370C68777}"/>
    <cellStyle name="Comma 4 9 2 5" xfId="35177" xr:uid="{2D41887E-43B2-4D9B-823C-68A28E77E9CB}"/>
    <cellStyle name="Comma 4 9 3" xfId="13662" xr:uid="{00000000-0005-0000-0000-00002B0A0000}"/>
    <cellStyle name="Comma 4 9 3 2" xfId="25899" xr:uid="{31CA32BF-CAC4-4B06-8023-BA52AF1FB45D}"/>
    <cellStyle name="Comma 4 9 3 3" xfId="20239" xr:uid="{71E1ECF0-016C-4D3E-B5E9-F17CC058760E}"/>
    <cellStyle name="Comma 4 9 3 4" xfId="35178" xr:uid="{A0B55B9E-569B-412E-93E8-199AA1CC80B5}"/>
    <cellStyle name="Comma 4 9 4" xfId="35176" xr:uid="{05EE6294-7FAD-485E-9057-755697090D3B}"/>
    <cellStyle name="Comma 5" xfId="3892" xr:uid="{00000000-0005-0000-0000-00002C0A0000}"/>
    <cellStyle name="Comma 5 10" xfId="13670" xr:uid="{00000000-0005-0000-0000-00002D0A0000}"/>
    <cellStyle name="Comma 5 10 2" xfId="25907" xr:uid="{04A992D3-C5C3-4466-9465-05641CAB5D0D}"/>
    <cellStyle name="Comma 5 10 3" xfId="20247" xr:uid="{CD9648AF-E493-4EE8-9B10-B383A1B355CC}"/>
    <cellStyle name="Comma 5 10 4" xfId="35180" xr:uid="{F9AA99EF-D022-4C39-90DD-FB924684C3DD}"/>
    <cellStyle name="Comma 5 11" xfId="35179" xr:uid="{8E0DFCA1-27BD-45E5-A6A1-41D2A488ADF7}"/>
    <cellStyle name="Comma 5 2" xfId="1526" xr:uid="{00000000-0005-0000-0000-00002E0A0000}"/>
    <cellStyle name="Comma 5 2 2" xfId="5573" xr:uid="{00000000-0005-0000-0000-00002F0A0000}"/>
    <cellStyle name="Comma 5 2 2 2" xfId="23368" xr:uid="{8F30A0D4-9059-4563-A252-E8E606FEED1C}"/>
    <cellStyle name="Comma 5 2 2 3" xfId="17708" xr:uid="{70260F0D-6CC7-47DA-8DF9-FF2F1E19E669}"/>
    <cellStyle name="Comma 5 2 2 4" xfId="29029" xr:uid="{5D2CEF37-C664-4987-BD8C-3A6C29D8F6E6}"/>
    <cellStyle name="Comma 5 2 2 5" xfId="35182" xr:uid="{D1F47005-A32F-40AF-A840-F7DB41257CE8}"/>
    <cellStyle name="Comma 5 2 2 6" xfId="49757" xr:uid="{27005CB1-B108-48D3-9499-60C1E745EE91}"/>
    <cellStyle name="Comma 5 2 3" xfId="12710" xr:uid="{00000000-0005-0000-0000-0000300A0000}"/>
    <cellStyle name="Comma 5 2 3 2" xfId="25756" xr:uid="{5C80B99E-8A99-48BA-86BE-1EBB392CA856}"/>
    <cellStyle name="Comma 5 2 3 3" xfId="20096" xr:uid="{B4A4EDC5-98E7-4AAA-AE8C-F1676652A16D}"/>
    <cellStyle name="Comma 5 2 3 4" xfId="35183" xr:uid="{CA172047-8970-44EB-BCE8-2B3C4F799F89}"/>
    <cellStyle name="Comma 5 2 4" xfId="35184" xr:uid="{6598EE37-D1DF-4400-83C1-85ED9CF36FEA}"/>
    <cellStyle name="Comma 5 2 5" xfId="35181" xr:uid="{AC73F384-1031-4F4D-9573-53A94BB9A991}"/>
    <cellStyle name="Comma 5 2 6" xfId="49756" xr:uid="{713C4321-35E7-4792-BC16-61162781B022}"/>
    <cellStyle name="Comma 5 3" xfId="1527" xr:uid="{00000000-0005-0000-0000-0000310A0000}"/>
    <cellStyle name="Comma 5 3 2" xfId="1528" xr:uid="{00000000-0005-0000-0000-0000320A0000}"/>
    <cellStyle name="Comma 5 3 2 2" xfId="5945" xr:uid="{00000000-0005-0000-0000-0000330A0000}"/>
    <cellStyle name="Comma 5 3 2 2 2" xfId="23534" xr:uid="{C6475FFE-DA34-427A-B49E-F79C4FB0A55A}"/>
    <cellStyle name="Comma 5 3 2 2 3" xfId="17874" xr:uid="{A4B78B5C-06A6-4221-8016-8F6955D3A7AF}"/>
    <cellStyle name="Comma 5 3 2 2 4" xfId="29195" xr:uid="{D03483CB-07E8-4074-99ED-1DC157600C4C}"/>
    <cellStyle name="Comma 5 3 2 2 5" xfId="35187" xr:uid="{CAE3269D-19ED-4E48-942C-B8F214D8AA01}"/>
    <cellStyle name="Comma 5 3 2 2 6" xfId="49760" xr:uid="{7526472B-1F2A-4F52-B7EE-0537F79640D6}"/>
    <cellStyle name="Comma 5 3 2 3" xfId="12712" xr:uid="{00000000-0005-0000-0000-0000340A0000}"/>
    <cellStyle name="Comma 5 3 2 3 2" xfId="25758" xr:uid="{05F72C02-05F8-4674-8347-666D2E1D52BC}"/>
    <cellStyle name="Comma 5 3 2 3 3" xfId="20098" xr:uid="{26BDFC09-90F6-4602-885E-4B7FD1ADCE25}"/>
    <cellStyle name="Comma 5 3 2 3 4" xfId="35188" xr:uid="{026A325C-90FF-445A-A60D-8C4401AED908}"/>
    <cellStyle name="Comma 5 3 2 4" xfId="35189" xr:uid="{1AB999DA-B249-4B0B-A2D9-99B7F1BC79FE}"/>
    <cellStyle name="Comma 5 3 2 5" xfId="35186" xr:uid="{1050CE2B-4A3D-4070-813D-2EB91F9E39D8}"/>
    <cellStyle name="Comma 5 3 2 6" xfId="49759" xr:uid="{4EA159F7-8C75-4E94-B328-A6A5586EC4B1}"/>
    <cellStyle name="Comma 5 3 3" xfId="5574" xr:uid="{00000000-0005-0000-0000-0000350A0000}"/>
    <cellStyle name="Comma 5 3 3 2" xfId="23369" xr:uid="{278B3C17-196D-464E-9D9D-5EBDAD610365}"/>
    <cellStyle name="Comma 5 3 3 3" xfId="17709" xr:uid="{1E473071-2797-441F-83EE-AA197E58AAE1}"/>
    <cellStyle name="Comma 5 3 3 4" xfId="29030" xr:uid="{9F0515DA-952F-4D4A-B680-37034B5BB745}"/>
    <cellStyle name="Comma 5 3 3 5" xfId="35190" xr:uid="{5D59F1E8-C22F-48D1-BF8B-8BDD0F634F49}"/>
    <cellStyle name="Comma 5 3 3 6" xfId="49761" xr:uid="{C46A5C22-ACD5-47E1-B8F6-CAB89F008A29}"/>
    <cellStyle name="Comma 5 3 4" xfId="12711" xr:uid="{00000000-0005-0000-0000-0000360A0000}"/>
    <cellStyle name="Comma 5 3 4 2" xfId="25757" xr:uid="{541AD0FD-06E8-4C45-B123-5FB1A7D61B83}"/>
    <cellStyle name="Comma 5 3 4 3" xfId="20097" xr:uid="{9CF8634D-301D-40F4-859E-603517326B37}"/>
    <cellStyle name="Comma 5 3 4 4" xfId="35191" xr:uid="{06B7DD38-ED05-4F40-BC26-AC27E7D28212}"/>
    <cellStyle name="Comma 5 3 5" xfId="35192" xr:uid="{717810A9-A7C3-4F0B-A06C-22B4F440B08E}"/>
    <cellStyle name="Comma 5 3 6" xfId="35185" xr:uid="{7C81E2EE-A746-4AD9-A781-CC3B2F79CAFA}"/>
    <cellStyle name="Comma 5 3 7" xfId="49758" xr:uid="{C5547A86-4187-4952-BBDF-8E8F7CB7DCF2}"/>
    <cellStyle name="Comma 5 4" xfId="3893" xr:uid="{00000000-0005-0000-0000-0000370A0000}"/>
    <cellStyle name="Comma 5 4 2" xfId="5575" xr:uid="{00000000-0005-0000-0000-0000380A0000}"/>
    <cellStyle name="Comma 5 4 2 2" xfId="23370" xr:uid="{97B08E9A-893F-4507-A475-4ACE69BA51E4}"/>
    <cellStyle name="Comma 5 4 2 3" xfId="17710" xr:uid="{8BA4B93E-CE0B-4E54-BD45-03ACC627CFAE}"/>
    <cellStyle name="Comma 5 4 2 4" xfId="29031" xr:uid="{7B4C4F4B-1055-4313-98B1-88B4C074A9EB}"/>
    <cellStyle name="Comma 5 4 2 5" xfId="35194" xr:uid="{D3F20346-DAC2-48AC-A4BF-B1F9BE5330A2}"/>
    <cellStyle name="Comma 5 4 3" xfId="13671" xr:uid="{00000000-0005-0000-0000-0000390A0000}"/>
    <cellStyle name="Comma 5 4 3 2" xfId="25908" xr:uid="{A0CFAACE-0438-44B7-8BCF-782EE0D7AAA2}"/>
    <cellStyle name="Comma 5 4 3 3" xfId="20248" xr:uid="{17867A2F-04FB-42B9-90D8-4C84E47C3713}"/>
    <cellStyle name="Comma 5 4 3 4" xfId="35195" xr:uid="{E43A6B49-D4A9-452A-9394-9A411362A916}"/>
    <cellStyle name="Comma 5 4 4" xfId="35193" xr:uid="{F2B961A1-B5E6-49E5-82E8-B37B22FAD178}"/>
    <cellStyle name="Comma 5 5" xfId="3894" xr:uid="{00000000-0005-0000-0000-00003A0A0000}"/>
    <cellStyle name="Comma 5 5 2" xfId="5576" xr:uid="{00000000-0005-0000-0000-00003B0A0000}"/>
    <cellStyle name="Comma 5 5 2 2" xfId="23371" xr:uid="{B3E78402-62FF-4828-B186-5952CEA534C8}"/>
    <cellStyle name="Comma 5 5 2 3" xfId="17711" xr:uid="{683FD12B-8AAB-41BC-8534-A273DC5B7C12}"/>
    <cellStyle name="Comma 5 5 2 4" xfId="29032" xr:uid="{4E11C250-7603-4586-9711-E513A1DC88E1}"/>
    <cellStyle name="Comma 5 5 2 5" xfId="35197" xr:uid="{72CF2A31-9B1B-44DE-A1D4-02238CD578D4}"/>
    <cellStyle name="Comma 5 5 3" xfId="13672" xr:uid="{00000000-0005-0000-0000-00003C0A0000}"/>
    <cellStyle name="Comma 5 5 3 2" xfId="25909" xr:uid="{1AC84B54-9201-4A8E-9BFD-DBA56AC43844}"/>
    <cellStyle name="Comma 5 5 3 3" xfId="20249" xr:uid="{C9817CBF-45A7-445C-AE7B-7280A1FB1F0D}"/>
    <cellStyle name="Comma 5 5 3 4" xfId="35198" xr:uid="{6441773B-BA6B-49A3-92F2-F5521CD7DBAC}"/>
    <cellStyle name="Comma 5 5 4" xfId="35196" xr:uid="{19D53215-8EF1-4844-987B-F1D1E677701E}"/>
    <cellStyle name="Comma 5 6" xfId="3895" xr:uid="{00000000-0005-0000-0000-00003D0A0000}"/>
    <cellStyle name="Comma 5 6 2" xfId="5577" xr:uid="{00000000-0005-0000-0000-00003E0A0000}"/>
    <cellStyle name="Comma 5 6 2 2" xfId="23372" xr:uid="{A233E651-5FD1-404B-96F0-DCAEB095008D}"/>
    <cellStyle name="Comma 5 6 2 3" xfId="17712" xr:uid="{2B7A1DB0-60CD-4C76-98D1-8F783ADBDAFF}"/>
    <cellStyle name="Comma 5 6 2 4" xfId="29033" xr:uid="{50E33D21-0D66-480A-A06A-9BDF21E7CBDC}"/>
    <cellStyle name="Comma 5 6 2 5" xfId="35200" xr:uid="{0DA9EE0C-3760-4C41-B09C-8D30E2EB3EAD}"/>
    <cellStyle name="Comma 5 6 3" xfId="13673" xr:uid="{00000000-0005-0000-0000-00003F0A0000}"/>
    <cellStyle name="Comma 5 6 3 2" xfId="25910" xr:uid="{6323320C-CA98-423E-955A-0F56A9305206}"/>
    <cellStyle name="Comma 5 6 3 3" xfId="20250" xr:uid="{863B09A4-E087-4D3C-A1FA-7433CD185409}"/>
    <cellStyle name="Comma 5 6 3 4" xfId="35201" xr:uid="{54D05112-2A76-458E-B8FF-2D885C68EA1F}"/>
    <cellStyle name="Comma 5 6 4" xfId="35199" xr:uid="{CC453234-5D49-412F-95A6-2DBA8E555EA5}"/>
    <cellStyle name="Comma 5 7" xfId="3896" xr:uid="{00000000-0005-0000-0000-0000400A0000}"/>
    <cellStyle name="Comma 5 7 2" xfId="5578" xr:uid="{00000000-0005-0000-0000-0000410A0000}"/>
    <cellStyle name="Comma 5 7 2 2" xfId="23373" xr:uid="{B4243F25-2CC7-409D-B222-30C3BE2E6083}"/>
    <cellStyle name="Comma 5 7 2 3" xfId="17713" xr:uid="{177E4748-25F8-49E9-8D2F-5467917A959C}"/>
    <cellStyle name="Comma 5 7 2 4" xfId="29034" xr:uid="{5A29B41B-7029-4293-80CF-B9C5EFF545F3}"/>
    <cellStyle name="Comma 5 7 2 5" xfId="35203" xr:uid="{EEECAEBA-8454-4BC6-9599-7CB13AE98F2E}"/>
    <cellStyle name="Comma 5 7 3" xfId="13674" xr:uid="{00000000-0005-0000-0000-0000420A0000}"/>
    <cellStyle name="Comma 5 7 3 2" xfId="25911" xr:uid="{682E237E-6F5F-440A-AA62-84D1FB430A5B}"/>
    <cellStyle name="Comma 5 7 3 3" xfId="20251" xr:uid="{E1CA8617-0054-4AC6-9F08-D8D6E8209728}"/>
    <cellStyle name="Comma 5 7 3 4" xfId="35204" xr:uid="{B746167B-30B5-4D1A-805F-B1A5BEAD5489}"/>
    <cellStyle name="Comma 5 7 4" xfId="35202" xr:uid="{CD34FE14-1B29-48D4-B329-114DAE75F33E}"/>
    <cellStyle name="Comma 5 8" xfId="3897" xr:uid="{00000000-0005-0000-0000-0000430A0000}"/>
    <cellStyle name="Comma 5 8 2" xfId="5579" xr:uid="{00000000-0005-0000-0000-0000440A0000}"/>
    <cellStyle name="Comma 5 8 2 2" xfId="23374" xr:uid="{9FCE11C0-A043-43BB-9ADB-FB2389FB37DE}"/>
    <cellStyle name="Comma 5 8 2 3" xfId="17714" xr:uid="{F7BC7B01-CF58-428F-BEFF-D10E1C94BB30}"/>
    <cellStyle name="Comma 5 8 2 4" xfId="29035" xr:uid="{865E938C-41B5-4D1D-B56E-10ABAE0AA5EA}"/>
    <cellStyle name="Comma 5 8 2 5" xfId="35206" xr:uid="{157C6205-274B-47BF-89D2-060598D3D620}"/>
    <cellStyle name="Comma 5 8 3" xfId="13675" xr:uid="{00000000-0005-0000-0000-0000450A0000}"/>
    <cellStyle name="Comma 5 8 3 2" xfId="25912" xr:uid="{15B20AF1-CB7C-413F-B166-7DD22BB3EF66}"/>
    <cellStyle name="Comma 5 8 3 3" xfId="20252" xr:uid="{FF6D46CC-0E20-47A1-8D71-FA957DFA3DAC}"/>
    <cellStyle name="Comma 5 8 3 4" xfId="35207" xr:uid="{B398DA0B-F7CA-41EB-A03D-EEA1E744903A}"/>
    <cellStyle name="Comma 5 8 4" xfId="35205" xr:uid="{E87ED46A-E125-4916-997B-7263230BB8F6}"/>
    <cellStyle name="Comma 5 9" xfId="5572" xr:uid="{00000000-0005-0000-0000-0000460A0000}"/>
    <cellStyle name="Comma 5 9 2" xfId="23367" xr:uid="{628C3310-E48A-457F-A6DC-22B6830B1497}"/>
    <cellStyle name="Comma 5 9 3" xfId="17707" xr:uid="{7D47C80F-BE02-4A89-AE25-3B249F490B5A}"/>
    <cellStyle name="Comma 5 9 4" xfId="29028" xr:uid="{9CCFD2BB-B067-4DAE-8C64-FA258C26AB30}"/>
    <cellStyle name="Comma 5 9 5" xfId="35208" xr:uid="{56065156-8D72-42FD-B9AE-C311BA796055}"/>
    <cellStyle name="Comma 6" xfId="3898" xr:uid="{00000000-0005-0000-0000-0000470A0000}"/>
    <cellStyle name="Comma 6 10" xfId="13676" xr:uid="{00000000-0005-0000-0000-0000480A0000}"/>
    <cellStyle name="Comma 6 10 2" xfId="25913" xr:uid="{87C7720A-A8B4-4211-BD88-48B44D7432C6}"/>
    <cellStyle name="Comma 6 10 3" xfId="20253" xr:uid="{2CD0961E-10C3-4CC1-AEC4-5706AF2D202E}"/>
    <cellStyle name="Comma 6 10 4" xfId="35210" xr:uid="{659EC35F-2277-4D1E-A4D6-1A15FFEDAEFD}"/>
    <cellStyle name="Comma 6 11" xfId="35209" xr:uid="{E8F75432-B71C-460A-B526-21D73A59AB6C}"/>
    <cellStyle name="Comma 6 2" xfId="3899" xr:uid="{00000000-0005-0000-0000-0000490A0000}"/>
    <cellStyle name="Comma 6 2 2" xfId="5581" xr:uid="{00000000-0005-0000-0000-00004A0A0000}"/>
    <cellStyle name="Comma 6 2 2 2" xfId="23376" xr:uid="{50A6E8BE-D259-43EF-855B-19E109A6F96A}"/>
    <cellStyle name="Comma 6 2 2 3" xfId="17716" xr:uid="{3B3FABBF-4B0B-4746-A59F-EF4180F2CD89}"/>
    <cellStyle name="Comma 6 2 2 4" xfId="29037" xr:uid="{9345EE9A-C8DC-451B-828B-F6775387E2A2}"/>
    <cellStyle name="Comma 6 2 2 5" xfId="35212" xr:uid="{04E95B26-C9C0-4C52-974B-0F80A5064EE5}"/>
    <cellStyle name="Comma 6 2 3" xfId="13677" xr:uid="{00000000-0005-0000-0000-00004B0A0000}"/>
    <cellStyle name="Comma 6 2 3 2" xfId="25914" xr:uid="{EF8CCCB1-B547-4353-8E81-321364A0179B}"/>
    <cellStyle name="Comma 6 2 3 3" xfId="20254" xr:uid="{8DA16048-0ABF-427F-9712-44E539129A0C}"/>
    <cellStyle name="Comma 6 2 3 4" xfId="35213" xr:uid="{9B7DFB6D-5C4F-4D1C-B415-DFD69939BAAF}"/>
    <cellStyle name="Comma 6 2 4" xfId="35211" xr:uid="{FEF5E2E6-9666-41FA-A0A4-EA8C4D3160E0}"/>
    <cellStyle name="Comma 6 3" xfId="3900" xr:uid="{00000000-0005-0000-0000-00004C0A0000}"/>
    <cellStyle name="Comma 6 3 2" xfId="5582" xr:uid="{00000000-0005-0000-0000-00004D0A0000}"/>
    <cellStyle name="Comma 6 3 2 2" xfId="23377" xr:uid="{11711C29-D9B9-4A91-B6EA-2F8D2596FFC5}"/>
    <cellStyle name="Comma 6 3 2 3" xfId="17717" xr:uid="{608B5225-2ADA-458E-9FAA-22DD267302DB}"/>
    <cellStyle name="Comma 6 3 2 4" xfId="29038" xr:uid="{DB1B286D-40C0-4F0C-96A1-8F0C4257FAA5}"/>
    <cellStyle name="Comma 6 3 2 5" xfId="35215" xr:uid="{396560F1-738B-4197-8B81-2CCF27B60E21}"/>
    <cellStyle name="Comma 6 3 3" xfId="13678" xr:uid="{00000000-0005-0000-0000-00004E0A0000}"/>
    <cellStyle name="Comma 6 3 3 2" xfId="25915" xr:uid="{1D964192-F17C-4CAE-ADC3-4FBA1B17F63F}"/>
    <cellStyle name="Comma 6 3 3 3" xfId="20255" xr:uid="{4A184FCD-AF0D-49A5-AC60-DCEDAE50D047}"/>
    <cellStyle name="Comma 6 3 3 4" xfId="35216" xr:uid="{EB3DA301-A4E3-48DF-8A1B-7A9EA2692F34}"/>
    <cellStyle name="Comma 6 3 4" xfId="35214" xr:uid="{02CE4DC1-96D3-4F59-AD3D-75A920E37507}"/>
    <cellStyle name="Comma 6 4" xfId="3901" xr:uid="{00000000-0005-0000-0000-00004F0A0000}"/>
    <cellStyle name="Comma 6 4 2" xfId="5583" xr:uid="{00000000-0005-0000-0000-0000500A0000}"/>
    <cellStyle name="Comma 6 4 2 2" xfId="23378" xr:uid="{86A17DF5-A5C0-44F6-99AC-C1C9E8F3AADB}"/>
    <cellStyle name="Comma 6 4 2 3" xfId="17718" xr:uid="{6EF2EBB8-2DE5-4578-8093-5CAEFA7B7437}"/>
    <cellStyle name="Comma 6 4 2 4" xfId="29039" xr:uid="{86C5E940-18B5-4927-8879-70A8F91EECF9}"/>
    <cellStyle name="Comma 6 4 2 5" xfId="35218" xr:uid="{1D9E62F0-6497-4DC4-805C-25FD67C64E4D}"/>
    <cellStyle name="Comma 6 4 3" xfId="13679" xr:uid="{00000000-0005-0000-0000-0000510A0000}"/>
    <cellStyle name="Comma 6 4 3 2" xfId="25916" xr:uid="{48D371C2-490C-4833-87CC-3771085E4D35}"/>
    <cellStyle name="Comma 6 4 3 3" xfId="20256" xr:uid="{731F8082-8B28-4434-BF13-72D79532855F}"/>
    <cellStyle name="Comma 6 4 3 4" xfId="35219" xr:uid="{88C3088E-154D-4349-B5FA-535807F1D7D4}"/>
    <cellStyle name="Comma 6 4 4" xfId="35217" xr:uid="{6442F7FA-F069-4AA8-A7F8-BB399091B006}"/>
    <cellStyle name="Comma 6 5" xfId="3902" xr:uid="{00000000-0005-0000-0000-0000520A0000}"/>
    <cellStyle name="Comma 6 5 2" xfId="5584" xr:uid="{00000000-0005-0000-0000-0000530A0000}"/>
    <cellStyle name="Comma 6 5 2 2" xfId="23379" xr:uid="{4265892B-B88F-4E70-A10E-8A0F2D7D5019}"/>
    <cellStyle name="Comma 6 5 2 3" xfId="17719" xr:uid="{52F8C8B8-7D52-472C-9529-8830B20DA412}"/>
    <cellStyle name="Comma 6 5 2 4" xfId="29040" xr:uid="{34B8EC21-4D9E-49A4-9984-A5F1CCEACB0C}"/>
    <cellStyle name="Comma 6 5 2 5" xfId="35221" xr:uid="{78703921-7A33-4C0C-86BB-0302FB72F6F5}"/>
    <cellStyle name="Comma 6 5 3" xfId="13680" xr:uid="{00000000-0005-0000-0000-0000540A0000}"/>
    <cellStyle name="Comma 6 5 3 2" xfId="25917" xr:uid="{F7196307-8218-4912-ABB1-D911765DDB20}"/>
    <cellStyle name="Comma 6 5 3 3" xfId="20257" xr:uid="{77D52AE1-4545-4C9B-8803-8E3738EE576A}"/>
    <cellStyle name="Comma 6 5 3 4" xfId="35222" xr:uid="{DAD548DA-40B5-4AD4-BE1F-CC3DC21EF38E}"/>
    <cellStyle name="Comma 6 5 4" xfId="35220" xr:uid="{10CAEEBE-964F-4ECD-97BE-75FB79E5FF12}"/>
    <cellStyle name="Comma 6 6" xfId="3903" xr:uid="{00000000-0005-0000-0000-0000550A0000}"/>
    <cellStyle name="Comma 6 6 2" xfId="5585" xr:uid="{00000000-0005-0000-0000-0000560A0000}"/>
    <cellStyle name="Comma 6 6 2 2" xfId="23380" xr:uid="{A515619A-054F-4C5B-96C3-D819EB5DECFF}"/>
    <cellStyle name="Comma 6 6 2 3" xfId="17720" xr:uid="{921B75F2-A73D-483E-937A-5FA91A47880A}"/>
    <cellStyle name="Comma 6 6 2 4" xfId="29041" xr:uid="{BA1F2B15-70F0-4E41-85A8-9B85EC0D2356}"/>
    <cellStyle name="Comma 6 6 2 5" xfId="35224" xr:uid="{2CB72841-E136-4B02-8C15-E76A856B69FC}"/>
    <cellStyle name="Comma 6 6 3" xfId="13681" xr:uid="{00000000-0005-0000-0000-0000570A0000}"/>
    <cellStyle name="Comma 6 6 3 2" xfId="25918" xr:uid="{E38AEE66-3D2B-412D-BF35-F5760CA47FAE}"/>
    <cellStyle name="Comma 6 6 3 3" xfId="20258" xr:uid="{54255E8F-4138-4B6E-AE34-6D0EF3AADD36}"/>
    <cellStyle name="Comma 6 6 3 4" xfId="35225" xr:uid="{665D3F17-8445-4970-9F41-6E7CC8CABC8A}"/>
    <cellStyle name="Comma 6 6 4" xfId="35223" xr:uid="{687FECF2-1FBE-470F-9936-F9390109198B}"/>
    <cellStyle name="Comma 6 7" xfId="3904" xr:uid="{00000000-0005-0000-0000-0000580A0000}"/>
    <cellStyle name="Comma 6 7 2" xfId="5586" xr:uid="{00000000-0005-0000-0000-0000590A0000}"/>
    <cellStyle name="Comma 6 7 2 2" xfId="23381" xr:uid="{4ABC7409-D809-4915-9F12-48FF500077F7}"/>
    <cellStyle name="Comma 6 7 2 3" xfId="17721" xr:uid="{26B083AA-2825-4A78-9B2E-7250095EE8AA}"/>
    <cellStyle name="Comma 6 7 2 4" xfId="29042" xr:uid="{D879D946-AD1B-4D64-8681-376049A25588}"/>
    <cellStyle name="Comma 6 7 2 5" xfId="35227" xr:uid="{D1FB349D-42CB-4659-8BBA-00B982ADAFEB}"/>
    <cellStyle name="Comma 6 7 3" xfId="13682" xr:uid="{00000000-0005-0000-0000-00005A0A0000}"/>
    <cellStyle name="Comma 6 7 3 2" xfId="25919" xr:uid="{E2449C75-F068-4261-8B5E-59720DD34B5C}"/>
    <cellStyle name="Comma 6 7 3 3" xfId="20259" xr:uid="{10FF9E8F-7DED-4716-86FE-373D10D10D1C}"/>
    <cellStyle name="Comma 6 7 3 4" xfId="35228" xr:uid="{4191855F-C36B-4A99-8936-2FE7411A79C6}"/>
    <cellStyle name="Comma 6 7 4" xfId="35226" xr:uid="{666B551B-1261-4E5E-8282-2B5FB24982D4}"/>
    <cellStyle name="Comma 6 8" xfId="3905" xr:uid="{00000000-0005-0000-0000-00005B0A0000}"/>
    <cellStyle name="Comma 6 8 2" xfId="5587" xr:uid="{00000000-0005-0000-0000-00005C0A0000}"/>
    <cellStyle name="Comma 6 8 2 2" xfId="23382" xr:uid="{41F12AEF-84DF-490A-A682-B9E1934504BA}"/>
    <cellStyle name="Comma 6 8 2 3" xfId="17722" xr:uid="{C60ABF7E-3100-406A-AA4D-A0CA5F593948}"/>
    <cellStyle name="Comma 6 8 2 4" xfId="29043" xr:uid="{F8D9CF85-DA85-4A96-A6B4-8B5D901D19AE}"/>
    <cellStyle name="Comma 6 8 2 5" xfId="35230" xr:uid="{BD0BEFD9-6D43-4C41-9C3A-D24B0139C97D}"/>
    <cellStyle name="Comma 6 8 3" xfId="13683" xr:uid="{00000000-0005-0000-0000-00005D0A0000}"/>
    <cellStyle name="Comma 6 8 3 2" xfId="25920" xr:uid="{C90529A2-8061-48C8-8FA8-917F1B43FAFE}"/>
    <cellStyle name="Comma 6 8 3 3" xfId="20260" xr:uid="{F5371536-8EBC-4042-AC5F-B6448A51D26D}"/>
    <cellStyle name="Comma 6 8 3 4" xfId="35231" xr:uid="{6F6EA2BB-B61B-45F3-970A-2FDBD0C6FD2C}"/>
    <cellStyle name="Comma 6 8 4" xfId="35229" xr:uid="{8BC27D99-FD75-4448-ABAB-9B10FAF6BF1B}"/>
    <cellStyle name="Comma 6 9" xfId="5580" xr:uid="{00000000-0005-0000-0000-00005E0A0000}"/>
    <cellStyle name="Comma 6 9 2" xfId="23375" xr:uid="{1D7A22DC-788C-47B6-A888-8ADDA46A53F0}"/>
    <cellStyle name="Comma 6 9 3" xfId="17715" xr:uid="{120535F1-A302-4C10-90FB-D46F44356738}"/>
    <cellStyle name="Comma 6 9 4" xfId="29036" xr:uid="{889F588C-AC27-491C-AA20-DBCCC904BD1E}"/>
    <cellStyle name="Comma 6 9 5" xfId="35232" xr:uid="{92462C2B-B097-4FE5-B3E4-6688F0CE485D}"/>
    <cellStyle name="Comma 7" xfId="3906" xr:uid="{00000000-0005-0000-0000-00005F0A0000}"/>
    <cellStyle name="Comma 7 10" xfId="3907" xr:uid="{00000000-0005-0000-0000-0000600A0000}"/>
    <cellStyle name="Comma 7 10 2" xfId="5588" xr:uid="{00000000-0005-0000-0000-0000610A0000}"/>
    <cellStyle name="Comma 7 10 2 2" xfId="23383" xr:uid="{4FCA96C4-50B4-4C91-B978-227F7D9C104E}"/>
    <cellStyle name="Comma 7 10 2 3" xfId="17723" xr:uid="{95EB9D2B-F918-431E-BD35-F99EFB80BD65}"/>
    <cellStyle name="Comma 7 10 2 4" xfId="29044" xr:uid="{FE499D2F-CD02-4F42-8444-DDCD72FF92BF}"/>
    <cellStyle name="Comma 7 10 2 5" xfId="35234" xr:uid="{BD48FDBC-7F26-4727-936B-0C2B7E4E0EEA}"/>
    <cellStyle name="Comma 7 10 3" xfId="13684" xr:uid="{00000000-0005-0000-0000-0000620A0000}"/>
    <cellStyle name="Comma 7 10 3 2" xfId="25921" xr:uid="{5430DA59-127B-41C3-9930-E4F9B8C98934}"/>
    <cellStyle name="Comma 7 10 3 3" xfId="20261" xr:uid="{F6BDEB8E-EF2B-41AC-8097-6103C3375BD8}"/>
    <cellStyle name="Comma 7 10 3 4" xfId="35235" xr:uid="{0E196A99-1E9C-4031-9CEF-BCF0337B12C9}"/>
    <cellStyle name="Comma 7 10 4" xfId="35233" xr:uid="{A7879E36-90F2-4A1A-A67B-83819B415995}"/>
    <cellStyle name="Comma 7 11" xfId="3908" xr:uid="{00000000-0005-0000-0000-0000630A0000}"/>
    <cellStyle name="Comma 7 11 2" xfId="5946" xr:uid="{00000000-0005-0000-0000-0000640A0000}"/>
    <cellStyle name="Comma 7 11 2 2" xfId="23535" xr:uid="{1B76400C-1AD9-4553-B6B7-3030896ACA2D}"/>
    <cellStyle name="Comma 7 11 2 3" xfId="17875" xr:uid="{CE07D4C0-7B25-470F-8626-B36248FF2EA2}"/>
    <cellStyle name="Comma 7 11 2 4" xfId="29196" xr:uid="{822B9020-2406-42E7-8621-AF08E04E3590}"/>
    <cellStyle name="Comma 7 11 2 5" xfId="35237" xr:uid="{4E58A026-7479-4A3F-9295-B610EC899C55}"/>
    <cellStyle name="Comma 7 11 3" xfId="35236" xr:uid="{F0B7EB58-1D22-4F5C-8ABE-D30EA1EF39D8}"/>
    <cellStyle name="Comma 7 12" xfId="3909" xr:uid="{00000000-0005-0000-0000-0000650A0000}"/>
    <cellStyle name="Comma 7 12 2" xfId="5589" xr:uid="{00000000-0005-0000-0000-0000660A0000}"/>
    <cellStyle name="Comma 7 12 2 2" xfId="23384" xr:uid="{8469E492-06C6-487A-A773-98C999549922}"/>
    <cellStyle name="Comma 7 12 2 3" xfId="17724" xr:uid="{A67DA57B-322F-4BDF-A6C0-3999BDA82A9C}"/>
    <cellStyle name="Comma 7 12 2 4" xfId="29045" xr:uid="{F8B1F7B3-5899-46B4-B8F4-A3BBB342E450}"/>
    <cellStyle name="Comma 7 12 2 5" xfId="35239" xr:uid="{E04FECBF-2A08-4085-BAA9-9268E75EAA00}"/>
    <cellStyle name="Comma 7 12 3" xfId="13685" xr:uid="{00000000-0005-0000-0000-0000670A0000}"/>
    <cellStyle name="Comma 7 12 3 2" xfId="25922" xr:uid="{ACC55F7B-02B6-46CB-8A60-5E23846071EF}"/>
    <cellStyle name="Comma 7 12 3 3" xfId="20262" xr:uid="{EFC8727F-D8B4-4DAF-A209-D4F069D3721C}"/>
    <cellStyle name="Comma 7 12 3 4" xfId="35240" xr:uid="{5ABF98A1-C123-4376-8D1F-2C6229F73A42}"/>
    <cellStyle name="Comma 7 12 4" xfId="35238" xr:uid="{F37BB129-E1C9-4B67-9B48-F52FE0CD29D9}"/>
    <cellStyle name="Comma 7 13" xfId="3910" xr:uid="{00000000-0005-0000-0000-0000680A0000}"/>
    <cellStyle name="Comma 7 13 2" xfId="5590" xr:uid="{00000000-0005-0000-0000-0000690A0000}"/>
    <cellStyle name="Comma 7 13 2 2" xfId="23385" xr:uid="{6BF407AC-182D-4A87-84F4-37022F9BA70D}"/>
    <cellStyle name="Comma 7 13 2 3" xfId="17725" xr:uid="{6B2DFBD8-C875-44FC-92AC-AE4F78E85045}"/>
    <cellStyle name="Comma 7 13 2 4" xfId="29046" xr:uid="{F9829DB3-97CF-4486-8629-A03E4241EFE7}"/>
    <cellStyle name="Comma 7 13 2 5" xfId="35242" xr:uid="{CC5C7C3C-887B-4594-915D-0520915C3FAC}"/>
    <cellStyle name="Comma 7 13 3" xfId="13686" xr:uid="{00000000-0005-0000-0000-00006A0A0000}"/>
    <cellStyle name="Comma 7 13 3 2" xfId="25923" xr:uid="{46464F66-E8D7-4727-82B8-92486DB02F96}"/>
    <cellStyle name="Comma 7 13 3 3" xfId="20263" xr:uid="{1D2AE3E6-ED68-45D8-9B4F-3E2A66670CC4}"/>
    <cellStyle name="Comma 7 13 3 4" xfId="35243" xr:uid="{C39D74A0-5F07-4076-864D-17C17EAD35E3}"/>
    <cellStyle name="Comma 7 13 4" xfId="35241" xr:uid="{1272E3F0-DDD9-4EC6-8444-1973F0631383}"/>
    <cellStyle name="Comma 7 14" xfId="3911" xr:uid="{00000000-0005-0000-0000-00006B0A0000}"/>
    <cellStyle name="Comma 7 14 2" xfId="5591" xr:uid="{00000000-0005-0000-0000-00006C0A0000}"/>
    <cellStyle name="Comma 7 14 2 2" xfId="23386" xr:uid="{D2AAF010-4512-4016-A20F-92A8988522B4}"/>
    <cellStyle name="Comma 7 14 2 3" xfId="17726" xr:uid="{F0AB9541-1973-44C1-8204-3ACBF5275805}"/>
    <cellStyle name="Comma 7 14 2 4" xfId="29047" xr:uid="{663BAFBB-907E-4EB8-BEBD-1640CDB42A1F}"/>
    <cellStyle name="Comma 7 14 2 5" xfId="35245" xr:uid="{EDA98256-271B-405C-9398-BA282ECA98D6}"/>
    <cellStyle name="Comma 7 14 3" xfId="13687" xr:uid="{00000000-0005-0000-0000-00006D0A0000}"/>
    <cellStyle name="Comma 7 14 3 2" xfId="25924" xr:uid="{275E7E77-F44B-487B-8C2B-84E3FADF8807}"/>
    <cellStyle name="Comma 7 14 3 3" xfId="20264" xr:uid="{CD1575F3-44D4-484B-9959-F4828C024081}"/>
    <cellStyle name="Comma 7 14 3 4" xfId="35246" xr:uid="{A3DD61D1-E95B-49D1-80D3-5DAEED29451E}"/>
    <cellStyle name="Comma 7 14 4" xfId="35244" xr:uid="{D50448A4-7622-43F7-94F9-23D1A8655CBD}"/>
    <cellStyle name="Comma 7 15" xfId="3912" xr:uid="{00000000-0005-0000-0000-00006E0A0000}"/>
    <cellStyle name="Comma 7 15 2" xfId="5592" xr:uid="{00000000-0005-0000-0000-00006F0A0000}"/>
    <cellStyle name="Comma 7 15 2 2" xfId="23387" xr:uid="{2995172F-120B-4B04-AEB2-67D0418B527C}"/>
    <cellStyle name="Comma 7 15 2 3" xfId="17727" xr:uid="{93A09205-FC8C-4193-AA40-14F2C714E92D}"/>
    <cellStyle name="Comma 7 15 2 4" xfId="29048" xr:uid="{4FC3DF39-2FD6-48B9-B076-0D13C0992640}"/>
    <cellStyle name="Comma 7 15 2 5" xfId="35248" xr:uid="{EA361748-B381-458E-BC08-D90D1D56867F}"/>
    <cellStyle name="Comma 7 15 3" xfId="13688" xr:uid="{00000000-0005-0000-0000-0000700A0000}"/>
    <cellStyle name="Comma 7 15 3 2" xfId="25925" xr:uid="{B2D91E67-C28E-4F55-A365-B2A8948E9679}"/>
    <cellStyle name="Comma 7 15 3 3" xfId="20265" xr:uid="{9C34206D-6F13-4757-B8AF-49B79C782CFB}"/>
    <cellStyle name="Comma 7 15 3 4" xfId="35249" xr:uid="{748083B1-2551-42CA-9341-9126638547BA}"/>
    <cellStyle name="Comma 7 15 4" xfId="35247" xr:uid="{20284268-8B10-443C-A6BD-5F5F27EEF085}"/>
    <cellStyle name="Comma 7 16" xfId="3913" xr:uid="{00000000-0005-0000-0000-0000710A0000}"/>
    <cellStyle name="Comma 7 16 2" xfId="5947" xr:uid="{00000000-0005-0000-0000-0000720A0000}"/>
    <cellStyle name="Comma 7 16 2 2" xfId="23536" xr:uid="{8F77EE26-BC8B-4177-93D1-F330D77C0D0F}"/>
    <cellStyle name="Comma 7 16 2 3" xfId="17876" xr:uid="{EAB5AACB-B844-4071-9BFE-F4B14C0B0732}"/>
    <cellStyle name="Comma 7 16 2 4" xfId="29197" xr:uid="{4D359583-AAAA-4B48-B39A-026734473A5F}"/>
    <cellStyle name="Comma 7 16 2 5" xfId="35251" xr:uid="{90232DE8-C8A3-4489-AD0C-D3FEBA14FE85}"/>
    <cellStyle name="Comma 7 16 3" xfId="35250" xr:uid="{A291C770-8C38-4857-A60E-9F16AFE5DBDA}"/>
    <cellStyle name="Comma 7 17" xfId="3914" xr:uid="{00000000-0005-0000-0000-0000730A0000}"/>
    <cellStyle name="Comma 7 17 2" xfId="5948" xr:uid="{00000000-0005-0000-0000-0000740A0000}"/>
    <cellStyle name="Comma 7 17 2 2" xfId="23537" xr:uid="{C228D1C2-8766-407C-B010-28E6A758E55D}"/>
    <cellStyle name="Comma 7 17 2 3" xfId="17877" xr:uid="{CFEE6309-CC93-4A6E-9181-D1579F7E89AA}"/>
    <cellStyle name="Comma 7 17 2 4" xfId="29198" xr:uid="{DC2A7006-589F-429F-B70F-10E75C3AE289}"/>
    <cellStyle name="Comma 7 17 2 5" xfId="35253" xr:uid="{3AC1F579-4149-411A-AC6E-38A1CF0AB3DC}"/>
    <cellStyle name="Comma 7 17 3" xfId="35252" xr:uid="{C3EEEBA7-F314-4564-9228-20838321A2E1}"/>
    <cellStyle name="Comma 7 18" xfId="3915" xr:uid="{00000000-0005-0000-0000-0000750A0000}"/>
    <cellStyle name="Comma 7 18 2" xfId="5949" xr:uid="{00000000-0005-0000-0000-0000760A0000}"/>
    <cellStyle name="Comma 7 18 2 2" xfId="23538" xr:uid="{A6E8675F-B762-41BC-9E32-CBF97E91D48D}"/>
    <cellStyle name="Comma 7 18 2 3" xfId="17878" xr:uid="{E08E6F19-D451-464B-97F8-D2E4471BDF94}"/>
    <cellStyle name="Comma 7 18 2 4" xfId="29199" xr:uid="{C6CAA582-8F35-46F1-B260-A9DE3DF4B51E}"/>
    <cellStyle name="Comma 7 18 2 5" xfId="35255" xr:uid="{682CF4B3-459A-472B-8C0E-95338E2DE640}"/>
    <cellStyle name="Comma 7 18 3" xfId="35254" xr:uid="{E3F153CC-DB76-4287-8DDD-CD782086FE01}"/>
    <cellStyle name="Comma 7 19" xfId="3916" xr:uid="{00000000-0005-0000-0000-0000770A0000}"/>
    <cellStyle name="Comma 7 19 2" xfId="5950" xr:uid="{00000000-0005-0000-0000-0000780A0000}"/>
    <cellStyle name="Comma 7 19 2 2" xfId="23539" xr:uid="{6604715C-28A6-476A-86E8-1ABBE8BB4C04}"/>
    <cellStyle name="Comma 7 19 2 3" xfId="17879" xr:uid="{590EB898-2C18-4E62-A86A-933ABD613085}"/>
    <cellStyle name="Comma 7 19 2 4" xfId="29200" xr:uid="{01D74ED7-E77D-4F5D-B128-BAC8AE6AC4D5}"/>
    <cellStyle name="Comma 7 19 2 5" xfId="35257" xr:uid="{4CAEA3BA-040B-47DE-9FEF-3F286C600334}"/>
    <cellStyle name="Comma 7 19 3" xfId="35256" xr:uid="{CDB62B1E-D24E-46E5-9E25-64CC824CDF08}"/>
    <cellStyle name="Comma 7 2" xfId="3917" xr:uid="{00000000-0005-0000-0000-0000790A0000}"/>
    <cellStyle name="Comma 7 2 2" xfId="5593" xr:uid="{00000000-0005-0000-0000-00007A0A0000}"/>
    <cellStyle name="Comma 7 2 2 2" xfId="23388" xr:uid="{D3A886BC-8EC8-4BF3-B99D-09150A62BE59}"/>
    <cellStyle name="Comma 7 2 2 3" xfId="17728" xr:uid="{4A5D0F93-AB08-4FF9-A497-6D7413DFAF7C}"/>
    <cellStyle name="Comma 7 2 2 4" xfId="29049" xr:uid="{9D6B7B46-A18A-48B8-8C1B-D96A9DB2B2BC}"/>
    <cellStyle name="Comma 7 2 2 5" xfId="35259" xr:uid="{C777AD91-8A47-444F-A319-052253E1FA21}"/>
    <cellStyle name="Comma 7 2 3" xfId="13689" xr:uid="{00000000-0005-0000-0000-00007B0A0000}"/>
    <cellStyle name="Comma 7 2 3 2" xfId="25926" xr:uid="{1747739C-4C95-4D54-AB24-D45A5AC6AF78}"/>
    <cellStyle name="Comma 7 2 3 3" xfId="20266" xr:uid="{97EE3E43-9D26-4EAA-B34D-2563E8A68257}"/>
    <cellStyle name="Comma 7 2 3 4" xfId="35260" xr:uid="{3EEEC16C-EF99-46E1-BD33-66EAE9C5CF98}"/>
    <cellStyle name="Comma 7 2 4" xfId="35258" xr:uid="{D7B1E7BF-278D-4DB7-B3A2-57A4F1D2F822}"/>
    <cellStyle name="Comma 7 20" xfId="3918" xr:uid="{00000000-0005-0000-0000-00007C0A0000}"/>
    <cellStyle name="Comma 7 20 2" xfId="5951" xr:uid="{00000000-0005-0000-0000-00007D0A0000}"/>
    <cellStyle name="Comma 7 20 2 2" xfId="23540" xr:uid="{EAC2B207-2951-43AD-8B54-310786DD44E6}"/>
    <cellStyle name="Comma 7 20 2 3" xfId="17880" xr:uid="{E7456C6D-A31B-4058-ACAF-AD1B9C33D77D}"/>
    <cellStyle name="Comma 7 20 2 4" xfId="29201" xr:uid="{F7CF8036-CA70-4CE3-8129-43BC35B8518B}"/>
    <cellStyle name="Comma 7 20 2 5" xfId="35262" xr:uid="{D0F52925-3B2A-4BBE-AE89-CFC8E7006117}"/>
    <cellStyle name="Comma 7 20 3" xfId="35261" xr:uid="{6B40449F-3A14-4DFE-9C2D-924331A30D37}"/>
    <cellStyle name="Comma 7 21" xfId="3919" xr:uid="{00000000-0005-0000-0000-00007E0A0000}"/>
    <cellStyle name="Comma 7 21 2" xfId="5952" xr:uid="{00000000-0005-0000-0000-00007F0A0000}"/>
    <cellStyle name="Comma 7 21 2 2" xfId="23541" xr:uid="{7E154E47-D424-41A6-8E96-DF6630C0B616}"/>
    <cellStyle name="Comma 7 21 2 3" xfId="17881" xr:uid="{61F61D5E-45FC-4ACA-8C6A-7E9C7436DEC2}"/>
    <cellStyle name="Comma 7 21 2 4" xfId="29202" xr:uid="{91C66913-49D2-41E9-BCF2-003C4678F059}"/>
    <cellStyle name="Comma 7 21 2 5" xfId="35264" xr:uid="{566047AE-6344-4156-8ED1-17070DDA2C94}"/>
    <cellStyle name="Comma 7 21 3" xfId="35263" xr:uid="{AE695C3D-9748-4705-800E-89D044BDD8DE}"/>
    <cellStyle name="Comma 7 3" xfId="3920" xr:uid="{00000000-0005-0000-0000-0000800A0000}"/>
    <cellStyle name="Comma 7 3 10" xfId="3921" xr:uid="{00000000-0005-0000-0000-0000810A0000}"/>
    <cellStyle name="Comma 7 3 10 2" xfId="5594" xr:uid="{00000000-0005-0000-0000-0000820A0000}"/>
    <cellStyle name="Comma 7 3 10 2 2" xfId="23389" xr:uid="{7EAC49FB-EBBC-43E8-A621-5DBC2933858E}"/>
    <cellStyle name="Comma 7 3 10 2 3" xfId="17729" xr:uid="{8A929CD7-0137-412E-BE34-88BD8E58F6C9}"/>
    <cellStyle name="Comma 7 3 10 2 4" xfId="29050" xr:uid="{E6116DE6-113C-47CC-B227-872FA276198B}"/>
    <cellStyle name="Comma 7 3 10 2 5" xfId="35267" xr:uid="{7B57C4CD-2DF2-40BB-B23B-478B49E2BC57}"/>
    <cellStyle name="Comma 7 3 10 3" xfId="13690" xr:uid="{00000000-0005-0000-0000-0000830A0000}"/>
    <cellStyle name="Comma 7 3 10 3 2" xfId="25927" xr:uid="{B6AC9307-2F08-4511-AC78-40CE6140F1F4}"/>
    <cellStyle name="Comma 7 3 10 3 3" xfId="20267" xr:uid="{6E6C9235-B996-439B-81E7-789CBAD834B6}"/>
    <cellStyle name="Comma 7 3 10 3 4" xfId="35268" xr:uid="{4826290F-8A5A-45D6-BAF4-0179BE3D49E8}"/>
    <cellStyle name="Comma 7 3 10 4" xfId="35266" xr:uid="{9FCCBE86-8904-446F-AF8D-B6EE9F8E4903}"/>
    <cellStyle name="Comma 7 3 11" xfId="3922" xr:uid="{00000000-0005-0000-0000-0000840A0000}"/>
    <cellStyle name="Comma 7 3 11 2" xfId="5595" xr:uid="{00000000-0005-0000-0000-0000850A0000}"/>
    <cellStyle name="Comma 7 3 11 2 2" xfId="23390" xr:uid="{C6F1DB7D-86B3-44A8-B460-8CDB2E6F0759}"/>
    <cellStyle name="Comma 7 3 11 2 3" xfId="17730" xr:uid="{22A8C3FD-94CF-4C16-A927-565014090544}"/>
    <cellStyle name="Comma 7 3 11 2 4" xfId="29051" xr:uid="{B670BCDF-345D-43E0-8C9A-3F7C87574A8B}"/>
    <cellStyle name="Comma 7 3 11 2 5" xfId="35270" xr:uid="{3D11A608-168C-40BF-B04A-B203C80E15A7}"/>
    <cellStyle name="Comma 7 3 11 3" xfId="13691" xr:uid="{00000000-0005-0000-0000-0000860A0000}"/>
    <cellStyle name="Comma 7 3 11 3 2" xfId="25928" xr:uid="{3FA358F3-A73D-4AD0-BCD1-914A162DA2D3}"/>
    <cellStyle name="Comma 7 3 11 3 3" xfId="20268" xr:uid="{286B5AD0-046C-4EEA-BE12-9FF68FD68051}"/>
    <cellStyle name="Comma 7 3 11 3 4" xfId="35271" xr:uid="{014514D6-E040-4965-8485-BCC1F96EEF69}"/>
    <cellStyle name="Comma 7 3 11 4" xfId="35269" xr:uid="{D26157FE-5565-4441-B716-73556FFA8DFB}"/>
    <cellStyle name="Comma 7 3 12" xfId="3923" xr:uid="{00000000-0005-0000-0000-0000870A0000}"/>
    <cellStyle name="Comma 7 3 12 2" xfId="5596" xr:uid="{00000000-0005-0000-0000-0000880A0000}"/>
    <cellStyle name="Comma 7 3 12 2 2" xfId="23391" xr:uid="{F8F7C393-1E51-4879-B4DC-18F29DAC92B8}"/>
    <cellStyle name="Comma 7 3 12 2 3" xfId="17731" xr:uid="{DBF578F0-1D4F-4008-8CB9-322ABB19C03E}"/>
    <cellStyle name="Comma 7 3 12 2 4" xfId="29052" xr:uid="{CBB0FFFB-2BFB-43AF-A8F1-C80C3572843B}"/>
    <cellStyle name="Comma 7 3 12 2 5" xfId="35273" xr:uid="{07CEDBE0-571A-4801-B1F6-E66290F4F669}"/>
    <cellStyle name="Comma 7 3 12 3" xfId="13692" xr:uid="{00000000-0005-0000-0000-0000890A0000}"/>
    <cellStyle name="Comma 7 3 12 3 2" xfId="25929" xr:uid="{5947A74B-3DE7-4E9D-9988-E9AFD88DDDDC}"/>
    <cellStyle name="Comma 7 3 12 3 3" xfId="20269" xr:uid="{459C6874-6139-4D50-92A4-10188472E119}"/>
    <cellStyle name="Comma 7 3 12 3 4" xfId="35274" xr:uid="{5641DB94-8F44-4B3B-A807-102A8928F5B7}"/>
    <cellStyle name="Comma 7 3 12 4" xfId="35272" xr:uid="{D111372A-EFD4-4BD4-B6E1-DF678CCD7A32}"/>
    <cellStyle name="Comma 7 3 13" xfId="3924" xr:uid="{00000000-0005-0000-0000-00008A0A0000}"/>
    <cellStyle name="Comma 7 3 13 2" xfId="5597" xr:uid="{00000000-0005-0000-0000-00008B0A0000}"/>
    <cellStyle name="Comma 7 3 13 2 2" xfId="23392" xr:uid="{D151BDC1-6155-4E7B-9030-188C3232482B}"/>
    <cellStyle name="Comma 7 3 13 2 3" xfId="17732" xr:uid="{29D3F182-1F84-4904-AEAC-315C3150EC95}"/>
    <cellStyle name="Comma 7 3 13 2 4" xfId="29053" xr:uid="{D08FD468-3085-4ECB-9E09-E598BC94D67D}"/>
    <cellStyle name="Comma 7 3 13 2 5" xfId="35276" xr:uid="{6FE4549C-349A-4AB6-BF74-2D2A8B2E087A}"/>
    <cellStyle name="Comma 7 3 13 3" xfId="13693" xr:uid="{00000000-0005-0000-0000-00008C0A0000}"/>
    <cellStyle name="Comma 7 3 13 3 2" xfId="25930" xr:uid="{D162DEFC-484E-4FBC-998A-00C94B5022B9}"/>
    <cellStyle name="Comma 7 3 13 3 3" xfId="20270" xr:uid="{B1F82F1C-6D22-4171-AF5A-5C63C6A95134}"/>
    <cellStyle name="Comma 7 3 13 3 4" xfId="35277" xr:uid="{A12CE1B2-EF52-4794-ACF9-2591F0590DB3}"/>
    <cellStyle name="Comma 7 3 13 4" xfId="35275" xr:uid="{AAF5D983-A141-4481-A310-46E68C9D0DB6}"/>
    <cellStyle name="Comma 7 3 14" xfId="3925" xr:uid="{00000000-0005-0000-0000-00008D0A0000}"/>
    <cellStyle name="Comma 7 3 14 2" xfId="5598" xr:uid="{00000000-0005-0000-0000-00008E0A0000}"/>
    <cellStyle name="Comma 7 3 14 2 2" xfId="23393" xr:uid="{2A3C53B0-9386-4213-B9F4-BEAA5FC015B8}"/>
    <cellStyle name="Comma 7 3 14 2 3" xfId="17733" xr:uid="{D18B853B-2D4E-483B-9AC1-FCC8EF787518}"/>
    <cellStyle name="Comma 7 3 14 2 4" xfId="29054" xr:uid="{BA626F7B-6D97-4738-9033-6CE606A0D48B}"/>
    <cellStyle name="Comma 7 3 14 2 5" xfId="35279" xr:uid="{1E2F2EDC-037E-4B29-82E2-DEF7E0649F41}"/>
    <cellStyle name="Comma 7 3 14 3" xfId="13694" xr:uid="{00000000-0005-0000-0000-00008F0A0000}"/>
    <cellStyle name="Comma 7 3 14 3 2" xfId="25931" xr:uid="{A0D5C7A3-695B-4FE0-AF02-FD436342D980}"/>
    <cellStyle name="Comma 7 3 14 3 3" xfId="20271" xr:uid="{D2D611EB-54D2-4C72-80E5-A0F5012A73D4}"/>
    <cellStyle name="Comma 7 3 14 3 4" xfId="35280" xr:uid="{ADBB4E80-53AB-4BB4-9C12-5D40BC09346C}"/>
    <cellStyle name="Comma 7 3 14 4" xfId="35278" xr:uid="{36CC5E7D-FC2D-4F0F-B7A9-04AC31946D1B}"/>
    <cellStyle name="Comma 7 3 15" xfId="3926" xr:uid="{00000000-0005-0000-0000-0000900A0000}"/>
    <cellStyle name="Comma 7 3 15 2" xfId="5599" xr:uid="{00000000-0005-0000-0000-0000910A0000}"/>
    <cellStyle name="Comma 7 3 15 2 2" xfId="23394" xr:uid="{D94FA324-B3EA-4418-A7CE-36F380E2AF8B}"/>
    <cellStyle name="Comma 7 3 15 2 3" xfId="17734" xr:uid="{00888A90-AE25-4901-A256-CDEC1B5516AB}"/>
    <cellStyle name="Comma 7 3 15 2 4" xfId="29055" xr:uid="{739E8918-7E6D-4727-BFC4-AF1F3BF6D1E3}"/>
    <cellStyle name="Comma 7 3 15 2 5" xfId="35282" xr:uid="{361CD6C4-DB61-4065-AD01-B8D108A9C01F}"/>
    <cellStyle name="Comma 7 3 15 3" xfId="13695" xr:uid="{00000000-0005-0000-0000-0000920A0000}"/>
    <cellStyle name="Comma 7 3 15 3 2" xfId="25932" xr:uid="{B54811A3-F3F6-4704-B47E-A91872A1872E}"/>
    <cellStyle name="Comma 7 3 15 3 3" xfId="20272" xr:uid="{4F421029-AD93-4F51-B885-DCA5563FE647}"/>
    <cellStyle name="Comma 7 3 15 3 4" xfId="35283" xr:uid="{0243DEE7-6414-485B-87EE-F48E0B494E5E}"/>
    <cellStyle name="Comma 7 3 15 4" xfId="35281" xr:uid="{B888D530-D782-48A3-B173-CC1D0500C4B8}"/>
    <cellStyle name="Comma 7 3 16" xfId="35265" xr:uid="{9F17F7B8-625F-48B8-B456-2C1FB1D36B89}"/>
    <cellStyle name="Comma 7 3 2" xfId="3927" xr:uid="{00000000-0005-0000-0000-0000930A0000}"/>
    <cellStyle name="Comma 7 3 2 2" xfId="5600" xr:uid="{00000000-0005-0000-0000-0000940A0000}"/>
    <cellStyle name="Comma 7 3 2 2 2" xfId="23395" xr:uid="{10E8C159-A5F2-48A6-BF05-99DF0CC2ABC9}"/>
    <cellStyle name="Comma 7 3 2 2 3" xfId="17735" xr:uid="{80F25E43-C949-4E80-949A-BEBCE5D88265}"/>
    <cellStyle name="Comma 7 3 2 2 4" xfId="29056" xr:uid="{D7F58891-E6C0-404C-9926-6769D2ED98AA}"/>
    <cellStyle name="Comma 7 3 2 2 5" xfId="35285" xr:uid="{C8684E4D-0D64-4E1E-9B22-5C87701788FC}"/>
    <cellStyle name="Comma 7 3 2 3" xfId="13696" xr:uid="{00000000-0005-0000-0000-0000950A0000}"/>
    <cellStyle name="Comma 7 3 2 3 2" xfId="25933" xr:uid="{E4F73273-D609-4AF2-9202-EC876E3D57C5}"/>
    <cellStyle name="Comma 7 3 2 3 3" xfId="20273" xr:uid="{2971EEE9-EAE2-4199-BF4A-571E47865B60}"/>
    <cellStyle name="Comma 7 3 2 3 4" xfId="35286" xr:uid="{CCB4F557-2013-4BF1-8D3E-F5CE249B8989}"/>
    <cellStyle name="Comma 7 3 2 4" xfId="35284" xr:uid="{CB947C58-F859-447B-8348-01C9350AD0F7}"/>
    <cellStyle name="Comma 7 3 3" xfId="3928" xr:uid="{00000000-0005-0000-0000-0000960A0000}"/>
    <cellStyle name="Comma 7 3 3 2" xfId="5601" xr:uid="{00000000-0005-0000-0000-0000970A0000}"/>
    <cellStyle name="Comma 7 3 3 2 2" xfId="23396" xr:uid="{2A04CD81-EB9A-42EF-A325-31644976E2E8}"/>
    <cellStyle name="Comma 7 3 3 2 3" xfId="17736" xr:uid="{25868AC5-BC9E-4909-8C50-68FCEDD13C18}"/>
    <cellStyle name="Comma 7 3 3 2 4" xfId="29057" xr:uid="{3A9DEECF-BF3C-4DDF-BACA-DA89FAEB69A3}"/>
    <cellStyle name="Comma 7 3 3 2 5" xfId="35288" xr:uid="{87D5FD02-9C2F-4624-B536-BBF8BDF86703}"/>
    <cellStyle name="Comma 7 3 3 3" xfId="13697" xr:uid="{00000000-0005-0000-0000-0000980A0000}"/>
    <cellStyle name="Comma 7 3 3 3 2" xfId="25934" xr:uid="{CC31E006-CBCF-41F7-8443-257113102665}"/>
    <cellStyle name="Comma 7 3 3 3 3" xfId="20274" xr:uid="{979B1F31-7AAE-4171-B561-CCEDD5FB09A6}"/>
    <cellStyle name="Comma 7 3 3 3 4" xfId="35289" xr:uid="{8ED4D4CE-BDDB-4783-8D2F-28C8BF9E5961}"/>
    <cellStyle name="Comma 7 3 3 4" xfId="35287" xr:uid="{52EAF39C-68A6-40B5-B10D-166C0A9E2541}"/>
    <cellStyle name="Comma 7 3 4" xfId="3929" xr:uid="{00000000-0005-0000-0000-0000990A0000}"/>
    <cellStyle name="Comma 7 3 4 2" xfId="5602" xr:uid="{00000000-0005-0000-0000-00009A0A0000}"/>
    <cellStyle name="Comma 7 3 4 2 2" xfId="23397" xr:uid="{40FC014C-1C09-4E4C-998D-E8839D63ECDC}"/>
    <cellStyle name="Comma 7 3 4 2 3" xfId="17737" xr:uid="{6BF5DE8E-F55B-4EBC-80D2-65D1C7A5166B}"/>
    <cellStyle name="Comma 7 3 4 2 4" xfId="29058" xr:uid="{F261AC88-B0DD-4973-9FDC-41951F01EA6A}"/>
    <cellStyle name="Comma 7 3 4 2 5" xfId="35291" xr:uid="{DA61B5E1-4F84-4831-8473-F9C26FF5BC6E}"/>
    <cellStyle name="Comma 7 3 4 3" xfId="13698" xr:uid="{00000000-0005-0000-0000-00009B0A0000}"/>
    <cellStyle name="Comma 7 3 4 3 2" xfId="25935" xr:uid="{26968ED8-A4AB-434C-9B89-0034AA930965}"/>
    <cellStyle name="Comma 7 3 4 3 3" xfId="20275" xr:uid="{07048257-BA7C-4DBE-A256-26E3306FD040}"/>
    <cellStyle name="Comma 7 3 4 3 4" xfId="35292" xr:uid="{5BCEF5BC-42DA-4B22-A83F-B978CF701E4A}"/>
    <cellStyle name="Comma 7 3 4 4" xfId="35290" xr:uid="{F5B2F035-DF49-4FFE-AF2B-D575FACF6BCD}"/>
    <cellStyle name="Comma 7 3 5" xfId="3930" xr:uid="{00000000-0005-0000-0000-00009C0A0000}"/>
    <cellStyle name="Comma 7 3 5 2" xfId="5603" xr:uid="{00000000-0005-0000-0000-00009D0A0000}"/>
    <cellStyle name="Comma 7 3 5 2 2" xfId="23398" xr:uid="{424B7791-1914-440B-ABE7-E7FD1CE0E2B6}"/>
    <cellStyle name="Comma 7 3 5 2 3" xfId="17738" xr:uid="{B2678B32-C925-49AD-A456-A35B3620A804}"/>
    <cellStyle name="Comma 7 3 5 2 4" xfId="29059" xr:uid="{C5F92255-AD21-4CCD-8D3A-32E116FF624A}"/>
    <cellStyle name="Comma 7 3 5 2 5" xfId="35294" xr:uid="{1319F772-BE5C-472D-98B5-8A586A0DD2A2}"/>
    <cellStyle name="Comma 7 3 5 3" xfId="13699" xr:uid="{00000000-0005-0000-0000-00009E0A0000}"/>
    <cellStyle name="Comma 7 3 5 3 2" xfId="25936" xr:uid="{F80FAF50-927E-46CE-9255-F84CD88F132E}"/>
    <cellStyle name="Comma 7 3 5 3 3" xfId="20276" xr:uid="{D03D3DC4-77DE-41B1-B337-7FFF17CA7BBB}"/>
    <cellStyle name="Comma 7 3 5 3 4" xfId="35295" xr:uid="{EECDAD02-C208-4005-8B88-6A1EAE4E32F7}"/>
    <cellStyle name="Comma 7 3 5 4" xfId="35293" xr:uid="{E458D3B6-AB18-4B38-A4DB-3D79291AEBAF}"/>
    <cellStyle name="Comma 7 3 6" xfId="3931" xr:uid="{00000000-0005-0000-0000-00009F0A0000}"/>
    <cellStyle name="Comma 7 3 6 2" xfId="5604" xr:uid="{00000000-0005-0000-0000-0000A00A0000}"/>
    <cellStyle name="Comma 7 3 6 2 2" xfId="23399" xr:uid="{592B7A10-3863-4911-B421-731C412A858C}"/>
    <cellStyle name="Comma 7 3 6 2 3" xfId="17739" xr:uid="{9359B8CA-945E-43C4-BB2B-BFE23E5B8AD7}"/>
    <cellStyle name="Comma 7 3 6 2 4" xfId="29060" xr:uid="{14E0E495-ECD0-47AF-8490-9387BC4EA594}"/>
    <cellStyle name="Comma 7 3 6 2 5" xfId="35297" xr:uid="{C5BC659F-DA27-4D3D-807D-7289FCC0FC02}"/>
    <cellStyle name="Comma 7 3 6 3" xfId="13700" xr:uid="{00000000-0005-0000-0000-0000A10A0000}"/>
    <cellStyle name="Comma 7 3 6 3 2" xfId="25937" xr:uid="{19C495D3-6D8D-4A35-932A-A405D70E218C}"/>
    <cellStyle name="Comma 7 3 6 3 3" xfId="20277" xr:uid="{F7476925-9EA7-42A9-B7EA-ED338B2EAED8}"/>
    <cellStyle name="Comma 7 3 6 3 4" xfId="35298" xr:uid="{F4150617-9206-4D74-8F1E-AD5970660FD8}"/>
    <cellStyle name="Comma 7 3 6 4" xfId="35296" xr:uid="{1AD75205-4958-4E90-A81E-9801BCBD2147}"/>
    <cellStyle name="Comma 7 3 7" xfId="3932" xr:uid="{00000000-0005-0000-0000-0000A20A0000}"/>
    <cellStyle name="Comma 7 3 7 2" xfId="5605" xr:uid="{00000000-0005-0000-0000-0000A30A0000}"/>
    <cellStyle name="Comma 7 3 7 2 2" xfId="23400" xr:uid="{E9801EAB-16DC-4B7A-9F09-9F9D593941A8}"/>
    <cellStyle name="Comma 7 3 7 2 3" xfId="17740" xr:uid="{73A2CB8A-2442-4BB1-8493-9F384B4A6301}"/>
    <cellStyle name="Comma 7 3 7 2 4" xfId="29061" xr:uid="{E95F04FE-FA6B-4B86-B031-31749F08BE32}"/>
    <cellStyle name="Comma 7 3 7 2 5" xfId="35300" xr:uid="{3F0C404E-7F60-4D20-92F8-A9C3FCA0F67C}"/>
    <cellStyle name="Comma 7 3 7 3" xfId="13701" xr:uid="{00000000-0005-0000-0000-0000A40A0000}"/>
    <cellStyle name="Comma 7 3 7 3 2" xfId="25938" xr:uid="{1C255B60-F686-4683-9031-0421B59449EC}"/>
    <cellStyle name="Comma 7 3 7 3 3" xfId="20278" xr:uid="{44F1541D-B42B-41C8-8461-A8DDE0B12830}"/>
    <cellStyle name="Comma 7 3 7 3 4" xfId="35301" xr:uid="{810C87DE-A318-401D-B0FB-BCC1495EE8FB}"/>
    <cellStyle name="Comma 7 3 7 4" xfId="35299" xr:uid="{FBC98997-29C7-458F-BA57-FB199A3734BF}"/>
    <cellStyle name="Comma 7 3 8" xfId="3933" xr:uid="{00000000-0005-0000-0000-0000A50A0000}"/>
    <cellStyle name="Comma 7 3 8 2" xfId="5606" xr:uid="{00000000-0005-0000-0000-0000A60A0000}"/>
    <cellStyle name="Comma 7 3 8 2 2" xfId="23401" xr:uid="{1BD927CF-208F-4284-814E-731EBEE832FA}"/>
    <cellStyle name="Comma 7 3 8 2 3" xfId="17741" xr:uid="{A30341E2-D9C6-4620-AF61-4E2D6945EAB8}"/>
    <cellStyle name="Comma 7 3 8 2 4" xfId="29062" xr:uid="{AE5F431B-83AF-4A58-996E-D1BFF05B692B}"/>
    <cellStyle name="Comma 7 3 8 2 5" xfId="35303" xr:uid="{6DA0D4BC-7A01-4EE7-9B9A-BC599CCC42F2}"/>
    <cellStyle name="Comma 7 3 8 3" xfId="13702" xr:uid="{00000000-0005-0000-0000-0000A70A0000}"/>
    <cellStyle name="Comma 7 3 8 3 2" xfId="25939" xr:uid="{1289ECC0-A42A-4971-A9AC-0A84D1B896FA}"/>
    <cellStyle name="Comma 7 3 8 3 3" xfId="20279" xr:uid="{C018C330-0A64-4482-8EA4-CC10D5008C1D}"/>
    <cellStyle name="Comma 7 3 8 3 4" xfId="35304" xr:uid="{10123498-7493-45FA-B145-86A4BD84F99E}"/>
    <cellStyle name="Comma 7 3 8 4" xfId="35302" xr:uid="{AC8F6839-C8D4-42D2-A447-7735A6093912}"/>
    <cellStyle name="Comma 7 3 9" xfId="3934" xr:uid="{00000000-0005-0000-0000-0000A80A0000}"/>
    <cellStyle name="Comma 7 3 9 2" xfId="5607" xr:uid="{00000000-0005-0000-0000-0000A90A0000}"/>
    <cellStyle name="Comma 7 3 9 2 2" xfId="23402" xr:uid="{D30BBF5F-FA4E-460F-8D03-30B35733F31E}"/>
    <cellStyle name="Comma 7 3 9 2 3" xfId="17742" xr:uid="{17C3FB76-0BBB-4D40-B3C1-5B88892FF4ED}"/>
    <cellStyle name="Comma 7 3 9 2 4" xfId="29063" xr:uid="{C0F316AA-6291-49C8-BDBE-C24EC7F24327}"/>
    <cellStyle name="Comma 7 3 9 2 5" xfId="35306" xr:uid="{5C57686B-B759-4067-8006-959A884F0B6C}"/>
    <cellStyle name="Comma 7 3 9 3" xfId="13703" xr:uid="{00000000-0005-0000-0000-0000AA0A0000}"/>
    <cellStyle name="Comma 7 3 9 3 2" xfId="25940" xr:uid="{A0F1293D-5116-4147-8728-5A9684646793}"/>
    <cellStyle name="Comma 7 3 9 3 3" xfId="20280" xr:uid="{7F03BF72-578E-49C2-85A5-40DE80806134}"/>
    <cellStyle name="Comma 7 3 9 3 4" xfId="35307" xr:uid="{8BF110AC-C49E-4561-AF44-C847D4F76FAA}"/>
    <cellStyle name="Comma 7 3 9 4" xfId="35305" xr:uid="{A8C547ED-9243-44D8-ADC6-0FBE24B026A5}"/>
    <cellStyle name="Comma 7 4" xfId="3935" xr:uid="{00000000-0005-0000-0000-0000AB0A0000}"/>
    <cellStyle name="Comma 7 4 2" xfId="5608" xr:uid="{00000000-0005-0000-0000-0000AC0A0000}"/>
    <cellStyle name="Comma 7 4 2 2" xfId="23403" xr:uid="{585320AE-2898-4B42-A258-CF1A8F5383A1}"/>
    <cellStyle name="Comma 7 4 2 3" xfId="17743" xr:uid="{D575A910-01E9-4B23-A4E4-3202B57E6DC4}"/>
    <cellStyle name="Comma 7 4 2 4" xfId="29064" xr:uid="{AE78690C-5B64-438C-A65C-63CF1D00D5AB}"/>
    <cellStyle name="Comma 7 4 2 5" xfId="35309" xr:uid="{07F39E89-E116-4511-9567-49EA8B2CF5CB}"/>
    <cellStyle name="Comma 7 4 3" xfId="13704" xr:uid="{00000000-0005-0000-0000-0000AD0A0000}"/>
    <cellStyle name="Comma 7 4 3 2" xfId="25941" xr:uid="{D2C70193-BD35-4A0F-B187-6EA2C2F0F3CA}"/>
    <cellStyle name="Comma 7 4 3 3" xfId="20281" xr:uid="{70C534B2-81A8-4310-8E31-8650CE0351EB}"/>
    <cellStyle name="Comma 7 4 3 4" xfId="35310" xr:uid="{6B939B89-0CD1-488E-B899-65862A08D089}"/>
    <cellStyle name="Comma 7 4 4" xfId="35308" xr:uid="{03078D17-A7DD-4DB5-91D7-5FFCBC05DD59}"/>
    <cellStyle name="Comma 7 5" xfId="3936" xr:uid="{00000000-0005-0000-0000-0000AE0A0000}"/>
    <cellStyle name="Comma 7 5 2" xfId="5609" xr:uid="{00000000-0005-0000-0000-0000AF0A0000}"/>
    <cellStyle name="Comma 7 5 2 2" xfId="23404" xr:uid="{4427CCBF-B9C0-4F04-9230-5161B51EB0FA}"/>
    <cellStyle name="Comma 7 5 2 3" xfId="17744" xr:uid="{92C34504-51BD-4AAB-A279-EC4C023B85F0}"/>
    <cellStyle name="Comma 7 5 2 4" xfId="29065" xr:uid="{192B4674-D554-4E69-A555-A3B74D7D47DC}"/>
    <cellStyle name="Comma 7 5 2 5" xfId="35312" xr:uid="{CCF964FE-03FB-4948-9DCD-0CD32E25F7B1}"/>
    <cellStyle name="Comma 7 5 3" xfId="13705" xr:uid="{00000000-0005-0000-0000-0000B00A0000}"/>
    <cellStyle name="Comma 7 5 3 2" xfId="25942" xr:uid="{3C7EA441-F996-4794-9938-ED63B00689D5}"/>
    <cellStyle name="Comma 7 5 3 3" xfId="20282" xr:uid="{AD37B9FC-FDA4-477C-AAF0-6697B164741E}"/>
    <cellStyle name="Comma 7 5 3 4" xfId="35313" xr:uid="{D2DFC2C9-12A7-4410-99EA-6649E6FA8F3E}"/>
    <cellStyle name="Comma 7 5 4" xfId="35311" xr:uid="{02B6067C-5204-42A6-9FEE-8023206B6021}"/>
    <cellStyle name="Comma 7 6" xfId="3937" xr:uid="{00000000-0005-0000-0000-0000B10A0000}"/>
    <cellStyle name="Comma 7 6 2" xfId="5610" xr:uid="{00000000-0005-0000-0000-0000B20A0000}"/>
    <cellStyle name="Comma 7 6 2 2" xfId="23405" xr:uid="{8986934F-53F9-45F4-9AD7-7352D6B5E6D1}"/>
    <cellStyle name="Comma 7 6 2 3" xfId="17745" xr:uid="{FBD1A9DD-EAD0-4662-A236-447BBAF0D069}"/>
    <cellStyle name="Comma 7 6 2 4" xfId="29066" xr:uid="{9329AA66-11CC-40C2-A97B-C0A755712E26}"/>
    <cellStyle name="Comma 7 6 2 5" xfId="35315" xr:uid="{760420A4-BF85-4048-9266-65DCDE00B594}"/>
    <cellStyle name="Comma 7 6 3" xfId="13706" xr:uid="{00000000-0005-0000-0000-0000B30A0000}"/>
    <cellStyle name="Comma 7 6 3 2" xfId="25943" xr:uid="{85E48EF6-437E-4725-ADA2-E7C0BE3752C1}"/>
    <cellStyle name="Comma 7 6 3 3" xfId="20283" xr:uid="{B6DBFA5A-6182-495D-9345-395FB7B48ADB}"/>
    <cellStyle name="Comma 7 6 3 4" xfId="35316" xr:uid="{468EC472-5CC0-45D1-AABA-97C852A44C0B}"/>
    <cellStyle name="Comma 7 6 4" xfId="35314" xr:uid="{8C7C3D9E-F633-4C4F-89AB-7359A5D137D6}"/>
    <cellStyle name="Comma 7 7" xfId="3938" xr:uid="{00000000-0005-0000-0000-0000B40A0000}"/>
    <cellStyle name="Comma 7 7 2" xfId="5611" xr:uid="{00000000-0005-0000-0000-0000B50A0000}"/>
    <cellStyle name="Comma 7 7 2 2" xfId="23406" xr:uid="{934C57D4-4C90-4F34-864C-D4E098B6205D}"/>
    <cellStyle name="Comma 7 7 2 3" xfId="17746" xr:uid="{C2C5B13E-069A-484E-A41E-8005FCA9AACB}"/>
    <cellStyle name="Comma 7 7 2 4" xfId="29067" xr:uid="{A921AD92-81D8-4572-96CB-BE4A7300ACCA}"/>
    <cellStyle name="Comma 7 7 2 5" xfId="35318" xr:uid="{CC34781A-6DEC-46E4-9D45-5A0D14759CA4}"/>
    <cellStyle name="Comma 7 7 3" xfId="13707" xr:uid="{00000000-0005-0000-0000-0000B60A0000}"/>
    <cellStyle name="Comma 7 7 3 2" xfId="25944" xr:uid="{7D6AD613-D3CA-4690-961E-A38CBCCFC458}"/>
    <cellStyle name="Comma 7 7 3 3" xfId="20284" xr:uid="{1AB2ED39-A41E-4115-8C99-1589B7F87434}"/>
    <cellStyle name="Comma 7 7 3 4" xfId="35319" xr:uid="{43146162-A0D6-4B46-8B60-11F8B7D88AF1}"/>
    <cellStyle name="Comma 7 7 4" xfId="35317" xr:uid="{5C962974-6F38-4642-B2F7-3D086B1B09B0}"/>
    <cellStyle name="Comma 7 8" xfId="3939" xr:uid="{00000000-0005-0000-0000-0000B70A0000}"/>
    <cellStyle name="Comma 7 8 2" xfId="5612" xr:uid="{00000000-0005-0000-0000-0000B80A0000}"/>
    <cellStyle name="Comma 7 8 2 2" xfId="23407" xr:uid="{C586EFD4-7B9B-48B0-B914-A4C7FCE3D9E5}"/>
    <cellStyle name="Comma 7 8 2 3" xfId="17747" xr:uid="{093DC558-3984-4508-BDE1-F05D3E60AB51}"/>
    <cellStyle name="Comma 7 8 2 4" xfId="29068" xr:uid="{5774A817-FE78-4EFA-B7BE-47E693226BBA}"/>
    <cellStyle name="Comma 7 8 2 5" xfId="35321" xr:uid="{4699D3A8-1191-49A5-9365-B6115F1D0B04}"/>
    <cellStyle name="Comma 7 8 3" xfId="13708" xr:uid="{00000000-0005-0000-0000-0000B90A0000}"/>
    <cellStyle name="Comma 7 8 3 2" xfId="25945" xr:uid="{94285074-B220-4A4B-9F19-99ABF16BAD4A}"/>
    <cellStyle name="Comma 7 8 3 3" xfId="20285" xr:uid="{3529C7EC-001D-4024-9479-30FEA27A7E34}"/>
    <cellStyle name="Comma 7 8 3 4" xfId="35322" xr:uid="{B743656F-F6C4-4C04-9F18-D9BE01EBAFCF}"/>
    <cellStyle name="Comma 7 8 4" xfId="35320" xr:uid="{7A1EEA7F-65A8-4024-A4BA-88C5708DECE8}"/>
    <cellStyle name="Comma 7 9" xfId="3940" xr:uid="{00000000-0005-0000-0000-0000BA0A0000}"/>
    <cellStyle name="Comma 7 9 2" xfId="5613" xr:uid="{00000000-0005-0000-0000-0000BB0A0000}"/>
    <cellStyle name="Comma 7 9 2 2" xfId="23408" xr:uid="{513837CD-644C-4703-B5B0-3443C63C56B8}"/>
    <cellStyle name="Comma 7 9 2 3" xfId="17748" xr:uid="{5ED6EDFD-E352-45A2-8E62-00C2C31B491C}"/>
    <cellStyle name="Comma 7 9 2 4" xfId="29069" xr:uid="{BC718BDF-2639-4C73-967F-94C810B277A3}"/>
    <cellStyle name="Comma 7 9 2 5" xfId="35324" xr:uid="{3EC76A25-3344-475F-9B77-2EB41844A971}"/>
    <cellStyle name="Comma 7 9 3" xfId="13709" xr:uid="{00000000-0005-0000-0000-0000BC0A0000}"/>
    <cellStyle name="Comma 7 9 3 2" xfId="25946" xr:uid="{1EC6AC76-0728-4EDE-8224-4A6071557477}"/>
    <cellStyle name="Comma 7 9 3 3" xfId="20286" xr:uid="{FB57FF13-A31D-4BC7-BB26-D82D41F7B7B3}"/>
    <cellStyle name="Comma 7 9 3 4" xfId="35325" xr:uid="{0D14359B-66A9-4933-A56B-14FB20DB55B9}"/>
    <cellStyle name="Comma 7 9 4" xfId="35323" xr:uid="{F59B172C-7511-4759-9CDD-86CD54415232}"/>
    <cellStyle name="Comma 8" xfId="3941" xr:uid="{00000000-0005-0000-0000-0000BD0A0000}"/>
    <cellStyle name="Comma 8 2" xfId="1529" xr:uid="{00000000-0005-0000-0000-0000BE0A0000}"/>
    <cellStyle name="Comma 8 2 2" xfId="1530" xr:uid="{00000000-0005-0000-0000-0000BF0A0000}"/>
    <cellStyle name="Comma 8 2 2 2" xfId="5954" xr:uid="{00000000-0005-0000-0000-0000C00A0000}"/>
    <cellStyle name="Comma 8 2 2 2 2" xfId="14421" xr:uid="{00000000-0005-0000-0000-0000C10A0000}"/>
    <cellStyle name="Comma 8 2 2 2 2 2" xfId="26383" xr:uid="{F6244DCB-8BDD-46BA-AB81-630736D95AD0}"/>
    <cellStyle name="Comma 8 2 2 2 2 3" xfId="20723" xr:uid="{545C05F8-4718-4C69-8C7C-5B57987F388B}"/>
    <cellStyle name="Comma 8 2 2 2 2 4" xfId="31763" xr:uid="{B4217E67-286A-4C86-B156-C124BBF956A6}"/>
    <cellStyle name="Comma 8 2 2 2 2 5" xfId="35329" xr:uid="{E4E58160-CD6F-4AAA-BAA0-A44B2EA284EA}"/>
    <cellStyle name="Comma 8 2 2 2 3" xfId="9580" xr:uid="{00000000-0005-0000-0000-0000C20A0000}"/>
    <cellStyle name="Comma 8 2 2 2 3 2" xfId="25637" xr:uid="{B71CE244-F337-4FC6-8DC7-F221B7303EB6}"/>
    <cellStyle name="Comma 8 2 2 2 3 3" xfId="19977" xr:uid="{0503B827-F06A-4400-8520-87F70BCDFC2F}"/>
    <cellStyle name="Comma 8 2 2 2 3 4" xfId="35330" xr:uid="{FCEA01D3-E907-4386-BE91-75F03B88DAB8}"/>
    <cellStyle name="Comma 8 2 2 2 4" xfId="23543" xr:uid="{B51AB2C6-ABFB-4927-871A-3E77ECC6D437}"/>
    <cellStyle name="Comma 8 2 2 2 5" xfId="17883" xr:uid="{23668E57-A74E-45AE-9162-A722AD1BECAD}"/>
    <cellStyle name="Comma 8 2 2 2 6" xfId="29204" xr:uid="{2E3E9898-298A-43C1-83D7-DD8B35F1DA79}"/>
    <cellStyle name="Comma 8 2 2 2 7" xfId="35328" xr:uid="{F194389E-AD83-47BB-9B0D-5B6FF1FCB58A}"/>
    <cellStyle name="Comma 8 2 2 2 8" xfId="49762" xr:uid="{E808F23C-1D59-4631-BA3A-014F3FDF967C}"/>
    <cellStyle name="Comma 8 2 2 3" xfId="35327" xr:uid="{FAD86EB3-4C9D-4FE2-9E7B-0614E56729AA}"/>
    <cellStyle name="Comma 8 2 3" xfId="5953" xr:uid="{00000000-0005-0000-0000-0000C30A0000}"/>
    <cellStyle name="Comma 8 2 3 2" xfId="23542" xr:uid="{350EFC14-54EC-4A58-ABCC-03F5A882EFEC}"/>
    <cellStyle name="Comma 8 2 3 3" xfId="17882" xr:uid="{C0D0CE1B-DE99-40A0-A97E-1F5598099C6F}"/>
    <cellStyle name="Comma 8 2 3 4" xfId="29203" xr:uid="{71652CB4-042B-441E-BCA8-FB2B3411168E}"/>
    <cellStyle name="Comma 8 2 3 5" xfId="35331" xr:uid="{E8560552-96F2-436B-9E67-584013B20688}"/>
    <cellStyle name="Comma 8 2 3 6" xfId="49763" xr:uid="{7824FE9C-D4B6-4793-9144-9F83802EAEEF}"/>
    <cellStyle name="Comma 8 2 4" xfId="35326" xr:uid="{6DBB5957-874B-4005-95BC-C87CDBB906F5}"/>
    <cellStyle name="Comma 8 3" xfId="3942" xr:uid="{00000000-0005-0000-0000-0000C40A0000}"/>
    <cellStyle name="Comma 8 3 2" xfId="5955" xr:uid="{00000000-0005-0000-0000-0000C50A0000}"/>
    <cellStyle name="Comma 8 3 2 2" xfId="23544" xr:uid="{A7FDEDDA-0573-4C68-A4D2-7553263C9C5C}"/>
    <cellStyle name="Comma 8 3 2 3" xfId="17884" xr:uid="{6B26902E-7B75-497B-BCAF-44983E17F9AC}"/>
    <cellStyle name="Comma 8 3 2 4" xfId="29205" xr:uid="{5E8FF6EA-8643-41C6-A2DD-5114DCE1C2A1}"/>
    <cellStyle name="Comma 8 3 2 5" xfId="35333" xr:uid="{DF86E526-358C-4C80-95C4-2DCE01052B33}"/>
    <cellStyle name="Comma 8 3 3" xfId="35332" xr:uid="{D2B82FBF-11E0-4ED7-B03A-BFFFD7CFBF2C}"/>
    <cellStyle name="Comma 8 4" xfId="3943" xr:uid="{00000000-0005-0000-0000-0000C60A0000}"/>
    <cellStyle name="Comma 8 4 2" xfId="5956" xr:uid="{00000000-0005-0000-0000-0000C70A0000}"/>
    <cellStyle name="Comma 8 4 2 2" xfId="23545" xr:uid="{7D57A471-BA3F-4BB3-882E-27097EC1100E}"/>
    <cellStyle name="Comma 8 4 2 3" xfId="17885" xr:uid="{105A472B-DC4A-4C90-853D-ACCB7A2D92A9}"/>
    <cellStyle name="Comma 8 4 2 4" xfId="29206" xr:uid="{79CEF2C3-14C7-4E62-A1C2-D66FE57902D8}"/>
    <cellStyle name="Comma 8 4 2 5" xfId="35335" xr:uid="{222F5763-EDAB-4127-B2EA-B29665E27008}"/>
    <cellStyle name="Comma 8 4 3" xfId="35334" xr:uid="{2EB82D69-86A8-40AC-8571-D34C9D0018FD}"/>
    <cellStyle name="Comma 8 5" xfId="3944" xr:uid="{00000000-0005-0000-0000-0000C80A0000}"/>
    <cellStyle name="Comma 8 5 2" xfId="5957" xr:uid="{00000000-0005-0000-0000-0000C90A0000}"/>
    <cellStyle name="Comma 8 5 2 2" xfId="23546" xr:uid="{A58B1BEF-0C94-4281-B6F5-2FB258349918}"/>
    <cellStyle name="Comma 8 5 2 3" xfId="17886" xr:uid="{5D7A3B0C-EE1A-4F3A-B361-75951A053D35}"/>
    <cellStyle name="Comma 8 5 2 4" xfId="29207" xr:uid="{A699B071-36FB-47BC-A362-D9F605472271}"/>
    <cellStyle name="Comma 8 5 2 5" xfId="35337" xr:uid="{632E0D6A-739D-40EB-9FF6-8BC89F81BB9C}"/>
    <cellStyle name="Comma 8 5 3" xfId="35336" xr:uid="{729D2BDC-C565-4A63-A591-EB63C23894CA}"/>
    <cellStyle name="Comma 8 6" xfId="3945" xr:uid="{00000000-0005-0000-0000-0000CA0A0000}"/>
    <cellStyle name="Comma 8 6 2" xfId="5958" xr:uid="{00000000-0005-0000-0000-0000CB0A0000}"/>
    <cellStyle name="Comma 8 6 2 2" xfId="23547" xr:uid="{63164C75-E904-4CDD-86DB-426437D3BA0A}"/>
    <cellStyle name="Comma 8 6 2 3" xfId="17887" xr:uid="{523D59F9-2713-4006-AE0E-93FE8E7E3316}"/>
    <cellStyle name="Comma 8 6 2 4" xfId="29208" xr:uid="{70E5C0DA-9A2F-48CC-AE4C-6E94B3081582}"/>
    <cellStyle name="Comma 8 6 2 5" xfId="35339" xr:uid="{56327D3E-1E44-4456-A8B9-EBA91DFBF2FF}"/>
    <cellStyle name="Comma 8 6 3" xfId="35338" xr:uid="{27D04233-0673-4688-8CB7-25BD4A766C1A}"/>
    <cellStyle name="Comma 8 7" xfId="3946" xr:uid="{00000000-0005-0000-0000-0000CC0A0000}"/>
    <cellStyle name="Comma 8 7 2" xfId="5959" xr:uid="{00000000-0005-0000-0000-0000CD0A0000}"/>
    <cellStyle name="Comma 8 7 2 2" xfId="23548" xr:uid="{3481546B-EA4E-4B49-A555-C0A17C049E06}"/>
    <cellStyle name="Comma 8 7 2 3" xfId="17888" xr:uid="{95608100-8D2E-4C47-ABA3-25497B6371E7}"/>
    <cellStyle name="Comma 8 7 2 4" xfId="29209" xr:uid="{F3403D61-2ECF-4365-9B22-F7EA1F9C6E22}"/>
    <cellStyle name="Comma 8 7 2 5" xfId="35341" xr:uid="{4350EDEE-538D-4CF8-9CCC-6EFCE12E892B}"/>
    <cellStyle name="Comma 8 7 3" xfId="35340" xr:uid="{D073AC1A-31D4-4065-81EC-ED4F84C80FD4}"/>
    <cellStyle name="Comma 8 8" xfId="3947" xr:uid="{00000000-0005-0000-0000-0000CE0A0000}"/>
    <cellStyle name="Comma 8 8 2" xfId="5960" xr:uid="{00000000-0005-0000-0000-0000CF0A0000}"/>
    <cellStyle name="Comma 8 8 2 2" xfId="23549" xr:uid="{2E6C8B19-EDA3-4297-9CF3-E29018D044AE}"/>
    <cellStyle name="Comma 8 8 2 3" xfId="17889" xr:uid="{7BB4DB66-D164-48D1-BD62-B43996EF8B94}"/>
    <cellStyle name="Comma 8 8 2 4" xfId="29210" xr:uid="{062EE655-5B15-4F63-ABCB-2FE36B1F125B}"/>
    <cellStyle name="Comma 8 8 2 5" xfId="35343" xr:uid="{8A29FDF9-81D0-4879-B83D-DE30714EC301}"/>
    <cellStyle name="Comma 8 8 3" xfId="35342" xr:uid="{4A92F71F-36BF-49E6-8C05-8F046A2DE7FB}"/>
    <cellStyle name="Comma 9" xfId="3948" xr:uid="{00000000-0005-0000-0000-0000D00A0000}"/>
    <cellStyle name="Comma 9 10" xfId="5961" xr:uid="{00000000-0005-0000-0000-0000D10A0000}"/>
    <cellStyle name="Comma 9 10 2" xfId="12202" xr:uid="{00000000-0005-0000-0000-0000D20A0000}"/>
    <cellStyle name="Comma 9 10 2 2" xfId="25684" xr:uid="{FDF7A2AE-C9DC-44FF-ABA6-4038AFE06DC4}"/>
    <cellStyle name="Comma 9 10 2 3" xfId="20024" xr:uid="{63AD1EF9-064C-4707-B56D-06050A23476A}"/>
    <cellStyle name="Comma 9 10 2 4" xfId="31328" xr:uid="{4B5D5451-A552-4C5D-B9B9-0B1673204AAF}"/>
    <cellStyle name="Comma 9 10 2 5" xfId="35346" xr:uid="{7BA5C0A9-871D-47CC-8F20-2FDA6E50D23A}"/>
    <cellStyle name="Comma 9 10 3" xfId="9581" xr:uid="{00000000-0005-0000-0000-0000D30A0000}"/>
    <cellStyle name="Comma 9 10 3 2" xfId="25638" xr:uid="{E64AE92D-CE40-4510-90E0-ED74482E9C59}"/>
    <cellStyle name="Comma 9 10 3 3" xfId="19978" xr:uid="{198E1587-114B-44F4-BABD-6E731F123BAE}"/>
    <cellStyle name="Comma 9 10 3 4" xfId="35347" xr:uid="{F35D211C-B8AD-426F-8634-2B2EAAD1EF8F}"/>
    <cellStyle name="Comma 9 10 4" xfId="23550" xr:uid="{26CF7081-0A51-41B6-ADFD-1DB3F448ED1D}"/>
    <cellStyle name="Comma 9 10 5" xfId="17890" xr:uid="{0FA93E15-2215-4439-A193-52934D74CD4F}"/>
    <cellStyle name="Comma 9 10 6" xfId="29211" xr:uid="{F2C0F881-9CA3-4546-BE5B-B4AAB83B269F}"/>
    <cellStyle name="Comma 9 10 7" xfId="35345" xr:uid="{AC5BE110-3B18-4CA4-8C4B-2052098A1566}"/>
    <cellStyle name="Comma 9 11" xfId="35344" xr:uid="{F40D1464-8C22-4487-A990-45948EEB58E3}"/>
    <cellStyle name="Comma 9 2" xfId="3949" xr:uid="{00000000-0005-0000-0000-0000D40A0000}"/>
    <cellStyle name="Comma 9 2 2" xfId="5614" xr:uid="{00000000-0005-0000-0000-0000D50A0000}"/>
    <cellStyle name="Comma 9 2 2 2" xfId="23409" xr:uid="{19910052-C958-4552-B715-810780DB42F5}"/>
    <cellStyle name="Comma 9 2 2 3" xfId="17749" xr:uid="{26D0C8E1-021E-4383-99BD-5B0CF946A072}"/>
    <cellStyle name="Comma 9 2 2 4" xfId="29070" xr:uid="{85B44978-1031-4842-9940-7FEAA151A3E2}"/>
    <cellStyle name="Comma 9 2 2 5" xfId="35349" xr:uid="{EA4AE646-F297-46AF-A27F-AB45E73F4FB3}"/>
    <cellStyle name="Comma 9 2 3" xfId="13712" xr:uid="{00000000-0005-0000-0000-0000D60A0000}"/>
    <cellStyle name="Comma 9 2 3 2" xfId="25947" xr:uid="{7491BB6E-D3D5-45DC-868E-2E8EC291C9F0}"/>
    <cellStyle name="Comma 9 2 3 3" xfId="20287" xr:uid="{156CA52D-1CF6-4ED3-ADD7-B85FD4C41895}"/>
    <cellStyle name="Comma 9 2 3 4" xfId="35350" xr:uid="{CB997314-D2F0-40ED-9243-122D6B32EBB9}"/>
    <cellStyle name="Comma 9 2 4" xfId="35348" xr:uid="{DDCEBD7C-4E7E-448D-81CE-B8120B52FB68}"/>
    <cellStyle name="Comma 9 3" xfId="3950" xr:uid="{00000000-0005-0000-0000-0000D70A0000}"/>
    <cellStyle name="Comma 9 3 2" xfId="5615" xr:uid="{00000000-0005-0000-0000-0000D80A0000}"/>
    <cellStyle name="Comma 9 3 2 2" xfId="23410" xr:uid="{28AD9F62-4CC1-443F-8F7E-56494CA4003A}"/>
    <cellStyle name="Comma 9 3 2 3" xfId="17750" xr:uid="{86EED0CA-1226-44FD-B1BB-1A98112FF76D}"/>
    <cellStyle name="Comma 9 3 2 4" xfId="29071" xr:uid="{E4F3663D-6905-425F-9FA6-CE8F624DFD10}"/>
    <cellStyle name="Comma 9 3 2 5" xfId="35352" xr:uid="{1B9475CB-4857-4E5D-94D1-924DBAC1C642}"/>
    <cellStyle name="Comma 9 3 3" xfId="13713" xr:uid="{00000000-0005-0000-0000-0000D90A0000}"/>
    <cellStyle name="Comma 9 3 3 2" xfId="25948" xr:uid="{76DE256D-8728-43EB-A382-4FF190D8AE02}"/>
    <cellStyle name="Comma 9 3 3 3" xfId="20288" xr:uid="{D0F9AA8D-AECE-48E4-8C61-67C756FC79DF}"/>
    <cellStyle name="Comma 9 3 3 4" xfId="35353" xr:uid="{28A75EBF-3CA3-4AFF-A436-8BD1794C8794}"/>
    <cellStyle name="Comma 9 3 4" xfId="35351" xr:uid="{1FD4E670-1F5F-4898-B0E2-88C395915C4C}"/>
    <cellStyle name="Comma 9 4" xfId="3951" xr:uid="{00000000-0005-0000-0000-0000DA0A0000}"/>
    <cellStyle name="Comma 9 4 2" xfId="5616" xr:uid="{00000000-0005-0000-0000-0000DB0A0000}"/>
    <cellStyle name="Comma 9 4 2 2" xfId="23411" xr:uid="{0CF1D81F-CB35-4DFA-B4B4-55348DACBAAE}"/>
    <cellStyle name="Comma 9 4 2 3" xfId="17751" xr:uid="{5DEEA9EC-2A8D-476B-B3A6-E90F50D58E62}"/>
    <cellStyle name="Comma 9 4 2 4" xfId="29072" xr:uid="{1A5D9CF2-AE29-483D-A819-1B5FD4653324}"/>
    <cellStyle name="Comma 9 4 2 5" xfId="35355" xr:uid="{93FA0750-DAE6-4F5E-B38A-35E7142B0190}"/>
    <cellStyle name="Comma 9 4 3" xfId="13714" xr:uid="{00000000-0005-0000-0000-0000DC0A0000}"/>
    <cellStyle name="Comma 9 4 3 2" xfId="25949" xr:uid="{8F7C0652-A541-4490-B26F-A0346406D87C}"/>
    <cellStyle name="Comma 9 4 3 3" xfId="20289" xr:uid="{6F77B46C-69E7-4291-B69E-D7C676D15FC1}"/>
    <cellStyle name="Comma 9 4 3 4" xfId="35356" xr:uid="{62A2C40A-21C3-415F-BCC6-5E62C78D2B71}"/>
    <cellStyle name="Comma 9 4 4" xfId="35354" xr:uid="{B581151C-60E6-46DE-AFF2-D165BCAF6E84}"/>
    <cellStyle name="Comma 9 5" xfId="3952" xr:uid="{00000000-0005-0000-0000-0000DD0A0000}"/>
    <cellStyle name="Comma 9 5 2" xfId="5617" xr:uid="{00000000-0005-0000-0000-0000DE0A0000}"/>
    <cellStyle name="Comma 9 5 2 2" xfId="23412" xr:uid="{21FCB3E0-380F-49CA-9F3F-9BA5614C9ED2}"/>
    <cellStyle name="Comma 9 5 2 3" xfId="17752" xr:uid="{35C8D8B5-C494-48A9-8090-8101C3009C34}"/>
    <cellStyle name="Comma 9 5 2 4" xfId="29073" xr:uid="{FAB869A1-D714-496C-8CD1-14F929C38402}"/>
    <cellStyle name="Comma 9 5 2 5" xfId="35358" xr:uid="{C637AB2D-E4DB-4CFB-B258-7BA993999A88}"/>
    <cellStyle name="Comma 9 5 3" xfId="13715" xr:uid="{00000000-0005-0000-0000-0000DF0A0000}"/>
    <cellStyle name="Comma 9 5 3 2" xfId="25950" xr:uid="{D5E76C12-47D4-497C-B288-A651EA314ABD}"/>
    <cellStyle name="Comma 9 5 3 3" xfId="20290" xr:uid="{517962F2-668B-4CB9-8644-9C5C71A4670B}"/>
    <cellStyle name="Comma 9 5 3 4" xfId="35359" xr:uid="{F0416125-C4D0-4B4E-A76B-444C6ACCDA35}"/>
    <cellStyle name="Comma 9 5 4" xfId="35357" xr:uid="{F1697DFD-BEC5-4F32-9A7E-9191ACAA4280}"/>
    <cellStyle name="Comma 9 6" xfId="3953" xr:uid="{00000000-0005-0000-0000-0000E00A0000}"/>
    <cellStyle name="Comma 9 6 2" xfId="5618" xr:uid="{00000000-0005-0000-0000-0000E10A0000}"/>
    <cellStyle name="Comma 9 6 2 2" xfId="23413" xr:uid="{3CA519CF-3E0A-40D7-A45D-FB2F8BDF5EE5}"/>
    <cellStyle name="Comma 9 6 2 3" xfId="17753" xr:uid="{9F546BC5-C80E-45E6-952C-0E522CA80C98}"/>
    <cellStyle name="Comma 9 6 2 4" xfId="29074" xr:uid="{77C2E5A3-8E95-4FA1-8509-9CD800C4FA9A}"/>
    <cellStyle name="Comma 9 6 2 5" xfId="35361" xr:uid="{DF8EB354-89F2-4D11-A165-F7653DD57754}"/>
    <cellStyle name="Comma 9 6 3" xfId="13716" xr:uid="{00000000-0005-0000-0000-0000E20A0000}"/>
    <cellStyle name="Comma 9 6 3 2" xfId="25951" xr:uid="{2ED7B610-4D2A-4F37-8AFE-20474F5EB999}"/>
    <cellStyle name="Comma 9 6 3 3" xfId="20291" xr:uid="{9A691141-DA21-49C7-A307-5AE2F73ACAC2}"/>
    <cellStyle name="Comma 9 6 3 4" xfId="35362" xr:uid="{8DE385BC-B418-48AE-9497-FFD20D4B0F45}"/>
    <cellStyle name="Comma 9 6 4" xfId="35360" xr:uid="{D784BF21-1373-4AB0-9F51-EE11AD410AD7}"/>
    <cellStyle name="Comma 9 7" xfId="3954" xr:uid="{00000000-0005-0000-0000-0000E30A0000}"/>
    <cellStyle name="Comma 9 7 2" xfId="5619" xr:uid="{00000000-0005-0000-0000-0000E40A0000}"/>
    <cellStyle name="Comma 9 7 2 2" xfId="23414" xr:uid="{1C1E024E-E3A7-4BE1-A1FE-C05C9D625F12}"/>
    <cellStyle name="Comma 9 7 2 3" xfId="17754" xr:uid="{3B379595-CF94-4A87-8E03-FEB10E22ECEF}"/>
    <cellStyle name="Comma 9 7 2 4" xfId="29075" xr:uid="{7B7094E1-EBFA-45C8-87B2-3F97B011371C}"/>
    <cellStyle name="Comma 9 7 2 5" xfId="35364" xr:uid="{AD779EF6-8D80-480B-B919-6E777233F369}"/>
    <cellStyle name="Comma 9 7 3" xfId="13717" xr:uid="{00000000-0005-0000-0000-0000E50A0000}"/>
    <cellStyle name="Comma 9 7 3 2" xfId="25952" xr:uid="{A7CAAC16-598D-4F2B-B90A-9D4E746918A6}"/>
    <cellStyle name="Comma 9 7 3 3" xfId="20292" xr:uid="{060F64DA-965C-4E2A-812F-02490FBE1587}"/>
    <cellStyle name="Comma 9 7 3 4" xfId="35365" xr:uid="{B7225CE9-FA9D-4E23-AF23-4FA543BC5830}"/>
    <cellStyle name="Comma 9 7 4" xfId="35363" xr:uid="{DD04764E-7ADB-40EF-BD82-788B2AEE961B}"/>
    <cellStyle name="Comma 9 8" xfId="3955" xr:uid="{00000000-0005-0000-0000-0000E60A0000}"/>
    <cellStyle name="Comma 9 8 2" xfId="5620" xr:uid="{00000000-0005-0000-0000-0000E70A0000}"/>
    <cellStyle name="Comma 9 8 2 2" xfId="23415" xr:uid="{563C1708-A13A-4CD2-8C9A-95A4420521FE}"/>
    <cellStyle name="Comma 9 8 2 3" xfId="17755" xr:uid="{71EFBA24-D20E-40BE-BE00-2CCFCD40D27E}"/>
    <cellStyle name="Comma 9 8 2 4" xfId="29076" xr:uid="{1912EC30-27CE-4BC0-8D5E-6037D254D354}"/>
    <cellStyle name="Comma 9 8 2 5" xfId="35367" xr:uid="{12E84BCA-2054-4487-826D-0BD353FD1012}"/>
    <cellStyle name="Comma 9 8 3" xfId="13718" xr:uid="{00000000-0005-0000-0000-0000E80A0000}"/>
    <cellStyle name="Comma 9 8 3 2" xfId="25953" xr:uid="{AD0A597B-1F79-48A2-9BDF-B058D7789E81}"/>
    <cellStyle name="Comma 9 8 3 3" xfId="20293" xr:uid="{47C3DF41-6557-48E8-AFAD-A6BB3F690781}"/>
    <cellStyle name="Comma 9 8 3 4" xfId="35368" xr:uid="{8FA372FF-2944-4342-B463-73256E81D76B}"/>
    <cellStyle name="Comma 9 8 4" xfId="35366" xr:uid="{E624C433-E9F5-4A3A-BDFF-ED8D6C7349EB}"/>
    <cellStyle name="Comma 9 9" xfId="3956" xr:uid="{00000000-0005-0000-0000-0000E90A0000}"/>
    <cellStyle name="Comma 9 9 2" xfId="5621" xr:uid="{00000000-0005-0000-0000-0000EA0A0000}"/>
    <cellStyle name="Comma 9 9 2 2" xfId="23416" xr:uid="{47F0B4A9-FEC0-4AEC-9D14-D29946D82F3E}"/>
    <cellStyle name="Comma 9 9 2 3" xfId="17756" xr:uid="{BB0EDEFA-1036-496A-92B5-E1243C41EFF7}"/>
    <cellStyle name="Comma 9 9 2 4" xfId="29077" xr:uid="{1AA21025-1ECB-4AB2-BC04-3DC21BED6B8F}"/>
    <cellStyle name="Comma 9 9 2 5" xfId="35370" xr:uid="{10C22546-F47A-4F89-B060-64E0C8515756}"/>
    <cellStyle name="Comma 9 9 3" xfId="13719" xr:uid="{00000000-0005-0000-0000-0000EB0A0000}"/>
    <cellStyle name="Comma 9 9 3 2" xfId="25954" xr:uid="{9ADBDB87-2F59-47A4-8B38-4C510DFC0E9F}"/>
    <cellStyle name="Comma 9 9 3 3" xfId="20294" xr:uid="{0B4AF821-97BB-4E9F-9E4E-A3519BAC85A8}"/>
    <cellStyle name="Comma 9 9 3 4" xfId="35371" xr:uid="{12B4207C-5A17-441A-B4F0-E74D068FB327}"/>
    <cellStyle name="Comma 9 9 4" xfId="35369" xr:uid="{F1C1B55E-0FBA-4BE1-94D4-D51E21B2CB36}"/>
    <cellStyle name="Constants" xfId="1531" xr:uid="{00000000-0005-0000-0000-0000EC0A0000}"/>
    <cellStyle name="ContentsHyperlink" xfId="35372" xr:uid="{4E93D91D-8E67-420B-90D3-67457C4D082F}"/>
    <cellStyle name="Currency 2" xfId="1532" xr:uid="{00000000-0005-0000-0000-0000ED0A0000}"/>
    <cellStyle name="Currency 2 2" xfId="3957" xr:uid="{00000000-0005-0000-0000-0000EE0A0000}"/>
    <cellStyle name="Currency 2 3" xfId="9582" xr:uid="{00000000-0005-0000-0000-0000EF0A0000}"/>
    <cellStyle name="CustomCellsOrange" xfId="1533" xr:uid="{00000000-0005-0000-0000-0000F00A0000}"/>
    <cellStyle name="CustomCellsOrange 2" xfId="35373" xr:uid="{DD8BA64F-5600-48C5-92BF-2888892247DA}"/>
    <cellStyle name="CustomCellsOrange 2 2" xfId="35374" xr:uid="{013AD041-4551-43BD-9340-8B0790410B79}"/>
    <cellStyle name="CustomCellsOrange 2 2 2" xfId="35375" xr:uid="{FB26E456-CD05-4296-8033-DE53CD8B3F65}"/>
    <cellStyle name="CustomCellsOrange 2 2 2 2" xfId="35376" xr:uid="{A45D8300-7D54-4FB5-9506-5AC04A7B308E}"/>
    <cellStyle name="CustomCellsOrange 2 2 2 2 2" xfId="35377" xr:uid="{0B7229B5-D75B-45A1-8CD5-BA863B2FCA90}"/>
    <cellStyle name="CustomCellsOrange 2 2 3" xfId="35378" xr:uid="{0168116C-D14A-43BD-B830-6CECD56BCAAA}"/>
    <cellStyle name="CustomCellsOrange 2 2 3 2" xfId="35379" xr:uid="{0F637B6B-3C11-47FE-97DB-AD02E27F9067}"/>
    <cellStyle name="CustomCellsOrange 2 2 4" xfId="35380" xr:uid="{B3B0697F-0C3B-4F4F-821F-598981BDD8DE}"/>
    <cellStyle name="CustomCellsOrange 2 2 4 2" xfId="35381" xr:uid="{79CF9E04-FD32-4343-8E58-7DDC2EC7019D}"/>
    <cellStyle name="CustomCellsOrange 2 2 5" xfId="35382" xr:uid="{DA41266B-9CCF-4C23-9D4F-9B68611C338D}"/>
    <cellStyle name="CustomCellsOrange 2 2 5 2" xfId="35383" xr:uid="{65D0B7E1-3205-4D15-963E-290D508A5C4B}"/>
    <cellStyle name="CustomCellsOrange 3" xfId="35384" xr:uid="{C0B95AEC-14AF-44E0-8BDD-AD06D8B15860}"/>
    <cellStyle name="CustomCellsOrange 3 2" xfId="35385" xr:uid="{FDBABF69-A35E-4F85-B623-D0DA7629346C}"/>
    <cellStyle name="CustomCellsOrange 3 2 2" xfId="35386" xr:uid="{B1108967-C99F-4594-A2A3-7207D0BF97A4}"/>
    <cellStyle name="CustomCellsOrange 3 3" xfId="35387" xr:uid="{75F1236A-8423-4B97-8576-9331C02D398E}"/>
    <cellStyle name="CustomCellsOrange 3 3 2" xfId="35388" xr:uid="{9D31AFB3-C325-4EE5-B6FD-EF077268E253}"/>
    <cellStyle name="CustomCellsOrange 3 4" xfId="35389" xr:uid="{40C92513-B099-427B-92E2-45B4EE68C7F0}"/>
    <cellStyle name="CustomCellsOrange 3 4 2" xfId="35390" xr:uid="{E7C01275-B259-41BB-82C7-B1A01B7F5B2E}"/>
    <cellStyle name="CustomCellsOrange 3 5" xfId="35391" xr:uid="{7C0CAA42-B62A-4D63-BBC8-D603FE86B439}"/>
    <cellStyle name="CustomizationCells" xfId="1534" xr:uid="{00000000-0005-0000-0000-0000F10A0000}"/>
    <cellStyle name="CustomizationCells 2" xfId="35392" xr:uid="{8700B475-A497-441D-B325-DD585BE34757}"/>
    <cellStyle name="CustomizationCells 2 2" xfId="35393" xr:uid="{66D7A811-C426-4229-9BAC-C0BF7178A73B}"/>
    <cellStyle name="CustomizationCells 2 2 2" xfId="35394" xr:uid="{2C6E3952-14A1-4A5A-9300-00E84EA6E35B}"/>
    <cellStyle name="CustomizationCells 2 2 2 2" xfId="35395" xr:uid="{6BBF5985-1F42-4EB7-8DEC-A960D9E4E5CF}"/>
    <cellStyle name="CustomizationCells 2 2 2 2 2" xfId="35396" xr:uid="{CB116B48-09D1-4C44-9B0D-5DABA2733F7B}"/>
    <cellStyle name="CustomizationCells 2 2 3" xfId="35397" xr:uid="{303D38D6-3B49-44AB-B1A3-635A1E386496}"/>
    <cellStyle name="CustomizationCells 2 2 3 2" xfId="35398" xr:uid="{CDFE5797-E3DC-4EAA-A7F5-9A7020D09FC8}"/>
    <cellStyle name="CustomizationCells 2 2 4" xfId="35399" xr:uid="{53BCC480-C588-4F9A-BDA7-1F81387146D6}"/>
    <cellStyle name="CustomizationCells 2 2 4 2" xfId="35400" xr:uid="{AAE9CDA9-4E45-4D92-8A4C-30350DE69526}"/>
    <cellStyle name="CustomizationCells 2 2 5" xfId="35401" xr:uid="{C578A01D-B39E-4FB7-BBFD-4F7437855FD3}"/>
    <cellStyle name="CustomizationCells 2 2 5 2" xfId="35402" xr:uid="{9B39BC32-5B3C-46E2-92B2-4E03B09657CF}"/>
    <cellStyle name="CustomizationCells 3" xfId="35403" xr:uid="{00975A7D-FEE0-41BE-8FF7-A0F0085C2480}"/>
    <cellStyle name="CustomizationCells 3 2" xfId="35404" xr:uid="{3B21EA48-40F4-4966-8856-36AC5C882116}"/>
    <cellStyle name="CustomizationCells 3 2 2" xfId="35405" xr:uid="{1817DBFA-B5F2-47CA-A3DC-798185D9A4FA}"/>
    <cellStyle name="CustomizationCells 3 3" xfId="35406" xr:uid="{215F6BE5-20B1-4912-991B-3412CA2B0D7D}"/>
    <cellStyle name="CustomizationCells 3 3 2" xfId="35407" xr:uid="{47D58B7A-1F0A-4E7E-BB01-703D97C30574}"/>
    <cellStyle name="CustomizationCells 3 4" xfId="35408" xr:uid="{009A4245-4AA0-489E-BD08-F5ADA8B5C5C2}"/>
    <cellStyle name="CustomizationCells 3 4 2" xfId="35409" xr:uid="{AFC2562B-C645-4DCC-8170-215A6736651C}"/>
    <cellStyle name="CustomizationCells 3 5" xfId="35410" xr:uid="{5B6136A1-3AC5-4770-922B-3B27BF19708E}"/>
    <cellStyle name="CustomizationCells 4" xfId="35411" xr:uid="{E4B41A09-E46D-4EFF-AE4E-317DD4F91217}"/>
    <cellStyle name="CustomizationGreenCells" xfId="1535" xr:uid="{00000000-0005-0000-0000-0000F20A0000}"/>
    <cellStyle name="CustomizationGreenCells 2" xfId="35412" xr:uid="{5BF0004C-A543-4180-BECA-37E715144453}"/>
    <cellStyle name="CustomizationGreenCells 3" xfId="35413" xr:uid="{BE84C758-8CCE-4D81-8A10-E58BDD1ADC0C}"/>
    <cellStyle name="CustomizationGreenCells 3 2" xfId="35414" xr:uid="{AF56F734-F431-4A85-AC23-6DE8BF1DF98B}"/>
    <cellStyle name="CustomizationGreenCells 3 2 2" xfId="35415" xr:uid="{606436A9-6F18-4A84-9D1F-FFBAFF583307}"/>
    <cellStyle name="CustomizationGreenCells 3 3" xfId="35416" xr:uid="{71131898-EF65-41F2-8286-73DBD251BB07}"/>
    <cellStyle name="CustomizationGreenCells 3 3 2" xfId="35417" xr:uid="{51412459-09C4-4364-B665-8FA343587151}"/>
    <cellStyle name="CustomizationGreenCells 3 4" xfId="35418" xr:uid="{EA65A488-5CA4-40D3-B36F-477E2302F066}"/>
    <cellStyle name="CustomizationGreenCells 3 4 2" xfId="35419" xr:uid="{1F69FD10-641B-4388-9E5F-8AEEB0AC2EA7}"/>
    <cellStyle name="CustomizationGreenCells 3 5" xfId="35420" xr:uid="{66686996-E1E9-4530-86B4-8660B4C10831}"/>
    <cellStyle name="DocBox_EmptyRow" xfId="1536" xr:uid="{00000000-0005-0000-0000-0000F30A0000}"/>
    <cellStyle name="donn_normal" xfId="267" xr:uid="{00000000-0005-0000-0000-0000F40A0000}"/>
    <cellStyle name="Eingabe" xfId="1537" xr:uid="{00000000-0005-0000-0000-0000F50A0000}"/>
    <cellStyle name="Eingabe 2" xfId="35422" xr:uid="{5E5BE06D-0845-4FC9-B168-706D838DB9FD}"/>
    <cellStyle name="Eingabe 3" xfId="35423" xr:uid="{2DC8A0C9-F35D-4D58-97D7-267979D6D4EE}"/>
    <cellStyle name="Eingabe 3 2" xfId="35424" xr:uid="{D7140F20-ACF8-49D8-BBBA-B19B9BBDB2FA}"/>
    <cellStyle name="Eingabe 3 2 2" xfId="35425" xr:uid="{2F6F68FA-B5A2-4574-A897-BED050CB71A0}"/>
    <cellStyle name="Eingabe 3 3" xfId="35426" xr:uid="{07E974C3-7256-4008-A201-3070BDA8FBA0}"/>
    <cellStyle name="Eingabe 3 3 2" xfId="35427" xr:uid="{CC5F1916-8A7F-46AA-B16B-968C7DA6DA82}"/>
    <cellStyle name="Eingabe 3 4" xfId="35428" xr:uid="{514135A6-A225-43A6-88ED-F207A8E61B89}"/>
    <cellStyle name="Eingabe 3 4 2" xfId="35429" xr:uid="{9178AEAC-FBF5-438E-B5D0-D3F3A586C54D}"/>
    <cellStyle name="Eingabe 3 5" xfId="35430" xr:uid="{5F3BDB8A-6901-4378-9E7F-B63AC892D1CA}"/>
    <cellStyle name="Eingabe 4" xfId="35431" xr:uid="{A2A58AC5-D7C9-467B-BCF5-E17D3F077C2A}"/>
    <cellStyle name="Eingabe 4 2" xfId="35432" xr:uid="{E66ACB50-4A76-4A7B-BFDD-377F98DB9068}"/>
    <cellStyle name="Eingabe 4 2 2" xfId="35433" xr:uid="{01009877-A1DD-43FB-9248-8F477E18A814}"/>
    <cellStyle name="Eingabe 4 3" xfId="35434" xr:uid="{6C897F70-C300-4794-897D-7EF90681B42B}"/>
    <cellStyle name="Eingabe 4 3 2" xfId="35435" xr:uid="{2BEC59D8-7879-4F98-9C31-B8B38407BEEE}"/>
    <cellStyle name="Eingabe 4 4" xfId="35436" xr:uid="{B31BAAC7-AF96-4704-89E2-2E71DB81511B}"/>
    <cellStyle name="Eingabe 4 4 2" xfId="35437" xr:uid="{4040413C-3C23-45D6-81A7-628A40D074CC}"/>
    <cellStyle name="Eingabe 4 5" xfId="35438" xr:uid="{F13B0110-E983-4613-A79B-255AF4F160FA}"/>
    <cellStyle name="Eingabe 5" xfId="35439" xr:uid="{0D524D4B-DEB9-408C-91C4-78E4F8A41C67}"/>
    <cellStyle name="Eingabe 5 2" xfId="35440" xr:uid="{0473F445-B711-45BC-A891-939752579256}"/>
    <cellStyle name="Eingabe 6" xfId="35441" xr:uid="{68733705-B68A-41A3-9B0B-40D896853DBE}"/>
    <cellStyle name="Eingabe 6 2" xfId="35442" xr:uid="{B9C8D6C9-B482-4DAD-A2DE-5E232AC1EC30}"/>
    <cellStyle name="Eingabe 7" xfId="35443" xr:uid="{CEBFFACC-DFA4-4FFF-A24A-57E86F1298C9}"/>
    <cellStyle name="Eingabe 7 2" xfId="35444" xr:uid="{0232C13F-4F6C-4D9F-A31F-EDEA8C47431B}"/>
    <cellStyle name="Eingabe 8" xfId="35445" xr:uid="{319ADCFF-29F9-4D42-8F46-30071ADE3867}"/>
    <cellStyle name="Eingabe 9" xfId="35421" xr:uid="{8A6D312A-8BAE-4600-8B1F-1691355310B8}"/>
    <cellStyle name="Empty_B_border" xfId="1538" xr:uid="{00000000-0005-0000-0000-0000F60A0000}"/>
    <cellStyle name="ent_col_ser" xfId="268" xr:uid="{00000000-0005-0000-0000-0000F70A0000}"/>
    <cellStyle name="entete_source" xfId="269" xr:uid="{00000000-0005-0000-0000-0000F80A0000}"/>
    <cellStyle name="Ergebnis" xfId="1539" xr:uid="{00000000-0005-0000-0000-0000F90A0000}"/>
    <cellStyle name="Ergebnis 2" xfId="35446" xr:uid="{BBB28AA4-EA77-4C1E-8E09-634BFD52CE80}"/>
    <cellStyle name="Ergebnis 2 2" xfId="35447" xr:uid="{D8F5BE3D-D79C-4D48-A9C9-87D3C5E23E42}"/>
    <cellStyle name="Ergebnis 2 2 2" xfId="35448" xr:uid="{B24BF6C9-8887-4BF9-927A-B7D92B6A722E}"/>
    <cellStyle name="Ergebnis 2 3" xfId="35449" xr:uid="{DD391616-788C-4317-A427-65DC829887F2}"/>
    <cellStyle name="Ergebnis 2 3 2" xfId="35450" xr:uid="{8CB7A3C3-583D-4CFB-8FC6-224AECFC3070}"/>
    <cellStyle name="Ergebnis 2 4" xfId="35451" xr:uid="{A7BA6E06-19F4-4785-A47C-6D5A97696AA0}"/>
    <cellStyle name="Ergebnis 2 4 2" xfId="35452" xr:uid="{FE07692B-9B92-43CB-A395-C4DB7228518E}"/>
    <cellStyle name="Ergebnis 2 5" xfId="35453" xr:uid="{60A08D78-E27D-4A9C-B920-5CAC55FE268F}"/>
    <cellStyle name="Ergebnis 3" xfId="35454" xr:uid="{E4D9A30B-89FC-46B9-9E21-FC6D919B48BC}"/>
    <cellStyle name="Ergebnis 3 2" xfId="35455" xr:uid="{38307E62-B2F4-418B-A07D-C0EB0B79094C}"/>
    <cellStyle name="Ergebnis 3 2 2" xfId="35456" xr:uid="{94BCBF41-A91F-41C2-BDF7-933D1119ED4B}"/>
    <cellStyle name="Ergebnis 3 3" xfId="35457" xr:uid="{8E160AFD-F42D-4544-8EB1-385535CF65CB}"/>
    <cellStyle name="Ergebnis 3 3 2" xfId="35458" xr:uid="{16989382-00AB-41EC-844C-113C5EFE65F8}"/>
    <cellStyle name="Ergebnis 3 4" xfId="35459" xr:uid="{56DE6CB2-2FDA-4085-8B8E-9AA58E47D8F4}"/>
    <cellStyle name="Ergebnis 3 4 2" xfId="35460" xr:uid="{D67EE675-2352-4C6C-8B78-EFCCB223FAE4}"/>
    <cellStyle name="Ergebnis 3 5" xfId="35461" xr:uid="{0BA481A3-D2A0-436E-A207-928FE1559CAE}"/>
    <cellStyle name="Ergebnis 4" xfId="35462" xr:uid="{C0765B64-FB57-4F4C-98BF-C5B700CE551C}"/>
    <cellStyle name="Ergebnis 4 2" xfId="35463" xr:uid="{E08BC980-898E-48A1-80B8-B49642E9EF98}"/>
    <cellStyle name="Ergebnis 5" xfId="35464" xr:uid="{082241BD-30AA-4101-A851-A2BAE4073E85}"/>
    <cellStyle name="Ergebnis 5 2" xfId="35465" xr:uid="{9DD5450B-5802-423A-B461-E2AB27F85666}"/>
    <cellStyle name="Ergebnis 6" xfId="35466" xr:uid="{3912533B-5B74-425B-8F21-5AD97C7AC162}"/>
    <cellStyle name="Ergebnis 6 2" xfId="35467" xr:uid="{7C4B8DAA-3BD1-4FA1-911B-44F19C132FE2}"/>
    <cellStyle name="Ergebnis 7" xfId="35468" xr:uid="{BBA2293E-27B9-47AE-8FAD-47437C798057}"/>
    <cellStyle name="Erklärender Text" xfId="1540" xr:uid="{00000000-0005-0000-0000-0000FA0A0000}"/>
    <cellStyle name="Erklärender Text 2" xfId="35469" xr:uid="{DB2215C9-2D36-4A66-A272-76FE8538D16D}"/>
    <cellStyle name="Erklärender Text 3" xfId="35470" xr:uid="{795961A5-B7FF-455A-A22C-79600E89C05F}"/>
    <cellStyle name="Estilo 1" xfId="1541" xr:uid="{00000000-0005-0000-0000-0000FB0A0000}"/>
    <cellStyle name="Euro" xfId="90" xr:uid="{00000000-0005-0000-0000-0000FC0A0000}"/>
    <cellStyle name="Euro 10" xfId="1543" xr:uid="{00000000-0005-0000-0000-0000FD0A0000}"/>
    <cellStyle name="Euro 10 2" xfId="1544" xr:uid="{00000000-0005-0000-0000-0000FE0A0000}"/>
    <cellStyle name="Euro 11" xfId="1545" xr:uid="{00000000-0005-0000-0000-0000FF0A0000}"/>
    <cellStyle name="Euro 11 2" xfId="1546" xr:uid="{00000000-0005-0000-0000-0000000B0000}"/>
    <cellStyle name="Euro 12" xfId="1547" xr:uid="{00000000-0005-0000-0000-0000010B0000}"/>
    <cellStyle name="Euro 13" xfId="1548" xr:uid="{00000000-0005-0000-0000-0000020B0000}"/>
    <cellStyle name="Euro 14" xfId="1549" xr:uid="{00000000-0005-0000-0000-0000030B0000}"/>
    <cellStyle name="Euro 15" xfId="1550" xr:uid="{00000000-0005-0000-0000-0000040B0000}"/>
    <cellStyle name="Euro 16" xfId="1551" xr:uid="{00000000-0005-0000-0000-0000050B0000}"/>
    <cellStyle name="Euro 17" xfId="1552" xr:uid="{00000000-0005-0000-0000-0000060B0000}"/>
    <cellStyle name="Euro 18" xfId="1553" xr:uid="{00000000-0005-0000-0000-0000070B0000}"/>
    <cellStyle name="Euro 19" xfId="1554" xr:uid="{00000000-0005-0000-0000-0000080B0000}"/>
    <cellStyle name="Euro 2" xfId="91" xr:uid="{00000000-0005-0000-0000-0000090B0000}"/>
    <cellStyle name="Euro 2 2" xfId="92" xr:uid="{00000000-0005-0000-0000-00000A0B0000}"/>
    <cellStyle name="Euro 2 2 2" xfId="93" xr:uid="{00000000-0005-0000-0000-00000B0B0000}"/>
    <cellStyle name="Euro 2 2 2 2" xfId="9583" xr:uid="{00000000-0005-0000-0000-00000C0B0000}"/>
    <cellStyle name="Euro 2 2 3" xfId="94" xr:uid="{00000000-0005-0000-0000-00000D0B0000}"/>
    <cellStyle name="Euro 2 2 4" xfId="298" xr:uid="{00000000-0005-0000-0000-00000E0B0000}"/>
    <cellStyle name="Euro 2 2 4 2" xfId="1557" xr:uid="{00000000-0005-0000-0000-00000F0B0000}"/>
    <cellStyle name="Euro 2 2 4 3" xfId="4816" xr:uid="{00000000-0005-0000-0000-0000100B0000}"/>
    <cellStyle name="Euro 2 2 5" xfId="1558" xr:uid="{00000000-0005-0000-0000-0000110B0000}"/>
    <cellStyle name="Euro 2 2 6" xfId="1556" xr:uid="{00000000-0005-0000-0000-0000120B0000}"/>
    <cellStyle name="Euro 2 3" xfId="1559" xr:uid="{00000000-0005-0000-0000-0000130B0000}"/>
    <cellStyle name="Euro 2 3 2" xfId="9584" xr:uid="{00000000-0005-0000-0000-0000140B0000}"/>
    <cellStyle name="Euro 2 4" xfId="1560" xr:uid="{00000000-0005-0000-0000-0000150B0000}"/>
    <cellStyle name="Euro 2 4 2" xfId="9585" xr:uid="{00000000-0005-0000-0000-0000160B0000}"/>
    <cellStyle name="Euro 2 4 3" xfId="9586" xr:uid="{00000000-0005-0000-0000-0000170B0000}"/>
    <cellStyle name="Euro 2 4 4" xfId="9587" xr:uid="{00000000-0005-0000-0000-0000180B0000}"/>
    <cellStyle name="Euro 2 4 5" xfId="35473" xr:uid="{7AD0DD16-58DA-4005-8E17-B7707CB8232E}"/>
    <cellStyle name="Euro 2 4 6" xfId="35472" xr:uid="{EE08C056-049B-419C-8773-1903DF144BA6}"/>
    <cellStyle name="Euro 2 5" xfId="1561" xr:uid="{00000000-0005-0000-0000-0000190B0000}"/>
    <cellStyle name="Euro 2 6" xfId="1562" xr:uid="{00000000-0005-0000-0000-00001A0B0000}"/>
    <cellStyle name="Euro 2 7" xfId="1555" xr:uid="{00000000-0005-0000-0000-00001B0B0000}"/>
    <cellStyle name="Euro 2 8" xfId="5771" xr:uid="{00000000-0005-0000-0000-00001C0B0000}"/>
    <cellStyle name="Euro 20" xfId="1563" xr:uid="{00000000-0005-0000-0000-00001D0B0000}"/>
    <cellStyle name="Euro 21" xfId="1564" xr:uid="{00000000-0005-0000-0000-00001E0B0000}"/>
    <cellStyle name="Euro 22" xfId="1565" xr:uid="{00000000-0005-0000-0000-00001F0B0000}"/>
    <cellStyle name="Euro 23" xfId="1566" xr:uid="{00000000-0005-0000-0000-0000200B0000}"/>
    <cellStyle name="Euro 24" xfId="1567" xr:uid="{00000000-0005-0000-0000-0000210B0000}"/>
    <cellStyle name="Euro 25" xfId="1568" xr:uid="{00000000-0005-0000-0000-0000220B0000}"/>
    <cellStyle name="Euro 26" xfId="1569" xr:uid="{00000000-0005-0000-0000-0000230B0000}"/>
    <cellStyle name="Euro 27" xfId="1570" xr:uid="{00000000-0005-0000-0000-0000240B0000}"/>
    <cellStyle name="Euro 28" xfId="1571" xr:uid="{00000000-0005-0000-0000-0000250B0000}"/>
    <cellStyle name="Euro 29" xfId="1572" xr:uid="{00000000-0005-0000-0000-0000260B0000}"/>
    <cellStyle name="Euro 3" xfId="95" xr:uid="{00000000-0005-0000-0000-0000270B0000}"/>
    <cellStyle name="Euro 3 10" xfId="5772" xr:uid="{00000000-0005-0000-0000-0000280B0000}"/>
    <cellStyle name="Euro 3 11" xfId="35474" xr:uid="{4F21B8E6-DA91-4A92-B0BF-B5DED6AF19E8}"/>
    <cellStyle name="Euro 3 2" xfId="96" xr:uid="{00000000-0005-0000-0000-0000290B0000}"/>
    <cellStyle name="Euro 3 2 2" xfId="1574" xr:uid="{00000000-0005-0000-0000-00002A0B0000}"/>
    <cellStyle name="Euro 3 2 2 2" xfId="9588" xr:uid="{00000000-0005-0000-0000-00002B0B0000}"/>
    <cellStyle name="Euro 3 2 3" xfId="35475" xr:uid="{A54F0A95-E897-47BA-A03A-997FEEBDAAC6}"/>
    <cellStyle name="Euro 3 3" xfId="97" xr:uid="{00000000-0005-0000-0000-00002C0B0000}"/>
    <cellStyle name="Euro 3 3 2" xfId="98" xr:uid="{00000000-0005-0000-0000-00002D0B0000}"/>
    <cellStyle name="Euro 3 3 3" xfId="99" xr:uid="{00000000-0005-0000-0000-00002E0B0000}"/>
    <cellStyle name="Euro 3 3 4" xfId="299" xr:uid="{00000000-0005-0000-0000-00002F0B0000}"/>
    <cellStyle name="Euro 3 3 4 2" xfId="1575" xr:uid="{00000000-0005-0000-0000-0000300B0000}"/>
    <cellStyle name="Euro 3 3 5" xfId="9589" xr:uid="{00000000-0005-0000-0000-0000310B0000}"/>
    <cellStyle name="Euro 3 3 6" xfId="35477" xr:uid="{C8DF96CE-E046-482E-A43B-297175A03613}"/>
    <cellStyle name="Euro 3 3 7" xfId="35476" xr:uid="{5D834354-5C67-42C1-81F3-20B8C1E3FAC5}"/>
    <cellStyle name="Euro 3 4" xfId="100" xr:uid="{00000000-0005-0000-0000-0000320B0000}"/>
    <cellStyle name="Euro 3 4 2" xfId="9590" xr:uid="{00000000-0005-0000-0000-0000330B0000}"/>
    <cellStyle name="Euro 3 5" xfId="1576" xr:uid="{00000000-0005-0000-0000-0000340B0000}"/>
    <cellStyle name="Euro 3 6" xfId="1577" xr:uid="{00000000-0005-0000-0000-0000350B0000}"/>
    <cellStyle name="Euro 3 7" xfId="1578" xr:uid="{00000000-0005-0000-0000-0000360B0000}"/>
    <cellStyle name="Euro 3 8" xfId="1573" xr:uid="{00000000-0005-0000-0000-0000370B0000}"/>
    <cellStyle name="Euro 3 9" xfId="3958" xr:uid="{00000000-0005-0000-0000-0000380B0000}"/>
    <cellStyle name="Euro 3_PrimaryEnergyPrices_TIMES" xfId="1579" xr:uid="{00000000-0005-0000-0000-0000390B0000}"/>
    <cellStyle name="Euro 30" xfId="1580" xr:uid="{00000000-0005-0000-0000-00003A0B0000}"/>
    <cellStyle name="Euro 31" xfId="1581" xr:uid="{00000000-0005-0000-0000-00003B0B0000}"/>
    <cellStyle name="Euro 32" xfId="1582" xr:uid="{00000000-0005-0000-0000-00003C0B0000}"/>
    <cellStyle name="Euro 33" xfId="1583" xr:uid="{00000000-0005-0000-0000-00003D0B0000}"/>
    <cellStyle name="Euro 34" xfId="1584" xr:uid="{00000000-0005-0000-0000-00003E0B0000}"/>
    <cellStyle name="Euro 35" xfId="1585" xr:uid="{00000000-0005-0000-0000-00003F0B0000}"/>
    <cellStyle name="Euro 36" xfId="1586" xr:uid="{00000000-0005-0000-0000-0000400B0000}"/>
    <cellStyle name="Euro 37" xfId="1587" xr:uid="{00000000-0005-0000-0000-0000410B0000}"/>
    <cellStyle name="Euro 38" xfId="1588" xr:uid="{00000000-0005-0000-0000-0000420B0000}"/>
    <cellStyle name="Euro 39" xfId="1589" xr:uid="{00000000-0005-0000-0000-0000430B0000}"/>
    <cellStyle name="Euro 4" xfId="101" xr:uid="{00000000-0005-0000-0000-0000440B0000}"/>
    <cellStyle name="Euro 4 2" xfId="102" xr:uid="{00000000-0005-0000-0000-0000450B0000}"/>
    <cellStyle name="Euro 4 2 2" xfId="1590" xr:uid="{00000000-0005-0000-0000-0000460B0000}"/>
    <cellStyle name="Euro 4 2 2 2" xfId="9591" xr:uid="{00000000-0005-0000-0000-0000470B0000}"/>
    <cellStyle name="Euro 4 2 3" xfId="35478" xr:uid="{1B1209C0-3BC4-4731-A381-81915D9EF010}"/>
    <cellStyle name="Euro 4 3" xfId="103" xr:uid="{00000000-0005-0000-0000-0000480B0000}"/>
    <cellStyle name="Euro 4 3 2" xfId="104" xr:uid="{00000000-0005-0000-0000-0000490B0000}"/>
    <cellStyle name="Euro 4 3 3" xfId="105" xr:uid="{00000000-0005-0000-0000-00004A0B0000}"/>
    <cellStyle name="Euro 4 3 4" xfId="300" xr:uid="{00000000-0005-0000-0000-00004B0B0000}"/>
    <cellStyle name="Euro 4 3 4 2" xfId="1591" xr:uid="{00000000-0005-0000-0000-00004C0B0000}"/>
    <cellStyle name="Euro 4 3 5" xfId="9592" xr:uid="{00000000-0005-0000-0000-00004D0B0000}"/>
    <cellStyle name="Euro 4 3 6" xfId="35479" xr:uid="{9A03F656-1799-4E6D-BEEE-46EB9F53C67E}"/>
    <cellStyle name="Euro 4 4" xfId="106" xr:uid="{00000000-0005-0000-0000-00004E0B0000}"/>
    <cellStyle name="Euro 4 4 2" xfId="3959" xr:uid="{00000000-0005-0000-0000-00004F0B0000}"/>
    <cellStyle name="Euro 4 4 3" xfId="7719" xr:uid="{00000000-0005-0000-0000-0000500B0000}"/>
    <cellStyle name="Euro 4 4 4" xfId="9593" xr:uid="{00000000-0005-0000-0000-0000510B0000}"/>
    <cellStyle name="Euro 4 5" xfId="1592" xr:uid="{00000000-0005-0000-0000-0000520B0000}"/>
    <cellStyle name="Euro 40" xfId="1593" xr:uid="{00000000-0005-0000-0000-0000530B0000}"/>
    <cellStyle name="Euro 41" xfId="1594" xr:uid="{00000000-0005-0000-0000-0000540B0000}"/>
    <cellStyle name="Euro 42" xfId="1595" xr:uid="{00000000-0005-0000-0000-0000550B0000}"/>
    <cellStyle name="Euro 43" xfId="1596" xr:uid="{00000000-0005-0000-0000-0000560B0000}"/>
    <cellStyle name="Euro 44" xfId="1597" xr:uid="{00000000-0005-0000-0000-0000570B0000}"/>
    <cellStyle name="Euro 45" xfId="1598" xr:uid="{00000000-0005-0000-0000-0000580B0000}"/>
    <cellStyle name="Euro 46" xfId="1599" xr:uid="{00000000-0005-0000-0000-0000590B0000}"/>
    <cellStyle name="Euro 47" xfId="1600" xr:uid="{00000000-0005-0000-0000-00005A0B0000}"/>
    <cellStyle name="Euro 48" xfId="1601" xr:uid="{00000000-0005-0000-0000-00005B0B0000}"/>
    <cellStyle name="Euro 48 2" xfId="1602" xr:uid="{00000000-0005-0000-0000-00005C0B0000}"/>
    <cellStyle name="Euro 49" xfId="1603" xr:uid="{00000000-0005-0000-0000-00005D0B0000}"/>
    <cellStyle name="Euro 49 2" xfId="1604" xr:uid="{00000000-0005-0000-0000-00005E0B0000}"/>
    <cellStyle name="Euro 5" xfId="107" xr:uid="{00000000-0005-0000-0000-00005F0B0000}"/>
    <cellStyle name="Euro 5 2" xfId="108" xr:uid="{00000000-0005-0000-0000-0000600B0000}"/>
    <cellStyle name="Euro 5 2 2" xfId="9594" xr:uid="{00000000-0005-0000-0000-0000610B0000}"/>
    <cellStyle name="Euro 5 3" xfId="109" xr:uid="{00000000-0005-0000-0000-0000620B0000}"/>
    <cellStyle name="Euro 5 3 2" xfId="9595" xr:uid="{00000000-0005-0000-0000-0000630B0000}"/>
    <cellStyle name="Euro 5 4" xfId="301" xr:uid="{00000000-0005-0000-0000-0000640B0000}"/>
    <cellStyle name="Euro 5 4 2" xfId="1605" xr:uid="{00000000-0005-0000-0000-0000650B0000}"/>
    <cellStyle name="Euro 50" xfId="1606" xr:uid="{00000000-0005-0000-0000-0000660B0000}"/>
    <cellStyle name="Euro 50 2" xfId="1607" xr:uid="{00000000-0005-0000-0000-0000670B0000}"/>
    <cellStyle name="Euro 51" xfId="1608" xr:uid="{00000000-0005-0000-0000-0000680B0000}"/>
    <cellStyle name="Euro 51 2" xfId="1609" xr:uid="{00000000-0005-0000-0000-0000690B0000}"/>
    <cellStyle name="Euro 52" xfId="1610" xr:uid="{00000000-0005-0000-0000-00006A0B0000}"/>
    <cellStyle name="Euro 52 2" xfId="1611" xr:uid="{00000000-0005-0000-0000-00006B0B0000}"/>
    <cellStyle name="Euro 53" xfId="1612" xr:uid="{00000000-0005-0000-0000-00006C0B0000}"/>
    <cellStyle name="Euro 53 2" xfId="1613" xr:uid="{00000000-0005-0000-0000-00006D0B0000}"/>
    <cellStyle name="Euro 54" xfId="1614" xr:uid="{00000000-0005-0000-0000-00006E0B0000}"/>
    <cellStyle name="Euro 54 2" xfId="1615" xr:uid="{00000000-0005-0000-0000-00006F0B0000}"/>
    <cellStyle name="Euro 55" xfId="1616" xr:uid="{00000000-0005-0000-0000-0000700B0000}"/>
    <cellStyle name="Euro 55 2" xfId="1617" xr:uid="{00000000-0005-0000-0000-0000710B0000}"/>
    <cellStyle name="Euro 56" xfId="1618" xr:uid="{00000000-0005-0000-0000-0000720B0000}"/>
    <cellStyle name="Euro 56 2" xfId="1619" xr:uid="{00000000-0005-0000-0000-0000730B0000}"/>
    <cellStyle name="Euro 57" xfId="1620" xr:uid="{00000000-0005-0000-0000-0000740B0000}"/>
    <cellStyle name="Euro 58" xfId="1621" xr:uid="{00000000-0005-0000-0000-0000750B0000}"/>
    <cellStyle name="Euro 58 2" xfId="9597" xr:uid="{00000000-0005-0000-0000-0000760B0000}"/>
    <cellStyle name="Euro 58 3" xfId="9598" xr:uid="{00000000-0005-0000-0000-0000770B0000}"/>
    <cellStyle name="Euro 58 4" xfId="9599" xr:uid="{00000000-0005-0000-0000-0000780B0000}"/>
    <cellStyle name="Euro 58 5" xfId="9596" xr:uid="{00000000-0005-0000-0000-0000790B0000}"/>
    <cellStyle name="Euro 58 6" xfId="49765" xr:uid="{15B27B7E-0E92-46E8-BFAA-B5C57D59F846}"/>
    <cellStyle name="Euro 59" xfId="1622" xr:uid="{00000000-0005-0000-0000-00007A0B0000}"/>
    <cellStyle name="Euro 6" xfId="110" xr:uid="{00000000-0005-0000-0000-00007B0B0000}"/>
    <cellStyle name="Euro 6 2" xfId="1623" xr:uid="{00000000-0005-0000-0000-00007C0B0000}"/>
    <cellStyle name="Euro 6 2 2" xfId="9600" xr:uid="{00000000-0005-0000-0000-00007D0B0000}"/>
    <cellStyle name="Euro 6 2 3" xfId="12204" xr:uid="{00000000-0005-0000-0000-00007E0B0000}"/>
    <cellStyle name="Euro 6 3" xfId="1624" xr:uid="{00000000-0005-0000-0000-00007F0B0000}"/>
    <cellStyle name="Euro 6 3 2" xfId="9601" xr:uid="{00000000-0005-0000-0000-0000800B0000}"/>
    <cellStyle name="Euro 6 4" xfId="3960" xr:uid="{00000000-0005-0000-0000-0000810B0000}"/>
    <cellStyle name="Euro 6 5" xfId="7720" xr:uid="{00000000-0005-0000-0000-0000820B0000}"/>
    <cellStyle name="Euro 6 6" xfId="35480" xr:uid="{900B160F-6EA0-453C-9157-6B95D3A06520}"/>
    <cellStyle name="Euro 60" xfId="1542" xr:uid="{00000000-0005-0000-0000-0000830B0000}"/>
    <cellStyle name="Euro 61" xfId="5622" xr:uid="{00000000-0005-0000-0000-0000840B0000}"/>
    <cellStyle name="Euro 61 2" xfId="14345" xr:uid="{00000000-0005-0000-0000-0000850B0000}"/>
    <cellStyle name="Euro 61 3" xfId="12203" xr:uid="{00000000-0005-0000-0000-0000860B0000}"/>
    <cellStyle name="Euro 62" xfId="6432" xr:uid="{00000000-0005-0000-0000-0000870B0000}"/>
    <cellStyle name="Euro 62 2" xfId="14867" xr:uid="{00000000-0005-0000-0000-0000880B0000}"/>
    <cellStyle name="Euro 63" xfId="35471" xr:uid="{F35B6662-E296-4364-A503-3AEF8D9770D4}"/>
    <cellStyle name="Euro 64" xfId="49764" xr:uid="{749FBFEE-9893-45E0-9AA1-692720BD6479}"/>
    <cellStyle name="Euro 7" xfId="1625" xr:uid="{00000000-0005-0000-0000-0000890B0000}"/>
    <cellStyle name="Euro 7 2" xfId="1626" xr:uid="{00000000-0005-0000-0000-00008A0B0000}"/>
    <cellStyle name="Euro 7 3" xfId="1627" xr:uid="{00000000-0005-0000-0000-00008B0B0000}"/>
    <cellStyle name="Euro 7 3 2" xfId="9602" xr:uid="{00000000-0005-0000-0000-00008C0B0000}"/>
    <cellStyle name="Euro 7 4" xfId="35481" xr:uid="{3F5796AD-1F91-47AE-8EF9-F3E3E8C0A295}"/>
    <cellStyle name="Euro 8" xfId="1628" xr:uid="{00000000-0005-0000-0000-00008D0B0000}"/>
    <cellStyle name="Euro 8 2" xfId="1629" xr:uid="{00000000-0005-0000-0000-00008E0B0000}"/>
    <cellStyle name="Euro 9" xfId="1630" xr:uid="{00000000-0005-0000-0000-00008F0B0000}"/>
    <cellStyle name="Euro 9 2" xfId="1631" xr:uid="{00000000-0005-0000-0000-0000900B0000}"/>
    <cellStyle name="Euro_Potentials in TIMES" xfId="1632" xr:uid="{00000000-0005-0000-0000-0000910B0000}"/>
    <cellStyle name="Explanatory Text 10" xfId="1633" xr:uid="{00000000-0005-0000-0000-0000920B0000}"/>
    <cellStyle name="Explanatory Text 11" xfId="1634" xr:uid="{00000000-0005-0000-0000-0000930B0000}"/>
    <cellStyle name="Explanatory Text 12" xfId="1635" xr:uid="{00000000-0005-0000-0000-0000940B0000}"/>
    <cellStyle name="Explanatory Text 13" xfId="1636" xr:uid="{00000000-0005-0000-0000-0000950B0000}"/>
    <cellStyle name="Explanatory Text 14" xfId="1637" xr:uid="{00000000-0005-0000-0000-0000960B0000}"/>
    <cellStyle name="Explanatory Text 15" xfId="1638" xr:uid="{00000000-0005-0000-0000-0000970B0000}"/>
    <cellStyle name="Explanatory Text 16" xfId="1639" xr:uid="{00000000-0005-0000-0000-0000980B0000}"/>
    <cellStyle name="Explanatory Text 17" xfId="1640" xr:uid="{00000000-0005-0000-0000-0000990B0000}"/>
    <cellStyle name="Explanatory Text 18" xfId="1641" xr:uid="{00000000-0005-0000-0000-00009A0B0000}"/>
    <cellStyle name="Explanatory Text 19" xfId="1642" xr:uid="{00000000-0005-0000-0000-00009B0B0000}"/>
    <cellStyle name="Explanatory Text 2" xfId="111" xr:uid="{00000000-0005-0000-0000-00009C0B0000}"/>
    <cellStyle name="Explanatory Text 2 10" xfId="3961" xr:uid="{00000000-0005-0000-0000-00009D0B0000}"/>
    <cellStyle name="Explanatory Text 2 11" xfId="35482" xr:uid="{02E009DD-6532-48EC-96DA-7044E7853CB9}"/>
    <cellStyle name="Explanatory Text 2 2" xfId="3962" xr:uid="{00000000-0005-0000-0000-00009E0B0000}"/>
    <cellStyle name="Explanatory Text 2 3" xfId="3963" xr:uid="{00000000-0005-0000-0000-00009F0B0000}"/>
    <cellStyle name="Explanatory Text 2 4" xfId="3964" xr:uid="{00000000-0005-0000-0000-0000A00B0000}"/>
    <cellStyle name="Explanatory Text 2 5" xfId="3965" xr:uid="{00000000-0005-0000-0000-0000A10B0000}"/>
    <cellStyle name="Explanatory Text 2 6" xfId="3966" xr:uid="{00000000-0005-0000-0000-0000A20B0000}"/>
    <cellStyle name="Explanatory Text 2 7" xfId="3967" xr:uid="{00000000-0005-0000-0000-0000A30B0000}"/>
    <cellStyle name="Explanatory Text 2 8" xfId="3968" xr:uid="{00000000-0005-0000-0000-0000A40B0000}"/>
    <cellStyle name="Explanatory Text 2 9" xfId="3969" xr:uid="{00000000-0005-0000-0000-0000A50B0000}"/>
    <cellStyle name="Explanatory Text 20" xfId="1643" xr:uid="{00000000-0005-0000-0000-0000A60B0000}"/>
    <cellStyle name="Explanatory Text 21" xfId="1644" xr:uid="{00000000-0005-0000-0000-0000A70B0000}"/>
    <cellStyle name="Explanatory Text 22" xfId="1645" xr:uid="{00000000-0005-0000-0000-0000A80B0000}"/>
    <cellStyle name="Explanatory Text 23" xfId="1646" xr:uid="{00000000-0005-0000-0000-0000A90B0000}"/>
    <cellStyle name="Explanatory Text 24" xfId="1647" xr:uid="{00000000-0005-0000-0000-0000AA0B0000}"/>
    <cellStyle name="Explanatory Text 25" xfId="1648" xr:uid="{00000000-0005-0000-0000-0000AB0B0000}"/>
    <cellStyle name="Explanatory Text 26" xfId="1649" xr:uid="{00000000-0005-0000-0000-0000AC0B0000}"/>
    <cellStyle name="Explanatory Text 27" xfId="1650" xr:uid="{00000000-0005-0000-0000-0000AD0B0000}"/>
    <cellStyle name="Explanatory Text 28" xfId="1651" xr:uid="{00000000-0005-0000-0000-0000AE0B0000}"/>
    <cellStyle name="Explanatory Text 29" xfId="1652" xr:uid="{00000000-0005-0000-0000-0000AF0B0000}"/>
    <cellStyle name="Explanatory Text 3" xfId="112" xr:uid="{00000000-0005-0000-0000-0000B00B0000}"/>
    <cellStyle name="Explanatory Text 3 2" xfId="1653" xr:uid="{00000000-0005-0000-0000-0000B10B0000}"/>
    <cellStyle name="Explanatory Text 3 3" xfId="35483" xr:uid="{83C5E5ED-3A99-4B75-ABBB-34C3249E6709}"/>
    <cellStyle name="Explanatory Text 30" xfId="1654" xr:uid="{00000000-0005-0000-0000-0000B20B0000}"/>
    <cellStyle name="Explanatory Text 31" xfId="1655" xr:uid="{00000000-0005-0000-0000-0000B30B0000}"/>
    <cellStyle name="Explanatory Text 32" xfId="1656" xr:uid="{00000000-0005-0000-0000-0000B40B0000}"/>
    <cellStyle name="Explanatory Text 33" xfId="1657" xr:uid="{00000000-0005-0000-0000-0000B50B0000}"/>
    <cellStyle name="Explanatory Text 34" xfId="1658" xr:uid="{00000000-0005-0000-0000-0000B60B0000}"/>
    <cellStyle name="Explanatory Text 35" xfId="1659" xr:uid="{00000000-0005-0000-0000-0000B70B0000}"/>
    <cellStyle name="Explanatory Text 36" xfId="1660" xr:uid="{00000000-0005-0000-0000-0000B80B0000}"/>
    <cellStyle name="Explanatory Text 37" xfId="1661" xr:uid="{00000000-0005-0000-0000-0000B90B0000}"/>
    <cellStyle name="Explanatory Text 38" xfId="1662" xr:uid="{00000000-0005-0000-0000-0000BA0B0000}"/>
    <cellStyle name="Explanatory Text 39" xfId="1663" xr:uid="{00000000-0005-0000-0000-0000BB0B0000}"/>
    <cellStyle name="Explanatory Text 4" xfId="1664" xr:uid="{00000000-0005-0000-0000-0000BC0B0000}"/>
    <cellStyle name="Explanatory Text 4 2" xfId="9603" xr:uid="{00000000-0005-0000-0000-0000BD0B0000}"/>
    <cellStyle name="Explanatory Text 40" xfId="1665" xr:uid="{00000000-0005-0000-0000-0000BE0B0000}"/>
    <cellStyle name="Explanatory Text 41" xfId="1666" xr:uid="{00000000-0005-0000-0000-0000BF0B0000}"/>
    <cellStyle name="Explanatory Text 42" xfId="1667" xr:uid="{00000000-0005-0000-0000-0000C00B0000}"/>
    <cellStyle name="Explanatory Text 43" xfId="1668" xr:uid="{00000000-0005-0000-0000-0000C10B0000}"/>
    <cellStyle name="Explanatory Text 5" xfId="1669" xr:uid="{00000000-0005-0000-0000-0000C20B0000}"/>
    <cellStyle name="Explanatory Text 5 2" xfId="9604" xr:uid="{00000000-0005-0000-0000-0000C30B0000}"/>
    <cellStyle name="Explanatory Text 6" xfId="1670" xr:uid="{00000000-0005-0000-0000-0000C40B0000}"/>
    <cellStyle name="Explanatory Text 6 2" xfId="9605" xr:uid="{00000000-0005-0000-0000-0000C50B0000}"/>
    <cellStyle name="Explanatory Text 7" xfId="1671" xr:uid="{00000000-0005-0000-0000-0000C60B0000}"/>
    <cellStyle name="Explanatory Text 8" xfId="1672" xr:uid="{00000000-0005-0000-0000-0000C70B0000}"/>
    <cellStyle name="Explanatory Text 9" xfId="1673" xr:uid="{00000000-0005-0000-0000-0000C80B0000}"/>
    <cellStyle name="Float" xfId="113" xr:uid="{00000000-0005-0000-0000-0000C90B0000}"/>
    <cellStyle name="Float 2" xfId="114" xr:uid="{00000000-0005-0000-0000-0000CA0B0000}"/>
    <cellStyle name="Float 2 2" xfId="3970" xr:uid="{00000000-0005-0000-0000-0000CB0B0000}"/>
    <cellStyle name="Float 3" xfId="1675" xr:uid="{00000000-0005-0000-0000-0000CC0B0000}"/>
    <cellStyle name="Float 3 2" xfId="3971" xr:uid="{00000000-0005-0000-0000-0000CD0B0000}"/>
    <cellStyle name="Float 3 3" xfId="7721" xr:uid="{00000000-0005-0000-0000-0000CE0B0000}"/>
    <cellStyle name="Float 4" xfId="1674" xr:uid="{00000000-0005-0000-0000-0000CF0B0000}"/>
    <cellStyle name="Good 10" xfId="1676" xr:uid="{00000000-0005-0000-0000-0000D00B0000}"/>
    <cellStyle name="Good 11" xfId="1677" xr:uid="{00000000-0005-0000-0000-0000D10B0000}"/>
    <cellStyle name="Good 12" xfId="1678" xr:uid="{00000000-0005-0000-0000-0000D20B0000}"/>
    <cellStyle name="Good 13" xfId="1679" xr:uid="{00000000-0005-0000-0000-0000D30B0000}"/>
    <cellStyle name="Good 14" xfId="1680" xr:uid="{00000000-0005-0000-0000-0000D40B0000}"/>
    <cellStyle name="Good 15" xfId="1681" xr:uid="{00000000-0005-0000-0000-0000D50B0000}"/>
    <cellStyle name="Good 16" xfId="1682" xr:uid="{00000000-0005-0000-0000-0000D60B0000}"/>
    <cellStyle name="Good 17" xfId="1683" xr:uid="{00000000-0005-0000-0000-0000D70B0000}"/>
    <cellStyle name="Good 18" xfId="1684" xr:uid="{00000000-0005-0000-0000-0000D80B0000}"/>
    <cellStyle name="Good 19" xfId="1685" xr:uid="{00000000-0005-0000-0000-0000D90B0000}"/>
    <cellStyle name="Good 2" xfId="115" xr:uid="{00000000-0005-0000-0000-0000DA0B0000}"/>
    <cellStyle name="Good 2 10" xfId="3972" xr:uid="{00000000-0005-0000-0000-0000DB0B0000}"/>
    <cellStyle name="Good 2 11" xfId="9606" xr:uid="{00000000-0005-0000-0000-0000DC0B0000}"/>
    <cellStyle name="Good 2 12" xfId="9607" xr:uid="{00000000-0005-0000-0000-0000DD0B0000}"/>
    <cellStyle name="Good 2 13" xfId="35484" xr:uid="{3F3F3A11-FE7C-4762-8078-774F2C75F002}"/>
    <cellStyle name="Good 2 2" xfId="1686" xr:uid="{00000000-0005-0000-0000-0000DE0B0000}"/>
    <cellStyle name="Good 2 2 2" xfId="3973" xr:uid="{00000000-0005-0000-0000-0000DF0B0000}"/>
    <cellStyle name="Good 2 2 2 2" xfId="9608" xr:uid="{00000000-0005-0000-0000-0000E00B0000}"/>
    <cellStyle name="Good 2 2 3" xfId="5962" xr:uid="{00000000-0005-0000-0000-0000E10B0000}"/>
    <cellStyle name="Good 2 3" xfId="1687" xr:uid="{00000000-0005-0000-0000-0000E20B0000}"/>
    <cellStyle name="Good 2 3 2" xfId="3974" xr:uid="{00000000-0005-0000-0000-0000E30B0000}"/>
    <cellStyle name="Good 2 3 3" xfId="5963" xr:uid="{00000000-0005-0000-0000-0000E40B0000}"/>
    <cellStyle name="Good 2 4" xfId="3975" xr:uid="{00000000-0005-0000-0000-0000E50B0000}"/>
    <cellStyle name="Good 2 5" xfId="3976" xr:uid="{00000000-0005-0000-0000-0000E60B0000}"/>
    <cellStyle name="Good 2 6" xfId="3977" xr:uid="{00000000-0005-0000-0000-0000E70B0000}"/>
    <cellStyle name="Good 2 7" xfId="3978" xr:uid="{00000000-0005-0000-0000-0000E80B0000}"/>
    <cellStyle name="Good 2 8" xfId="3979" xr:uid="{00000000-0005-0000-0000-0000E90B0000}"/>
    <cellStyle name="Good 2 9" xfId="3980" xr:uid="{00000000-0005-0000-0000-0000EA0B0000}"/>
    <cellStyle name="Good 20" xfId="1688" xr:uid="{00000000-0005-0000-0000-0000EB0B0000}"/>
    <cellStyle name="Good 21" xfId="1689" xr:uid="{00000000-0005-0000-0000-0000EC0B0000}"/>
    <cellStyle name="Good 22" xfId="1690" xr:uid="{00000000-0005-0000-0000-0000ED0B0000}"/>
    <cellStyle name="Good 23" xfId="1691" xr:uid="{00000000-0005-0000-0000-0000EE0B0000}"/>
    <cellStyle name="Good 24" xfId="1692" xr:uid="{00000000-0005-0000-0000-0000EF0B0000}"/>
    <cellStyle name="Good 25" xfId="1693" xr:uid="{00000000-0005-0000-0000-0000F00B0000}"/>
    <cellStyle name="Good 26" xfId="1694" xr:uid="{00000000-0005-0000-0000-0000F10B0000}"/>
    <cellStyle name="Good 27" xfId="1695" xr:uid="{00000000-0005-0000-0000-0000F20B0000}"/>
    <cellStyle name="Good 28" xfId="1696" xr:uid="{00000000-0005-0000-0000-0000F30B0000}"/>
    <cellStyle name="Good 29" xfId="1697" xr:uid="{00000000-0005-0000-0000-0000F40B0000}"/>
    <cellStyle name="Good 3" xfId="116" xr:uid="{00000000-0005-0000-0000-0000F50B0000}"/>
    <cellStyle name="Good 3 2" xfId="1698" xr:uid="{00000000-0005-0000-0000-0000F60B0000}"/>
    <cellStyle name="Good 3 2 2" xfId="9609" xr:uid="{00000000-0005-0000-0000-0000F70B0000}"/>
    <cellStyle name="Good 3 3" xfId="3981" xr:uid="{00000000-0005-0000-0000-0000F80B0000}"/>
    <cellStyle name="Good 3 4" xfId="5773" xr:uid="{00000000-0005-0000-0000-0000F90B0000}"/>
    <cellStyle name="Good 3 5" xfId="35485" xr:uid="{FADAE840-E86C-42D5-B767-2922FB53CFAD}"/>
    <cellStyle name="Good 30" xfId="1699" xr:uid="{00000000-0005-0000-0000-0000FA0B0000}"/>
    <cellStyle name="Good 31" xfId="1700" xr:uid="{00000000-0005-0000-0000-0000FB0B0000}"/>
    <cellStyle name="Good 32" xfId="1701" xr:uid="{00000000-0005-0000-0000-0000FC0B0000}"/>
    <cellStyle name="Good 33" xfId="1702" xr:uid="{00000000-0005-0000-0000-0000FD0B0000}"/>
    <cellStyle name="Good 34" xfId="1703" xr:uid="{00000000-0005-0000-0000-0000FE0B0000}"/>
    <cellStyle name="Good 35" xfId="1704" xr:uid="{00000000-0005-0000-0000-0000FF0B0000}"/>
    <cellStyle name="Good 36" xfId="1705" xr:uid="{00000000-0005-0000-0000-0000000C0000}"/>
    <cellStyle name="Good 37" xfId="1706" xr:uid="{00000000-0005-0000-0000-0000010C0000}"/>
    <cellStyle name="Good 38" xfId="1707" xr:uid="{00000000-0005-0000-0000-0000020C0000}"/>
    <cellStyle name="Good 39" xfId="1708" xr:uid="{00000000-0005-0000-0000-0000030C0000}"/>
    <cellStyle name="Good 4" xfId="1709" xr:uid="{00000000-0005-0000-0000-0000040C0000}"/>
    <cellStyle name="Good 4 2" xfId="9610" xr:uid="{00000000-0005-0000-0000-0000050C0000}"/>
    <cellStyle name="Good 40" xfId="1710" xr:uid="{00000000-0005-0000-0000-0000060C0000}"/>
    <cellStyle name="Good 41" xfId="1711" xr:uid="{00000000-0005-0000-0000-0000070C0000}"/>
    <cellStyle name="Good 42" xfId="1712" xr:uid="{00000000-0005-0000-0000-0000080C0000}"/>
    <cellStyle name="Good 5" xfId="1713" xr:uid="{00000000-0005-0000-0000-0000090C0000}"/>
    <cellStyle name="Good 5 2" xfId="9611" xr:uid="{00000000-0005-0000-0000-00000A0C0000}"/>
    <cellStyle name="Good 6" xfId="1714" xr:uid="{00000000-0005-0000-0000-00000B0C0000}"/>
    <cellStyle name="Good 6 2" xfId="9612" xr:uid="{00000000-0005-0000-0000-00000C0C0000}"/>
    <cellStyle name="Good 7" xfId="1715" xr:uid="{00000000-0005-0000-0000-00000D0C0000}"/>
    <cellStyle name="Good 8" xfId="1716" xr:uid="{00000000-0005-0000-0000-00000E0C0000}"/>
    <cellStyle name="Good 9" xfId="1717" xr:uid="{00000000-0005-0000-0000-00000F0C0000}"/>
    <cellStyle name="Gut" xfId="1718" xr:uid="{00000000-0005-0000-0000-0000100C0000}"/>
    <cellStyle name="Heading 1 10" xfId="1719" xr:uid="{00000000-0005-0000-0000-0000110C0000}"/>
    <cellStyle name="Heading 1 11" xfId="1720" xr:uid="{00000000-0005-0000-0000-0000120C0000}"/>
    <cellStyle name="Heading 1 12" xfId="1721" xr:uid="{00000000-0005-0000-0000-0000130C0000}"/>
    <cellStyle name="Heading 1 13" xfId="1722" xr:uid="{00000000-0005-0000-0000-0000140C0000}"/>
    <cellStyle name="Heading 1 14" xfId="1723" xr:uid="{00000000-0005-0000-0000-0000150C0000}"/>
    <cellStyle name="Heading 1 15" xfId="1724" xr:uid="{00000000-0005-0000-0000-0000160C0000}"/>
    <cellStyle name="Heading 1 16" xfId="1725" xr:uid="{00000000-0005-0000-0000-0000170C0000}"/>
    <cellStyle name="Heading 1 17" xfId="1726" xr:uid="{00000000-0005-0000-0000-0000180C0000}"/>
    <cellStyle name="Heading 1 18" xfId="1727" xr:uid="{00000000-0005-0000-0000-0000190C0000}"/>
    <cellStyle name="Heading 1 19" xfId="1728" xr:uid="{00000000-0005-0000-0000-00001A0C0000}"/>
    <cellStyle name="Heading 1 2" xfId="117" xr:uid="{00000000-0005-0000-0000-00001B0C0000}"/>
    <cellStyle name="Heading 1 2 10" xfId="3982" xr:uid="{00000000-0005-0000-0000-00001C0C0000}"/>
    <cellStyle name="Heading 1 2 11" xfId="9613" xr:uid="{00000000-0005-0000-0000-00001D0C0000}"/>
    <cellStyle name="Heading 1 2 12" xfId="35486" xr:uid="{647226A4-60C3-4E3D-87B8-EE937C03C616}"/>
    <cellStyle name="Heading 1 2 2" xfId="3983" xr:uid="{00000000-0005-0000-0000-00001E0C0000}"/>
    <cellStyle name="Heading 1 2 2 2" xfId="35488" xr:uid="{5864516E-6005-4CC1-ABAD-2703BA5D6A78}"/>
    <cellStyle name="Heading 1 2 2 3" xfId="35487" xr:uid="{8447B5DF-C04E-49A2-A08E-E773CA10FB80}"/>
    <cellStyle name="Heading 1 2 3" xfId="3984" xr:uid="{00000000-0005-0000-0000-00001F0C0000}"/>
    <cellStyle name="Heading 1 2 4" xfId="3985" xr:uid="{00000000-0005-0000-0000-0000200C0000}"/>
    <cellStyle name="Heading 1 2 5" xfId="3986" xr:uid="{00000000-0005-0000-0000-0000210C0000}"/>
    <cellStyle name="Heading 1 2 6" xfId="3987" xr:uid="{00000000-0005-0000-0000-0000220C0000}"/>
    <cellStyle name="Heading 1 2 7" xfId="3988" xr:uid="{00000000-0005-0000-0000-0000230C0000}"/>
    <cellStyle name="Heading 1 2 8" xfId="3989" xr:uid="{00000000-0005-0000-0000-0000240C0000}"/>
    <cellStyle name="Heading 1 2 9" xfId="3990" xr:uid="{00000000-0005-0000-0000-0000250C0000}"/>
    <cellStyle name="Heading 1 20" xfId="1729" xr:uid="{00000000-0005-0000-0000-0000260C0000}"/>
    <cellStyle name="Heading 1 21" xfId="1730" xr:uid="{00000000-0005-0000-0000-0000270C0000}"/>
    <cellStyle name="Heading 1 22" xfId="1731" xr:uid="{00000000-0005-0000-0000-0000280C0000}"/>
    <cellStyle name="Heading 1 23" xfId="1732" xr:uid="{00000000-0005-0000-0000-0000290C0000}"/>
    <cellStyle name="Heading 1 23 2" xfId="35489" xr:uid="{CF0F5513-24A3-4C9C-B8EC-621F95552C7A}"/>
    <cellStyle name="Heading 1 24" xfId="1733" xr:uid="{00000000-0005-0000-0000-00002A0C0000}"/>
    <cellStyle name="Heading 1 24 2" xfId="35490" xr:uid="{A7D33BFB-8F01-4C5B-993A-326C86CA7F76}"/>
    <cellStyle name="Heading 1 25" xfId="1734" xr:uid="{00000000-0005-0000-0000-00002B0C0000}"/>
    <cellStyle name="Heading 1 25 2" xfId="35491" xr:uid="{AAB9F404-6D1C-42EB-8A29-6F38038C7E11}"/>
    <cellStyle name="Heading 1 26" xfId="1735" xr:uid="{00000000-0005-0000-0000-00002C0C0000}"/>
    <cellStyle name="Heading 1 26 2" xfId="35492" xr:uid="{37B77108-0049-4FF0-B4B2-26164781AEB6}"/>
    <cellStyle name="Heading 1 27" xfId="1736" xr:uid="{00000000-0005-0000-0000-00002D0C0000}"/>
    <cellStyle name="Heading 1 27 2" xfId="35493" xr:uid="{2DD68695-73D7-400F-A95F-CF9BE5A57E05}"/>
    <cellStyle name="Heading 1 28" xfId="1737" xr:uid="{00000000-0005-0000-0000-00002E0C0000}"/>
    <cellStyle name="Heading 1 28 2" xfId="35494" xr:uid="{317A3827-D1DB-4934-BD1A-9F7B716B8F31}"/>
    <cellStyle name="Heading 1 29" xfId="1738" xr:uid="{00000000-0005-0000-0000-00002F0C0000}"/>
    <cellStyle name="Heading 1 29 2" xfId="35495" xr:uid="{6E4428C9-D3A7-42F5-8074-26E31EFAB376}"/>
    <cellStyle name="Heading 1 3" xfId="118" xr:uid="{00000000-0005-0000-0000-0000300C0000}"/>
    <cellStyle name="Heading 1 3 2" xfId="1739" xr:uid="{00000000-0005-0000-0000-0000310C0000}"/>
    <cellStyle name="Heading 1 3 2 2" xfId="9614" xr:uid="{00000000-0005-0000-0000-0000320C0000}"/>
    <cellStyle name="Heading 1 3 2 2 2" xfId="35498" xr:uid="{09DF886C-1E7A-4F23-8AFE-D7DA5857C32D}"/>
    <cellStyle name="Heading 1 3 2 3" xfId="35497" xr:uid="{7227832E-EB5C-4B54-99E7-0E00727CF8C7}"/>
    <cellStyle name="Heading 1 3 3" xfId="3991" xr:uid="{00000000-0005-0000-0000-0000330C0000}"/>
    <cellStyle name="Heading 1 3 3 2" xfId="35499" xr:uid="{F7BE758F-9CE0-4771-981B-16D6070FE272}"/>
    <cellStyle name="Heading 1 3 4" xfId="5774" xr:uid="{00000000-0005-0000-0000-0000340C0000}"/>
    <cellStyle name="Heading 1 3 4 2" xfId="35500" xr:uid="{838CD8D7-B0C0-4D3B-906D-98F98946F767}"/>
    <cellStyle name="Heading 1 3 5" xfId="35496" xr:uid="{5C721C4C-7579-4F01-8AAD-43213D8E9AD5}"/>
    <cellStyle name="Heading 1 30" xfId="1740" xr:uid="{00000000-0005-0000-0000-0000350C0000}"/>
    <cellStyle name="Heading 1 30 2" xfId="35501" xr:uid="{4369066F-AC14-4958-8596-45D29146638E}"/>
    <cellStyle name="Heading 1 31" xfId="1741" xr:uid="{00000000-0005-0000-0000-0000360C0000}"/>
    <cellStyle name="Heading 1 31 2" xfId="35502" xr:uid="{71DA1AB0-64E0-481E-8841-69EE5125BB5B}"/>
    <cellStyle name="Heading 1 32" xfId="1742" xr:uid="{00000000-0005-0000-0000-0000370C0000}"/>
    <cellStyle name="Heading 1 32 2" xfId="35503" xr:uid="{97CA76D3-F8AF-4C99-A8BB-A615724090D9}"/>
    <cellStyle name="Heading 1 33" xfId="1743" xr:uid="{00000000-0005-0000-0000-0000380C0000}"/>
    <cellStyle name="Heading 1 33 2" xfId="35504" xr:uid="{CC07E0E7-CDB5-41E5-A34A-31B4C96D00AB}"/>
    <cellStyle name="Heading 1 34" xfId="1744" xr:uid="{00000000-0005-0000-0000-0000390C0000}"/>
    <cellStyle name="Heading 1 34 2" xfId="35505" xr:uid="{F6A93849-E451-452F-BD8A-DEBD0748A95C}"/>
    <cellStyle name="Heading 1 35" xfId="1745" xr:uid="{00000000-0005-0000-0000-00003A0C0000}"/>
    <cellStyle name="Heading 1 35 2" xfId="35506" xr:uid="{178B5FA6-F641-43B2-9D59-1A9BAD0C9B2A}"/>
    <cellStyle name="Heading 1 36" xfId="1746" xr:uid="{00000000-0005-0000-0000-00003B0C0000}"/>
    <cellStyle name="Heading 1 36 2" xfId="35507" xr:uid="{FAD241F0-00D8-45F3-B7E1-BAD8BF490BAB}"/>
    <cellStyle name="Heading 1 37" xfId="1747" xr:uid="{00000000-0005-0000-0000-00003C0C0000}"/>
    <cellStyle name="Heading 1 37 2" xfId="35508" xr:uid="{42290C2B-922B-4EED-8A5C-1E7F18355924}"/>
    <cellStyle name="Heading 1 38" xfId="1748" xr:uid="{00000000-0005-0000-0000-00003D0C0000}"/>
    <cellStyle name="Heading 1 38 2" xfId="35509" xr:uid="{AD4ECFEB-523D-4F61-8CCE-336065580982}"/>
    <cellStyle name="Heading 1 39" xfId="1749" xr:uid="{00000000-0005-0000-0000-00003E0C0000}"/>
    <cellStyle name="Heading 1 39 2" xfId="35510" xr:uid="{2F2353CD-B727-4E66-967E-9C226B80A3A6}"/>
    <cellStyle name="Heading 1 4" xfId="1750" xr:uid="{00000000-0005-0000-0000-00003F0C0000}"/>
    <cellStyle name="Heading 1 4 2" xfId="9615" xr:uid="{00000000-0005-0000-0000-0000400C0000}"/>
    <cellStyle name="Heading 1 4 2 2" xfId="35512" xr:uid="{506881AC-9519-4FA3-96C0-8D04D7EBEF1B}"/>
    <cellStyle name="Heading 1 4 3" xfId="35511" xr:uid="{7426EF9E-B407-4456-B676-BCB291F0D80C}"/>
    <cellStyle name="Heading 1 40" xfId="1751" xr:uid="{00000000-0005-0000-0000-0000410C0000}"/>
    <cellStyle name="Heading 1 40 2" xfId="35513" xr:uid="{94ED48CB-18D8-441C-ABFD-FDBB287C58EA}"/>
    <cellStyle name="Heading 1 41" xfId="1752" xr:uid="{00000000-0005-0000-0000-0000420C0000}"/>
    <cellStyle name="Heading 1 41 2" xfId="35514" xr:uid="{1551829C-2232-4B56-9E71-F251223570EB}"/>
    <cellStyle name="Heading 1 5" xfId="1753" xr:uid="{00000000-0005-0000-0000-0000430C0000}"/>
    <cellStyle name="Heading 1 5 2" xfId="9616" xr:uid="{00000000-0005-0000-0000-0000440C0000}"/>
    <cellStyle name="Heading 1 5 2 2" xfId="35516" xr:uid="{687D8228-37B0-4F6F-AC30-971E4B94B2B9}"/>
    <cellStyle name="Heading 1 5 3" xfId="35515" xr:uid="{34E46703-6C33-45D5-A538-5107DC016A9B}"/>
    <cellStyle name="Heading 1 6" xfId="1754" xr:uid="{00000000-0005-0000-0000-0000450C0000}"/>
    <cellStyle name="Heading 1 6 2" xfId="9617" xr:uid="{00000000-0005-0000-0000-0000460C0000}"/>
    <cellStyle name="Heading 1 6 2 2" xfId="35518" xr:uid="{8109F649-CAD6-444F-8906-D2968EE46DBB}"/>
    <cellStyle name="Heading 1 6 3" xfId="35517" xr:uid="{09785250-7749-419E-B8B3-BB2A44F66506}"/>
    <cellStyle name="Heading 1 7" xfId="1755" xr:uid="{00000000-0005-0000-0000-0000470C0000}"/>
    <cellStyle name="Heading 1 7 2" xfId="35519" xr:uid="{6D2BE9F8-A592-47E7-8217-E683AF194319}"/>
    <cellStyle name="Heading 1 8" xfId="1756" xr:uid="{00000000-0005-0000-0000-0000480C0000}"/>
    <cellStyle name="Heading 1 8 2" xfId="35520" xr:uid="{6EC59909-EC18-4888-8459-C3A3DAE38616}"/>
    <cellStyle name="Heading 1 9" xfId="1757" xr:uid="{00000000-0005-0000-0000-0000490C0000}"/>
    <cellStyle name="Heading 1 9 2" xfId="35521" xr:uid="{D58BF2E0-D2F9-4AB6-BDF9-184036207BB1}"/>
    <cellStyle name="Heading 2 10" xfId="1758" xr:uid="{00000000-0005-0000-0000-00004A0C0000}"/>
    <cellStyle name="Heading 2 10 2" xfId="35522" xr:uid="{92829C83-87B3-4AB1-8373-C0A14BE9A32E}"/>
    <cellStyle name="Heading 2 11" xfId="1759" xr:uid="{00000000-0005-0000-0000-00004B0C0000}"/>
    <cellStyle name="Heading 2 11 2" xfId="35523" xr:uid="{014AB47C-EA95-4679-BF72-2710D5716D33}"/>
    <cellStyle name="Heading 2 12" xfId="1760" xr:uid="{00000000-0005-0000-0000-00004C0C0000}"/>
    <cellStyle name="Heading 2 12 2" xfId="35524" xr:uid="{6DD17AD0-D0C0-4B9B-9FD5-39F66B72D625}"/>
    <cellStyle name="Heading 2 13" xfId="1761" xr:uid="{00000000-0005-0000-0000-00004D0C0000}"/>
    <cellStyle name="Heading 2 13 2" xfId="35525" xr:uid="{2A98B46B-8FA2-425D-AE11-48C9FFA27D78}"/>
    <cellStyle name="Heading 2 14" xfId="1762" xr:uid="{00000000-0005-0000-0000-00004E0C0000}"/>
    <cellStyle name="Heading 2 14 2" xfId="35526" xr:uid="{879DE763-BE8C-4A2C-88D2-0216B912503D}"/>
    <cellStyle name="Heading 2 15" xfId="1763" xr:uid="{00000000-0005-0000-0000-00004F0C0000}"/>
    <cellStyle name="Heading 2 15 2" xfId="35527" xr:uid="{F9F88049-A965-4EE6-898A-CF131BA17311}"/>
    <cellStyle name="Heading 2 16" xfId="1764" xr:uid="{00000000-0005-0000-0000-0000500C0000}"/>
    <cellStyle name="Heading 2 16 2" xfId="35528" xr:uid="{E5114525-21EF-4D14-85A3-A37BB72265E1}"/>
    <cellStyle name="Heading 2 17" xfId="1765" xr:uid="{00000000-0005-0000-0000-0000510C0000}"/>
    <cellStyle name="Heading 2 17 2" xfId="35529" xr:uid="{055EA7A4-C37E-44DF-9221-E91191599B1C}"/>
    <cellStyle name="Heading 2 18" xfId="1766" xr:uid="{00000000-0005-0000-0000-0000520C0000}"/>
    <cellStyle name="Heading 2 18 2" xfId="35530" xr:uid="{58065A55-C22C-49F0-A8D0-213D5C434296}"/>
    <cellStyle name="Heading 2 19" xfId="1767" xr:uid="{00000000-0005-0000-0000-0000530C0000}"/>
    <cellStyle name="Heading 2 19 2" xfId="35531" xr:uid="{5B6BD854-3669-4405-B726-07C050F19E2D}"/>
    <cellStyle name="Heading 2 2" xfId="119" xr:uid="{00000000-0005-0000-0000-0000540C0000}"/>
    <cellStyle name="Heading 2 2 10" xfId="3992" xr:uid="{00000000-0005-0000-0000-0000550C0000}"/>
    <cellStyle name="Heading 2 2 10 2" xfId="35533" xr:uid="{55078525-D0FF-46B3-AA49-BB9025EF57AC}"/>
    <cellStyle name="Heading 2 2 11" xfId="9618" xr:uid="{00000000-0005-0000-0000-0000560C0000}"/>
    <cellStyle name="Heading 2 2 11 2" xfId="35534" xr:uid="{72593A71-3240-42B4-8F20-9FAB3DB71B07}"/>
    <cellStyle name="Heading 2 2 12" xfId="35532" xr:uid="{456795CF-1105-4E9F-9788-1DD7E3929F8F}"/>
    <cellStyle name="Heading 2 2 2" xfId="3993" xr:uid="{00000000-0005-0000-0000-0000570C0000}"/>
    <cellStyle name="Heading 2 2 2 2" xfId="35536" xr:uid="{18578272-40BC-427B-A453-7B3E5691188E}"/>
    <cellStyle name="Heading 2 2 2 3" xfId="35535" xr:uid="{812333F7-BBDA-4F37-9994-1D3C8255C9C7}"/>
    <cellStyle name="Heading 2 2 3" xfId="3994" xr:uid="{00000000-0005-0000-0000-0000580C0000}"/>
    <cellStyle name="Heading 2 2 3 2" xfId="35537" xr:uid="{9731B994-43A9-43D5-BCD4-9A7B848D81F1}"/>
    <cellStyle name="Heading 2 2 4" xfId="3995" xr:uid="{00000000-0005-0000-0000-0000590C0000}"/>
    <cellStyle name="Heading 2 2 4 2" xfId="35538" xr:uid="{538CFB1B-354E-4BCD-B55B-F25828A8B096}"/>
    <cellStyle name="Heading 2 2 5" xfId="3996" xr:uid="{00000000-0005-0000-0000-00005A0C0000}"/>
    <cellStyle name="Heading 2 2 5 2" xfId="35539" xr:uid="{8AAD6D58-7CBE-45AC-820B-8039A5A92762}"/>
    <cellStyle name="Heading 2 2 6" xfId="3997" xr:uid="{00000000-0005-0000-0000-00005B0C0000}"/>
    <cellStyle name="Heading 2 2 6 2" xfId="35540" xr:uid="{7A11F856-24CF-4658-A5E1-01D96CA52471}"/>
    <cellStyle name="Heading 2 2 7" xfId="3998" xr:uid="{00000000-0005-0000-0000-00005C0C0000}"/>
    <cellStyle name="Heading 2 2 7 2" xfId="35541" xr:uid="{314E9250-DC88-43F9-88A3-9289FF604DA1}"/>
    <cellStyle name="Heading 2 2 8" xfId="3999" xr:uid="{00000000-0005-0000-0000-00005D0C0000}"/>
    <cellStyle name="Heading 2 2 8 2" xfId="35542" xr:uid="{790A9C8F-2E50-4DC4-A819-E82088DF15BB}"/>
    <cellStyle name="Heading 2 2 9" xfId="4000" xr:uid="{00000000-0005-0000-0000-00005E0C0000}"/>
    <cellStyle name="Heading 2 2 9 2" xfId="35543" xr:uid="{E76D5C86-033F-41A2-B197-24F7486B8C9E}"/>
    <cellStyle name="Heading 2 20" xfId="1768" xr:uid="{00000000-0005-0000-0000-00005F0C0000}"/>
    <cellStyle name="Heading 2 20 2" xfId="35544" xr:uid="{1D005CE6-DE00-4B77-A92E-D5E169AC9F47}"/>
    <cellStyle name="Heading 2 21" xfId="1769" xr:uid="{00000000-0005-0000-0000-0000600C0000}"/>
    <cellStyle name="Heading 2 21 2" xfId="35545" xr:uid="{66935B82-E5AC-49EF-B272-6E4F958F6671}"/>
    <cellStyle name="Heading 2 22" xfId="1770" xr:uid="{00000000-0005-0000-0000-0000610C0000}"/>
    <cellStyle name="Heading 2 22 2" xfId="35546" xr:uid="{B52105A5-4BC6-4B7E-9579-32C056EF9A17}"/>
    <cellStyle name="Heading 2 23" xfId="1771" xr:uid="{00000000-0005-0000-0000-0000620C0000}"/>
    <cellStyle name="Heading 2 23 2" xfId="35547" xr:uid="{69A0BBAA-E8A0-4093-B851-9F1D704A7527}"/>
    <cellStyle name="Heading 2 24" xfId="1772" xr:uid="{00000000-0005-0000-0000-0000630C0000}"/>
    <cellStyle name="Heading 2 24 2" xfId="35548" xr:uid="{0CF7EEE7-F7A9-4A30-ACA7-BB7D59795A44}"/>
    <cellStyle name="Heading 2 25" xfId="1773" xr:uid="{00000000-0005-0000-0000-0000640C0000}"/>
    <cellStyle name="Heading 2 25 2" xfId="35549" xr:uid="{92A21AC9-2FA0-4B81-938D-E3F0332192A1}"/>
    <cellStyle name="Heading 2 26" xfId="1774" xr:uid="{00000000-0005-0000-0000-0000650C0000}"/>
    <cellStyle name="Heading 2 26 2" xfId="35550" xr:uid="{088D5FE5-0194-4413-B16F-44DF05EE6A85}"/>
    <cellStyle name="Heading 2 27" xfId="1775" xr:uid="{00000000-0005-0000-0000-0000660C0000}"/>
    <cellStyle name="Heading 2 27 2" xfId="35551" xr:uid="{6C51AE79-689E-43AE-A4A2-4E0650619A22}"/>
    <cellStyle name="Heading 2 28" xfId="1776" xr:uid="{00000000-0005-0000-0000-0000670C0000}"/>
    <cellStyle name="Heading 2 28 2" xfId="35552" xr:uid="{B27FFFBB-00DB-475A-86F0-6093994355E6}"/>
    <cellStyle name="Heading 2 29" xfId="1777" xr:uid="{00000000-0005-0000-0000-0000680C0000}"/>
    <cellStyle name="Heading 2 29 2" xfId="35553" xr:uid="{DCDD7BC8-622D-4F05-9054-1E776500F417}"/>
    <cellStyle name="Heading 2 3" xfId="120" xr:uid="{00000000-0005-0000-0000-0000690C0000}"/>
    <cellStyle name="Heading 2 3 2" xfId="1778" xr:uid="{00000000-0005-0000-0000-00006A0C0000}"/>
    <cellStyle name="Heading 2 3 2 2" xfId="9619" xr:uid="{00000000-0005-0000-0000-00006B0C0000}"/>
    <cellStyle name="Heading 2 3 2 2 2" xfId="35556" xr:uid="{2141EF08-5FD5-4618-9552-E8523D3ACAFD}"/>
    <cellStyle name="Heading 2 3 2 3" xfId="35555" xr:uid="{1C1B812D-70FF-48E2-A8AC-BDBA36E60E44}"/>
    <cellStyle name="Heading 2 3 3" xfId="4001" xr:uid="{00000000-0005-0000-0000-00006C0C0000}"/>
    <cellStyle name="Heading 2 3 3 2" xfId="35557" xr:uid="{A2C8D9B2-35F4-4F1A-A8F9-3D16C7598345}"/>
    <cellStyle name="Heading 2 3 4" xfId="5775" xr:uid="{00000000-0005-0000-0000-00006D0C0000}"/>
    <cellStyle name="Heading 2 3 4 2" xfId="35558" xr:uid="{E9AF8C99-5F71-4C78-898A-AE7BD92E596F}"/>
    <cellStyle name="Heading 2 3 5" xfId="35554" xr:uid="{722EC421-5E3E-4BA1-8584-7CDD7E80B23E}"/>
    <cellStyle name="Heading 2 30" xfId="1779" xr:uid="{00000000-0005-0000-0000-00006E0C0000}"/>
    <cellStyle name="Heading 2 30 2" xfId="35559" xr:uid="{C721DD81-85F7-4F4F-86B8-47DC8259DBAE}"/>
    <cellStyle name="Heading 2 31" xfId="1780" xr:uid="{00000000-0005-0000-0000-00006F0C0000}"/>
    <cellStyle name="Heading 2 31 2" xfId="35560" xr:uid="{16869BF9-242D-4193-9C63-CBD60D5018DC}"/>
    <cellStyle name="Heading 2 32" xfId="1781" xr:uid="{00000000-0005-0000-0000-0000700C0000}"/>
    <cellStyle name="Heading 2 32 2" xfId="35561" xr:uid="{14675E42-A052-4D42-A192-1B6CD624607F}"/>
    <cellStyle name="Heading 2 33" xfId="1782" xr:uid="{00000000-0005-0000-0000-0000710C0000}"/>
    <cellStyle name="Heading 2 33 2" xfId="35562" xr:uid="{0A899A49-E64F-42AE-A0F3-95785B5ABDD6}"/>
    <cellStyle name="Heading 2 34" xfId="1783" xr:uid="{00000000-0005-0000-0000-0000720C0000}"/>
    <cellStyle name="Heading 2 34 2" xfId="35563" xr:uid="{0014BB4B-37D8-4518-BA0E-A1264B5005E6}"/>
    <cellStyle name="Heading 2 35" xfId="1784" xr:uid="{00000000-0005-0000-0000-0000730C0000}"/>
    <cellStyle name="Heading 2 35 2" xfId="35564" xr:uid="{899EEF05-8DB7-4CC4-B43D-FF9F24489B24}"/>
    <cellStyle name="Heading 2 36" xfId="1785" xr:uid="{00000000-0005-0000-0000-0000740C0000}"/>
    <cellStyle name="Heading 2 36 2" xfId="35565" xr:uid="{D927D42B-6744-4A3C-8E5A-DF943B1355F5}"/>
    <cellStyle name="Heading 2 37" xfId="1786" xr:uid="{00000000-0005-0000-0000-0000750C0000}"/>
    <cellStyle name="Heading 2 37 2" xfId="35566" xr:uid="{1388BC81-DC18-4295-A626-624A1BDC69A1}"/>
    <cellStyle name="Heading 2 38" xfId="1787" xr:uid="{00000000-0005-0000-0000-0000760C0000}"/>
    <cellStyle name="Heading 2 38 2" xfId="35567" xr:uid="{55C03AA1-5FD1-46D2-8C88-A22257F6E322}"/>
    <cellStyle name="Heading 2 39" xfId="1788" xr:uid="{00000000-0005-0000-0000-0000770C0000}"/>
    <cellStyle name="Heading 2 39 2" xfId="35568" xr:uid="{FA2DCB4C-4C8A-40C3-86DE-08877C535BE2}"/>
    <cellStyle name="Heading 2 4" xfId="1789" xr:uid="{00000000-0005-0000-0000-0000780C0000}"/>
    <cellStyle name="Heading 2 4 2" xfId="9620" xr:uid="{00000000-0005-0000-0000-0000790C0000}"/>
    <cellStyle name="Heading 2 4 2 2" xfId="35570" xr:uid="{ACDC8065-D9CA-495B-A4E0-20F16FF4D82E}"/>
    <cellStyle name="Heading 2 4 3" xfId="35569" xr:uid="{1EFFF039-C318-48CA-B02E-9903D20E4AE6}"/>
    <cellStyle name="Heading 2 40" xfId="1790" xr:uid="{00000000-0005-0000-0000-00007A0C0000}"/>
    <cellStyle name="Heading 2 40 2" xfId="35571" xr:uid="{973BBD0B-9A79-41D9-A863-22AB465BEA43}"/>
    <cellStyle name="Heading 2 41" xfId="1791" xr:uid="{00000000-0005-0000-0000-00007B0C0000}"/>
    <cellStyle name="Heading 2 41 2" xfId="35572" xr:uid="{776F607F-D932-488E-966C-65DD961BC761}"/>
    <cellStyle name="Heading 2 5" xfId="1792" xr:uid="{00000000-0005-0000-0000-00007C0C0000}"/>
    <cellStyle name="Heading 2 5 2" xfId="9621" xr:uid="{00000000-0005-0000-0000-00007D0C0000}"/>
    <cellStyle name="Heading 2 5 2 2" xfId="35574" xr:uid="{B83936A9-3320-4C10-AD64-D92394FB8CA7}"/>
    <cellStyle name="Heading 2 5 3" xfId="35573" xr:uid="{63897C4B-515A-4724-B62F-0A1C86AEB5A7}"/>
    <cellStyle name="Heading 2 6" xfId="1793" xr:uid="{00000000-0005-0000-0000-00007E0C0000}"/>
    <cellStyle name="Heading 2 6 2" xfId="9622" xr:uid="{00000000-0005-0000-0000-00007F0C0000}"/>
    <cellStyle name="Heading 2 6 2 2" xfId="35576" xr:uid="{50429288-374B-4887-A39F-61AD0196A630}"/>
    <cellStyle name="Heading 2 6 3" xfId="35575" xr:uid="{38A8871D-8CBD-4EB9-8187-A0B3D907FA62}"/>
    <cellStyle name="Heading 2 7" xfId="1794" xr:uid="{00000000-0005-0000-0000-0000800C0000}"/>
    <cellStyle name="Heading 2 7 2" xfId="35577" xr:uid="{7D0CC72C-64CA-4380-AE01-C88E55E51C07}"/>
    <cellStyle name="Heading 2 8" xfId="1795" xr:uid="{00000000-0005-0000-0000-0000810C0000}"/>
    <cellStyle name="Heading 2 8 2" xfId="35578" xr:uid="{C24E1EA6-796A-419F-8E64-BC3C21845290}"/>
    <cellStyle name="Heading 2 9" xfId="1796" xr:uid="{00000000-0005-0000-0000-0000820C0000}"/>
    <cellStyle name="Heading 2 9 2" xfId="35579" xr:uid="{44629D6B-42B8-4425-881A-3A05325805C1}"/>
    <cellStyle name="Heading 3 10" xfId="1797" xr:uid="{00000000-0005-0000-0000-0000830C0000}"/>
    <cellStyle name="Heading 3 10 2" xfId="35580" xr:uid="{B416357B-FF63-4341-84BE-207FF72D732E}"/>
    <cellStyle name="Heading 3 11" xfId="1798" xr:uid="{00000000-0005-0000-0000-0000840C0000}"/>
    <cellStyle name="Heading 3 11 2" xfId="35581" xr:uid="{00CE100A-1F1B-4BC2-921C-07818C80DDB2}"/>
    <cellStyle name="Heading 3 12" xfId="1799" xr:uid="{00000000-0005-0000-0000-0000850C0000}"/>
    <cellStyle name="Heading 3 12 2" xfId="35582" xr:uid="{9101FBB2-21F4-4FEF-B340-649AE75C324E}"/>
    <cellStyle name="Heading 3 13" xfId="1800" xr:uid="{00000000-0005-0000-0000-0000860C0000}"/>
    <cellStyle name="Heading 3 13 2" xfId="35583" xr:uid="{D95E5E11-F478-4341-907D-49574D0A2BCC}"/>
    <cellStyle name="Heading 3 14" xfId="1801" xr:uid="{00000000-0005-0000-0000-0000870C0000}"/>
    <cellStyle name="Heading 3 14 2" xfId="35584" xr:uid="{B5154785-DD15-47C6-BAB0-8A10EA695CE2}"/>
    <cellStyle name="Heading 3 15" xfId="1802" xr:uid="{00000000-0005-0000-0000-0000880C0000}"/>
    <cellStyle name="Heading 3 15 2" xfId="35585" xr:uid="{9DDEE80B-3938-4D67-B659-966673F91897}"/>
    <cellStyle name="Heading 3 16" xfId="1803" xr:uid="{00000000-0005-0000-0000-0000890C0000}"/>
    <cellStyle name="Heading 3 16 2" xfId="35586" xr:uid="{439D17D9-5A27-408F-8CEF-E855FCF5396C}"/>
    <cellStyle name="Heading 3 17" xfId="1804" xr:uid="{00000000-0005-0000-0000-00008A0C0000}"/>
    <cellStyle name="Heading 3 17 2" xfId="35587" xr:uid="{E43777C5-ACC2-4EFF-AAF0-03EE5FEF755E}"/>
    <cellStyle name="Heading 3 18" xfId="1805" xr:uid="{00000000-0005-0000-0000-00008B0C0000}"/>
    <cellStyle name="Heading 3 18 2" xfId="35588" xr:uid="{68AEC4F4-9365-40F8-BA50-8F5929D7CE9D}"/>
    <cellStyle name="Heading 3 19" xfId="1806" xr:uid="{00000000-0005-0000-0000-00008C0C0000}"/>
    <cellStyle name="Heading 3 19 2" xfId="35589" xr:uid="{701E1734-D03F-4510-835B-D34F63D8ADFD}"/>
    <cellStyle name="Heading 3 2" xfId="121" xr:uid="{00000000-0005-0000-0000-00008D0C0000}"/>
    <cellStyle name="Heading 3 2 10" xfId="4002" xr:uid="{00000000-0005-0000-0000-00008E0C0000}"/>
    <cellStyle name="Heading 3 2 10 2" xfId="35591" xr:uid="{688C44D1-9D5B-430B-AF51-A6C9FEFB2A70}"/>
    <cellStyle name="Heading 3 2 11" xfId="9623" xr:uid="{00000000-0005-0000-0000-00008F0C0000}"/>
    <cellStyle name="Heading 3 2 11 2" xfId="35592" xr:uid="{3A54F38A-1D42-4F45-BEA6-8AEE2A031452}"/>
    <cellStyle name="Heading 3 2 12" xfId="35590" xr:uid="{6437B9F6-CE12-4356-A8C5-11BE2E0ED46B}"/>
    <cellStyle name="Heading 3 2 2" xfId="4003" xr:uid="{00000000-0005-0000-0000-0000900C0000}"/>
    <cellStyle name="Heading 3 2 2 2" xfId="35594" xr:uid="{E209B6A1-F390-4E52-A886-731FD3BACED9}"/>
    <cellStyle name="Heading 3 2 2 3" xfId="35593" xr:uid="{66909022-F359-4AB3-BFDE-A0E1F66588DC}"/>
    <cellStyle name="Heading 3 2 3" xfId="4004" xr:uid="{00000000-0005-0000-0000-0000910C0000}"/>
    <cellStyle name="Heading 3 2 3 2" xfId="35595" xr:uid="{BB107116-1FAD-4CEB-B338-0CCEC163E43E}"/>
    <cellStyle name="Heading 3 2 4" xfId="4005" xr:uid="{00000000-0005-0000-0000-0000920C0000}"/>
    <cellStyle name="Heading 3 2 4 2" xfId="35596" xr:uid="{85D3CEDE-733E-4CF0-9DAE-91D12AAD5D02}"/>
    <cellStyle name="Heading 3 2 5" xfId="4006" xr:uid="{00000000-0005-0000-0000-0000930C0000}"/>
    <cellStyle name="Heading 3 2 5 2" xfId="35597" xr:uid="{8F1BAE73-B0BD-4DD8-9419-308EA12A42FF}"/>
    <cellStyle name="Heading 3 2 6" xfId="4007" xr:uid="{00000000-0005-0000-0000-0000940C0000}"/>
    <cellStyle name="Heading 3 2 6 2" xfId="35598" xr:uid="{DDFB4760-BDE2-4463-BE73-FEDE595957BE}"/>
    <cellStyle name="Heading 3 2 7" xfId="4008" xr:uid="{00000000-0005-0000-0000-0000950C0000}"/>
    <cellStyle name="Heading 3 2 7 2" xfId="35599" xr:uid="{7D2B2B53-A166-4F29-BAF6-8971B70D28DF}"/>
    <cellStyle name="Heading 3 2 8" xfId="4009" xr:uid="{00000000-0005-0000-0000-0000960C0000}"/>
    <cellStyle name="Heading 3 2 8 2" xfId="35600" xr:uid="{80C73F95-00FC-4F3F-BFEA-537BD77D7FD5}"/>
    <cellStyle name="Heading 3 2 9" xfId="4010" xr:uid="{00000000-0005-0000-0000-0000970C0000}"/>
    <cellStyle name="Heading 3 2 9 2" xfId="35601" xr:uid="{7D9D4175-2065-42E0-B642-F0F5C0215396}"/>
    <cellStyle name="Heading 3 20" xfId="1807" xr:uid="{00000000-0005-0000-0000-0000980C0000}"/>
    <cellStyle name="Heading 3 20 2" xfId="35602" xr:uid="{BEE691A2-8990-4935-89B1-6512A7AE8528}"/>
    <cellStyle name="Heading 3 21" xfId="1808" xr:uid="{00000000-0005-0000-0000-0000990C0000}"/>
    <cellStyle name="Heading 3 21 2" xfId="35603" xr:uid="{1174AC9E-AF8B-46AD-9DA2-3D909D757CA4}"/>
    <cellStyle name="Heading 3 22" xfId="1809" xr:uid="{00000000-0005-0000-0000-00009A0C0000}"/>
    <cellStyle name="Heading 3 22 2" xfId="35604" xr:uid="{9C7A9A62-2212-4127-B708-102DB0765ED3}"/>
    <cellStyle name="Heading 3 23" xfId="1810" xr:uid="{00000000-0005-0000-0000-00009B0C0000}"/>
    <cellStyle name="Heading 3 23 2" xfId="35605" xr:uid="{46AD6968-2201-4235-9AA2-D4EE294C7422}"/>
    <cellStyle name="Heading 3 24" xfId="1811" xr:uid="{00000000-0005-0000-0000-00009C0C0000}"/>
    <cellStyle name="Heading 3 24 2" xfId="35606" xr:uid="{45D82161-C7A9-4B87-8DC9-14084910CCBA}"/>
    <cellStyle name="Heading 3 25" xfId="1812" xr:uid="{00000000-0005-0000-0000-00009D0C0000}"/>
    <cellStyle name="Heading 3 25 2" xfId="35607" xr:uid="{5D2CF674-25A1-4D6F-951E-86936A3B87A1}"/>
    <cellStyle name="Heading 3 26" xfId="1813" xr:uid="{00000000-0005-0000-0000-00009E0C0000}"/>
    <cellStyle name="Heading 3 26 2" xfId="35608" xr:uid="{B69CB71B-2E96-4B75-9F5F-A63795C27F20}"/>
    <cellStyle name="Heading 3 27" xfId="1814" xr:uid="{00000000-0005-0000-0000-00009F0C0000}"/>
    <cellStyle name="Heading 3 27 2" xfId="35609" xr:uid="{F59BED42-ECB2-4E67-991E-BB358C1C93F9}"/>
    <cellStyle name="Heading 3 28" xfId="1815" xr:uid="{00000000-0005-0000-0000-0000A00C0000}"/>
    <cellStyle name="Heading 3 28 2" xfId="35610" xr:uid="{08C852D7-E883-4FA0-BB3B-8CB4BA25E447}"/>
    <cellStyle name="Heading 3 29" xfId="1816" xr:uid="{00000000-0005-0000-0000-0000A10C0000}"/>
    <cellStyle name="Heading 3 29 2" xfId="35611" xr:uid="{2F7BBCFA-67B1-4A95-A9DB-59E201563216}"/>
    <cellStyle name="Heading 3 3" xfId="122" xr:uid="{00000000-0005-0000-0000-0000A20C0000}"/>
    <cellStyle name="Heading 3 3 2" xfId="1817" xr:uid="{00000000-0005-0000-0000-0000A30C0000}"/>
    <cellStyle name="Heading 3 3 2 2" xfId="9624" xr:uid="{00000000-0005-0000-0000-0000A40C0000}"/>
    <cellStyle name="Heading 3 3 2 2 2" xfId="35614" xr:uid="{CB836000-A59D-4011-A6B2-8FCFE8BDB0FA}"/>
    <cellStyle name="Heading 3 3 2 3" xfId="35613" xr:uid="{9C8B3A27-CCFF-4E8E-BF6C-D16C5DD51578}"/>
    <cellStyle name="Heading 3 3 3" xfId="4011" xr:uid="{00000000-0005-0000-0000-0000A50C0000}"/>
    <cellStyle name="Heading 3 3 3 2" xfId="35615" xr:uid="{175FF0E0-C5A9-4F53-B7BC-5FBA25CE4D54}"/>
    <cellStyle name="Heading 3 3 4" xfId="5776" xr:uid="{00000000-0005-0000-0000-0000A60C0000}"/>
    <cellStyle name="Heading 3 3 4 2" xfId="35616" xr:uid="{73C9BDF9-1C3A-47A3-A9F9-26B9C04D808A}"/>
    <cellStyle name="Heading 3 3 5" xfId="35612" xr:uid="{D8109242-91B9-4A6B-8645-BBA3FDA103AC}"/>
    <cellStyle name="Heading 3 30" xfId="1818" xr:uid="{00000000-0005-0000-0000-0000A70C0000}"/>
    <cellStyle name="Heading 3 30 2" xfId="35617" xr:uid="{C0E5726D-468E-4BD9-B929-A57DF2DD0BFE}"/>
    <cellStyle name="Heading 3 31" xfId="1819" xr:uid="{00000000-0005-0000-0000-0000A80C0000}"/>
    <cellStyle name="Heading 3 31 2" xfId="35618" xr:uid="{72DCC176-36B7-459C-A43B-62965DF1E2D7}"/>
    <cellStyle name="Heading 3 32" xfId="1820" xr:uid="{00000000-0005-0000-0000-0000A90C0000}"/>
    <cellStyle name="Heading 3 32 2" xfId="35619" xr:uid="{7F4F9B3E-6360-45CD-882A-DAE09B5B5B18}"/>
    <cellStyle name="Heading 3 33" xfId="1821" xr:uid="{00000000-0005-0000-0000-0000AA0C0000}"/>
    <cellStyle name="Heading 3 33 2" xfId="35620" xr:uid="{FDB5E6EE-6CD9-4663-9C4F-74716B66F2DF}"/>
    <cellStyle name="Heading 3 34" xfId="1822" xr:uid="{00000000-0005-0000-0000-0000AB0C0000}"/>
    <cellStyle name="Heading 3 34 2" xfId="35621" xr:uid="{31CA3F35-562D-4051-9917-4331227B459F}"/>
    <cellStyle name="Heading 3 35" xfId="1823" xr:uid="{00000000-0005-0000-0000-0000AC0C0000}"/>
    <cellStyle name="Heading 3 35 2" xfId="35622" xr:uid="{6F5E4819-3319-4C29-B566-9D06D18C2941}"/>
    <cellStyle name="Heading 3 36" xfId="1824" xr:uid="{00000000-0005-0000-0000-0000AD0C0000}"/>
    <cellStyle name="Heading 3 36 2" xfId="35623" xr:uid="{B2AD939F-C0E0-44E2-938E-9474E38667B7}"/>
    <cellStyle name="Heading 3 37" xfId="1825" xr:uid="{00000000-0005-0000-0000-0000AE0C0000}"/>
    <cellStyle name="Heading 3 37 2" xfId="35624" xr:uid="{C544DEED-0080-4768-9C47-6EC4FF5BC38E}"/>
    <cellStyle name="Heading 3 38" xfId="1826" xr:uid="{00000000-0005-0000-0000-0000AF0C0000}"/>
    <cellStyle name="Heading 3 38 2" xfId="35625" xr:uid="{07A6119F-7CF0-4361-993B-839A77B47E63}"/>
    <cellStyle name="Heading 3 39" xfId="1827" xr:uid="{00000000-0005-0000-0000-0000B00C0000}"/>
    <cellStyle name="Heading 3 39 2" xfId="35626" xr:uid="{434F356A-B9B5-4BC6-A960-3682746FBD4E}"/>
    <cellStyle name="Heading 3 4" xfId="1828" xr:uid="{00000000-0005-0000-0000-0000B10C0000}"/>
    <cellStyle name="Heading 3 4 2" xfId="9625" xr:uid="{00000000-0005-0000-0000-0000B20C0000}"/>
    <cellStyle name="Heading 3 4 2 2" xfId="35628" xr:uid="{ADCF8323-07D7-4B42-B47E-E647994BDA8C}"/>
    <cellStyle name="Heading 3 4 3" xfId="35627" xr:uid="{39583882-3F95-42A9-BD93-F13D5618DB50}"/>
    <cellStyle name="Heading 3 40" xfId="1829" xr:uid="{00000000-0005-0000-0000-0000B30C0000}"/>
    <cellStyle name="Heading 3 40 2" xfId="35629" xr:uid="{BCA59A16-2B8F-45F6-8E5F-87A61C6CD27C}"/>
    <cellStyle name="Heading 3 41" xfId="1830" xr:uid="{00000000-0005-0000-0000-0000B40C0000}"/>
    <cellStyle name="Heading 3 41 2" xfId="35630" xr:uid="{F319E42F-CBA3-4843-B915-2885BCCE1940}"/>
    <cellStyle name="Heading 3 5" xfId="1831" xr:uid="{00000000-0005-0000-0000-0000B50C0000}"/>
    <cellStyle name="Heading 3 5 2" xfId="9626" xr:uid="{00000000-0005-0000-0000-0000B60C0000}"/>
    <cellStyle name="Heading 3 5 2 2" xfId="35632" xr:uid="{F65E97BE-B474-462F-8ABE-E4F0E098C666}"/>
    <cellStyle name="Heading 3 5 3" xfId="35631" xr:uid="{4CB6CA20-CBCF-489A-810A-DAE4B2F4D134}"/>
    <cellStyle name="Heading 3 6" xfId="1832" xr:uid="{00000000-0005-0000-0000-0000B70C0000}"/>
    <cellStyle name="Heading 3 6 2" xfId="9627" xr:uid="{00000000-0005-0000-0000-0000B80C0000}"/>
    <cellStyle name="Heading 3 6 2 2" xfId="35634" xr:uid="{05DB084B-4C2E-4D77-B59B-4D73A94667A2}"/>
    <cellStyle name="Heading 3 6 3" xfId="35633" xr:uid="{F2EB53DB-801A-4A90-B258-F1DA89BB592B}"/>
    <cellStyle name="Heading 3 7" xfId="1833" xr:uid="{00000000-0005-0000-0000-0000B90C0000}"/>
    <cellStyle name="Heading 3 7 2" xfId="35635" xr:uid="{BDD0500C-6910-472B-A103-15E283361D8E}"/>
    <cellStyle name="Heading 3 8" xfId="1834" xr:uid="{00000000-0005-0000-0000-0000BA0C0000}"/>
    <cellStyle name="Heading 3 8 2" xfId="35636" xr:uid="{1A82A838-AB45-4352-954A-9370986F694D}"/>
    <cellStyle name="Heading 3 9" xfId="1835" xr:uid="{00000000-0005-0000-0000-0000BB0C0000}"/>
    <cellStyle name="Heading 3 9 2" xfId="35637" xr:uid="{B8CCBF9C-6957-43BD-A49F-7B10911B4C2A}"/>
    <cellStyle name="Heading 4 10" xfId="1836" xr:uid="{00000000-0005-0000-0000-0000BC0C0000}"/>
    <cellStyle name="Heading 4 10 2" xfId="35638" xr:uid="{3677CF89-E2C6-4615-8326-D9C45B163367}"/>
    <cellStyle name="Heading 4 11" xfId="1837" xr:uid="{00000000-0005-0000-0000-0000BD0C0000}"/>
    <cellStyle name="Heading 4 11 2" xfId="35639" xr:uid="{C797F9CB-2D4A-4B4C-8DEF-93BC4664049E}"/>
    <cellStyle name="Heading 4 12" xfId="1838" xr:uid="{00000000-0005-0000-0000-0000BE0C0000}"/>
    <cellStyle name="Heading 4 12 2" xfId="35640" xr:uid="{C9237DC6-9C5B-49E9-9075-00DCD79C8250}"/>
    <cellStyle name="Heading 4 13" xfId="1839" xr:uid="{00000000-0005-0000-0000-0000BF0C0000}"/>
    <cellStyle name="Heading 4 13 2" xfId="35641" xr:uid="{F6FCA430-41A4-4173-925F-1E281E756CE0}"/>
    <cellStyle name="Heading 4 14" xfId="1840" xr:uid="{00000000-0005-0000-0000-0000C00C0000}"/>
    <cellStyle name="Heading 4 14 2" xfId="35642" xr:uid="{71B8F8BB-7278-4F83-9CD7-FF661D28C99B}"/>
    <cellStyle name="Heading 4 15" xfId="1841" xr:uid="{00000000-0005-0000-0000-0000C10C0000}"/>
    <cellStyle name="Heading 4 15 2" xfId="35643" xr:uid="{7F5663F9-435D-4EE7-9B4B-EBFAC89527A5}"/>
    <cellStyle name="Heading 4 16" xfId="1842" xr:uid="{00000000-0005-0000-0000-0000C20C0000}"/>
    <cellStyle name="Heading 4 16 2" xfId="35644" xr:uid="{5877E070-B4D4-43A2-BAB7-014F6D8DCAB8}"/>
    <cellStyle name="Heading 4 17" xfId="1843" xr:uid="{00000000-0005-0000-0000-0000C30C0000}"/>
    <cellStyle name="Heading 4 17 2" xfId="35645" xr:uid="{F3442E6B-1E9E-4EEF-9863-5A9466A8A898}"/>
    <cellStyle name="Heading 4 18" xfId="1844" xr:uid="{00000000-0005-0000-0000-0000C40C0000}"/>
    <cellStyle name="Heading 4 18 2" xfId="35646" xr:uid="{8184E2A3-BAEE-4874-9021-A26CFB83968A}"/>
    <cellStyle name="Heading 4 19" xfId="1845" xr:uid="{00000000-0005-0000-0000-0000C50C0000}"/>
    <cellStyle name="Heading 4 19 2" xfId="35647" xr:uid="{91000DFD-9A63-43CC-BC57-FC755D69ACE3}"/>
    <cellStyle name="Heading 4 2" xfId="123" xr:uid="{00000000-0005-0000-0000-0000C60C0000}"/>
    <cellStyle name="Heading 4 2 10" xfId="4012" xr:uid="{00000000-0005-0000-0000-0000C70C0000}"/>
    <cellStyle name="Heading 4 2 10 2" xfId="35649" xr:uid="{9554A482-1CF2-43ED-AEBB-DC4DAF27FF93}"/>
    <cellStyle name="Heading 4 2 11" xfId="9628" xr:uid="{00000000-0005-0000-0000-0000C80C0000}"/>
    <cellStyle name="Heading 4 2 11 2" xfId="35650" xr:uid="{C89523EE-C6B4-4E72-8A42-F69C5B676663}"/>
    <cellStyle name="Heading 4 2 12" xfId="35648" xr:uid="{4AB0808A-140E-4191-803F-B5249A98D39A}"/>
    <cellStyle name="Heading 4 2 2" xfId="4013" xr:uid="{00000000-0005-0000-0000-0000C90C0000}"/>
    <cellStyle name="Heading 4 2 2 2" xfId="35652" xr:uid="{398F077C-25BC-438F-A9BB-FCC262937948}"/>
    <cellStyle name="Heading 4 2 2 3" xfId="35651" xr:uid="{64D86781-F895-4235-B629-D4BAED6EB4EB}"/>
    <cellStyle name="Heading 4 2 3" xfId="4014" xr:uid="{00000000-0005-0000-0000-0000CA0C0000}"/>
    <cellStyle name="Heading 4 2 3 2" xfId="35653" xr:uid="{8E9777E8-0884-4849-9BE2-68693F55D97D}"/>
    <cellStyle name="Heading 4 2 4" xfId="4015" xr:uid="{00000000-0005-0000-0000-0000CB0C0000}"/>
    <cellStyle name="Heading 4 2 4 2" xfId="35654" xr:uid="{5F2BBA21-2028-4229-B0BE-D16C9A557DE1}"/>
    <cellStyle name="Heading 4 2 5" xfId="4016" xr:uid="{00000000-0005-0000-0000-0000CC0C0000}"/>
    <cellStyle name="Heading 4 2 5 2" xfId="35655" xr:uid="{2A54B0E5-3D56-496A-9B98-2A0A644EE655}"/>
    <cellStyle name="Heading 4 2 6" xfId="4017" xr:uid="{00000000-0005-0000-0000-0000CD0C0000}"/>
    <cellStyle name="Heading 4 2 6 2" xfId="35656" xr:uid="{EF36CED2-D57F-4CC0-A463-873DD6A2EDF4}"/>
    <cellStyle name="Heading 4 2 7" xfId="4018" xr:uid="{00000000-0005-0000-0000-0000CE0C0000}"/>
    <cellStyle name="Heading 4 2 7 2" xfId="35657" xr:uid="{259E2272-5A75-46CB-AE61-D34B0CD4DC54}"/>
    <cellStyle name="Heading 4 2 8" xfId="4019" xr:uid="{00000000-0005-0000-0000-0000CF0C0000}"/>
    <cellStyle name="Heading 4 2 8 2" xfId="35658" xr:uid="{5892B8AA-5ABD-4786-B81E-85A01881F5E8}"/>
    <cellStyle name="Heading 4 2 9" xfId="4020" xr:uid="{00000000-0005-0000-0000-0000D00C0000}"/>
    <cellStyle name="Heading 4 2 9 2" xfId="35659" xr:uid="{0EF5E5DA-323D-4AC0-9126-71EAB601C5FE}"/>
    <cellStyle name="Heading 4 20" xfId="1846" xr:uid="{00000000-0005-0000-0000-0000D10C0000}"/>
    <cellStyle name="Heading 4 20 2" xfId="35660" xr:uid="{A3525CCC-9EA8-4057-B1A2-ABC7E48A58F4}"/>
    <cellStyle name="Heading 4 21" xfId="1847" xr:uid="{00000000-0005-0000-0000-0000D20C0000}"/>
    <cellStyle name="Heading 4 21 2" xfId="35661" xr:uid="{85CB63FB-A9C4-4A80-A0FB-B28F49EB128D}"/>
    <cellStyle name="Heading 4 22" xfId="1848" xr:uid="{00000000-0005-0000-0000-0000D30C0000}"/>
    <cellStyle name="Heading 4 22 2" xfId="35662" xr:uid="{ABB9AA59-A0FB-4554-A241-DB676DB209D3}"/>
    <cellStyle name="Heading 4 23" xfId="1849" xr:uid="{00000000-0005-0000-0000-0000D40C0000}"/>
    <cellStyle name="Heading 4 23 2" xfId="35663" xr:uid="{BCE3E90F-90C6-45F9-B315-19A34A6B1823}"/>
    <cellStyle name="Heading 4 24" xfId="1850" xr:uid="{00000000-0005-0000-0000-0000D50C0000}"/>
    <cellStyle name="Heading 4 24 2" xfId="35664" xr:uid="{823FCB5D-D630-490F-886E-B92F380D342E}"/>
    <cellStyle name="Heading 4 25" xfId="1851" xr:uid="{00000000-0005-0000-0000-0000D60C0000}"/>
    <cellStyle name="Heading 4 25 2" xfId="35665" xr:uid="{30397852-758B-4F3D-A830-4D33AA280A99}"/>
    <cellStyle name="Heading 4 26" xfId="1852" xr:uid="{00000000-0005-0000-0000-0000D70C0000}"/>
    <cellStyle name="Heading 4 26 2" xfId="35666" xr:uid="{03315F95-60B6-434C-B473-780CCD605F34}"/>
    <cellStyle name="Heading 4 27" xfId="1853" xr:uid="{00000000-0005-0000-0000-0000D80C0000}"/>
    <cellStyle name="Heading 4 27 2" xfId="35667" xr:uid="{D965120C-0C67-48C6-B8CA-B9811D50FAD1}"/>
    <cellStyle name="Heading 4 28" xfId="1854" xr:uid="{00000000-0005-0000-0000-0000D90C0000}"/>
    <cellStyle name="Heading 4 28 2" xfId="35668" xr:uid="{D70F47D7-B47A-43C9-89D3-28B660EEEFDC}"/>
    <cellStyle name="Heading 4 29" xfId="1855" xr:uid="{00000000-0005-0000-0000-0000DA0C0000}"/>
    <cellStyle name="Heading 4 29 2" xfId="35669" xr:uid="{8B588618-BC3E-4104-9842-A0E0623F2BFE}"/>
    <cellStyle name="Heading 4 3" xfId="124" xr:uid="{00000000-0005-0000-0000-0000DB0C0000}"/>
    <cellStyle name="Heading 4 3 2" xfId="1856" xr:uid="{00000000-0005-0000-0000-0000DC0C0000}"/>
    <cellStyle name="Heading 4 3 2 2" xfId="9629" xr:uid="{00000000-0005-0000-0000-0000DD0C0000}"/>
    <cellStyle name="Heading 4 3 2 2 2" xfId="35672" xr:uid="{43A0F925-BF13-4391-84BF-ED40E700B480}"/>
    <cellStyle name="Heading 4 3 2 3" xfId="35671" xr:uid="{B197AF8C-3A66-4D88-94BB-E96187E35D0F}"/>
    <cellStyle name="Heading 4 3 3" xfId="4021" xr:uid="{00000000-0005-0000-0000-0000DE0C0000}"/>
    <cellStyle name="Heading 4 3 3 2" xfId="35673" xr:uid="{32983D3A-ED89-488D-A662-9C86E846C0A1}"/>
    <cellStyle name="Heading 4 3 4" xfId="5777" xr:uid="{00000000-0005-0000-0000-0000DF0C0000}"/>
    <cellStyle name="Heading 4 3 4 2" xfId="35674" xr:uid="{17A0BF1B-C015-419E-95FA-B14802E05A88}"/>
    <cellStyle name="Heading 4 3 5" xfId="35670" xr:uid="{967D660D-069B-4D6D-9661-D3D12FC476AF}"/>
    <cellStyle name="Heading 4 30" xfId="1857" xr:uid="{00000000-0005-0000-0000-0000E00C0000}"/>
    <cellStyle name="Heading 4 30 2" xfId="35675" xr:uid="{45354EF7-FCB6-4F4F-99DB-C18CF07700D6}"/>
    <cellStyle name="Heading 4 31" xfId="1858" xr:uid="{00000000-0005-0000-0000-0000E10C0000}"/>
    <cellStyle name="Heading 4 31 2" xfId="35676" xr:uid="{771DDCC2-6354-4456-875F-1F7172633B3B}"/>
    <cellStyle name="Heading 4 32" xfId="1859" xr:uid="{00000000-0005-0000-0000-0000E20C0000}"/>
    <cellStyle name="Heading 4 32 2" xfId="35677" xr:uid="{1C455E9F-5729-4AE3-ACDF-DCC711E42B06}"/>
    <cellStyle name="Heading 4 33" xfId="1860" xr:uid="{00000000-0005-0000-0000-0000E30C0000}"/>
    <cellStyle name="Heading 4 33 2" xfId="35678" xr:uid="{6F8C352D-7213-4C7E-8E24-4DE2960CF3DF}"/>
    <cellStyle name="Heading 4 34" xfId="1861" xr:uid="{00000000-0005-0000-0000-0000E40C0000}"/>
    <cellStyle name="Heading 4 34 2" xfId="35679" xr:uid="{32A336D4-91B7-4535-8894-3C3CC6C34F9D}"/>
    <cellStyle name="Heading 4 35" xfId="1862" xr:uid="{00000000-0005-0000-0000-0000E50C0000}"/>
    <cellStyle name="Heading 4 35 2" xfId="35680" xr:uid="{B811003D-216B-4AAC-B6D3-C844F834803E}"/>
    <cellStyle name="Heading 4 36" xfId="1863" xr:uid="{00000000-0005-0000-0000-0000E60C0000}"/>
    <cellStyle name="Heading 4 36 2" xfId="35681" xr:uid="{C04AEE6D-12BE-4759-9DC8-3B769BC86E14}"/>
    <cellStyle name="Heading 4 37" xfId="1864" xr:uid="{00000000-0005-0000-0000-0000E70C0000}"/>
    <cellStyle name="Heading 4 37 2" xfId="35682" xr:uid="{BD4DF3BF-6BA2-4AF3-8A14-632CED38CF23}"/>
    <cellStyle name="Heading 4 38" xfId="1865" xr:uid="{00000000-0005-0000-0000-0000E80C0000}"/>
    <cellStyle name="Heading 4 38 2" xfId="35683" xr:uid="{0909CDB2-A7F7-4446-B84A-A874BDE2DEDD}"/>
    <cellStyle name="Heading 4 39" xfId="1866" xr:uid="{00000000-0005-0000-0000-0000E90C0000}"/>
    <cellStyle name="Heading 4 39 2" xfId="35684" xr:uid="{D8497B6B-C40A-4233-8D48-FD383B690E92}"/>
    <cellStyle name="Heading 4 4" xfId="1867" xr:uid="{00000000-0005-0000-0000-0000EA0C0000}"/>
    <cellStyle name="Heading 4 4 2" xfId="9630" xr:uid="{00000000-0005-0000-0000-0000EB0C0000}"/>
    <cellStyle name="Heading 4 4 2 2" xfId="35686" xr:uid="{3A8A79EA-A8F5-4CB6-953E-0E5FD8BEC55E}"/>
    <cellStyle name="Heading 4 4 3" xfId="35685" xr:uid="{501DA92A-98A9-4243-8843-0D8032E42EEC}"/>
    <cellStyle name="Heading 4 40" xfId="1868" xr:uid="{00000000-0005-0000-0000-0000EC0C0000}"/>
    <cellStyle name="Heading 4 40 2" xfId="35687" xr:uid="{D7EC8CE8-387F-4B71-8026-6FA3DBF2B2B7}"/>
    <cellStyle name="Heading 4 41" xfId="1869" xr:uid="{00000000-0005-0000-0000-0000ED0C0000}"/>
    <cellStyle name="Heading 4 41 2" xfId="35688" xr:uid="{C874AE80-3F34-4744-B2C2-9C3EAF035752}"/>
    <cellStyle name="Heading 4 5" xfId="1870" xr:uid="{00000000-0005-0000-0000-0000EE0C0000}"/>
    <cellStyle name="Heading 4 5 2" xfId="9631" xr:uid="{00000000-0005-0000-0000-0000EF0C0000}"/>
    <cellStyle name="Heading 4 5 2 2" xfId="35690" xr:uid="{E746C1FF-27E6-4EDA-86BF-D8CB83588EBF}"/>
    <cellStyle name="Heading 4 5 3" xfId="35689" xr:uid="{E054BFC1-5174-4C03-B1EE-78FC50897C91}"/>
    <cellStyle name="Heading 4 6" xfId="1871" xr:uid="{00000000-0005-0000-0000-0000F00C0000}"/>
    <cellStyle name="Heading 4 6 2" xfId="9632" xr:uid="{00000000-0005-0000-0000-0000F10C0000}"/>
    <cellStyle name="Heading 4 6 2 2" xfId="35692" xr:uid="{0E01B697-A76A-462B-BE59-50A41D1B31B6}"/>
    <cellStyle name="Heading 4 6 3" xfId="35691" xr:uid="{7EE0E035-992A-47EE-900F-12320E70D53B}"/>
    <cellStyle name="Heading 4 7" xfId="1872" xr:uid="{00000000-0005-0000-0000-0000F20C0000}"/>
    <cellStyle name="Heading 4 7 2" xfId="35693" xr:uid="{0FA963D9-744D-4DB7-BE52-8D88FAC04F77}"/>
    <cellStyle name="Heading 4 8" xfId="1873" xr:uid="{00000000-0005-0000-0000-0000F30C0000}"/>
    <cellStyle name="Heading 4 8 2" xfId="35694" xr:uid="{E16A8998-5C83-4CE4-8353-48191D3030C7}"/>
    <cellStyle name="Heading 4 9" xfId="1874" xr:uid="{00000000-0005-0000-0000-0000F40C0000}"/>
    <cellStyle name="Heading 4 9 2" xfId="35695" xr:uid="{F44C2557-5850-466D-BB18-0854B8C7C00C}"/>
    <cellStyle name="Headline" xfId="1875" xr:uid="{00000000-0005-0000-0000-0000F50C0000}"/>
    <cellStyle name="Headline 2" xfId="35696" xr:uid="{3B414ACF-B575-4032-971B-B4461A8386FA}"/>
    <cellStyle name="Hyperlink" xfId="49744" builtinId="8"/>
    <cellStyle name="Hyperlink 2" xfId="1876" xr:uid="{00000000-0005-0000-0000-0000F60C0000}"/>
    <cellStyle name="Hyperlink 2 2" xfId="7722" xr:uid="{00000000-0005-0000-0000-0000F70C0000}"/>
    <cellStyle name="Hyperlink 2 2 2" xfId="35698" xr:uid="{759322A4-3C55-4D0E-B5E0-E6AAC2C797EA}"/>
    <cellStyle name="Hyperlink 2 3" xfId="35697" xr:uid="{86D3E03C-0A6C-489E-B568-CA56BBBF72FC}"/>
    <cellStyle name="Hyperlink 2 4" xfId="49766" xr:uid="{34C7F6B7-EAA3-4FC2-BA27-627941CACCB0}"/>
    <cellStyle name="Hyperlink 3" xfId="5816" xr:uid="{00000000-0005-0000-0000-0000F80C0000}"/>
    <cellStyle name="Hyperlink 3 2" xfId="35699" xr:uid="{8A3E70A4-9D7B-4481-86DC-CA3CEC077A8B}"/>
    <cellStyle name="Input 10 2" xfId="1877" xr:uid="{00000000-0005-0000-0000-0000F90C0000}"/>
    <cellStyle name="Input 10 2 2" xfId="35700" xr:uid="{65E0DA78-C7AF-4FF0-9254-1D7395EBD858}"/>
    <cellStyle name="Input 11 2" xfId="1878" xr:uid="{00000000-0005-0000-0000-0000FA0C0000}"/>
    <cellStyle name="Input 11 2 2" xfId="35701" xr:uid="{0392F500-783E-4EC9-8760-CFD15766A4F9}"/>
    <cellStyle name="Input 12 2" xfId="1879" xr:uid="{00000000-0005-0000-0000-0000FB0C0000}"/>
    <cellStyle name="Input 12 2 2" xfId="35702" xr:uid="{7FBB90AA-8E89-4C23-BF2B-97DB30B7E79E}"/>
    <cellStyle name="Input 13 2" xfId="1880" xr:uid="{00000000-0005-0000-0000-0000FC0C0000}"/>
    <cellStyle name="Input 13 2 2" xfId="35703" xr:uid="{1226138D-31B6-40FA-B8DA-527BD92C9D12}"/>
    <cellStyle name="Input 14 2" xfId="1881" xr:uid="{00000000-0005-0000-0000-0000FD0C0000}"/>
    <cellStyle name="Input 14 2 2" xfId="35704" xr:uid="{5D1D8DC7-BD65-46BB-BAD8-0EE8A987888B}"/>
    <cellStyle name="Input 15 2" xfId="1882" xr:uid="{00000000-0005-0000-0000-0000FE0C0000}"/>
    <cellStyle name="Input 15 2 2" xfId="35705" xr:uid="{364BAE53-3AEA-4A38-9C42-5870E3F951AB}"/>
    <cellStyle name="Input 16 2" xfId="1883" xr:uid="{00000000-0005-0000-0000-0000FF0C0000}"/>
    <cellStyle name="Input 16 2 2" xfId="35706" xr:uid="{F4C5BD29-8751-4E51-A857-3CA064F99E46}"/>
    <cellStyle name="Input 17 2" xfId="1884" xr:uid="{00000000-0005-0000-0000-0000000D0000}"/>
    <cellStyle name="Input 17 2 2" xfId="35707" xr:uid="{3BB735AD-DC74-48B8-8C2C-8C8EDA42D174}"/>
    <cellStyle name="Input 18 2" xfId="1885" xr:uid="{00000000-0005-0000-0000-0000010D0000}"/>
    <cellStyle name="Input 18 2 2" xfId="35708" xr:uid="{F52ABFBE-FCC4-485C-BDCE-B5F61A435121}"/>
    <cellStyle name="Input 19 2" xfId="1886" xr:uid="{00000000-0005-0000-0000-0000020D0000}"/>
    <cellStyle name="Input 19 2 2" xfId="35709" xr:uid="{377DDFA7-443E-4658-8A0B-E777BA8DE727}"/>
    <cellStyle name="Input 2" xfId="125" xr:uid="{00000000-0005-0000-0000-0000030D0000}"/>
    <cellStyle name="Input 2 10" xfId="4022" xr:uid="{00000000-0005-0000-0000-0000040D0000}"/>
    <cellStyle name="Input 2 10 2" xfId="35711" xr:uid="{C09C905A-D972-4EE0-B436-E571B5DB4C90}"/>
    <cellStyle name="Input 2 11" xfId="9633" xr:uid="{00000000-0005-0000-0000-0000050D0000}"/>
    <cellStyle name="Input 2 11 2" xfId="35712" xr:uid="{4D868B1D-6DB3-418C-BC81-7B8A8DC25B54}"/>
    <cellStyle name="Input 2 12" xfId="9634" xr:uid="{00000000-0005-0000-0000-0000060D0000}"/>
    <cellStyle name="Input 2 12 2" xfId="35713" xr:uid="{B386C821-40B2-477B-A8DB-69014A43C7CF}"/>
    <cellStyle name="Input 2 13" xfId="35710" xr:uid="{9313AE77-68B5-4831-9204-6688BCF9F954}"/>
    <cellStyle name="Input 2 2" xfId="1887" xr:uid="{00000000-0005-0000-0000-0000070D0000}"/>
    <cellStyle name="Input 2 2 2" xfId="4023" xr:uid="{00000000-0005-0000-0000-0000080D0000}"/>
    <cellStyle name="Input 2 2 2 2" xfId="35716" xr:uid="{F803D5CC-930F-4ED4-A180-3F22EA8D43E0}"/>
    <cellStyle name="Input 2 2 2 3" xfId="35715" xr:uid="{73834F8F-3472-4085-A4EC-9AE56A62DD20}"/>
    <cellStyle name="Input 2 2 3" xfId="5964" xr:uid="{00000000-0005-0000-0000-0000090D0000}"/>
    <cellStyle name="Input 2 2 3 2" xfId="35717" xr:uid="{81DA7C79-0B1E-4B7E-BF89-1D006DCEB7A7}"/>
    <cellStyle name="Input 2 2 4" xfId="35714" xr:uid="{95064254-17A7-4EB1-9CA1-4612350D8E18}"/>
    <cellStyle name="Input 2 3" xfId="1888" xr:uid="{00000000-0005-0000-0000-00000A0D0000}"/>
    <cellStyle name="Input 2 3 2" xfId="4024" xr:uid="{00000000-0005-0000-0000-00000B0D0000}"/>
    <cellStyle name="Input 2 3 2 2" xfId="9635" xr:uid="{00000000-0005-0000-0000-00000C0D0000}"/>
    <cellStyle name="Input 2 3 2 2 2" xfId="35720" xr:uid="{6C7FEEBD-3CE3-4E45-BDA5-A5399FDB5099}"/>
    <cellStyle name="Input 2 3 2 3" xfId="35721" xr:uid="{48FD6C7D-9AF6-4E16-A5A4-48CAB37EEC59}"/>
    <cellStyle name="Input 2 3 2 4" xfId="35719" xr:uid="{1EA2E9DA-D4FD-414D-921A-BE1558D45E76}"/>
    <cellStyle name="Input 2 3 3" xfId="5965" xr:uid="{00000000-0005-0000-0000-00000D0D0000}"/>
    <cellStyle name="Input 2 3 3 2" xfId="35722" xr:uid="{CCD88C1D-4B1B-41EE-8FC6-5CD04BC0E7FA}"/>
    <cellStyle name="Input 2 3 4" xfId="35723" xr:uid="{2086E544-A9CE-4AE8-A2AD-8A8DE5C7A19B}"/>
    <cellStyle name="Input 2 3 5" xfId="35718" xr:uid="{960BB34E-D526-4A2A-BE62-2BB66D2A6731}"/>
    <cellStyle name="Input 2 4" xfId="4025" xr:uid="{00000000-0005-0000-0000-00000E0D0000}"/>
    <cellStyle name="Input 2 4 2" xfId="35725" xr:uid="{DE107DD2-EDF5-48E5-A7E5-E6EB1F4F486B}"/>
    <cellStyle name="Input 2 4 3" xfId="35726" xr:uid="{DB6A3A12-D567-490C-A5BF-140C8A44DC3B}"/>
    <cellStyle name="Input 2 4 4" xfId="35724" xr:uid="{6C2D2DE2-9EB1-4FD7-A884-F105806686A2}"/>
    <cellStyle name="Input 2 5" xfId="4026" xr:uid="{00000000-0005-0000-0000-00000F0D0000}"/>
    <cellStyle name="Input 2 5 2" xfId="35728" xr:uid="{334B6B31-9726-4BD7-9174-376C63379BD9}"/>
    <cellStyle name="Input 2 5 3" xfId="35727" xr:uid="{361D039B-BEFF-4CA3-9972-6408404A4B59}"/>
    <cellStyle name="Input 2 6" xfId="4027" xr:uid="{00000000-0005-0000-0000-0000100D0000}"/>
    <cellStyle name="Input 2 6 2" xfId="35730" xr:uid="{C4DE6A7C-9813-46D6-9D4D-C9A48E33EAE9}"/>
    <cellStyle name="Input 2 6 3" xfId="35729" xr:uid="{93004E24-A8A1-4019-AB6A-899BCFEB54AD}"/>
    <cellStyle name="Input 2 7" xfId="4028" xr:uid="{00000000-0005-0000-0000-0000110D0000}"/>
    <cellStyle name="Input 2 7 2" xfId="35731" xr:uid="{E15F6D3D-B464-4FB9-8C8D-A2C3D62479BF}"/>
    <cellStyle name="Input 2 8" xfId="4029" xr:uid="{00000000-0005-0000-0000-0000120D0000}"/>
    <cellStyle name="Input 2 8 2" xfId="35732" xr:uid="{1F32EDE3-3D70-459C-95AB-9848BD1B4F88}"/>
    <cellStyle name="Input 2 9" xfId="4030" xr:uid="{00000000-0005-0000-0000-0000130D0000}"/>
    <cellStyle name="Input 2 9 2" xfId="35733" xr:uid="{DC3E60C0-474A-465D-B985-B10FFBBA58DB}"/>
    <cellStyle name="Input 2_PrimaryEnergyPrices_TIMES" xfId="1889" xr:uid="{00000000-0005-0000-0000-0000140D0000}"/>
    <cellStyle name="Input 20 2" xfId="1890" xr:uid="{00000000-0005-0000-0000-0000150D0000}"/>
    <cellStyle name="Input 20 2 2" xfId="35734" xr:uid="{D830E263-FAAF-4A7E-B47B-2216997C2CF2}"/>
    <cellStyle name="Input 21 2" xfId="1891" xr:uid="{00000000-0005-0000-0000-0000160D0000}"/>
    <cellStyle name="Input 21 2 2" xfId="35735" xr:uid="{2C738325-874A-4268-928B-6AFFA7800A08}"/>
    <cellStyle name="Input 22 2" xfId="1892" xr:uid="{00000000-0005-0000-0000-0000170D0000}"/>
    <cellStyle name="Input 22 2 2" xfId="35736" xr:uid="{E9720DAD-BF9B-46D6-8738-E113AC598136}"/>
    <cellStyle name="Input 23 2" xfId="1893" xr:uid="{00000000-0005-0000-0000-0000180D0000}"/>
    <cellStyle name="Input 23 2 2" xfId="35737" xr:uid="{6DC799A4-0876-4856-B1C9-E429EBC69B7F}"/>
    <cellStyle name="Input 24 2" xfId="1894" xr:uid="{00000000-0005-0000-0000-0000190D0000}"/>
    <cellStyle name="Input 24 2 2" xfId="35738" xr:uid="{22333B84-649C-4690-B477-AA5157E7E3C9}"/>
    <cellStyle name="Input 25 2" xfId="1895" xr:uid="{00000000-0005-0000-0000-00001A0D0000}"/>
    <cellStyle name="Input 25 2 2" xfId="35739" xr:uid="{8F4AEF62-5293-4AA7-AB3A-6784380A3BF2}"/>
    <cellStyle name="Input 26 2" xfId="1896" xr:uid="{00000000-0005-0000-0000-00001B0D0000}"/>
    <cellStyle name="Input 26 2 2" xfId="35740" xr:uid="{3F5A85D8-B47E-4683-B0AA-428AD109B916}"/>
    <cellStyle name="Input 27 2" xfId="1897" xr:uid="{00000000-0005-0000-0000-00001C0D0000}"/>
    <cellStyle name="Input 27 2 2" xfId="35741" xr:uid="{D716FB4C-FD28-4F60-92C8-4F24AEAC24F7}"/>
    <cellStyle name="Input 28 2" xfId="1898" xr:uid="{00000000-0005-0000-0000-00001D0D0000}"/>
    <cellStyle name="Input 28 2 2" xfId="35742" xr:uid="{007BD7C4-9F16-4089-96D8-74F96FBE41EA}"/>
    <cellStyle name="Input 29 2" xfId="1899" xr:uid="{00000000-0005-0000-0000-00001E0D0000}"/>
    <cellStyle name="Input 29 2 2" xfId="35743" xr:uid="{641CA51B-9E5B-4769-9518-B27E7B8DAF8B}"/>
    <cellStyle name="Input 3" xfId="126" xr:uid="{00000000-0005-0000-0000-00001F0D0000}"/>
    <cellStyle name="Input 3 2" xfId="1900" xr:uid="{00000000-0005-0000-0000-0000200D0000}"/>
    <cellStyle name="Input 3 2 2" xfId="35746" xr:uid="{B0B702E9-7593-454C-84DC-E9D47552D89F}"/>
    <cellStyle name="Input 3 2 3" xfId="35747" xr:uid="{9E62C011-1C2C-4481-AF6D-FFBE50485E90}"/>
    <cellStyle name="Input 3 2 4" xfId="35745" xr:uid="{798BD271-E893-438D-ACB3-12C5EE483E51}"/>
    <cellStyle name="Input 3 3" xfId="1901" xr:uid="{00000000-0005-0000-0000-0000210D0000}"/>
    <cellStyle name="Input 3 3 2" xfId="9636" xr:uid="{00000000-0005-0000-0000-0000220D0000}"/>
    <cellStyle name="Input 3 3 2 2" xfId="35750" xr:uid="{9BE2B7B5-D950-4687-8900-367D177344DD}"/>
    <cellStyle name="Input 3 3 2 3" xfId="35749" xr:uid="{3E26BE7F-65FA-4438-BCE0-C0AEEAA55532}"/>
    <cellStyle name="Input 3 3 3" xfId="35751" xr:uid="{D27149CD-6F65-4559-980C-E884D88E6991}"/>
    <cellStyle name="Input 3 3 4" xfId="35752" xr:uid="{AC393D8B-8309-4B30-BB6C-5F3CEBCDFF6E}"/>
    <cellStyle name="Input 3 3 5" xfId="35748" xr:uid="{20A93EC4-8243-41B8-A268-EE2811548BC4}"/>
    <cellStyle name="Input 3 4" xfId="4031" xr:uid="{00000000-0005-0000-0000-0000230D0000}"/>
    <cellStyle name="Input 3 4 2" xfId="35754" xr:uid="{213D49BF-1F0A-4A18-B9B0-7C33390C4D7B}"/>
    <cellStyle name="Input 3 4 3" xfId="35755" xr:uid="{021A6656-E8DC-4104-8D8E-2E882DF8D2C8}"/>
    <cellStyle name="Input 3 4 4" xfId="35753" xr:uid="{E37ED21F-37E1-4733-9E6D-289CFF404D24}"/>
    <cellStyle name="Input 3 5" xfId="5778" xr:uid="{00000000-0005-0000-0000-0000240D0000}"/>
    <cellStyle name="Input 3 5 2" xfId="35757" xr:uid="{495C9E14-2350-4078-AD22-18EEE18B3561}"/>
    <cellStyle name="Input 3 5 3" xfId="35756" xr:uid="{BD02B144-EFCF-4122-908A-0C4C844EB176}"/>
    <cellStyle name="Input 3 6" xfId="35758" xr:uid="{57B0627D-85B1-4B4A-8AF7-91725AADEAFD}"/>
    <cellStyle name="Input 3 7" xfId="35744" xr:uid="{7D746105-F61B-4CCC-8600-404D439163E3}"/>
    <cellStyle name="Input 30 2" xfId="1902" xr:uid="{00000000-0005-0000-0000-0000250D0000}"/>
    <cellStyle name="Input 30 2 2" xfId="35759" xr:uid="{2E5E5153-C862-4DBB-8B9E-CBD4EEC7A361}"/>
    <cellStyle name="Input 31 2" xfId="1903" xr:uid="{00000000-0005-0000-0000-0000260D0000}"/>
    <cellStyle name="Input 31 2 2" xfId="35760" xr:uid="{3EC7E463-474B-4E23-A626-81918A65EB71}"/>
    <cellStyle name="Input 32 2" xfId="1904" xr:uid="{00000000-0005-0000-0000-0000270D0000}"/>
    <cellStyle name="Input 32 2 2" xfId="35761" xr:uid="{DDB1552A-6982-47C3-8682-7A879F5A7E39}"/>
    <cellStyle name="Input 33 2" xfId="1905" xr:uid="{00000000-0005-0000-0000-0000280D0000}"/>
    <cellStyle name="Input 33 2 2" xfId="35762" xr:uid="{33921BA4-EEC3-44F7-831D-DBF49806AE23}"/>
    <cellStyle name="Input 34" xfId="1906" xr:uid="{00000000-0005-0000-0000-0000290D0000}"/>
    <cellStyle name="Input 34 2" xfId="1907" xr:uid="{00000000-0005-0000-0000-00002A0D0000}"/>
    <cellStyle name="Input 34 2 2" xfId="35764" xr:uid="{C8A76D19-C1F6-413B-A5CD-1655B7681D45}"/>
    <cellStyle name="Input 34 3" xfId="35763" xr:uid="{BC12912D-AEC9-430F-A27C-18520CFF2CEC}"/>
    <cellStyle name="Input 34 4" xfId="49767" xr:uid="{C653A0F1-7179-4ECD-BDD4-73876E9F0073}"/>
    <cellStyle name="Input 34_ELC_final" xfId="1908" xr:uid="{00000000-0005-0000-0000-00002B0D0000}"/>
    <cellStyle name="Input 35" xfId="1909" xr:uid="{00000000-0005-0000-0000-00002C0D0000}"/>
    <cellStyle name="Input 35 2" xfId="35765" xr:uid="{702051EA-A0E8-4397-9230-28E0D2095D9E}"/>
    <cellStyle name="Input 36" xfId="1910" xr:uid="{00000000-0005-0000-0000-00002D0D0000}"/>
    <cellStyle name="Input 36 2" xfId="35766" xr:uid="{F42614B6-4D0D-46F2-83AE-0A7B0D1BFD4D}"/>
    <cellStyle name="Input 37" xfId="1911" xr:uid="{00000000-0005-0000-0000-00002E0D0000}"/>
    <cellStyle name="Input 37 2" xfId="35767" xr:uid="{D86A8A5E-50BA-4195-BA63-0D89C8B0FB74}"/>
    <cellStyle name="Input 38" xfId="1912" xr:uid="{00000000-0005-0000-0000-00002F0D0000}"/>
    <cellStyle name="Input 38 2" xfId="35768" xr:uid="{74C36804-3C99-4FE0-B35A-2DD88EB11FCE}"/>
    <cellStyle name="Input 39" xfId="1913" xr:uid="{00000000-0005-0000-0000-0000300D0000}"/>
    <cellStyle name="Input 39 2" xfId="35769" xr:uid="{F431B095-D204-430D-B736-7B989AEF6F73}"/>
    <cellStyle name="Input 4" xfId="9637" xr:uid="{00000000-0005-0000-0000-0000310D0000}"/>
    <cellStyle name="Input 4 2" xfId="1914" xr:uid="{00000000-0005-0000-0000-0000320D0000}"/>
    <cellStyle name="Input 4 2 2" xfId="35771" xr:uid="{FC9AB5BF-64C8-49A4-BE4E-7423349C3A11}"/>
    <cellStyle name="Input 4 3" xfId="35772" xr:uid="{46BE9923-CB38-43C0-B52C-28430C954940}"/>
    <cellStyle name="Input 4 4" xfId="35770" xr:uid="{ED29B9ED-2431-462E-8F7F-7449D64DF077}"/>
    <cellStyle name="Input 40" xfId="1915" xr:uid="{00000000-0005-0000-0000-0000330D0000}"/>
    <cellStyle name="Input 40 2" xfId="35773" xr:uid="{17E02CC0-5822-499D-A283-EC6CE2124271}"/>
    <cellStyle name="Input 5" xfId="9638" xr:uid="{00000000-0005-0000-0000-0000340D0000}"/>
    <cellStyle name="Input 5 2" xfId="1916" xr:uid="{00000000-0005-0000-0000-0000350D0000}"/>
    <cellStyle name="Input 5 2 2" xfId="35775" xr:uid="{AB8F092E-D47F-4240-AC83-32007809C5CD}"/>
    <cellStyle name="Input 5 3" xfId="35774" xr:uid="{49873410-D6DE-4C06-AB54-7338BA80B783}"/>
    <cellStyle name="Input 6" xfId="9639" xr:uid="{00000000-0005-0000-0000-0000360D0000}"/>
    <cellStyle name="Input 6 2" xfId="1917" xr:uid="{00000000-0005-0000-0000-0000370D0000}"/>
    <cellStyle name="Input 6 2 2" xfId="35777" xr:uid="{E3C9721A-6D56-4DCF-A469-F6599EDDBFEF}"/>
    <cellStyle name="Input 6 3" xfId="35776" xr:uid="{AB42C506-6530-4A8A-A26D-5DD94CBB4D15}"/>
    <cellStyle name="Input 7" xfId="35778" xr:uid="{EB1AC23C-5C64-4CC1-87E5-2C2F29207A8F}"/>
    <cellStyle name="Input 7 2" xfId="1918" xr:uid="{00000000-0005-0000-0000-0000380D0000}"/>
    <cellStyle name="Input 7 2 2" xfId="35779" xr:uid="{A41D8DE8-DEEF-4163-9739-E6B2CF5E21F7}"/>
    <cellStyle name="Input 8" xfId="35780" xr:uid="{28A585ED-A9DC-4BE3-9629-FCEA87D25398}"/>
    <cellStyle name="Input 8 2" xfId="1919" xr:uid="{00000000-0005-0000-0000-0000390D0000}"/>
    <cellStyle name="Input 8 2 2" xfId="35781" xr:uid="{9C8C1553-CFA8-45FA-A36D-CD82F0859962}"/>
    <cellStyle name="Input 9 2" xfId="1920" xr:uid="{00000000-0005-0000-0000-00003A0D0000}"/>
    <cellStyle name="Input 9 2 2" xfId="35782" xr:uid="{3AD02BC5-4D0D-4BCD-B080-7EFF49F44E5C}"/>
    <cellStyle name="InputCells" xfId="1921" xr:uid="{00000000-0005-0000-0000-00003B0D0000}"/>
    <cellStyle name="InputCells 2" xfId="35784" xr:uid="{F4AC9B74-E2EA-460B-8A91-1CEC13CAF31D}"/>
    <cellStyle name="InputCells 2 2" xfId="49769" xr:uid="{0B98C377-F014-413C-A839-EC4E383324E8}"/>
    <cellStyle name="InputCells 3" xfId="35785" xr:uid="{7DB30117-D33B-4639-B650-1CE8FE23BEBE}"/>
    <cellStyle name="InputCells 4" xfId="35786" xr:uid="{41A843E8-651F-4AE5-9AF1-0164145E0160}"/>
    <cellStyle name="InputCells 5" xfId="35783" xr:uid="{AD5E91F3-6FAC-4CED-9E35-45C42ECBCE1F}"/>
    <cellStyle name="InputCells 6" xfId="49768" xr:uid="{0B860FCB-F753-44D9-BFC5-DDE1ADC5E5A4}"/>
    <cellStyle name="InputCells_Bborder_1" xfId="35787" xr:uid="{12407E09-0FEB-4390-ACFA-671A95CE178E}"/>
    <cellStyle name="InputCells12" xfId="1922" xr:uid="{00000000-0005-0000-0000-00003C0D0000}"/>
    <cellStyle name="InputCells12 2" xfId="35789" xr:uid="{0411B44D-D149-49FF-AB56-60D335E0A3CF}"/>
    <cellStyle name="InputCells12 2 2" xfId="35790" xr:uid="{AC52B79E-B247-4841-8593-40D139533A98}"/>
    <cellStyle name="InputCells12 2 2 2" xfId="35791" xr:uid="{12A563DB-C4A1-4E66-9A13-F428FE1124BB}"/>
    <cellStyle name="InputCells12 2 2 2 2" xfId="35792" xr:uid="{A3613452-3D81-42A5-9C53-FAAA50DC679C}"/>
    <cellStyle name="InputCells12 2 2 3" xfId="35793" xr:uid="{6E34E0AC-C8A5-4C7F-91D0-BA5BB2DED33E}"/>
    <cellStyle name="InputCells12 2 3" xfId="35794" xr:uid="{9242B7B3-2984-42E1-B70D-E3A9CFB9E4AD}"/>
    <cellStyle name="InputCells12 2 3 2" xfId="35795" xr:uid="{8EDE4F4C-0ECA-4F0E-9EFC-3E913A96B55C}"/>
    <cellStyle name="InputCells12 2 3 2 2" xfId="35796" xr:uid="{FD40D076-7DCB-4D34-8116-37EA855EF181}"/>
    <cellStyle name="InputCells12 2 3 3" xfId="35797" xr:uid="{709DB661-F202-44CF-96B3-35857A95BD45}"/>
    <cellStyle name="InputCells12 2 3 3 2" xfId="35798" xr:uid="{DFE1E56E-9F0F-4428-ABA6-AF8E05FDEA5C}"/>
    <cellStyle name="InputCells12 2 3 4" xfId="35799" xr:uid="{D9D4C8E2-5B2A-42D2-944B-DECD4CC7D709}"/>
    <cellStyle name="InputCells12 2 3 4 2" xfId="35800" xr:uid="{66D9FC76-6AA1-460E-9514-391BF7B6C865}"/>
    <cellStyle name="InputCells12 3" xfId="35801" xr:uid="{7304C765-19A1-4137-BF30-97B9E841AF57}"/>
    <cellStyle name="InputCells12 3 2" xfId="35802" xr:uid="{EE6D50DE-2662-4443-9BAC-E6C7D99B3ECF}"/>
    <cellStyle name="InputCells12 3 2 2" xfId="35803" xr:uid="{3BAC0CDE-B227-4B51-AA2F-E0DD63822842}"/>
    <cellStyle name="InputCells12 3 3" xfId="35804" xr:uid="{C3DC143F-5A4F-4477-B3DD-5868A6946C40}"/>
    <cellStyle name="InputCells12 4" xfId="35805" xr:uid="{C52C7674-0D74-42F2-8913-1AE10E20B8C9}"/>
    <cellStyle name="InputCells12 4 2" xfId="35806" xr:uid="{8D7D4ADA-935B-4E41-BEC8-5883215689A9}"/>
    <cellStyle name="InputCells12 4 2 2" xfId="35807" xr:uid="{3EF2B43A-10BD-470C-A87A-78E9A27BD90F}"/>
    <cellStyle name="InputCells12 4 3" xfId="35808" xr:uid="{2FCA8579-07AD-4031-A061-D9DE2C5B820B}"/>
    <cellStyle name="InputCells12 4 3 2" xfId="35809" xr:uid="{E8CF5B01-5858-404F-9C9D-51B787FA0C95}"/>
    <cellStyle name="InputCells12 4 4" xfId="35810" xr:uid="{367DEBB5-10B5-48DA-BC2F-9F5D7FFF5CB3}"/>
    <cellStyle name="InputCells12 4 4 2" xfId="35811" xr:uid="{22DBF77A-0613-4A41-8B61-DBE6D6C13082}"/>
    <cellStyle name="InputCells12 5" xfId="35812" xr:uid="{AC48C869-A8A6-4840-8C3D-ACE9EED98BE5}"/>
    <cellStyle name="InputCells12 6" xfId="35788" xr:uid="{AB6F916B-4615-4763-9C26-190D98889401}"/>
    <cellStyle name="InputCells12_BBorder" xfId="35813" xr:uid="{E62957D6-C6C5-4D23-976F-F2F513EAF11A}"/>
    <cellStyle name="IntCells" xfId="1923" xr:uid="{00000000-0005-0000-0000-00003D0D0000}"/>
    <cellStyle name="IntCells 2" xfId="35814" xr:uid="{9EE4521F-1684-4775-B906-B34034B58F8F}"/>
    <cellStyle name="KP_thin_border_dark_grey" xfId="35815" xr:uid="{21952249-6442-46D6-922F-5DAB664DC0F1}"/>
    <cellStyle name="ligne_titre_0" xfId="270" xr:uid="{00000000-0005-0000-0000-00003E0D0000}"/>
    <cellStyle name="Linked Cell 10" xfId="1924" xr:uid="{00000000-0005-0000-0000-00003F0D0000}"/>
    <cellStyle name="Linked Cell 10 2" xfId="35816" xr:uid="{A85E6DE1-C29D-499F-B150-2D375E488E5B}"/>
    <cellStyle name="Linked Cell 11" xfId="1925" xr:uid="{00000000-0005-0000-0000-0000400D0000}"/>
    <cellStyle name="Linked Cell 11 2" xfId="35817" xr:uid="{9B6E9F61-7AEC-487E-AAED-01E0EFA5D79D}"/>
    <cellStyle name="Linked Cell 12" xfId="1926" xr:uid="{00000000-0005-0000-0000-0000410D0000}"/>
    <cellStyle name="Linked Cell 12 2" xfId="35818" xr:uid="{6ABAD555-CD97-45B1-B645-FF546A804C15}"/>
    <cellStyle name="Linked Cell 13" xfId="1927" xr:uid="{00000000-0005-0000-0000-0000420D0000}"/>
    <cellStyle name="Linked Cell 13 2" xfId="35819" xr:uid="{DB37264F-1D6B-44EF-9AA1-53FC4C2463D0}"/>
    <cellStyle name="Linked Cell 14" xfId="1928" xr:uid="{00000000-0005-0000-0000-0000430D0000}"/>
    <cellStyle name="Linked Cell 14 2" xfId="35820" xr:uid="{2C30DFBE-87F9-4774-9028-38B6F3C11BAF}"/>
    <cellStyle name="Linked Cell 15" xfId="1929" xr:uid="{00000000-0005-0000-0000-0000440D0000}"/>
    <cellStyle name="Linked Cell 15 2" xfId="35821" xr:uid="{0FACA58A-5D20-4E05-B155-A4527DDDB04A}"/>
    <cellStyle name="Linked Cell 16" xfId="1930" xr:uid="{00000000-0005-0000-0000-0000450D0000}"/>
    <cellStyle name="Linked Cell 16 2" xfId="35822" xr:uid="{4DC4E997-90A4-426B-A588-E68D1BFBB918}"/>
    <cellStyle name="Linked Cell 17" xfId="1931" xr:uid="{00000000-0005-0000-0000-0000460D0000}"/>
    <cellStyle name="Linked Cell 17 2" xfId="35823" xr:uid="{D51F995A-4386-437D-88B6-1545C0BED754}"/>
    <cellStyle name="Linked Cell 18" xfId="1932" xr:uid="{00000000-0005-0000-0000-0000470D0000}"/>
    <cellStyle name="Linked Cell 18 2" xfId="35824" xr:uid="{A58E06E7-9025-4E75-8775-7905B08CA10D}"/>
    <cellStyle name="Linked Cell 19" xfId="1933" xr:uid="{00000000-0005-0000-0000-0000480D0000}"/>
    <cellStyle name="Linked Cell 19 2" xfId="35825" xr:uid="{DEEEF248-09D5-4444-A8F9-B2498122753B}"/>
    <cellStyle name="Linked Cell 2" xfId="127" xr:uid="{00000000-0005-0000-0000-0000490D0000}"/>
    <cellStyle name="Linked Cell 2 10" xfId="4032" xr:uid="{00000000-0005-0000-0000-00004A0D0000}"/>
    <cellStyle name="Linked Cell 2 10 2" xfId="35827" xr:uid="{D8546D3A-7AE4-4347-97BD-F02CEE94B18A}"/>
    <cellStyle name="Linked Cell 2 11" xfId="9640" xr:uid="{00000000-0005-0000-0000-00004B0D0000}"/>
    <cellStyle name="Linked Cell 2 11 2" xfId="35828" xr:uid="{274A8463-0E49-490A-837E-B26FD85B1F61}"/>
    <cellStyle name="Linked Cell 2 12" xfId="35826" xr:uid="{12922CDE-6C8C-49C2-B980-EA2BAB548886}"/>
    <cellStyle name="Linked Cell 2 2" xfId="4033" xr:uid="{00000000-0005-0000-0000-00004C0D0000}"/>
    <cellStyle name="Linked Cell 2 2 2" xfId="35830" xr:uid="{B9C35EBA-5E6F-4880-A658-426044305A9C}"/>
    <cellStyle name="Linked Cell 2 2 3" xfId="35829" xr:uid="{3DE6EA60-5445-4F75-BD79-E82E3AB1ED6A}"/>
    <cellStyle name="Linked Cell 2 3" xfId="4034" xr:uid="{00000000-0005-0000-0000-00004D0D0000}"/>
    <cellStyle name="Linked Cell 2 3 2" xfId="35831" xr:uid="{11710F2F-439C-4796-9A6B-9B96F5D0B694}"/>
    <cellStyle name="Linked Cell 2 4" xfId="4035" xr:uid="{00000000-0005-0000-0000-00004E0D0000}"/>
    <cellStyle name="Linked Cell 2 4 2" xfId="35832" xr:uid="{F1E483DD-7755-4909-99C5-BD627A73D5A5}"/>
    <cellStyle name="Linked Cell 2 5" xfId="4036" xr:uid="{00000000-0005-0000-0000-00004F0D0000}"/>
    <cellStyle name="Linked Cell 2 5 2" xfId="35833" xr:uid="{3FFE83B7-171F-4B7B-A8C1-F40936DB02B4}"/>
    <cellStyle name="Linked Cell 2 6" xfId="4037" xr:uid="{00000000-0005-0000-0000-0000500D0000}"/>
    <cellStyle name="Linked Cell 2 6 2" xfId="35834" xr:uid="{EF8C0C35-2096-4A67-B90F-13B6189127AE}"/>
    <cellStyle name="Linked Cell 2 7" xfId="4038" xr:uid="{00000000-0005-0000-0000-0000510D0000}"/>
    <cellStyle name="Linked Cell 2 7 2" xfId="35835" xr:uid="{DD7282E6-5EA3-4C1C-9A00-98364A40F8A7}"/>
    <cellStyle name="Linked Cell 2 8" xfId="4039" xr:uid="{00000000-0005-0000-0000-0000520D0000}"/>
    <cellStyle name="Linked Cell 2 8 2" xfId="35836" xr:uid="{DEE2ED89-087E-4C90-B467-112752060284}"/>
    <cellStyle name="Linked Cell 2 9" xfId="4040" xr:uid="{00000000-0005-0000-0000-0000530D0000}"/>
    <cellStyle name="Linked Cell 2 9 2" xfId="35837" xr:uid="{5ED3EED5-A90B-4FAE-95BB-011EFC2CB257}"/>
    <cellStyle name="Linked Cell 20" xfId="1934" xr:uid="{00000000-0005-0000-0000-0000540D0000}"/>
    <cellStyle name="Linked Cell 20 2" xfId="35838" xr:uid="{9A994180-CB06-4688-842C-DE0B94258566}"/>
    <cellStyle name="Linked Cell 21" xfId="1935" xr:uid="{00000000-0005-0000-0000-0000550D0000}"/>
    <cellStyle name="Linked Cell 21 2" xfId="35839" xr:uid="{F7CFF51C-9D05-4247-BBBB-6808074CF2AA}"/>
    <cellStyle name="Linked Cell 22" xfId="1936" xr:uid="{00000000-0005-0000-0000-0000560D0000}"/>
    <cellStyle name="Linked Cell 22 2" xfId="35840" xr:uid="{D32A61D2-5A68-42C1-AFC8-0449FB095C75}"/>
    <cellStyle name="Linked Cell 23" xfId="1937" xr:uid="{00000000-0005-0000-0000-0000570D0000}"/>
    <cellStyle name="Linked Cell 23 2" xfId="35841" xr:uid="{FC3B85C8-2646-4C4C-8BE3-5E28DC57023D}"/>
    <cellStyle name="Linked Cell 24" xfId="1938" xr:uid="{00000000-0005-0000-0000-0000580D0000}"/>
    <cellStyle name="Linked Cell 24 2" xfId="35842" xr:uid="{EF71D562-B84D-404D-AC8C-937FF72E589E}"/>
    <cellStyle name="Linked Cell 25" xfId="1939" xr:uid="{00000000-0005-0000-0000-0000590D0000}"/>
    <cellStyle name="Linked Cell 25 2" xfId="35843" xr:uid="{FEA0D871-6446-43C8-BE47-D740E993FF88}"/>
    <cellStyle name="Linked Cell 26" xfId="1940" xr:uid="{00000000-0005-0000-0000-00005A0D0000}"/>
    <cellStyle name="Linked Cell 26 2" xfId="35844" xr:uid="{201BD38E-BD36-4ED1-9073-E20AE6489A67}"/>
    <cellStyle name="Linked Cell 27" xfId="1941" xr:uid="{00000000-0005-0000-0000-00005B0D0000}"/>
    <cellStyle name="Linked Cell 27 2" xfId="35845" xr:uid="{2DB14EF9-CABB-4690-9703-319414C352B2}"/>
    <cellStyle name="Linked Cell 28" xfId="1942" xr:uid="{00000000-0005-0000-0000-00005C0D0000}"/>
    <cellStyle name="Linked Cell 28 2" xfId="35846" xr:uid="{7CA2516A-7904-444F-8409-4E4827D193FF}"/>
    <cellStyle name="Linked Cell 29" xfId="1943" xr:uid="{00000000-0005-0000-0000-00005D0D0000}"/>
    <cellStyle name="Linked Cell 29 2" xfId="35847" xr:uid="{CB13DB87-3687-4EB6-84C0-8A02FE358B18}"/>
    <cellStyle name="Linked Cell 3" xfId="128" xr:uid="{00000000-0005-0000-0000-00005E0D0000}"/>
    <cellStyle name="Linked Cell 3 2" xfId="1944" xr:uid="{00000000-0005-0000-0000-00005F0D0000}"/>
    <cellStyle name="Linked Cell 3 2 2" xfId="9641" xr:uid="{00000000-0005-0000-0000-0000600D0000}"/>
    <cellStyle name="Linked Cell 3 2 2 2" xfId="35850" xr:uid="{49E64D36-ACE5-4E51-AE2C-26387FF7C972}"/>
    <cellStyle name="Linked Cell 3 2 3" xfId="35849" xr:uid="{6FD4DFED-9FCF-4BD2-964B-5FF46D664D1E}"/>
    <cellStyle name="Linked Cell 3 3" xfId="4041" xr:uid="{00000000-0005-0000-0000-0000610D0000}"/>
    <cellStyle name="Linked Cell 3 3 2" xfId="35851" xr:uid="{6D0714EB-F7F2-4FAA-8FAB-275D7C10CFBE}"/>
    <cellStyle name="Linked Cell 3 4" xfId="5779" xr:uid="{00000000-0005-0000-0000-0000620D0000}"/>
    <cellStyle name="Linked Cell 3 4 2" xfId="35852" xr:uid="{DA7AC706-3340-475C-B862-0F49F31E5396}"/>
    <cellStyle name="Linked Cell 3 5" xfId="35848" xr:uid="{2682D5C1-058F-44B0-B322-527BA6F3A880}"/>
    <cellStyle name="Linked Cell 30" xfId="1945" xr:uid="{00000000-0005-0000-0000-0000630D0000}"/>
    <cellStyle name="Linked Cell 30 2" xfId="35853" xr:uid="{32A5183F-30C9-461F-976D-DE2CD899704F}"/>
    <cellStyle name="Linked Cell 31" xfId="1946" xr:uid="{00000000-0005-0000-0000-0000640D0000}"/>
    <cellStyle name="Linked Cell 31 2" xfId="35854" xr:uid="{B0A9A075-4459-4DCD-AD66-CFFF6277EF6C}"/>
    <cellStyle name="Linked Cell 32" xfId="1947" xr:uid="{00000000-0005-0000-0000-0000650D0000}"/>
    <cellStyle name="Linked Cell 32 2" xfId="35855" xr:uid="{C23CEDA9-5A7D-433A-9E22-7AC47E6B2329}"/>
    <cellStyle name="Linked Cell 33" xfId="1948" xr:uid="{00000000-0005-0000-0000-0000660D0000}"/>
    <cellStyle name="Linked Cell 33 2" xfId="35856" xr:uid="{A9112C7C-D9AE-419A-991F-459646DDFB6A}"/>
    <cellStyle name="Linked Cell 34" xfId="1949" xr:uid="{00000000-0005-0000-0000-0000670D0000}"/>
    <cellStyle name="Linked Cell 34 2" xfId="35857" xr:uid="{F4EC3A2B-E25D-4961-BAD8-6DF0D45921DC}"/>
    <cellStyle name="Linked Cell 35" xfId="1950" xr:uid="{00000000-0005-0000-0000-0000680D0000}"/>
    <cellStyle name="Linked Cell 35 2" xfId="35858" xr:uid="{E92D1971-7477-4E5F-91EB-D50AA7FA4843}"/>
    <cellStyle name="Linked Cell 36" xfId="1951" xr:uid="{00000000-0005-0000-0000-0000690D0000}"/>
    <cellStyle name="Linked Cell 36 2" xfId="35859" xr:uid="{DCA30361-9827-44D7-88E6-A10E34DD460D}"/>
    <cellStyle name="Linked Cell 37" xfId="1952" xr:uid="{00000000-0005-0000-0000-00006A0D0000}"/>
    <cellStyle name="Linked Cell 37 2" xfId="35860" xr:uid="{2268CF5E-3181-4CE5-891D-D139642B7FD6}"/>
    <cellStyle name="Linked Cell 38" xfId="1953" xr:uid="{00000000-0005-0000-0000-00006B0D0000}"/>
    <cellStyle name="Linked Cell 38 2" xfId="35861" xr:uid="{71818886-A2AD-4661-A632-5E851EB7142A}"/>
    <cellStyle name="Linked Cell 39" xfId="1954" xr:uid="{00000000-0005-0000-0000-00006C0D0000}"/>
    <cellStyle name="Linked Cell 39 2" xfId="35862" xr:uid="{EDB117DB-1B6B-40CD-B6DF-2A664846CDD1}"/>
    <cellStyle name="Linked Cell 4" xfId="1955" xr:uid="{00000000-0005-0000-0000-00006D0D0000}"/>
    <cellStyle name="Linked Cell 4 2" xfId="9642" xr:uid="{00000000-0005-0000-0000-00006E0D0000}"/>
    <cellStyle name="Linked Cell 4 2 2" xfId="35864" xr:uid="{2D450451-928A-4096-BCDD-D17298E7703B}"/>
    <cellStyle name="Linked Cell 4 3" xfId="35863" xr:uid="{3A18045A-7547-499B-B222-FA71D608A73C}"/>
    <cellStyle name="Linked Cell 40" xfId="1956" xr:uid="{00000000-0005-0000-0000-00006F0D0000}"/>
    <cellStyle name="Linked Cell 40 2" xfId="35865" xr:uid="{B3B72DED-95D9-479E-8F47-E0786EFFDC3C}"/>
    <cellStyle name="Linked Cell 41" xfId="1957" xr:uid="{00000000-0005-0000-0000-0000700D0000}"/>
    <cellStyle name="Linked Cell 41 2" xfId="35866" xr:uid="{AAA9C384-877D-451D-A0ED-5E701EAF6361}"/>
    <cellStyle name="Linked Cell 5" xfId="1958" xr:uid="{00000000-0005-0000-0000-0000710D0000}"/>
    <cellStyle name="Linked Cell 5 2" xfId="9643" xr:uid="{00000000-0005-0000-0000-0000720D0000}"/>
    <cellStyle name="Linked Cell 5 2 2" xfId="35868" xr:uid="{E560E017-C29B-492F-B8C5-3FD9A4B89DC4}"/>
    <cellStyle name="Linked Cell 5 3" xfId="35867" xr:uid="{1DF9000B-B871-45D9-8B2D-33CC25CD8D36}"/>
    <cellStyle name="Linked Cell 6" xfId="1959" xr:uid="{00000000-0005-0000-0000-0000730D0000}"/>
    <cellStyle name="Linked Cell 6 2" xfId="9644" xr:uid="{00000000-0005-0000-0000-0000740D0000}"/>
    <cellStyle name="Linked Cell 6 2 2" xfId="35870" xr:uid="{7DAF03E5-98F2-4D2D-A527-525D1615ADF6}"/>
    <cellStyle name="Linked Cell 6 3" xfId="35869" xr:uid="{9169DA06-1491-48D2-9EF2-8EF79C615EF8}"/>
    <cellStyle name="Linked Cell 7" xfId="1960" xr:uid="{00000000-0005-0000-0000-0000750D0000}"/>
    <cellStyle name="Linked Cell 7 2" xfId="35871" xr:uid="{630F08D4-33EE-4D3B-AAA2-9B9BF5E34620}"/>
    <cellStyle name="Linked Cell 8" xfId="1961" xr:uid="{00000000-0005-0000-0000-0000760D0000}"/>
    <cellStyle name="Linked Cell 8 2" xfId="35872" xr:uid="{E9D18FFF-57E4-4E50-890D-B638AB88E0F3}"/>
    <cellStyle name="Linked Cell 9" xfId="1962" xr:uid="{00000000-0005-0000-0000-0000770D0000}"/>
    <cellStyle name="Linked Cell 9 2" xfId="35873" xr:uid="{96750B01-A61D-43D9-BB31-88E40B3683BB}"/>
    <cellStyle name="Migliaia_Oil&amp;Gas IFE ARC POLITO" xfId="4042" xr:uid="{00000000-0005-0000-0000-0000780D0000}"/>
    <cellStyle name="Neutral 10" xfId="1963" xr:uid="{00000000-0005-0000-0000-0000790D0000}"/>
    <cellStyle name="Neutral 10 2" xfId="35874" xr:uid="{FFDC7E62-0107-46A1-941B-28D6F01233E5}"/>
    <cellStyle name="Neutral 11" xfId="1964" xr:uid="{00000000-0005-0000-0000-00007A0D0000}"/>
    <cellStyle name="Neutral 11 2" xfId="35875" xr:uid="{106EA588-9EE5-4B12-9D71-C822E571E9FD}"/>
    <cellStyle name="Neutral 12" xfId="1965" xr:uid="{00000000-0005-0000-0000-00007B0D0000}"/>
    <cellStyle name="Neutral 12 2" xfId="35876" xr:uid="{BA7533DD-7E90-40B4-9C7D-9511C51E0D01}"/>
    <cellStyle name="Neutral 13" xfId="1966" xr:uid="{00000000-0005-0000-0000-00007C0D0000}"/>
    <cellStyle name="Neutral 13 2" xfId="35877" xr:uid="{8701CB72-E5BC-49FE-ADA1-61AAF0AE65F4}"/>
    <cellStyle name="Neutral 14" xfId="1967" xr:uid="{00000000-0005-0000-0000-00007D0D0000}"/>
    <cellStyle name="Neutral 14 2" xfId="35878" xr:uid="{5BBD4CF4-9E19-4903-B85D-2572E42D8DEB}"/>
    <cellStyle name="Neutral 15" xfId="1968" xr:uid="{00000000-0005-0000-0000-00007E0D0000}"/>
    <cellStyle name="Neutral 15 2" xfId="35879" xr:uid="{99A41E1B-CA0F-4B74-B7DB-3FF163C69E93}"/>
    <cellStyle name="Neutral 16" xfId="1969" xr:uid="{00000000-0005-0000-0000-00007F0D0000}"/>
    <cellStyle name="Neutral 16 2" xfId="35880" xr:uid="{FB1C132C-0332-477A-88B1-CE3A1BC6237F}"/>
    <cellStyle name="Neutral 17" xfId="1970" xr:uid="{00000000-0005-0000-0000-0000800D0000}"/>
    <cellStyle name="Neutral 17 2" xfId="35881" xr:uid="{E58397CC-9C8F-4849-90CF-6E5FFAE6A804}"/>
    <cellStyle name="Neutral 18" xfId="1971" xr:uid="{00000000-0005-0000-0000-0000810D0000}"/>
    <cellStyle name="Neutral 18 2" xfId="35882" xr:uid="{F29927EF-C546-4B43-8C3A-E1953F0962D6}"/>
    <cellStyle name="Neutral 19" xfId="1972" xr:uid="{00000000-0005-0000-0000-0000820D0000}"/>
    <cellStyle name="Neutral 19 2" xfId="35883" xr:uid="{2366C252-1A56-4313-9D33-F17BD015F64F}"/>
    <cellStyle name="Neutral 2" xfId="129" xr:uid="{00000000-0005-0000-0000-0000830D0000}"/>
    <cellStyle name="Neutral 2 10" xfId="4043" xr:uid="{00000000-0005-0000-0000-0000840D0000}"/>
    <cellStyle name="Neutral 2 10 2" xfId="35885" xr:uid="{9C8370A9-0D0B-4FD9-BF4B-A74F3794A333}"/>
    <cellStyle name="Neutral 2 11" xfId="9645" xr:uid="{00000000-0005-0000-0000-0000850D0000}"/>
    <cellStyle name="Neutral 2 11 2" xfId="35886" xr:uid="{1595343F-456F-47B2-BE3E-66B1936301BF}"/>
    <cellStyle name="Neutral 2 12" xfId="35884" xr:uid="{A4FA7270-CE2B-47E8-8CAD-168DAA6C59BC}"/>
    <cellStyle name="Neutral 2 2" xfId="4044" xr:uid="{00000000-0005-0000-0000-0000860D0000}"/>
    <cellStyle name="Neutral 2 2 2" xfId="35888" xr:uid="{F0AD6C2B-5C0D-47CB-8A59-1485D80051AF}"/>
    <cellStyle name="Neutral 2 2 3" xfId="35887" xr:uid="{63AA62BE-770E-41A0-95E6-544CB39A6C34}"/>
    <cellStyle name="Neutral 2 3" xfId="4045" xr:uid="{00000000-0005-0000-0000-0000870D0000}"/>
    <cellStyle name="Neutral 2 3 2" xfId="35889" xr:uid="{EAC6AC18-2078-465A-86D8-47342C1DE84B}"/>
    <cellStyle name="Neutral 2 4" xfId="4046" xr:uid="{00000000-0005-0000-0000-0000880D0000}"/>
    <cellStyle name="Neutral 2 4 2" xfId="35890" xr:uid="{E8FE3A3A-6F5F-4CDC-8724-23A146B04699}"/>
    <cellStyle name="Neutral 2 5" xfId="4047" xr:uid="{00000000-0005-0000-0000-0000890D0000}"/>
    <cellStyle name="Neutral 2 5 2" xfId="35891" xr:uid="{53F4DE0D-2F61-43D2-8EE0-A04D65BFC29D}"/>
    <cellStyle name="Neutral 2 6" xfId="4048" xr:uid="{00000000-0005-0000-0000-00008A0D0000}"/>
    <cellStyle name="Neutral 2 6 2" xfId="35892" xr:uid="{BBB46E99-28AD-478E-B9C6-9CD411E5D94C}"/>
    <cellStyle name="Neutral 2 7" xfId="4049" xr:uid="{00000000-0005-0000-0000-00008B0D0000}"/>
    <cellStyle name="Neutral 2 7 2" xfId="35893" xr:uid="{97A740FA-2A61-4C3C-84FE-BC1DCDFA1C09}"/>
    <cellStyle name="Neutral 2 8" xfId="4050" xr:uid="{00000000-0005-0000-0000-00008C0D0000}"/>
    <cellStyle name="Neutral 2 8 2" xfId="35894" xr:uid="{6289552A-BB3C-4CBB-80B8-EEE1A121C670}"/>
    <cellStyle name="Neutral 2 9" xfId="4051" xr:uid="{00000000-0005-0000-0000-00008D0D0000}"/>
    <cellStyle name="Neutral 2 9 2" xfId="35895" xr:uid="{079599B9-17BD-4032-9069-C8346964BDF7}"/>
    <cellStyle name="Neutral 20" xfId="1973" xr:uid="{00000000-0005-0000-0000-00008E0D0000}"/>
    <cellStyle name="Neutral 20 2" xfId="35896" xr:uid="{D55182BE-1A26-4ACC-BCEE-78D5333F7512}"/>
    <cellStyle name="Neutral 21" xfId="1974" xr:uid="{00000000-0005-0000-0000-00008F0D0000}"/>
    <cellStyle name="Neutral 21 2" xfId="35897" xr:uid="{3A1A508C-23FD-4F69-A0E4-29B4D5DCDA79}"/>
    <cellStyle name="Neutral 22" xfId="1975" xr:uid="{00000000-0005-0000-0000-0000900D0000}"/>
    <cellStyle name="Neutral 22 2" xfId="35898" xr:uid="{6F41700E-970B-404D-86D2-A5697C584256}"/>
    <cellStyle name="Neutral 23" xfId="1976" xr:uid="{00000000-0005-0000-0000-0000910D0000}"/>
    <cellStyle name="Neutral 23 2" xfId="35899" xr:uid="{782F22DD-A594-4FB9-9816-10C0F9F94FE4}"/>
    <cellStyle name="Neutral 24" xfId="1977" xr:uid="{00000000-0005-0000-0000-0000920D0000}"/>
    <cellStyle name="Neutral 24 2" xfId="35900" xr:uid="{5E91CB95-BEB6-461E-8D7B-4AFFB9DEE422}"/>
    <cellStyle name="Neutral 25" xfId="1978" xr:uid="{00000000-0005-0000-0000-0000930D0000}"/>
    <cellStyle name="Neutral 25 2" xfId="35901" xr:uid="{E89F9738-9DCC-4D35-B9FE-85F3F2B4F262}"/>
    <cellStyle name="Neutral 26" xfId="1979" xr:uid="{00000000-0005-0000-0000-0000940D0000}"/>
    <cellStyle name="Neutral 26 2" xfId="35902" xr:uid="{83D54F33-FDBD-4A82-8D0A-B5BC5B987031}"/>
    <cellStyle name="Neutral 27" xfId="1980" xr:uid="{00000000-0005-0000-0000-0000950D0000}"/>
    <cellStyle name="Neutral 27 2" xfId="35903" xr:uid="{7E713C93-E2DC-4988-9366-A6DD51D600C7}"/>
    <cellStyle name="Neutral 28" xfId="1981" xr:uid="{00000000-0005-0000-0000-0000960D0000}"/>
    <cellStyle name="Neutral 28 2" xfId="35904" xr:uid="{1848517A-09F9-4E35-B2E0-C0BD70F19298}"/>
    <cellStyle name="Neutral 29" xfId="1982" xr:uid="{00000000-0005-0000-0000-0000970D0000}"/>
    <cellStyle name="Neutral 29 2" xfId="35905" xr:uid="{AA3EFCDC-C42A-403A-9779-656F6D430254}"/>
    <cellStyle name="Neutral 3" xfId="130" xr:uid="{00000000-0005-0000-0000-0000980D0000}"/>
    <cellStyle name="Neutral 3 2" xfId="1984" xr:uid="{00000000-0005-0000-0000-0000990D0000}"/>
    <cellStyle name="Neutral 3 2 2" xfId="9646" xr:uid="{00000000-0005-0000-0000-00009A0D0000}"/>
    <cellStyle name="Neutral 3 2 2 2" xfId="35908" xr:uid="{88DAFCE0-E3CA-41E5-AE78-059D88465C27}"/>
    <cellStyle name="Neutral 3 2 3" xfId="35909" xr:uid="{6877D506-AB5D-47E1-A677-1D97DA9185F3}"/>
    <cellStyle name="Neutral 3 2 4" xfId="35907" xr:uid="{33975B85-28AE-4BDB-9743-52B18D709616}"/>
    <cellStyle name="Neutral 3 3" xfId="1985" xr:uid="{00000000-0005-0000-0000-00009B0D0000}"/>
    <cellStyle name="Neutral 3 3 2" xfId="9647" xr:uid="{00000000-0005-0000-0000-00009C0D0000}"/>
    <cellStyle name="Neutral 3 3 2 2" xfId="35911" xr:uid="{1F496E80-65A9-45F6-873F-042B5B87BA8C}"/>
    <cellStyle name="Neutral 3 3 3" xfId="35912" xr:uid="{6992C753-3096-4EAF-AEC2-AFD246CEB00C}"/>
    <cellStyle name="Neutral 3 3 4" xfId="35910" xr:uid="{733BAD88-F28D-43F0-B83D-EFC7399FBCA6}"/>
    <cellStyle name="Neutral 3 4" xfId="1986" xr:uid="{00000000-0005-0000-0000-00009D0D0000}"/>
    <cellStyle name="Neutral 3 4 2" xfId="35913" xr:uid="{6F13588B-ACE9-47B6-A1D2-2CFB39D37996}"/>
    <cellStyle name="Neutral 3 5" xfId="1983" xr:uid="{00000000-0005-0000-0000-00009E0D0000}"/>
    <cellStyle name="Neutral 3 5 2" xfId="35914" xr:uid="{AAC185E1-0AFF-4C05-A2B3-176CA26E9BDC}"/>
    <cellStyle name="Neutral 3 6" xfId="4052" xr:uid="{00000000-0005-0000-0000-00009F0D0000}"/>
    <cellStyle name="Neutral 3 6 2" xfId="35915" xr:uid="{136A873A-BBB3-46BB-9B99-BA467A63D524}"/>
    <cellStyle name="Neutral 3 7" xfId="5780" xr:uid="{00000000-0005-0000-0000-0000A00D0000}"/>
    <cellStyle name="Neutral 3 7 2" xfId="35916" xr:uid="{5054EBCC-513E-4138-B2DE-F6CCEC3411BC}"/>
    <cellStyle name="Neutral 3 8" xfId="35906" xr:uid="{24B45FA4-4D43-4290-9FD1-CCCBE90491CC}"/>
    <cellStyle name="Neutral 30" xfId="1987" xr:uid="{00000000-0005-0000-0000-0000A10D0000}"/>
    <cellStyle name="Neutral 30 2" xfId="35917" xr:uid="{0322C08B-CDB0-43BC-B586-5A243F9ABC76}"/>
    <cellStyle name="Neutral 31" xfId="1988" xr:uid="{00000000-0005-0000-0000-0000A20D0000}"/>
    <cellStyle name="Neutral 31 2" xfId="35918" xr:uid="{D6AD0936-B70C-4001-A8CD-E5B60FD14C1F}"/>
    <cellStyle name="Neutral 32" xfId="1989" xr:uid="{00000000-0005-0000-0000-0000A30D0000}"/>
    <cellStyle name="Neutral 32 2" xfId="35919" xr:uid="{1E5116E7-71F4-414C-B075-C7677013AC1F}"/>
    <cellStyle name="Neutral 33" xfId="1990" xr:uid="{00000000-0005-0000-0000-0000A40D0000}"/>
    <cellStyle name="Neutral 33 2" xfId="35920" xr:uid="{A29F2277-FA89-4659-BB59-91DA434EC5E7}"/>
    <cellStyle name="Neutral 34" xfId="1991" xr:uid="{00000000-0005-0000-0000-0000A50D0000}"/>
    <cellStyle name="Neutral 34 2" xfId="35921" xr:uid="{AFFD752E-9FFF-46A3-8040-C18BE58826D2}"/>
    <cellStyle name="Neutral 35" xfId="1992" xr:uid="{00000000-0005-0000-0000-0000A60D0000}"/>
    <cellStyle name="Neutral 35 2" xfId="35922" xr:uid="{8C0C7A2F-1037-470A-BDB5-2647E504A4F3}"/>
    <cellStyle name="Neutral 36" xfId="1993" xr:uid="{00000000-0005-0000-0000-0000A70D0000}"/>
    <cellStyle name="Neutral 36 2" xfId="35923" xr:uid="{F9E3521D-835E-43DE-AD7E-A63F4FE6D74F}"/>
    <cellStyle name="Neutral 37" xfId="1994" xr:uid="{00000000-0005-0000-0000-0000A80D0000}"/>
    <cellStyle name="Neutral 37 2" xfId="35924" xr:uid="{72D52593-F59C-4C4C-880F-CAFA1EFFAB16}"/>
    <cellStyle name="Neutral 38" xfId="1995" xr:uid="{00000000-0005-0000-0000-0000A90D0000}"/>
    <cellStyle name="Neutral 38 2" xfId="35925" xr:uid="{27FB12E3-0DDA-4AF6-BF63-03421ED3707F}"/>
    <cellStyle name="Neutral 39" xfId="1996" xr:uid="{00000000-0005-0000-0000-0000AA0D0000}"/>
    <cellStyle name="Neutral 39 2" xfId="35926" xr:uid="{843FBD05-370E-4D91-BC60-7C1D2D5B9FC7}"/>
    <cellStyle name="Neutral 4" xfId="1997" xr:uid="{00000000-0005-0000-0000-0000AB0D0000}"/>
    <cellStyle name="Neutral 4 2" xfId="1998" xr:uid="{00000000-0005-0000-0000-0000AC0D0000}"/>
    <cellStyle name="Neutral 4 2 2" xfId="35928" xr:uid="{F1A34F20-3F9E-4721-9D85-AFBB98A1BFFD}"/>
    <cellStyle name="Neutral 4 3" xfId="35929" xr:uid="{16A9007A-1C3E-4E09-B4B4-B75E72D2567A}"/>
    <cellStyle name="Neutral 4 4" xfId="35927" xr:uid="{1EABB51C-99F6-41D2-B64D-606C8ABC77FD}"/>
    <cellStyle name="Neutral 40" xfId="1999" xr:uid="{00000000-0005-0000-0000-0000AD0D0000}"/>
    <cellStyle name="Neutral 40 2" xfId="35930" xr:uid="{030CD09E-27D1-4832-92C0-DBC2D8E02C99}"/>
    <cellStyle name="Neutral 41" xfId="2000" xr:uid="{00000000-0005-0000-0000-0000AE0D0000}"/>
    <cellStyle name="Neutral 41 2" xfId="35931" xr:uid="{DA54D0EE-5804-4668-BF0C-E06AE256D462}"/>
    <cellStyle name="Neutral 42" xfId="2001" xr:uid="{00000000-0005-0000-0000-0000AF0D0000}"/>
    <cellStyle name="Neutral 42 2" xfId="35932" xr:uid="{0813B0BC-D5ED-496C-AA19-188091A77CA4}"/>
    <cellStyle name="Neutral 43" xfId="2002" xr:uid="{00000000-0005-0000-0000-0000B00D0000}"/>
    <cellStyle name="Neutral 43 2" xfId="35933" xr:uid="{5AA93B9B-B04E-40A3-9C56-7C6A2F5278A3}"/>
    <cellStyle name="Neutral 5" xfId="2003" xr:uid="{00000000-0005-0000-0000-0000B10D0000}"/>
    <cellStyle name="Neutral 5 2" xfId="9648" xr:uid="{00000000-0005-0000-0000-0000B20D0000}"/>
    <cellStyle name="Neutral 5 2 2" xfId="35935" xr:uid="{64429888-E205-422F-AE87-F6A0D728A335}"/>
    <cellStyle name="Neutral 5 3" xfId="35934" xr:uid="{E84EF2CC-FA88-4D4B-838F-625F1CB0749E}"/>
    <cellStyle name="Neutral 6" xfId="2004" xr:uid="{00000000-0005-0000-0000-0000B30D0000}"/>
    <cellStyle name="Neutral 6 2" xfId="9649" xr:uid="{00000000-0005-0000-0000-0000B40D0000}"/>
    <cellStyle name="Neutral 6 2 2" xfId="35937" xr:uid="{BE961914-B65A-420B-8474-25B64D5860BA}"/>
    <cellStyle name="Neutral 6 3" xfId="35936" xr:uid="{091661EE-A242-41C7-A35B-E74A26300AE8}"/>
    <cellStyle name="Neutral 7" xfId="2005" xr:uid="{00000000-0005-0000-0000-0000B50D0000}"/>
    <cellStyle name="Neutral 7 2" xfId="35938" xr:uid="{C053BA40-FD55-4272-9D8D-9987B337EE28}"/>
    <cellStyle name="Neutral 8" xfId="2006" xr:uid="{00000000-0005-0000-0000-0000B60D0000}"/>
    <cellStyle name="Neutral 8 2" xfId="35939" xr:uid="{6492D9C6-8994-436C-844A-290E60031D2C}"/>
    <cellStyle name="Neutral 9" xfId="2007" xr:uid="{00000000-0005-0000-0000-0000B70D0000}"/>
    <cellStyle name="Neutral 9 2" xfId="35940" xr:uid="{624145BE-2C35-4CB7-BE92-C0D7E3A5D0BB}"/>
    <cellStyle name="Normaali 2" xfId="35941" xr:uid="{2F15BCA9-4FD0-4E87-B94F-660633D77D55}"/>
    <cellStyle name="Normaali 2 2" xfId="35942" xr:uid="{C3A4025E-D6D6-4314-8CCC-9F8B9F633F51}"/>
    <cellStyle name="Normal" xfId="0" builtinId="0"/>
    <cellStyle name="Normal 10" xfId="1" xr:uid="{00000000-0005-0000-0000-0000B90D0000}"/>
    <cellStyle name="Normal 10 10" xfId="35943" xr:uid="{D31D82FB-AAFD-4D42-80B5-38BBF6D27F40}"/>
    <cellStyle name="Normal 10 2" xfId="131" xr:uid="{00000000-0005-0000-0000-0000BA0D0000}"/>
    <cellStyle name="Normal 10 2 10" xfId="16729" xr:uid="{AAD7456A-803C-4923-A743-F795B431EF33}"/>
    <cellStyle name="Normal 10 2 11" xfId="28050" xr:uid="{D69ABA3B-6FE2-4C1F-8756-15E2BE0EC05C}"/>
    <cellStyle name="Normal 10 2 12" xfId="35944" xr:uid="{DDDB5162-7197-4027-BA8D-F5221329A7BC}"/>
    <cellStyle name="Normal 10 2 13" xfId="49770" xr:uid="{D768F774-2F4D-43B7-84B0-5113EA0AF0B4}"/>
    <cellStyle name="Normal 10 2 2" xfId="302" xr:uid="{00000000-0005-0000-0000-0000BB0D0000}"/>
    <cellStyle name="Normal 10 2 2 10" xfId="28067" xr:uid="{7F419C1A-DE5D-4DF6-A893-0F8AB9E92522}"/>
    <cellStyle name="Normal 10 2 2 11" xfId="35945" xr:uid="{44A8929D-3769-4089-8E71-DAE85F76F4B6}"/>
    <cellStyle name="Normal 10 2 2 2" xfId="2009" xr:uid="{00000000-0005-0000-0000-0000BC0D0000}"/>
    <cellStyle name="Normal 10 2 2 2 2" xfId="35946" xr:uid="{4A5C5672-72EE-4FE9-BDB6-851539A6D8F8}"/>
    <cellStyle name="Normal 10 2 2 3" xfId="4817" xr:uid="{00000000-0005-0000-0000-0000BD0D0000}"/>
    <cellStyle name="Normal 10 2 2 3 2" xfId="5238" xr:uid="{00000000-0005-0000-0000-0000BE0D0000}"/>
    <cellStyle name="Normal 10 2 2 3 2 2" xfId="7101" xr:uid="{00000000-0005-0000-0000-0000BF0D0000}"/>
    <cellStyle name="Normal 10 2 2 3 2 2 2" xfId="15534" xr:uid="{00000000-0005-0000-0000-0000C00D0000}"/>
    <cellStyle name="Normal 10 2 2 3 2 2 2 2" xfId="27428" xr:uid="{B0B48A7E-0272-4F0B-B5FC-008A72A73BEE}"/>
    <cellStyle name="Normal 10 2 2 3 2 2 2 3" xfId="21768" xr:uid="{20EEB400-59B6-4D5C-A36F-ED3C1ABC2FCA}"/>
    <cellStyle name="Normal 10 2 2 3 2 2 2 4" xfId="32808" xr:uid="{AB1B5E99-1FB0-433B-B48A-CE752D2AD531}"/>
    <cellStyle name="Normal 10 2 2 3 2 2 2 5" xfId="35950" xr:uid="{B6FF607B-16B7-476F-B1E4-8090B7E117A8}"/>
    <cellStyle name="Normal 10 2 2 3 2 2 3" xfId="24595" xr:uid="{255E6001-DE31-4888-BA9C-06E95E105791}"/>
    <cellStyle name="Normal 10 2 2 3 2 2 4" xfId="18935" xr:uid="{3C883944-00D9-465D-B1E5-E5427F5A3495}"/>
    <cellStyle name="Normal 10 2 2 3 2 2 5" xfId="30256" xr:uid="{4C765D2C-D428-468F-AC28-C9CD406C9885}"/>
    <cellStyle name="Normal 10 2 2 3 2 2 6" xfId="33456" xr:uid="{2B7163E4-622E-4246-99D0-BBA2D31A99C3}"/>
    <cellStyle name="Normal 10 2 2 3 2 2 7" xfId="35949" xr:uid="{F1CC3B46-109D-45A4-BC04-D25CB94E78EB}"/>
    <cellStyle name="Normal 10 2 2 3 2 3" xfId="14124" xr:uid="{00000000-0005-0000-0000-0000C10D0000}"/>
    <cellStyle name="Normal 10 2 2 3 2 3 2" xfId="26163" xr:uid="{47EBC8C8-F92E-4931-AB18-2B1540071823}"/>
    <cellStyle name="Normal 10 2 2 3 2 3 3" xfId="20503" xr:uid="{10A35DA6-EA48-4357-B6A1-15E5598A06DB}"/>
    <cellStyle name="Normal 10 2 2 3 2 3 4" xfId="31543" xr:uid="{062950F1-EDB1-4376-9B05-DAEDDAE234EB}"/>
    <cellStyle name="Normal 10 2 2 3 2 3 5" xfId="35951" xr:uid="{55411106-9C88-44F7-8990-BF2F9A677BAA}"/>
    <cellStyle name="Normal 10 2 2 3 2 4" xfId="23033" xr:uid="{5145A814-FBA2-4198-8917-76E4A47435AE}"/>
    <cellStyle name="Normal 10 2 2 3 2 5" xfId="17373" xr:uid="{F06389FB-44A0-49EB-88D9-7084D14D5C9B}"/>
    <cellStyle name="Normal 10 2 2 3 2 6" xfId="28694" xr:uid="{6A56A3E6-6B17-4B83-BE30-19787C44551E}"/>
    <cellStyle name="Normal 10 2 2 3 2 7" xfId="35948" xr:uid="{04074902-42BA-4C4E-A141-9FF9F36D0175}"/>
    <cellStyle name="Normal 10 2 2 3 3" xfId="5967" xr:uid="{00000000-0005-0000-0000-0000C20D0000}"/>
    <cellStyle name="Normal 10 2 2 3 3 2" xfId="7314" xr:uid="{00000000-0005-0000-0000-0000C30D0000}"/>
    <cellStyle name="Normal 10 2 2 3 3 2 2" xfId="15747" xr:uid="{00000000-0005-0000-0000-0000C40D0000}"/>
    <cellStyle name="Normal 10 2 2 3 3 2 2 2" xfId="27641" xr:uid="{C816994B-6D4E-4A56-98BA-A5D9691CEE4C}"/>
    <cellStyle name="Normal 10 2 2 3 3 2 2 3" xfId="21981" xr:uid="{21FE51A2-1FDB-4BEF-BBD9-D8C65A249DE8}"/>
    <cellStyle name="Normal 10 2 2 3 3 2 2 4" xfId="33021" xr:uid="{38A03CCE-B102-48A5-B303-7DC6C85111F2}"/>
    <cellStyle name="Normal 10 2 2 3 3 2 2 5" xfId="35954" xr:uid="{DFCEA2CF-704A-4E60-B914-61E05184BE8A}"/>
    <cellStyle name="Normal 10 2 2 3 3 2 3" xfId="24808" xr:uid="{618ADCAD-793C-408A-9C5C-BDB6A6A76200}"/>
    <cellStyle name="Normal 10 2 2 3 3 2 4" xfId="19148" xr:uid="{DB60FF18-051E-43E9-A1DE-173AE6951536}"/>
    <cellStyle name="Normal 10 2 2 3 3 2 5" xfId="30469" xr:uid="{BAA8197F-96BC-4D2E-ACDB-A8DC909700BD}"/>
    <cellStyle name="Normal 10 2 2 3 3 2 6" xfId="35953" xr:uid="{7E7A7E82-86F7-4A18-8DC7-31A9C5E1FA8B}"/>
    <cellStyle name="Normal 10 2 2 3 3 3" xfId="14426" xr:uid="{00000000-0005-0000-0000-0000C50D0000}"/>
    <cellStyle name="Normal 10 2 2 3 3 3 2" xfId="26385" xr:uid="{360FFF64-5622-48F0-9C59-CAECBFF75888}"/>
    <cellStyle name="Normal 10 2 2 3 3 3 3" xfId="20725" xr:uid="{226C36FE-EC2E-47FC-ABA5-687C69DCCF5A}"/>
    <cellStyle name="Normal 10 2 2 3 3 3 4" xfId="31765" xr:uid="{63D846C6-40ED-4CD3-8675-E7701D47729C}"/>
    <cellStyle name="Normal 10 2 2 3 3 3 5" xfId="35955" xr:uid="{F47D8576-1FE4-47C9-A6D1-5EB8A8043F51}"/>
    <cellStyle name="Normal 10 2 2 3 3 4" xfId="23552" xr:uid="{20D5C3BE-78BB-4AAC-93B5-2602E83B0B4B}"/>
    <cellStyle name="Normal 10 2 2 3 3 5" xfId="17892" xr:uid="{C8631EA6-0645-44D9-A71B-CB6A49541404}"/>
    <cellStyle name="Normal 10 2 2 3 3 6" xfId="29213" xr:uid="{F51C0CBA-7AB5-48AB-A745-C0E2C354C8A9}"/>
    <cellStyle name="Normal 10 2 2 3 3 7" xfId="35952" xr:uid="{C39ADDC4-E67F-43F3-B0C1-1E96CB5A0304}"/>
    <cellStyle name="Normal 10 2 2 3 4" xfId="6683" xr:uid="{00000000-0005-0000-0000-0000C60D0000}"/>
    <cellStyle name="Normal 10 2 2 3 4 2" xfId="15116" xr:uid="{00000000-0005-0000-0000-0000C70D0000}"/>
    <cellStyle name="Normal 10 2 2 3 4 2 2" xfId="27010" xr:uid="{F182BFC3-4C70-4226-933F-D48617FF6FE6}"/>
    <cellStyle name="Normal 10 2 2 3 4 2 3" xfId="21350" xr:uid="{7D5C0265-FD07-4543-9B17-2942C3F996C4}"/>
    <cellStyle name="Normal 10 2 2 3 4 2 4" xfId="32390" xr:uid="{2867457F-8864-4FBC-80B5-6E81E8A0B459}"/>
    <cellStyle name="Normal 10 2 2 3 4 2 5" xfId="35957" xr:uid="{9A843E89-34C3-4B54-B9CF-ADB97A5DA5AA}"/>
    <cellStyle name="Normal 10 2 2 3 4 3" xfId="24177" xr:uid="{82A932BC-0B42-4064-9A4F-7454797DEF16}"/>
    <cellStyle name="Normal 10 2 2 3 4 4" xfId="18517" xr:uid="{0607FE24-CDB0-4710-A587-1ED6753A0150}"/>
    <cellStyle name="Normal 10 2 2 3 4 5" xfId="29838" xr:uid="{1E9D9077-9E3F-407F-88B4-65A39069D2B7}"/>
    <cellStyle name="Normal 10 2 2 3 4 6" xfId="35956" xr:uid="{9957C7CA-8DE3-4B9B-9FCF-8ACA76925404}"/>
    <cellStyle name="Normal 10 2 2 3 5" xfId="7724" xr:uid="{00000000-0005-0000-0000-0000C80D0000}"/>
    <cellStyle name="Normal 10 2 2 3 5 2" xfId="25212" xr:uid="{7BCED3E8-3056-4081-B496-75082EE90041}"/>
    <cellStyle name="Normal 10 2 2 3 5 3" xfId="19552" xr:uid="{4A8B8CDE-D91C-44A0-91BA-AC3961975646}"/>
    <cellStyle name="Normal 10 2 2 3 5 4" xfId="30873" xr:uid="{FFC232F8-220F-4278-A9A1-259D0BC24908}"/>
    <cellStyle name="Normal 10 2 2 3 5 5" xfId="35958" xr:uid="{C4AD3AE9-704F-4A92-9688-76A19A48CF69}"/>
    <cellStyle name="Normal 10 2 2 3 6" xfId="22615" xr:uid="{A62A5493-D492-41CA-9929-989FAE43F99E}"/>
    <cellStyle name="Normal 10 2 2 3 7" xfId="16955" xr:uid="{3FBD8A12-E967-4A5C-98F3-7ABE5052FC62}"/>
    <cellStyle name="Normal 10 2 2 3 8" xfId="28276" xr:uid="{65911C1A-DE9C-4306-9D62-D60CB093C770}"/>
    <cellStyle name="Normal 10 2 2 3 9" xfId="35947" xr:uid="{552B50BE-785E-4301-A04F-3C4FDC61DC1D}"/>
    <cellStyle name="Normal 10 2 2 4" xfId="5029" xr:uid="{00000000-0005-0000-0000-0000C90D0000}"/>
    <cellStyle name="Normal 10 2 2 4 2" xfId="6892" xr:uid="{00000000-0005-0000-0000-0000CA0D0000}"/>
    <cellStyle name="Normal 10 2 2 4 2 2" xfId="15325" xr:uid="{00000000-0005-0000-0000-0000CB0D0000}"/>
    <cellStyle name="Normal 10 2 2 4 2 2 2" xfId="27219" xr:uid="{7FD4DE49-4CBC-4CA9-8E90-DEE24FFF9A2F}"/>
    <cellStyle name="Normal 10 2 2 4 2 2 3" xfId="21559" xr:uid="{EE98E5D1-5168-4962-9831-496075C1077E}"/>
    <cellStyle name="Normal 10 2 2 4 2 2 4" xfId="32599" xr:uid="{0E892D1E-8FAF-453D-A095-855481F212F3}"/>
    <cellStyle name="Normal 10 2 2 4 2 2 5" xfId="35961" xr:uid="{CE19B460-8EB4-419E-9B38-423EC8DBF4BC}"/>
    <cellStyle name="Normal 10 2 2 4 2 3" xfId="24386" xr:uid="{44FFD89D-9696-4AD2-8A9B-EB9CB7444BC7}"/>
    <cellStyle name="Normal 10 2 2 4 2 4" xfId="18726" xr:uid="{D7E892B6-9D49-431F-A938-BC82EC1200F9}"/>
    <cellStyle name="Normal 10 2 2 4 2 5" xfId="30047" xr:uid="{8C074C95-356E-47B3-8141-C61221D31AA9}"/>
    <cellStyle name="Normal 10 2 2 4 2 6" xfId="35960" xr:uid="{3593F7A2-AA51-4E5D-96B8-2D7F9857F210}"/>
    <cellStyle name="Normal 10 2 2 4 3" xfId="13933" xr:uid="{00000000-0005-0000-0000-0000CC0D0000}"/>
    <cellStyle name="Normal 10 2 2 4 3 2" xfId="25974" xr:uid="{26822543-5047-4525-8F98-D6B2084052FC}"/>
    <cellStyle name="Normal 10 2 2 4 3 3" xfId="20314" xr:uid="{72A189DC-1ADA-41C4-BED1-CC88AD9787AC}"/>
    <cellStyle name="Normal 10 2 2 4 3 4" xfId="31354" xr:uid="{64EF3CC2-4FF4-4E7E-9326-40F0EC56FF62}"/>
    <cellStyle name="Normal 10 2 2 4 3 5" xfId="35962" xr:uid="{9BF6638D-AF22-4194-8AF8-2DEF04588AD3}"/>
    <cellStyle name="Normal 10 2 2 4 4" xfId="9650" xr:uid="{00000000-0005-0000-0000-0000CD0D0000}"/>
    <cellStyle name="Normal 10 2 2 4 4 2" xfId="35963" xr:uid="{E84347F7-6362-415E-866F-F90467D8A322}"/>
    <cellStyle name="Normal 10 2 2 4 5" xfId="22824" xr:uid="{D1F18044-B3AA-42CF-8987-97C86E341649}"/>
    <cellStyle name="Normal 10 2 2 4 6" xfId="17164" xr:uid="{D062164B-6813-491C-A9CD-BEAB2A4ABC58}"/>
    <cellStyle name="Normal 10 2 2 4 7" xfId="28485" xr:uid="{876FF067-88DB-4868-990C-D47AB421D1EE}"/>
    <cellStyle name="Normal 10 2 2 4 8" xfId="35959" xr:uid="{61431E7E-0ABC-4858-9E7E-80F2AA58B746}"/>
    <cellStyle name="Normal 10 2 2 5" xfId="5966" xr:uid="{00000000-0005-0000-0000-0000CE0D0000}"/>
    <cellStyle name="Normal 10 2 2 5 2" xfId="7313" xr:uid="{00000000-0005-0000-0000-0000CF0D0000}"/>
    <cellStyle name="Normal 10 2 2 5 2 2" xfId="15746" xr:uid="{00000000-0005-0000-0000-0000D00D0000}"/>
    <cellStyle name="Normal 10 2 2 5 2 2 2" xfId="27640" xr:uid="{4D000DEA-C41D-42B4-A9BC-0026B267FA35}"/>
    <cellStyle name="Normal 10 2 2 5 2 2 3" xfId="21980" xr:uid="{DACEDB7E-48D5-4B78-8DF2-98E9F4C1D440}"/>
    <cellStyle name="Normal 10 2 2 5 2 2 4" xfId="33020" xr:uid="{2111380F-C3A5-49A2-A69E-7B65E2ED0197}"/>
    <cellStyle name="Normal 10 2 2 5 2 2 5" xfId="35966" xr:uid="{B034C7FB-4182-47FD-954D-5C9EC71237EE}"/>
    <cellStyle name="Normal 10 2 2 5 2 3" xfId="24807" xr:uid="{A1EFAE27-020E-4CB6-ADAD-F89F289B568F}"/>
    <cellStyle name="Normal 10 2 2 5 2 4" xfId="19147" xr:uid="{E585A251-2842-49CC-A9CF-6D6158FBABB4}"/>
    <cellStyle name="Normal 10 2 2 5 2 5" xfId="30468" xr:uid="{8FD429A6-8CFD-42F7-841C-B6423267AEB0}"/>
    <cellStyle name="Normal 10 2 2 5 2 6" xfId="35965" xr:uid="{07D9AC1F-820C-417D-9E39-662BCD7C213B}"/>
    <cellStyle name="Normal 10 2 2 5 3" xfId="14425" xr:uid="{00000000-0005-0000-0000-0000D10D0000}"/>
    <cellStyle name="Normal 10 2 2 5 3 2" xfId="26384" xr:uid="{841E4201-7768-4E28-B89B-1F6B43869E91}"/>
    <cellStyle name="Normal 10 2 2 5 3 3" xfId="20724" xr:uid="{1B53C314-7BCB-4FC2-9D81-ADE66FA13D04}"/>
    <cellStyle name="Normal 10 2 2 5 3 4" xfId="31764" xr:uid="{B83D874F-6450-4EA2-8985-2BB10CAFE4C6}"/>
    <cellStyle name="Normal 10 2 2 5 3 5" xfId="35967" xr:uid="{69616675-9DAA-4B05-BE74-508A73ABCF73}"/>
    <cellStyle name="Normal 10 2 2 5 4" xfId="23551" xr:uid="{7E5E7D50-7821-4AB5-B316-C3F299F660C1}"/>
    <cellStyle name="Normal 10 2 2 5 5" xfId="17891" xr:uid="{1B7D3F22-DCAE-4053-BE48-7671899B3353}"/>
    <cellStyle name="Normal 10 2 2 5 6" xfId="29212" xr:uid="{D92E8205-7905-4A21-B719-E9ED1CD143EF}"/>
    <cellStyle name="Normal 10 2 2 5 7" xfId="35964" xr:uid="{E68409F7-8252-4149-8B29-1B301BC9E7C0}"/>
    <cellStyle name="Normal 10 2 2 6" xfId="6474" xr:uid="{00000000-0005-0000-0000-0000D20D0000}"/>
    <cellStyle name="Normal 10 2 2 6 2" xfId="14907" xr:uid="{00000000-0005-0000-0000-0000D30D0000}"/>
    <cellStyle name="Normal 10 2 2 6 2 2" xfId="26801" xr:uid="{C9E01AFB-0262-44D9-8558-C95CB1504F38}"/>
    <cellStyle name="Normal 10 2 2 6 2 3" xfId="21141" xr:uid="{A72B615C-898C-48C0-9E32-8FBE9F5E52B2}"/>
    <cellStyle name="Normal 10 2 2 6 2 4" xfId="32181" xr:uid="{D524B324-2D0D-4F29-97B0-40B48A94D9BA}"/>
    <cellStyle name="Normal 10 2 2 6 2 5" xfId="35969" xr:uid="{D477D437-6A99-4FB9-8DB5-EC0DDB6959CF}"/>
    <cellStyle name="Normal 10 2 2 6 3" xfId="23968" xr:uid="{123AEBC6-27E0-4AEA-A397-A069D915635E}"/>
    <cellStyle name="Normal 10 2 2 6 4" xfId="18308" xr:uid="{7F5B03F5-55EA-42F1-9399-EA2CF6A07041}"/>
    <cellStyle name="Normal 10 2 2 6 5" xfId="29629" xr:uid="{B4829AE7-5A9C-4F5B-89E1-BCF9739CB850}"/>
    <cellStyle name="Normal 10 2 2 6 6" xfId="35968" xr:uid="{0BC6C9EB-CFA7-4FAC-93F1-69C0FA7E288F}"/>
    <cellStyle name="Normal 10 2 2 7" xfId="7723" xr:uid="{00000000-0005-0000-0000-0000D40D0000}"/>
    <cellStyle name="Normal 10 2 2 7 2" xfId="25211" xr:uid="{195D7688-6EE9-40AC-B323-799B336F4F15}"/>
    <cellStyle name="Normal 10 2 2 7 3" xfId="19551" xr:uid="{E96556B1-5CE0-4E87-A00A-8A17AF9BB1B0}"/>
    <cellStyle name="Normal 10 2 2 7 4" xfId="30872" xr:uid="{E0419B18-0EF6-4B3E-8B06-36020AF5661E}"/>
    <cellStyle name="Normal 10 2 2 7 5" xfId="35970" xr:uid="{0E14EA60-1375-4184-8F27-8D96E328BEBB}"/>
    <cellStyle name="Normal 10 2 2 8" xfId="22406" xr:uid="{6B5D6CAF-AA6A-40DA-9166-20244BC74ACE}"/>
    <cellStyle name="Normal 10 2 2 9" xfId="16746" xr:uid="{B5187D25-B2EF-4558-BB7A-2B33FD1AD469}"/>
    <cellStyle name="Normal 10 2 3" xfId="2008" xr:uid="{00000000-0005-0000-0000-0000D50D0000}"/>
    <cellStyle name="Normal 10 2 3 10" xfId="35971" xr:uid="{4420B99C-5F6F-47C6-8834-542C67DB70E2}"/>
    <cellStyle name="Normal 10 2 3 2" xfId="4841" xr:uid="{00000000-0005-0000-0000-0000D60D0000}"/>
    <cellStyle name="Normal 10 2 3 2 2" xfId="5260" xr:uid="{00000000-0005-0000-0000-0000D70D0000}"/>
    <cellStyle name="Normal 10 2 3 2 2 2" xfId="7123" xr:uid="{00000000-0005-0000-0000-0000D80D0000}"/>
    <cellStyle name="Normal 10 2 3 2 2 2 2" xfId="15556" xr:uid="{00000000-0005-0000-0000-0000D90D0000}"/>
    <cellStyle name="Normal 10 2 3 2 2 2 2 2" xfId="27450" xr:uid="{C5A2EDF6-0729-4021-9EA2-862B3EA60C14}"/>
    <cellStyle name="Normal 10 2 3 2 2 2 2 3" xfId="21790" xr:uid="{50BFC4B5-DC5E-4CDA-85A7-5FAACF90FE92}"/>
    <cellStyle name="Normal 10 2 3 2 2 2 2 4" xfId="32830" xr:uid="{A6B0EB98-E49A-42B5-9E10-E5DE52EA9799}"/>
    <cellStyle name="Normal 10 2 3 2 2 2 2 5" xfId="35975" xr:uid="{93230D11-2C10-4307-9C51-6E9F1A9B6C8F}"/>
    <cellStyle name="Normal 10 2 3 2 2 2 3" xfId="24617" xr:uid="{917FD143-3761-4169-96A8-43AD85C3A876}"/>
    <cellStyle name="Normal 10 2 3 2 2 2 4" xfId="18957" xr:uid="{7DB13FE0-2F8B-4DEE-B7B3-3BBDE54E4E9D}"/>
    <cellStyle name="Normal 10 2 3 2 2 2 5" xfId="30278" xr:uid="{667C93E4-D167-4D2B-81AA-DBE7F572B0AA}"/>
    <cellStyle name="Normal 10 2 3 2 2 2 6" xfId="35974" xr:uid="{60DD1A36-6FF9-494C-B243-D8300D57312D}"/>
    <cellStyle name="Normal 10 2 3 2 2 3" xfId="14146" xr:uid="{00000000-0005-0000-0000-0000DA0D0000}"/>
    <cellStyle name="Normal 10 2 3 2 2 3 2" xfId="26185" xr:uid="{EFAFA089-F8B1-4712-A679-95E1EDF50C5B}"/>
    <cellStyle name="Normal 10 2 3 2 2 3 3" xfId="20525" xr:uid="{D71A9945-90C6-4782-917E-DE8F8D8941EB}"/>
    <cellStyle name="Normal 10 2 3 2 2 3 4" xfId="31565" xr:uid="{8C6E2390-97BE-4631-893C-89908B39A368}"/>
    <cellStyle name="Normal 10 2 3 2 2 3 5" xfId="35976" xr:uid="{155EDF80-0FD8-40F2-923F-DA659A81F7D6}"/>
    <cellStyle name="Normal 10 2 3 2 2 4" xfId="23055" xr:uid="{D98BAFCD-C4F5-43EA-AB62-E6AF92ADC100}"/>
    <cellStyle name="Normal 10 2 3 2 2 5" xfId="17395" xr:uid="{47041A44-A6E9-4BC3-81BD-4996B54FD5F1}"/>
    <cellStyle name="Normal 10 2 3 2 2 6" xfId="28716" xr:uid="{AEFF40E3-2D62-4D52-B894-D87FF3BC7C6F}"/>
    <cellStyle name="Normal 10 2 3 2 2 7" xfId="35973" xr:uid="{745699BC-C200-4292-AF25-087108F6DD4B}"/>
    <cellStyle name="Normal 10 2 3 2 3" xfId="5969" xr:uid="{00000000-0005-0000-0000-0000DB0D0000}"/>
    <cellStyle name="Normal 10 2 3 2 3 2" xfId="7316" xr:uid="{00000000-0005-0000-0000-0000DC0D0000}"/>
    <cellStyle name="Normal 10 2 3 2 3 2 2" xfId="15749" xr:uid="{00000000-0005-0000-0000-0000DD0D0000}"/>
    <cellStyle name="Normal 10 2 3 2 3 2 2 2" xfId="27643" xr:uid="{97096A5D-2700-4D4F-A159-14A3FDED22B4}"/>
    <cellStyle name="Normal 10 2 3 2 3 2 2 3" xfId="21983" xr:uid="{62CBE1A0-DC30-4769-B2AB-29F46676F2DC}"/>
    <cellStyle name="Normal 10 2 3 2 3 2 2 4" xfId="33023" xr:uid="{0D1DEE84-A6FA-4FB5-9D7E-95F25D926BD4}"/>
    <cellStyle name="Normal 10 2 3 2 3 2 2 5" xfId="35979" xr:uid="{22E5566D-D4AD-49B9-9EF3-FD32021DC757}"/>
    <cellStyle name="Normal 10 2 3 2 3 2 3" xfId="24810" xr:uid="{A654F4B8-CF91-4710-9B09-C993E447953E}"/>
    <cellStyle name="Normal 10 2 3 2 3 2 4" xfId="19150" xr:uid="{26F46C0E-3068-4D27-9515-2FA46E2393A5}"/>
    <cellStyle name="Normal 10 2 3 2 3 2 5" xfId="30471" xr:uid="{869A9DD6-E018-485A-A308-539CA9A211B0}"/>
    <cellStyle name="Normal 10 2 3 2 3 2 6" xfId="35978" xr:uid="{EB92549E-80A9-4077-838E-FFEA9839CC99}"/>
    <cellStyle name="Normal 10 2 3 2 3 3" xfId="14428" xr:uid="{00000000-0005-0000-0000-0000DE0D0000}"/>
    <cellStyle name="Normal 10 2 3 2 3 3 2" xfId="26387" xr:uid="{9B3585C2-A11F-429C-876E-03FCCC771C0A}"/>
    <cellStyle name="Normal 10 2 3 2 3 3 3" xfId="20727" xr:uid="{7CA7E2CB-CD9D-4A35-802C-A1AFAC6A7CFB}"/>
    <cellStyle name="Normal 10 2 3 2 3 3 4" xfId="31767" xr:uid="{5D094733-ED28-44AA-B58E-404723071A71}"/>
    <cellStyle name="Normal 10 2 3 2 3 3 5" xfId="35980" xr:uid="{60E6F196-3493-47EE-9F03-E21A51448548}"/>
    <cellStyle name="Normal 10 2 3 2 3 4" xfId="23554" xr:uid="{276EEBBC-404E-4206-90E8-FB15DB5AC312}"/>
    <cellStyle name="Normal 10 2 3 2 3 5" xfId="17894" xr:uid="{36A6F821-1EF5-4407-ADE3-A733B727195A}"/>
    <cellStyle name="Normal 10 2 3 2 3 6" xfId="29215" xr:uid="{691B1C16-33AF-4ED5-B346-4405AC658024}"/>
    <cellStyle name="Normal 10 2 3 2 3 7" xfId="35977" xr:uid="{BF54CA0A-D140-479E-A919-0BD8225DB8E2}"/>
    <cellStyle name="Normal 10 2 3 2 4" xfId="6705" xr:uid="{00000000-0005-0000-0000-0000DF0D0000}"/>
    <cellStyle name="Normal 10 2 3 2 4 2" xfId="15138" xr:uid="{00000000-0005-0000-0000-0000E00D0000}"/>
    <cellStyle name="Normal 10 2 3 2 4 2 2" xfId="27032" xr:uid="{671D8650-901E-427E-B910-AF38D97AF169}"/>
    <cellStyle name="Normal 10 2 3 2 4 2 3" xfId="21372" xr:uid="{E8EE09CA-700B-4A68-814D-FD6522FAA700}"/>
    <cellStyle name="Normal 10 2 3 2 4 2 4" xfId="32412" xr:uid="{9BC91A39-F9FD-408E-8BA5-002C708824CB}"/>
    <cellStyle name="Normal 10 2 3 2 4 2 5" xfId="35982" xr:uid="{B46657ED-057B-471A-9A1B-909E5B77D0EF}"/>
    <cellStyle name="Normal 10 2 3 2 4 3" xfId="24199" xr:uid="{0AFEAA86-16D7-4752-88BB-8602D6942314}"/>
    <cellStyle name="Normal 10 2 3 2 4 4" xfId="18539" xr:uid="{036C17EA-F59B-438C-9DF0-4522CB33A734}"/>
    <cellStyle name="Normal 10 2 3 2 4 5" xfId="29860" xr:uid="{E211154F-417D-4AC1-9885-613B9F35F112}"/>
    <cellStyle name="Normal 10 2 3 2 4 6" xfId="35981" xr:uid="{9CEC866B-F2D2-4F89-AC30-C3E4F9D789C1}"/>
    <cellStyle name="Normal 10 2 3 2 5" xfId="7726" xr:uid="{00000000-0005-0000-0000-0000E10D0000}"/>
    <cellStyle name="Normal 10 2 3 2 5 2" xfId="25214" xr:uid="{4086302C-E338-4148-A1AB-22FCAC84022A}"/>
    <cellStyle name="Normal 10 2 3 2 5 3" xfId="19554" xr:uid="{8700018B-F87D-4E21-B520-55769CCB6D5E}"/>
    <cellStyle name="Normal 10 2 3 2 5 4" xfId="30875" xr:uid="{BA3D0A45-035A-42C8-A288-56C2B8201F44}"/>
    <cellStyle name="Normal 10 2 3 2 5 5" xfId="35983" xr:uid="{149B6C4D-1B86-4E52-8422-9B7EAC2CA5E7}"/>
    <cellStyle name="Normal 10 2 3 2 6" xfId="22637" xr:uid="{5F401E88-C4C9-46A6-815C-761CF6FED009}"/>
    <cellStyle name="Normal 10 2 3 2 7" xfId="16977" xr:uid="{6AF74BFC-E7B6-4055-A02A-ED7992FD573B}"/>
    <cellStyle name="Normal 10 2 3 2 8" xfId="28298" xr:uid="{BE96A835-02C9-42D1-B132-25CAE6A9F845}"/>
    <cellStyle name="Normal 10 2 3 2 9" xfId="35972" xr:uid="{023034E2-F035-42D8-B388-38575BC047DF}"/>
    <cellStyle name="Normal 10 2 3 3" xfId="5051" xr:uid="{00000000-0005-0000-0000-0000E20D0000}"/>
    <cellStyle name="Normal 10 2 3 3 2" xfId="6914" xr:uid="{00000000-0005-0000-0000-0000E30D0000}"/>
    <cellStyle name="Normal 10 2 3 3 2 2" xfId="15347" xr:uid="{00000000-0005-0000-0000-0000E40D0000}"/>
    <cellStyle name="Normal 10 2 3 3 2 2 2" xfId="27241" xr:uid="{822ACCA8-457B-4BA2-8FE1-D5D0F197513A}"/>
    <cellStyle name="Normal 10 2 3 3 2 2 3" xfId="21581" xr:uid="{870D5202-0B0B-4984-9ABF-2666B992AFB6}"/>
    <cellStyle name="Normal 10 2 3 3 2 2 4" xfId="32621" xr:uid="{5A3A131B-2938-4009-97BE-5DFD651D30CE}"/>
    <cellStyle name="Normal 10 2 3 3 2 2 5" xfId="35986" xr:uid="{C66EEFC1-7C16-450F-B21C-60335C558967}"/>
    <cellStyle name="Normal 10 2 3 3 2 3" xfId="24408" xr:uid="{5AE3171D-C910-4198-BB8F-ECC5F75B26B5}"/>
    <cellStyle name="Normal 10 2 3 3 2 4" xfId="18748" xr:uid="{A9620C81-44C0-4E1C-B5FA-0B51AF1E8C26}"/>
    <cellStyle name="Normal 10 2 3 3 2 5" xfId="30069" xr:uid="{EAAA7ACA-E7DD-4BA3-994D-540C4CB43821}"/>
    <cellStyle name="Normal 10 2 3 3 2 6" xfId="35985" xr:uid="{6C96D725-12B9-4991-B4FD-F80A9079F87A}"/>
    <cellStyle name="Normal 10 2 3 3 3" xfId="13947" xr:uid="{00000000-0005-0000-0000-0000E50D0000}"/>
    <cellStyle name="Normal 10 2 3 3 3 2" xfId="25988" xr:uid="{A6F125ED-6D76-4FB0-BBFC-C112D123F23D}"/>
    <cellStyle name="Normal 10 2 3 3 3 3" xfId="20328" xr:uid="{41A52B31-2F84-45B2-9C3E-54B283D13C33}"/>
    <cellStyle name="Normal 10 2 3 3 3 4" xfId="31368" xr:uid="{D02883ED-84D4-4A9F-9156-9DF7A6378582}"/>
    <cellStyle name="Normal 10 2 3 3 3 5" xfId="35987" xr:uid="{35DE2153-BE44-4975-81AA-28CF7503DD0A}"/>
    <cellStyle name="Normal 10 2 3 3 4" xfId="22846" xr:uid="{11FFF955-5FF4-4F9E-B1A7-AD97A3178A05}"/>
    <cellStyle name="Normal 10 2 3 3 5" xfId="17186" xr:uid="{535D2931-B852-4A9E-A921-36695E084730}"/>
    <cellStyle name="Normal 10 2 3 3 6" xfId="28507" xr:uid="{68E781E6-78AE-4DB2-949C-7326DFFDC7CF}"/>
    <cellStyle name="Normal 10 2 3 3 7" xfId="35984" xr:uid="{88453AEB-FE68-48F3-9C49-9B821412160F}"/>
    <cellStyle name="Normal 10 2 3 4" xfId="5968" xr:uid="{00000000-0005-0000-0000-0000E60D0000}"/>
    <cellStyle name="Normal 10 2 3 4 2" xfId="7315" xr:uid="{00000000-0005-0000-0000-0000E70D0000}"/>
    <cellStyle name="Normal 10 2 3 4 2 2" xfId="15748" xr:uid="{00000000-0005-0000-0000-0000E80D0000}"/>
    <cellStyle name="Normal 10 2 3 4 2 2 2" xfId="27642" xr:uid="{B5E19929-889C-45C3-90DA-967A1C555B1D}"/>
    <cellStyle name="Normal 10 2 3 4 2 2 3" xfId="21982" xr:uid="{1249210C-BCD7-4F13-BC12-D413AB360E2B}"/>
    <cellStyle name="Normal 10 2 3 4 2 2 4" xfId="33022" xr:uid="{72D19882-21B7-4BB8-B9D3-54D2BB0C0152}"/>
    <cellStyle name="Normal 10 2 3 4 2 2 5" xfId="35990" xr:uid="{84712A18-C1C8-4E32-9BBC-203DA36C430C}"/>
    <cellStyle name="Normal 10 2 3 4 2 3" xfId="24809" xr:uid="{66C3D44A-F7F5-4B68-B391-D9B1E5BA286C}"/>
    <cellStyle name="Normal 10 2 3 4 2 4" xfId="19149" xr:uid="{B6EBF32B-AC6A-4A05-BA62-D64C2CF73F6E}"/>
    <cellStyle name="Normal 10 2 3 4 2 5" xfId="30470" xr:uid="{76A92DE1-340B-4226-ACA1-43EF726A930B}"/>
    <cellStyle name="Normal 10 2 3 4 2 6" xfId="35989" xr:uid="{163B04B0-4EC3-4FCE-87CF-B31B8E8DE2B9}"/>
    <cellStyle name="Normal 10 2 3 4 3" xfId="14427" xr:uid="{00000000-0005-0000-0000-0000E90D0000}"/>
    <cellStyle name="Normal 10 2 3 4 3 2" xfId="26386" xr:uid="{70614822-B4F2-47EF-BC9F-6BFF27E62223}"/>
    <cellStyle name="Normal 10 2 3 4 3 3" xfId="20726" xr:uid="{105603F8-E0C3-4410-B782-8093D37D9591}"/>
    <cellStyle name="Normal 10 2 3 4 3 4" xfId="31766" xr:uid="{9B3F1DD1-E55F-48E9-B334-A192F294C164}"/>
    <cellStyle name="Normal 10 2 3 4 3 5" xfId="35991" xr:uid="{AFB320AB-CCE3-4C4D-93F5-611E9B459FF9}"/>
    <cellStyle name="Normal 10 2 3 4 4" xfId="23553" xr:uid="{A0A90F39-371D-4303-A9DF-494E7C1501CC}"/>
    <cellStyle name="Normal 10 2 3 4 5" xfId="17893" xr:uid="{3E4E796F-1BA2-46F8-805B-FA20293CF6EE}"/>
    <cellStyle name="Normal 10 2 3 4 6" xfId="29214" xr:uid="{E3DA7629-67F4-485D-B646-2B8B8629DDA1}"/>
    <cellStyle name="Normal 10 2 3 4 7" xfId="35988" xr:uid="{2F770C4F-9E70-4F4F-98C6-61F42473157B}"/>
    <cellStyle name="Normal 10 2 3 5" xfId="6496" xr:uid="{00000000-0005-0000-0000-0000EA0D0000}"/>
    <cellStyle name="Normal 10 2 3 5 2" xfId="14929" xr:uid="{00000000-0005-0000-0000-0000EB0D0000}"/>
    <cellStyle name="Normal 10 2 3 5 2 2" xfId="26823" xr:uid="{95281EA8-55BE-4652-8BDA-05012457EF7F}"/>
    <cellStyle name="Normal 10 2 3 5 2 3" xfId="21163" xr:uid="{B2142CFD-8335-4F15-AC98-936BCB34A927}"/>
    <cellStyle name="Normal 10 2 3 5 2 4" xfId="32203" xr:uid="{8CF1CC9C-D240-4FC4-9144-192BA8A9A3EA}"/>
    <cellStyle name="Normal 10 2 3 5 2 5" xfId="35993" xr:uid="{A2E197C7-6B10-4E34-8184-D12566480DCD}"/>
    <cellStyle name="Normal 10 2 3 5 3" xfId="23990" xr:uid="{C8FCD896-3090-446F-B50E-37B0CBCA8366}"/>
    <cellStyle name="Normal 10 2 3 5 4" xfId="18330" xr:uid="{B6B72263-DD86-4805-87DC-F2C7FD4443CE}"/>
    <cellStyle name="Normal 10 2 3 5 5" xfId="29651" xr:uid="{B390F5EB-1C5A-47BF-86E1-55FBB73C59DF}"/>
    <cellStyle name="Normal 10 2 3 5 6" xfId="35992" xr:uid="{B94A1941-420E-4171-B4C8-59739E171C86}"/>
    <cellStyle name="Normal 10 2 3 6" xfId="7725" xr:uid="{00000000-0005-0000-0000-0000EC0D0000}"/>
    <cellStyle name="Normal 10 2 3 6 2" xfId="25213" xr:uid="{AF819595-C5A1-43B8-9831-28DD94E0B5A0}"/>
    <cellStyle name="Normal 10 2 3 6 3" xfId="19553" xr:uid="{21DEBC86-2CDC-401F-9F99-65F1F248FAF8}"/>
    <cellStyle name="Normal 10 2 3 6 4" xfId="30874" xr:uid="{0FC4205D-8CDE-40DA-90A6-71554A8449A1}"/>
    <cellStyle name="Normal 10 2 3 6 5" xfId="35994" xr:uid="{95BED367-9FB1-4485-90D8-7CDB5793F1B5}"/>
    <cellStyle name="Normal 10 2 3 7" xfId="22428" xr:uid="{90CD99C3-E8DC-4DC7-B901-3604D649CC64}"/>
    <cellStyle name="Normal 10 2 3 8" xfId="16768" xr:uid="{77F05644-790E-4A50-871D-9D53DD7DBA45}"/>
    <cellStyle name="Normal 10 2 3 9" xfId="28089" xr:uid="{42471997-A6E1-4045-89D3-092AF9C508CF}"/>
    <cellStyle name="Normal 10 2 4" xfId="4053" xr:uid="{00000000-0005-0000-0000-0000ED0D0000}"/>
    <cellStyle name="Normal 10 2 4 2" xfId="35995" xr:uid="{282566AF-27C6-4DEF-A3CF-E5C3AA191719}"/>
    <cellStyle name="Normal 10 2 5" xfId="4782" xr:uid="{00000000-0005-0000-0000-0000EE0D0000}"/>
    <cellStyle name="Normal 10 2 5 10" xfId="35996" xr:uid="{F1ED9CBA-152C-4CB7-AD91-D5C1BD9893D4}"/>
    <cellStyle name="Normal 10 2 5 2" xfId="4996" xr:uid="{00000000-0005-0000-0000-0000EF0D0000}"/>
    <cellStyle name="Normal 10 2 5 2 2" xfId="5414" xr:uid="{00000000-0005-0000-0000-0000F00D0000}"/>
    <cellStyle name="Normal 10 2 5 2 2 2" xfId="7277" xr:uid="{00000000-0005-0000-0000-0000F10D0000}"/>
    <cellStyle name="Normal 10 2 5 2 2 2 2" xfId="15710" xr:uid="{00000000-0005-0000-0000-0000F20D0000}"/>
    <cellStyle name="Normal 10 2 5 2 2 2 2 2" xfId="27604" xr:uid="{CBEE6C92-52B6-450A-A3B0-E591AA50A955}"/>
    <cellStyle name="Normal 10 2 5 2 2 2 2 3" xfId="21944" xr:uid="{B077915F-9768-44D7-AF1C-E530A9E927DC}"/>
    <cellStyle name="Normal 10 2 5 2 2 2 2 4" xfId="32984" xr:uid="{F65CFD82-A2A9-4CE9-9EE1-CEA750A94899}"/>
    <cellStyle name="Normal 10 2 5 2 2 2 2 5" xfId="36000" xr:uid="{11F8EA6A-A5A8-4F4F-B633-B1C4C2136DE3}"/>
    <cellStyle name="Normal 10 2 5 2 2 2 3" xfId="24771" xr:uid="{65430473-7092-4C48-ADB8-BBCEDD2A1B92}"/>
    <cellStyle name="Normal 10 2 5 2 2 2 4" xfId="19111" xr:uid="{99B7E20F-8A76-4160-A563-992C97DEC448}"/>
    <cellStyle name="Normal 10 2 5 2 2 2 5" xfId="30432" xr:uid="{D54FF661-7C84-4A6F-B930-4251EA3116E0}"/>
    <cellStyle name="Normal 10 2 5 2 2 2 6" xfId="35999" xr:uid="{3A93E71A-4CB7-4436-82F6-2B7A9985A1B8}"/>
    <cellStyle name="Normal 10 2 5 2 2 3" xfId="14300" xr:uid="{00000000-0005-0000-0000-0000F30D0000}"/>
    <cellStyle name="Normal 10 2 5 2 2 3 2" xfId="26339" xr:uid="{C675CD36-B505-4591-BB19-69E0C0B63810}"/>
    <cellStyle name="Normal 10 2 5 2 2 3 3" xfId="20679" xr:uid="{7D8E1978-A942-4F90-BAF3-A52278140564}"/>
    <cellStyle name="Normal 10 2 5 2 2 3 4" xfId="31719" xr:uid="{8869F38C-70DF-4E13-AF38-D48694B81F14}"/>
    <cellStyle name="Normal 10 2 5 2 2 3 5" xfId="36001" xr:uid="{3798AD50-9FC4-4D80-974A-3B8473B7F88C}"/>
    <cellStyle name="Normal 10 2 5 2 2 4" xfId="23209" xr:uid="{B0BE4D6E-83BA-406C-B3A9-1BB178DC36D9}"/>
    <cellStyle name="Normal 10 2 5 2 2 5" xfId="17549" xr:uid="{3FFC791C-A052-4F93-BA3B-B27C6DEE3A29}"/>
    <cellStyle name="Normal 10 2 5 2 2 6" xfId="28870" xr:uid="{E2C9155C-CA91-4435-A177-FDE0A98C77B3}"/>
    <cellStyle name="Normal 10 2 5 2 2 7" xfId="35998" xr:uid="{469F7338-751E-4C09-BC89-A6F9A702FA72}"/>
    <cellStyle name="Normal 10 2 5 2 3" xfId="5971" xr:uid="{00000000-0005-0000-0000-0000F40D0000}"/>
    <cellStyle name="Normal 10 2 5 2 3 2" xfId="7318" xr:uid="{00000000-0005-0000-0000-0000F50D0000}"/>
    <cellStyle name="Normal 10 2 5 2 3 2 2" xfId="15751" xr:uid="{00000000-0005-0000-0000-0000F60D0000}"/>
    <cellStyle name="Normal 10 2 5 2 3 2 2 2" xfId="27645" xr:uid="{CBCBB04A-5347-4ED3-931D-7738EDFB4D22}"/>
    <cellStyle name="Normal 10 2 5 2 3 2 2 3" xfId="21985" xr:uid="{6565D958-55D9-439C-A7AD-08EA5B748C91}"/>
    <cellStyle name="Normal 10 2 5 2 3 2 2 4" xfId="33025" xr:uid="{6027D071-0B94-4C56-A64E-14B64E2FC6E8}"/>
    <cellStyle name="Normal 10 2 5 2 3 2 2 5" xfId="36004" xr:uid="{A9A0C1EE-006A-41FF-9678-B208F3F1D178}"/>
    <cellStyle name="Normal 10 2 5 2 3 2 3" xfId="24812" xr:uid="{269B9C8C-6907-49AD-BE80-2E007C578FC0}"/>
    <cellStyle name="Normal 10 2 5 2 3 2 4" xfId="19152" xr:uid="{4E9023C7-2010-4ABF-8863-D3A6CCECF81F}"/>
    <cellStyle name="Normal 10 2 5 2 3 2 5" xfId="30473" xr:uid="{DF7B9754-0757-4D3F-AAC8-E3BCAA212873}"/>
    <cellStyle name="Normal 10 2 5 2 3 2 6" xfId="36003" xr:uid="{1A27E10B-EA5C-47AC-BCD8-D5584C067BC3}"/>
    <cellStyle name="Normal 10 2 5 2 3 3" xfId="14430" xr:uid="{00000000-0005-0000-0000-0000F70D0000}"/>
    <cellStyle name="Normal 10 2 5 2 3 3 2" xfId="26389" xr:uid="{FDEED639-E36C-4532-A31C-C7DBD95C9A5A}"/>
    <cellStyle name="Normal 10 2 5 2 3 3 3" xfId="20729" xr:uid="{10F96351-F8F5-46E1-ABB6-D2DCC295607C}"/>
    <cellStyle name="Normal 10 2 5 2 3 3 4" xfId="31769" xr:uid="{5D29157E-830E-4EAE-AB45-7502661267D8}"/>
    <cellStyle name="Normal 10 2 5 2 3 3 5" xfId="36005" xr:uid="{15262F4E-47EB-4761-A90B-AF5E88FD0AB5}"/>
    <cellStyle name="Normal 10 2 5 2 3 4" xfId="23556" xr:uid="{655914B4-1AB5-4919-BCF4-B0CD9D9E0C15}"/>
    <cellStyle name="Normal 10 2 5 2 3 5" xfId="17896" xr:uid="{500A9158-BC2E-4A8C-920B-BABCB31E96BB}"/>
    <cellStyle name="Normal 10 2 5 2 3 6" xfId="29217" xr:uid="{DDCC4076-E296-4D05-858F-F0E86D88AEBB}"/>
    <cellStyle name="Normal 10 2 5 2 3 7" xfId="36002" xr:uid="{0D792898-209B-4C4D-AACA-CBFCCF1422FB}"/>
    <cellStyle name="Normal 10 2 5 2 4" xfId="6859" xr:uid="{00000000-0005-0000-0000-0000F80D0000}"/>
    <cellStyle name="Normal 10 2 5 2 4 2" xfId="15292" xr:uid="{00000000-0005-0000-0000-0000F90D0000}"/>
    <cellStyle name="Normal 10 2 5 2 4 2 2" xfId="27186" xr:uid="{00CFEED3-BE5A-4132-842B-5E87EE8C3193}"/>
    <cellStyle name="Normal 10 2 5 2 4 2 3" xfId="21526" xr:uid="{CE30D6B2-45E3-4123-9724-EF8B53923C1B}"/>
    <cellStyle name="Normal 10 2 5 2 4 2 4" xfId="32566" xr:uid="{D5ECEDE1-0B7E-41BA-9C76-53E6A9F9BA83}"/>
    <cellStyle name="Normal 10 2 5 2 4 2 5" xfId="36007" xr:uid="{C1155160-59F5-4C5F-B36D-F1A599148AD1}"/>
    <cellStyle name="Normal 10 2 5 2 4 3" xfId="24353" xr:uid="{7A4B79A8-1213-443B-9749-92E1E45A138C}"/>
    <cellStyle name="Normal 10 2 5 2 4 4" xfId="18693" xr:uid="{6D17B14A-7EBC-408F-92B4-80CBD460441C}"/>
    <cellStyle name="Normal 10 2 5 2 4 5" xfId="30014" xr:uid="{D1B54192-EF3A-43D3-97D4-59B9887ABD7C}"/>
    <cellStyle name="Normal 10 2 5 2 4 6" xfId="36006" xr:uid="{A7E4B593-38C1-483A-B6C7-75DA86FBFC51}"/>
    <cellStyle name="Normal 10 2 5 2 5" xfId="7728" xr:uid="{00000000-0005-0000-0000-0000FA0D0000}"/>
    <cellStyle name="Normal 10 2 5 2 5 2" xfId="25216" xr:uid="{345F1F09-8740-4797-AE5A-DEE7437C6202}"/>
    <cellStyle name="Normal 10 2 5 2 5 3" xfId="19556" xr:uid="{A5CA7D36-BE32-4B7E-B8A9-26E08E5D07AA}"/>
    <cellStyle name="Normal 10 2 5 2 5 4" xfId="30877" xr:uid="{BA8BA7F1-98AA-46FD-AF0C-B7D9D5E6DAB5}"/>
    <cellStyle name="Normal 10 2 5 2 5 5" xfId="36008" xr:uid="{FBEC3075-C008-4285-B911-019AF9A7F069}"/>
    <cellStyle name="Normal 10 2 5 2 6" xfId="22791" xr:uid="{6F8D0671-AC36-42D8-9807-CED3DDCEE466}"/>
    <cellStyle name="Normal 10 2 5 2 7" xfId="17131" xr:uid="{8B3F9362-1D0E-44FE-82E4-8679CF93C685}"/>
    <cellStyle name="Normal 10 2 5 2 8" xfId="28452" xr:uid="{FA84A1F9-8202-4CD3-BE40-27F56922670F}"/>
    <cellStyle name="Normal 10 2 5 2 9" xfId="35997" xr:uid="{834D7013-97D4-4218-A8B1-D2B8BC12B489}"/>
    <cellStyle name="Normal 10 2 5 3" xfId="5205" xr:uid="{00000000-0005-0000-0000-0000FB0D0000}"/>
    <cellStyle name="Normal 10 2 5 3 2" xfId="7068" xr:uid="{00000000-0005-0000-0000-0000FC0D0000}"/>
    <cellStyle name="Normal 10 2 5 3 2 2" xfId="15501" xr:uid="{00000000-0005-0000-0000-0000FD0D0000}"/>
    <cellStyle name="Normal 10 2 5 3 2 2 2" xfId="27395" xr:uid="{BAF3B732-CF88-483C-9DF3-773791A5C2BC}"/>
    <cellStyle name="Normal 10 2 5 3 2 2 3" xfId="21735" xr:uid="{A689618C-CBCB-4331-A5BF-5EBCEB0C281E}"/>
    <cellStyle name="Normal 10 2 5 3 2 2 4" xfId="32775" xr:uid="{1B10804A-B28A-4E03-86DD-C083BAF32930}"/>
    <cellStyle name="Normal 10 2 5 3 2 2 5" xfId="36011" xr:uid="{83114AE5-E083-4B2E-9500-11DF72EF6CD3}"/>
    <cellStyle name="Normal 10 2 5 3 2 3" xfId="24562" xr:uid="{5587E1ED-2F4E-48B4-9809-FB9C828A7F6D}"/>
    <cellStyle name="Normal 10 2 5 3 2 4" xfId="18902" xr:uid="{26F56C5F-184B-4821-9F0E-104A10BE493F}"/>
    <cellStyle name="Normal 10 2 5 3 2 5" xfId="30223" xr:uid="{0E372D9D-5A52-4173-BCF1-8C15EF0062D5}"/>
    <cellStyle name="Normal 10 2 5 3 2 6" xfId="36010" xr:uid="{D9697DFB-9FAE-4B98-BA15-4039F26F5D1A}"/>
    <cellStyle name="Normal 10 2 5 3 3" xfId="14091" xr:uid="{00000000-0005-0000-0000-0000FE0D0000}"/>
    <cellStyle name="Normal 10 2 5 3 3 2" xfId="26130" xr:uid="{CCE2FE94-1A0C-4CA6-9B89-15767D4123B8}"/>
    <cellStyle name="Normal 10 2 5 3 3 3" xfId="20470" xr:uid="{F9109383-AE46-4EC9-B98F-9CC9BCAD62E5}"/>
    <cellStyle name="Normal 10 2 5 3 3 4" xfId="31510" xr:uid="{50F73987-FAC2-43DC-B2F1-F1187E1A549F}"/>
    <cellStyle name="Normal 10 2 5 3 3 5" xfId="36012" xr:uid="{D5973488-4AD1-4662-B762-2B862E733737}"/>
    <cellStyle name="Normal 10 2 5 3 4" xfId="23000" xr:uid="{8AA80D8C-B4E3-4360-A297-A355710236A5}"/>
    <cellStyle name="Normal 10 2 5 3 5" xfId="17340" xr:uid="{8088FAA8-08B0-41E4-88AF-F608DD7B49C0}"/>
    <cellStyle name="Normal 10 2 5 3 6" xfId="28661" xr:uid="{7DBC1B60-458A-4D18-9D7A-FCC5828B5B9E}"/>
    <cellStyle name="Normal 10 2 5 3 7" xfId="36009" xr:uid="{CF780394-03E3-4043-8BBF-3DA59EB58488}"/>
    <cellStyle name="Normal 10 2 5 4" xfId="5970" xr:uid="{00000000-0005-0000-0000-0000FF0D0000}"/>
    <cellStyle name="Normal 10 2 5 4 2" xfId="7317" xr:uid="{00000000-0005-0000-0000-0000000E0000}"/>
    <cellStyle name="Normal 10 2 5 4 2 2" xfId="15750" xr:uid="{00000000-0005-0000-0000-0000010E0000}"/>
    <cellStyle name="Normal 10 2 5 4 2 2 2" xfId="27644" xr:uid="{E42DD4A1-8878-4A3D-AD97-91805B858F20}"/>
    <cellStyle name="Normal 10 2 5 4 2 2 3" xfId="21984" xr:uid="{260FBCF5-8E0F-4539-BD6C-88126084A152}"/>
    <cellStyle name="Normal 10 2 5 4 2 2 4" xfId="33024" xr:uid="{4B698125-C526-4E67-8386-A480A0E141A1}"/>
    <cellStyle name="Normal 10 2 5 4 2 2 5" xfId="36015" xr:uid="{2ACD7429-DB1B-4239-B1AE-2F335E222F42}"/>
    <cellStyle name="Normal 10 2 5 4 2 3" xfId="24811" xr:uid="{C751AEE7-9CE9-4B07-9917-FDA5A3D7FCC9}"/>
    <cellStyle name="Normal 10 2 5 4 2 4" xfId="19151" xr:uid="{F9799AD4-2771-4B82-8418-685FC833C7CC}"/>
    <cellStyle name="Normal 10 2 5 4 2 5" xfId="30472" xr:uid="{7D038815-62FC-4143-830A-B1A329C9E54D}"/>
    <cellStyle name="Normal 10 2 5 4 2 6" xfId="36014" xr:uid="{672D4108-6507-4A51-B983-AF1573F77BE1}"/>
    <cellStyle name="Normal 10 2 5 4 3" xfId="14429" xr:uid="{00000000-0005-0000-0000-0000020E0000}"/>
    <cellStyle name="Normal 10 2 5 4 3 2" xfId="26388" xr:uid="{8B2B8CDE-AE4E-4CF3-B6C1-E9B5ED674A82}"/>
    <cellStyle name="Normal 10 2 5 4 3 3" xfId="20728" xr:uid="{91CFF900-8166-4FD8-B7E3-584427448D22}"/>
    <cellStyle name="Normal 10 2 5 4 3 4" xfId="31768" xr:uid="{CF994D4E-67CD-480A-B5CD-EC2AC236D442}"/>
    <cellStyle name="Normal 10 2 5 4 3 5" xfId="36016" xr:uid="{66C84D85-04CF-4AF6-93FC-E079C81FC325}"/>
    <cellStyle name="Normal 10 2 5 4 4" xfId="23555" xr:uid="{A3730E13-7C45-4638-BDAC-0EA7241D2D65}"/>
    <cellStyle name="Normal 10 2 5 4 5" xfId="17895" xr:uid="{317CE353-F18D-430D-A877-5E2AC72F9751}"/>
    <cellStyle name="Normal 10 2 5 4 6" xfId="29216" xr:uid="{A2E82FE4-20F0-4FB8-B80D-235182C1EC8B}"/>
    <cellStyle name="Normal 10 2 5 4 7" xfId="36013" xr:uid="{CD6BE2EC-4E6B-4D87-9255-03AD3A1D151C}"/>
    <cellStyle name="Normal 10 2 5 5" xfId="6650" xr:uid="{00000000-0005-0000-0000-0000030E0000}"/>
    <cellStyle name="Normal 10 2 5 5 2" xfId="15083" xr:uid="{00000000-0005-0000-0000-0000040E0000}"/>
    <cellStyle name="Normal 10 2 5 5 2 2" xfId="26977" xr:uid="{62529F55-986C-4E3A-9D16-F9CFF043BBA3}"/>
    <cellStyle name="Normal 10 2 5 5 2 3" xfId="21317" xr:uid="{85E894EE-BAC1-48C2-8E18-BAD911ECCF27}"/>
    <cellStyle name="Normal 10 2 5 5 2 4" xfId="32357" xr:uid="{871FE452-C258-48CF-9B91-1CA9661C4179}"/>
    <cellStyle name="Normal 10 2 5 5 2 5" xfId="36018" xr:uid="{E1C8BD53-5AE2-4347-8C8E-9C9E6D22431B}"/>
    <cellStyle name="Normal 10 2 5 5 3" xfId="24144" xr:uid="{C249A70E-B3D6-4765-A56D-9E1E13F44785}"/>
    <cellStyle name="Normal 10 2 5 5 4" xfId="18484" xr:uid="{5585F379-2CF7-4BAE-9242-58AAAC3AB2DA}"/>
    <cellStyle name="Normal 10 2 5 5 5" xfId="29805" xr:uid="{88F1860D-1789-4677-819D-91324ACFC177}"/>
    <cellStyle name="Normal 10 2 5 5 6" xfId="36017" xr:uid="{1195B8FE-18CF-4A7D-AF85-F2D83EF3EED6}"/>
    <cellStyle name="Normal 10 2 5 6" xfId="7727" xr:uid="{00000000-0005-0000-0000-0000050E0000}"/>
    <cellStyle name="Normal 10 2 5 6 2" xfId="25215" xr:uid="{05E48D55-CB4B-4704-A12F-A7D2AB33E93A}"/>
    <cellStyle name="Normal 10 2 5 6 3" xfId="19555" xr:uid="{6B0CEB55-CD2C-47A0-AF6D-9BB7654F1A28}"/>
    <cellStyle name="Normal 10 2 5 6 4" xfId="30876" xr:uid="{8B4253E6-2768-4E35-8C01-ADBFC5F9AB06}"/>
    <cellStyle name="Normal 10 2 5 6 5" xfId="36019" xr:uid="{2D93A773-9D35-49B2-AEA1-515A04D714E6}"/>
    <cellStyle name="Normal 10 2 5 7" xfId="22582" xr:uid="{B04702BF-1376-4492-A8FE-087DBB1C2878}"/>
    <cellStyle name="Normal 10 2 5 8" xfId="16922" xr:uid="{FC05214D-E31F-4319-A7D6-5EF1337DD303}"/>
    <cellStyle name="Normal 10 2 5 9" xfId="28243" xr:uid="{43C83929-CD1D-41AC-B9E0-DA8BAB586432}"/>
    <cellStyle name="Normal 10 2 6" xfId="4799" xr:uid="{00000000-0005-0000-0000-0000060E0000}"/>
    <cellStyle name="Normal 10 2 6 2" xfId="5221" xr:uid="{00000000-0005-0000-0000-0000070E0000}"/>
    <cellStyle name="Normal 10 2 6 2 2" xfId="7084" xr:uid="{00000000-0005-0000-0000-0000080E0000}"/>
    <cellStyle name="Normal 10 2 6 2 2 2" xfId="15517" xr:uid="{00000000-0005-0000-0000-0000090E0000}"/>
    <cellStyle name="Normal 10 2 6 2 2 2 2" xfId="27411" xr:uid="{E6B6584F-B392-4BA5-922C-40BD8113AF57}"/>
    <cellStyle name="Normal 10 2 6 2 2 2 3" xfId="21751" xr:uid="{7F0855A8-4833-4B69-A272-62C27749BB29}"/>
    <cellStyle name="Normal 10 2 6 2 2 2 4" xfId="32791" xr:uid="{347471A4-1B04-437C-9B2F-4F30EAF2555E}"/>
    <cellStyle name="Normal 10 2 6 2 2 2 5" xfId="36023" xr:uid="{4290CD51-2239-4C05-9729-EE678712E2CD}"/>
    <cellStyle name="Normal 10 2 6 2 2 3" xfId="24578" xr:uid="{9EBA1D5D-D075-42BA-B13B-3BC372443DF5}"/>
    <cellStyle name="Normal 10 2 6 2 2 4" xfId="18918" xr:uid="{DAC35001-068A-454A-AC82-F6A735A1EB3C}"/>
    <cellStyle name="Normal 10 2 6 2 2 5" xfId="30239" xr:uid="{AE59A71B-5242-4F0A-97C0-39BC195A1F2D}"/>
    <cellStyle name="Normal 10 2 6 2 2 6" xfId="36022" xr:uid="{3573B538-3EDD-4494-AFED-4B37A4E5F7B9}"/>
    <cellStyle name="Normal 10 2 6 2 3" xfId="14107" xr:uid="{00000000-0005-0000-0000-00000A0E0000}"/>
    <cellStyle name="Normal 10 2 6 2 3 2" xfId="26146" xr:uid="{900FD799-F193-4DD5-A546-EC123B741687}"/>
    <cellStyle name="Normal 10 2 6 2 3 3" xfId="20486" xr:uid="{1CDABE55-CF35-44EE-BD31-4C0B01FB4A6D}"/>
    <cellStyle name="Normal 10 2 6 2 3 4" xfId="31526" xr:uid="{D84E88BB-55ED-4906-9416-44F9AAA7FF57}"/>
    <cellStyle name="Normal 10 2 6 2 3 5" xfId="36024" xr:uid="{CB201AFC-137A-4652-8CFA-265049E783EA}"/>
    <cellStyle name="Normal 10 2 6 2 4" xfId="23016" xr:uid="{BA464767-4AC1-424F-835C-87E4C84964AB}"/>
    <cellStyle name="Normal 10 2 6 2 5" xfId="17356" xr:uid="{BA50F748-606A-4235-A673-8B97829CE935}"/>
    <cellStyle name="Normal 10 2 6 2 6" xfId="28677" xr:uid="{3B2465C5-AF76-473A-931C-915CF07C0DC6}"/>
    <cellStyle name="Normal 10 2 6 2 7" xfId="36021" xr:uid="{38D175D9-E13D-43A7-9A62-6FBF8E81BF9F}"/>
    <cellStyle name="Normal 10 2 6 3" xfId="5972" xr:uid="{00000000-0005-0000-0000-00000B0E0000}"/>
    <cellStyle name="Normal 10 2 6 3 2" xfId="7319" xr:uid="{00000000-0005-0000-0000-00000C0E0000}"/>
    <cellStyle name="Normal 10 2 6 3 2 2" xfId="15752" xr:uid="{00000000-0005-0000-0000-00000D0E0000}"/>
    <cellStyle name="Normal 10 2 6 3 2 2 2" xfId="27646" xr:uid="{F50ACDCC-9855-4A37-A4E9-6060E776D22D}"/>
    <cellStyle name="Normal 10 2 6 3 2 2 3" xfId="21986" xr:uid="{59E4CAD1-02AE-4C8B-AA7E-9E677BF5A643}"/>
    <cellStyle name="Normal 10 2 6 3 2 2 4" xfId="33026" xr:uid="{1C0D3973-E023-463A-947B-301EDBE249A6}"/>
    <cellStyle name="Normal 10 2 6 3 2 2 5" xfId="36027" xr:uid="{B9FEC02B-85FD-4256-B0B6-F2C76F95A72A}"/>
    <cellStyle name="Normal 10 2 6 3 2 3" xfId="24813" xr:uid="{FF8C4EEF-A59E-49D3-A803-FC3054AAF40B}"/>
    <cellStyle name="Normal 10 2 6 3 2 4" xfId="19153" xr:uid="{1DF0D778-93C0-4B00-8F0B-7A6C0D0081C3}"/>
    <cellStyle name="Normal 10 2 6 3 2 5" xfId="30474" xr:uid="{BBBD8E26-32C7-45ED-84E4-3C172A2E6696}"/>
    <cellStyle name="Normal 10 2 6 3 2 6" xfId="36026" xr:uid="{C7122587-9900-4EB1-8B78-4CD3D7674860}"/>
    <cellStyle name="Normal 10 2 6 3 3" xfId="14431" xr:uid="{00000000-0005-0000-0000-00000E0E0000}"/>
    <cellStyle name="Normal 10 2 6 3 3 2" xfId="26390" xr:uid="{F4448120-594E-47C4-A77A-7F6EE18E1681}"/>
    <cellStyle name="Normal 10 2 6 3 3 3" xfId="20730" xr:uid="{21D976F1-7094-4018-A4D0-EE7005BA40C7}"/>
    <cellStyle name="Normal 10 2 6 3 3 4" xfId="31770" xr:uid="{C60B74E6-45D4-4A24-B894-F0D93544D2B5}"/>
    <cellStyle name="Normal 10 2 6 3 3 5" xfId="36028" xr:uid="{917330CA-3F00-4AA3-8101-2E54F58423BD}"/>
    <cellStyle name="Normal 10 2 6 3 4" xfId="23557" xr:uid="{C3BD8F42-4927-41E6-B107-10726E3D8673}"/>
    <cellStyle name="Normal 10 2 6 3 5" xfId="17897" xr:uid="{5A38937D-F08C-4071-9092-B46C648D6C99}"/>
    <cellStyle name="Normal 10 2 6 3 6" xfId="29218" xr:uid="{2390FBD5-BFD0-41F0-ACD4-81577656C75E}"/>
    <cellStyle name="Normal 10 2 6 3 7" xfId="36025" xr:uid="{1D5B7FCB-C999-4C20-AB7A-3D27A4A62F43}"/>
    <cellStyle name="Normal 10 2 6 4" xfId="6666" xr:uid="{00000000-0005-0000-0000-00000F0E0000}"/>
    <cellStyle name="Normal 10 2 6 4 2" xfId="15099" xr:uid="{00000000-0005-0000-0000-0000100E0000}"/>
    <cellStyle name="Normal 10 2 6 4 2 2" xfId="26993" xr:uid="{A5C30645-3791-44B0-BAE2-7420983ED360}"/>
    <cellStyle name="Normal 10 2 6 4 2 3" xfId="21333" xr:uid="{086EDD87-8CC3-4542-AD1A-E317F0C116B2}"/>
    <cellStyle name="Normal 10 2 6 4 2 4" xfId="32373" xr:uid="{DB7B1331-DDD8-4307-9381-D2EA65CD455E}"/>
    <cellStyle name="Normal 10 2 6 4 2 5" xfId="36030" xr:uid="{046614EE-2D15-4024-9711-956D4B303928}"/>
    <cellStyle name="Normal 10 2 6 4 3" xfId="24160" xr:uid="{E38EB47D-456C-4A53-88A4-13DDF06CE506}"/>
    <cellStyle name="Normal 10 2 6 4 4" xfId="18500" xr:uid="{C67DBB13-FDF0-41EB-8281-F24D962DBEF2}"/>
    <cellStyle name="Normal 10 2 6 4 5" xfId="29821" xr:uid="{E6D326D3-15CC-4EC2-93C0-9C9CF8042DA6}"/>
    <cellStyle name="Normal 10 2 6 4 6" xfId="36029" xr:uid="{3B34B481-0D46-4D45-86AF-C5715068D63C}"/>
    <cellStyle name="Normal 10 2 6 5" xfId="7729" xr:uid="{00000000-0005-0000-0000-0000110E0000}"/>
    <cellStyle name="Normal 10 2 6 5 2" xfId="25217" xr:uid="{A2F748F8-87D5-4863-B761-DAC068E361CF}"/>
    <cellStyle name="Normal 10 2 6 5 3" xfId="19557" xr:uid="{DB8A0E5A-0FA2-4E2B-B5AC-0F7D5668EB91}"/>
    <cellStyle name="Normal 10 2 6 5 4" xfId="30878" xr:uid="{995527A1-0015-4D6F-A8A5-567A8B686239}"/>
    <cellStyle name="Normal 10 2 6 5 5" xfId="36031" xr:uid="{B09B7825-415D-4106-B550-38F3D6360C18}"/>
    <cellStyle name="Normal 10 2 6 6" xfId="22598" xr:uid="{A99CC420-2078-40C8-95C7-B374E7C92FEC}"/>
    <cellStyle name="Normal 10 2 6 7" xfId="16938" xr:uid="{D4C8BC3E-E8F2-46A7-818B-B2BD3341E813}"/>
    <cellStyle name="Normal 10 2 6 8" xfId="28259" xr:uid="{57C491BC-96F3-441A-9627-E5B309A6EFA8}"/>
    <cellStyle name="Normal 10 2 6 9" xfId="36020" xr:uid="{1FA53CF4-46FA-44C8-A8F8-3EF64D1470C4}"/>
    <cellStyle name="Normal 10 2 7" xfId="5012" xr:uid="{00000000-0005-0000-0000-0000120E0000}"/>
    <cellStyle name="Normal 10 2 7 2" xfId="5781" xr:uid="{00000000-0005-0000-0000-0000130E0000}"/>
    <cellStyle name="Normal 10 2 7 2 2" xfId="7295" xr:uid="{00000000-0005-0000-0000-0000140E0000}"/>
    <cellStyle name="Normal 10 2 7 2 2 2" xfId="15728" xr:uid="{00000000-0005-0000-0000-0000150E0000}"/>
    <cellStyle name="Normal 10 2 7 2 2 2 2" xfId="27622" xr:uid="{AAE0ED72-4343-43E4-A0BE-74C7BA42F2EF}"/>
    <cellStyle name="Normal 10 2 7 2 2 2 3" xfId="21962" xr:uid="{9A446A9F-B61B-4233-AC60-9B9E976ACDC8}"/>
    <cellStyle name="Normal 10 2 7 2 2 2 4" xfId="33002" xr:uid="{305E951E-3810-4373-B13C-677D8ABA1CC8}"/>
    <cellStyle name="Normal 10 2 7 2 2 2 5" xfId="36035" xr:uid="{88FFAC4E-715F-4A43-ABF3-6ACE71C9399E}"/>
    <cellStyle name="Normal 10 2 7 2 2 3" xfId="24789" xr:uid="{5FE23D01-E8AB-4570-A6D5-DF2F70A16ACA}"/>
    <cellStyle name="Normal 10 2 7 2 2 4" xfId="19129" xr:uid="{8048A1D0-5E37-46C8-802E-52646F2A845D}"/>
    <cellStyle name="Normal 10 2 7 2 2 5" xfId="30450" xr:uid="{DF1B5921-9FDE-402B-AE68-72E96DA57E76}"/>
    <cellStyle name="Normal 10 2 7 2 2 6" xfId="36034" xr:uid="{9D971EAE-4D0C-4C83-B15D-E6F4793E7BD6}"/>
    <cellStyle name="Normal 10 2 7 2 3" xfId="14368" xr:uid="{00000000-0005-0000-0000-0000160E0000}"/>
    <cellStyle name="Normal 10 2 7 2 3 2" xfId="26364" xr:uid="{5C03CF11-E7E9-4210-A41F-DB901EF32506}"/>
    <cellStyle name="Normal 10 2 7 2 3 3" xfId="20704" xr:uid="{4AA7EEC8-86C0-40B7-89B0-62D257EDC9FA}"/>
    <cellStyle name="Normal 10 2 7 2 3 4" xfId="31744" xr:uid="{8365A45A-35FB-45B6-987F-97E23857865E}"/>
    <cellStyle name="Normal 10 2 7 2 3 5" xfId="36036" xr:uid="{B4C83DAF-E3C2-4623-9F63-34FC50D7242E}"/>
    <cellStyle name="Normal 10 2 7 2 4" xfId="23448" xr:uid="{DBAF85FE-DBDA-48B8-A1F2-8068BF405663}"/>
    <cellStyle name="Normal 10 2 7 2 5" xfId="17788" xr:uid="{F915F9D6-F94B-4A8A-83A5-F10DF195CC25}"/>
    <cellStyle name="Normal 10 2 7 2 6" xfId="29109" xr:uid="{A080BAC9-B82A-477F-996E-79BD9B4D7303}"/>
    <cellStyle name="Normal 10 2 7 2 7" xfId="36033" xr:uid="{C730CD03-C067-4FAA-AD89-4918096053CD}"/>
    <cellStyle name="Normal 10 2 7 3" xfId="6875" xr:uid="{00000000-0005-0000-0000-0000170E0000}"/>
    <cellStyle name="Normal 10 2 7 3 2" xfId="15308" xr:uid="{00000000-0005-0000-0000-0000180E0000}"/>
    <cellStyle name="Normal 10 2 7 3 2 2" xfId="27202" xr:uid="{F8AFFECB-6ECB-4439-B3CD-3F9FFDA4CB7B}"/>
    <cellStyle name="Normal 10 2 7 3 2 3" xfId="21542" xr:uid="{C59859A6-7C7F-4C3E-824B-94CFE6ACC4DF}"/>
    <cellStyle name="Normal 10 2 7 3 2 4" xfId="32582" xr:uid="{EA7C99D5-FD44-438B-ACB3-C7C3429DEE16}"/>
    <cellStyle name="Normal 10 2 7 3 2 5" xfId="36038" xr:uid="{1F964BD4-EC32-433A-A9B1-3639D5C8A1F8}"/>
    <cellStyle name="Normal 10 2 7 3 3" xfId="24369" xr:uid="{EC35217A-6421-4675-B8F9-2CEC5D6E221B}"/>
    <cellStyle name="Normal 10 2 7 3 4" xfId="18709" xr:uid="{C4D1C025-CC7A-488F-855F-4DEC8BC142F6}"/>
    <cellStyle name="Normal 10 2 7 3 5" xfId="30030" xr:uid="{9A21062D-2D37-447F-B654-6E939FB7EF8D}"/>
    <cellStyle name="Normal 10 2 7 3 6" xfId="36037" xr:uid="{BC2A2E12-7DFC-453D-8506-2980176AA5D8}"/>
    <cellStyle name="Normal 10 2 7 4" xfId="7730" xr:uid="{00000000-0005-0000-0000-0000190E0000}"/>
    <cellStyle name="Normal 10 2 7 4 2" xfId="25218" xr:uid="{DBA16F14-E8DB-4FA7-8BC4-F1A5C490039C}"/>
    <cellStyle name="Normal 10 2 7 4 3" xfId="19558" xr:uid="{6EF92F5D-B55E-412A-990F-93BB37188A0A}"/>
    <cellStyle name="Normal 10 2 7 4 4" xfId="30879" xr:uid="{F77D341C-A1BA-46C1-97E3-0F92BDAFBFC0}"/>
    <cellStyle name="Normal 10 2 7 4 5" xfId="36039" xr:uid="{5DA3123F-436A-4589-B094-547D017E43EF}"/>
    <cellStyle name="Normal 10 2 7 5" xfId="22807" xr:uid="{3C3284FB-C424-49CB-8D6D-307AA2BC1FB4}"/>
    <cellStyle name="Normal 10 2 7 6" xfId="17147" xr:uid="{25EC9801-0534-4772-B4DA-4E68E995A42B}"/>
    <cellStyle name="Normal 10 2 7 7" xfId="28468" xr:uid="{0024B09E-A254-47A0-9C8C-268A98DD972F}"/>
    <cellStyle name="Normal 10 2 7 8" xfId="36032" xr:uid="{FB073D95-EF9E-4926-83E7-643C75F41863}"/>
    <cellStyle name="Normal 10 2 8" xfId="6457" xr:uid="{00000000-0005-0000-0000-00001A0E0000}"/>
    <cellStyle name="Normal 10 2 8 2" xfId="14890" xr:uid="{00000000-0005-0000-0000-00001B0E0000}"/>
    <cellStyle name="Normal 10 2 8 2 2" xfId="26784" xr:uid="{E97BD4D7-7C60-4CC4-9324-4D11F201B9FF}"/>
    <cellStyle name="Normal 10 2 8 2 3" xfId="21124" xr:uid="{DF3A16C5-1CAF-4E42-86F4-799202EB1737}"/>
    <cellStyle name="Normal 10 2 8 2 4" xfId="32164" xr:uid="{50D68C39-FAA6-4F38-9FCA-7D83C1E34095}"/>
    <cellStyle name="Normal 10 2 8 2 5" xfId="36041" xr:uid="{3A682608-10C0-4964-9852-D1B6DE7308C6}"/>
    <cellStyle name="Normal 10 2 8 3" xfId="23951" xr:uid="{9E8CCC44-F73F-4F0F-AC58-2E12B43B9B48}"/>
    <cellStyle name="Normal 10 2 8 4" xfId="18291" xr:uid="{524D64FA-85D8-46BC-A7CF-FEA73341B8C0}"/>
    <cellStyle name="Normal 10 2 8 5" xfId="29612" xr:uid="{DBFBD1DC-8A96-49A9-9BF2-B468D758936F}"/>
    <cellStyle name="Normal 10 2 8 6" xfId="36040" xr:uid="{8914E1A6-2D1A-4F55-8F7A-8F545CA02E31}"/>
    <cellStyle name="Normal 10 2 9" xfId="22389" xr:uid="{34905C99-4B99-4BA7-94E8-2A314D30FDA1}"/>
    <cellStyle name="Normal 10 3" xfId="264" xr:uid="{00000000-0005-0000-0000-00001C0E0000}"/>
    <cellStyle name="Normal 10 3 2" xfId="36043" xr:uid="{A80282FE-0045-40E3-9848-AABD3929DC8C}"/>
    <cellStyle name="Normal 10 3 3" xfId="36042" xr:uid="{301BA1C9-16E7-4544-8332-C1FCBA04CE6C}"/>
    <cellStyle name="Normal 10 4" xfId="4054" xr:uid="{00000000-0005-0000-0000-00001D0E0000}"/>
    <cellStyle name="Normal 10 4 2" xfId="36044" xr:uid="{D3A873B4-C2C5-41FF-8C50-71DC0801DCD1}"/>
    <cellStyle name="Normal 10 5" xfId="4055" xr:uid="{00000000-0005-0000-0000-00001E0E0000}"/>
    <cellStyle name="Normal 10 5 2" xfId="36045" xr:uid="{60E2A451-2FB0-4A87-A044-271DE42DAA14}"/>
    <cellStyle name="Normal 10 6" xfId="4056" xr:uid="{00000000-0005-0000-0000-00001F0E0000}"/>
    <cellStyle name="Normal 10 6 2" xfId="36046" xr:uid="{A31B875E-0F1F-45A0-9CC9-C708731390B2}"/>
    <cellStyle name="Normal 10 7" xfId="4057" xr:uid="{00000000-0005-0000-0000-0000200E0000}"/>
    <cellStyle name="Normal 10 7 2" xfId="36047" xr:uid="{77664D5E-4CEB-488F-A5A0-F002CA12E018}"/>
    <cellStyle name="Normal 10 8" xfId="4058" xr:uid="{00000000-0005-0000-0000-0000210E0000}"/>
    <cellStyle name="Normal 10 8 2" xfId="36048" xr:uid="{26EF0B88-A302-4247-AD56-99211E1D63CB}"/>
    <cellStyle name="Normal 10 9" xfId="4059" xr:uid="{00000000-0005-0000-0000-0000220E0000}"/>
    <cellStyle name="Normal 10 9 2" xfId="36049" xr:uid="{6A2232C8-5A65-495E-B174-D69CC93AE3D3}"/>
    <cellStyle name="Normal 11" xfId="132" xr:uid="{00000000-0005-0000-0000-0000230E0000}"/>
    <cellStyle name="Normal 11 2" xfId="133" xr:uid="{00000000-0005-0000-0000-0000240E0000}"/>
    <cellStyle name="Normal 11 2 2" xfId="2010" xr:uid="{00000000-0005-0000-0000-0000250E0000}"/>
    <cellStyle name="Normal 11 2 2 2" xfId="9651" xr:uid="{00000000-0005-0000-0000-0000260E0000}"/>
    <cellStyle name="Normal 11 2 2 2 2" xfId="36053" xr:uid="{7223C1DF-1EB8-4AD2-B226-98E1314A70DC}"/>
    <cellStyle name="Normal 11 2 2 3" xfId="36052" xr:uid="{706E5283-9FAF-4CCF-B0BE-39C26895902F}"/>
    <cellStyle name="Normal 11 2 3" xfId="36054" xr:uid="{9E337BE8-5B2D-4F90-AAC9-5AE2E2F8A6EB}"/>
    <cellStyle name="Normal 11 2 4" xfId="36051" xr:uid="{FDA6F549-455B-4440-9C0F-64E594C64C9E}"/>
    <cellStyle name="Normal 11 2 5" xfId="49771" xr:uid="{697E88C9-773F-46C0-946C-BB9751C4E9FB}"/>
    <cellStyle name="Normal 11 3" xfId="134" xr:uid="{00000000-0005-0000-0000-0000270E0000}"/>
    <cellStyle name="Normal 11 3 2" xfId="36055" xr:uid="{0CA5B90E-4BFF-4253-AECE-27BAE712510D}"/>
    <cellStyle name="Normal 11 4" xfId="303" xr:uid="{00000000-0005-0000-0000-0000280E0000}"/>
    <cellStyle name="Normal 11 4 2" xfId="2011" xr:uid="{00000000-0005-0000-0000-0000290E0000}"/>
    <cellStyle name="Normal 11 4 2 2" xfId="36057" xr:uid="{22A9626A-EAA1-4EB0-9EBC-BBACE7F002C5}"/>
    <cellStyle name="Normal 11 4 3" xfId="36056" xr:uid="{2C766A48-7A84-4808-9F7A-39A6A087F80F}"/>
    <cellStyle name="Normal 11 5" xfId="2012" xr:uid="{00000000-0005-0000-0000-00002A0E0000}"/>
    <cellStyle name="Normal 11 5 2" xfId="4060" xr:uid="{00000000-0005-0000-0000-00002B0E0000}"/>
    <cellStyle name="Normal 11 5 2 2" xfId="36059" xr:uid="{C9C005BE-F8F3-4552-B09E-5E4245C6E100}"/>
    <cellStyle name="Normal 11 5 3" xfId="4842" xr:uid="{00000000-0005-0000-0000-00002C0E0000}"/>
    <cellStyle name="Normal 11 5 3 2" xfId="5261" xr:uid="{00000000-0005-0000-0000-00002D0E0000}"/>
    <cellStyle name="Normal 11 5 3 2 2" xfId="7124" xr:uid="{00000000-0005-0000-0000-00002E0E0000}"/>
    <cellStyle name="Normal 11 5 3 2 2 2" xfId="15557" xr:uid="{00000000-0005-0000-0000-00002F0E0000}"/>
    <cellStyle name="Normal 11 5 3 2 2 2 2" xfId="27451" xr:uid="{77D3FE94-2134-4013-ADE1-59192D53EADF}"/>
    <cellStyle name="Normal 11 5 3 2 2 2 3" xfId="21791" xr:uid="{C7990669-E368-4982-B180-B584307F5944}"/>
    <cellStyle name="Normal 11 5 3 2 2 2 4" xfId="32831" xr:uid="{9F1B3953-4DBE-4EAB-B7A3-8E55EE3D4635}"/>
    <cellStyle name="Normal 11 5 3 2 2 2 5" xfId="36063" xr:uid="{593A7857-D4FE-4764-843C-47CA854C413A}"/>
    <cellStyle name="Normal 11 5 3 2 2 3" xfId="24618" xr:uid="{6EA0C5FC-0BF7-494A-A6C1-618546A5696F}"/>
    <cellStyle name="Normal 11 5 3 2 2 4" xfId="18958" xr:uid="{005CE1D0-FDAB-4C92-A712-9232EC8D6B48}"/>
    <cellStyle name="Normal 11 5 3 2 2 5" xfId="30279" xr:uid="{9B146F4D-E6B0-4AD5-A147-44C3739B65D1}"/>
    <cellStyle name="Normal 11 5 3 2 2 6" xfId="36062" xr:uid="{326B70E8-673B-4151-8F39-2375B32B2E85}"/>
    <cellStyle name="Normal 11 5 3 2 3" xfId="14147" xr:uid="{00000000-0005-0000-0000-0000300E0000}"/>
    <cellStyle name="Normal 11 5 3 2 3 2" xfId="26186" xr:uid="{98DC5CB1-F81F-4529-9997-6B8BF756F4BB}"/>
    <cellStyle name="Normal 11 5 3 2 3 3" xfId="20526" xr:uid="{B5E8864E-0C86-4988-806E-389D9B34BC2A}"/>
    <cellStyle name="Normal 11 5 3 2 3 4" xfId="31566" xr:uid="{73374B70-3ECA-4B65-849F-4BE17465FC4C}"/>
    <cellStyle name="Normal 11 5 3 2 3 5" xfId="36064" xr:uid="{32715C9C-DAD4-4625-97FF-8C73486F9EA5}"/>
    <cellStyle name="Normal 11 5 3 2 4" xfId="23056" xr:uid="{5C8CC909-41DA-4589-B24B-DE1EA49E6056}"/>
    <cellStyle name="Normal 11 5 3 2 5" xfId="17396" xr:uid="{9D3F85F4-29FD-4D63-8D37-792E4B526A5D}"/>
    <cellStyle name="Normal 11 5 3 2 6" xfId="28717" xr:uid="{88D3D7F2-4A8A-475C-9442-15CC15D90D77}"/>
    <cellStyle name="Normal 11 5 3 2 7" xfId="36061" xr:uid="{B0E89852-8FD1-407B-9C15-FBA734DA24EE}"/>
    <cellStyle name="Normal 11 5 3 3" xfId="5974" xr:uid="{00000000-0005-0000-0000-0000310E0000}"/>
    <cellStyle name="Normal 11 5 3 3 2" xfId="7321" xr:uid="{00000000-0005-0000-0000-0000320E0000}"/>
    <cellStyle name="Normal 11 5 3 3 2 2" xfId="15754" xr:uid="{00000000-0005-0000-0000-0000330E0000}"/>
    <cellStyle name="Normal 11 5 3 3 2 2 2" xfId="27648" xr:uid="{77168E77-6D2E-46C1-9DBE-03D807BC7629}"/>
    <cellStyle name="Normal 11 5 3 3 2 2 3" xfId="21988" xr:uid="{2F086D67-A038-4A7F-B99C-160DAB321C84}"/>
    <cellStyle name="Normal 11 5 3 3 2 2 4" xfId="33028" xr:uid="{934F0093-2525-488C-847C-F772CA3B9C88}"/>
    <cellStyle name="Normal 11 5 3 3 2 2 5" xfId="36067" xr:uid="{16A453DC-45CE-4FE2-A2C7-865715E1EEA4}"/>
    <cellStyle name="Normal 11 5 3 3 2 3" xfId="24815" xr:uid="{D5239C80-0E6F-43D4-B7B6-2D4C59D474C7}"/>
    <cellStyle name="Normal 11 5 3 3 2 4" xfId="19155" xr:uid="{8F4552E1-0991-43C3-8B7A-040A272FB2E1}"/>
    <cellStyle name="Normal 11 5 3 3 2 5" xfId="30476" xr:uid="{8D22EBCE-2314-47A2-B4E1-B6B771C2F63E}"/>
    <cellStyle name="Normal 11 5 3 3 2 6" xfId="36066" xr:uid="{C61777B7-6083-4E41-87F6-6E5E4E0E38F3}"/>
    <cellStyle name="Normal 11 5 3 3 3" xfId="14433" xr:uid="{00000000-0005-0000-0000-0000340E0000}"/>
    <cellStyle name="Normal 11 5 3 3 3 2" xfId="26392" xr:uid="{4B6CFCEA-26F7-4CB8-9A41-9D784D9315E8}"/>
    <cellStyle name="Normal 11 5 3 3 3 3" xfId="20732" xr:uid="{F6AAB16F-AEF2-4AB2-80E8-AFB684859B9C}"/>
    <cellStyle name="Normal 11 5 3 3 3 4" xfId="31772" xr:uid="{FA285B7F-99C0-4E4A-B82B-A3DFBA06FF8F}"/>
    <cellStyle name="Normal 11 5 3 3 3 5" xfId="36068" xr:uid="{9BA91CB2-4978-4F9D-8F83-A1A224EDBDF0}"/>
    <cellStyle name="Normal 11 5 3 3 4" xfId="23559" xr:uid="{4B7DB7D1-7423-49D2-98C2-6E3E8AA281C5}"/>
    <cellStyle name="Normal 11 5 3 3 5" xfId="17899" xr:uid="{2BA8E541-51C5-43F7-B07C-E14A6D2370E3}"/>
    <cellStyle name="Normal 11 5 3 3 6" xfId="29220" xr:uid="{25229EFA-E26D-4E08-B997-A457E2FE8265}"/>
    <cellStyle name="Normal 11 5 3 3 7" xfId="36065" xr:uid="{CE189CFF-A096-4BB0-BCBB-8F4E7897C4C3}"/>
    <cellStyle name="Normal 11 5 3 4" xfId="6706" xr:uid="{00000000-0005-0000-0000-0000350E0000}"/>
    <cellStyle name="Normal 11 5 3 4 2" xfId="15139" xr:uid="{00000000-0005-0000-0000-0000360E0000}"/>
    <cellStyle name="Normal 11 5 3 4 2 2" xfId="27033" xr:uid="{FBA99172-9376-4D59-B1B0-6301F80FE459}"/>
    <cellStyle name="Normal 11 5 3 4 2 3" xfId="21373" xr:uid="{33247638-3B99-4866-84CC-44B88C9D89FC}"/>
    <cellStyle name="Normal 11 5 3 4 2 4" xfId="32413" xr:uid="{47C15F33-FB17-45F8-92B6-4C78C88A376E}"/>
    <cellStyle name="Normal 11 5 3 4 2 5" xfId="36070" xr:uid="{92088F7E-2280-492B-B764-F50E7EC2668B}"/>
    <cellStyle name="Normal 11 5 3 4 3" xfId="24200" xr:uid="{FFE48316-32B5-4C94-BB47-C385AADF81F2}"/>
    <cellStyle name="Normal 11 5 3 4 4" xfId="18540" xr:uid="{DD340FA1-7366-4697-915B-6B70B1B9406C}"/>
    <cellStyle name="Normal 11 5 3 4 5" xfId="29861" xr:uid="{BD38FEDD-C49D-47CB-B8D3-2A8497D3B115}"/>
    <cellStyle name="Normal 11 5 3 4 6" xfId="36069" xr:uid="{04351A29-8CBA-4EFB-9BB1-49861A28A882}"/>
    <cellStyle name="Normal 11 5 3 5" xfId="7731" xr:uid="{00000000-0005-0000-0000-0000370E0000}"/>
    <cellStyle name="Normal 11 5 3 5 2" xfId="25219" xr:uid="{C84DE360-02C3-42E1-8DB7-E010582DB627}"/>
    <cellStyle name="Normal 11 5 3 5 3" xfId="19559" xr:uid="{E6E9ADF5-C35B-43EA-9A16-7707A83FCE22}"/>
    <cellStyle name="Normal 11 5 3 5 4" xfId="30880" xr:uid="{D60537BF-E7B6-4274-9F03-90981F8D7DEC}"/>
    <cellStyle name="Normal 11 5 3 5 5" xfId="36071" xr:uid="{BDDF4B84-6FD3-4F97-8E20-911710EAEE34}"/>
    <cellStyle name="Normal 11 5 3 6" xfId="22638" xr:uid="{839BE756-233C-45AA-B82B-F93A6BBA0FEB}"/>
    <cellStyle name="Normal 11 5 3 7" xfId="16978" xr:uid="{77E6D4AB-86AC-4810-A105-CFCD525CC410}"/>
    <cellStyle name="Normal 11 5 3 8" xfId="28299" xr:uid="{9076F7C7-955A-4E03-89F3-5CB31868848F}"/>
    <cellStyle name="Normal 11 5 3 9" xfId="36060" xr:uid="{599AF72A-66C8-4471-84AF-99B231D5344E}"/>
    <cellStyle name="Normal 11 5 4" xfId="5052" xr:uid="{00000000-0005-0000-0000-0000380E0000}"/>
    <cellStyle name="Normal 11 5 4 2" xfId="5973" xr:uid="{00000000-0005-0000-0000-0000390E0000}"/>
    <cellStyle name="Normal 11 5 4 2 2" xfId="7320" xr:uid="{00000000-0005-0000-0000-00003A0E0000}"/>
    <cellStyle name="Normal 11 5 4 2 2 2" xfId="15753" xr:uid="{00000000-0005-0000-0000-00003B0E0000}"/>
    <cellStyle name="Normal 11 5 4 2 2 2 2" xfId="27647" xr:uid="{4C419AD7-7823-420E-B6B3-59E8897D5B87}"/>
    <cellStyle name="Normal 11 5 4 2 2 2 3" xfId="21987" xr:uid="{575BC7DD-3F9F-4D14-BE13-3C8BF0595D01}"/>
    <cellStyle name="Normal 11 5 4 2 2 2 4" xfId="33027" xr:uid="{0532CF60-4C72-4311-94F7-DEC2EFE072B9}"/>
    <cellStyle name="Normal 11 5 4 2 2 2 5" xfId="36075" xr:uid="{418767F7-786F-4D25-AF24-7FBB211EFAA6}"/>
    <cellStyle name="Normal 11 5 4 2 2 3" xfId="24814" xr:uid="{A0075415-5F74-4E08-9AA6-75DDB5F64109}"/>
    <cellStyle name="Normal 11 5 4 2 2 4" xfId="19154" xr:uid="{9D4DE287-DD25-4AA7-9205-04F5BADCC6D1}"/>
    <cellStyle name="Normal 11 5 4 2 2 5" xfId="30475" xr:uid="{CD4ADAC0-E8B8-49C6-B18A-4CA8BF74751E}"/>
    <cellStyle name="Normal 11 5 4 2 2 6" xfId="36074" xr:uid="{300B5A4D-042B-4C22-9870-7CD964986D67}"/>
    <cellStyle name="Normal 11 5 4 2 3" xfId="14432" xr:uid="{00000000-0005-0000-0000-00003C0E0000}"/>
    <cellStyle name="Normal 11 5 4 2 3 2" xfId="26391" xr:uid="{B156D27F-369A-4655-8E9E-CD46383DC081}"/>
    <cellStyle name="Normal 11 5 4 2 3 3" xfId="20731" xr:uid="{B1751B3C-2A14-44FE-8B29-B5D519B072C5}"/>
    <cellStyle name="Normal 11 5 4 2 3 4" xfId="31771" xr:uid="{73A57083-9A5F-4467-B291-64CC98FB041D}"/>
    <cellStyle name="Normal 11 5 4 2 3 5" xfId="36076" xr:uid="{56D12B38-6AEA-4E9D-9B03-B99A05390D88}"/>
    <cellStyle name="Normal 11 5 4 2 4" xfId="23558" xr:uid="{71EB2D8F-3457-4B92-8B17-7142074EC855}"/>
    <cellStyle name="Normal 11 5 4 2 5" xfId="17898" xr:uid="{5B416A8A-B2F6-4F0C-B504-52121BBFD145}"/>
    <cellStyle name="Normal 11 5 4 2 6" xfId="29219" xr:uid="{2434250B-DE53-4D97-83A4-30F935FBEA33}"/>
    <cellStyle name="Normal 11 5 4 2 7" xfId="36073" xr:uid="{10C2650E-AA9B-4C8D-8F93-03F5BF4D837A}"/>
    <cellStyle name="Normal 11 5 4 3" xfId="6915" xr:uid="{00000000-0005-0000-0000-00003D0E0000}"/>
    <cellStyle name="Normal 11 5 4 3 2" xfId="15348" xr:uid="{00000000-0005-0000-0000-00003E0E0000}"/>
    <cellStyle name="Normal 11 5 4 3 2 2" xfId="27242" xr:uid="{5AA4C09F-6D64-4BCA-830E-DD0CE58639BE}"/>
    <cellStyle name="Normal 11 5 4 3 2 3" xfId="21582" xr:uid="{8423858D-FE32-4D82-87D9-1FE3247961A2}"/>
    <cellStyle name="Normal 11 5 4 3 2 4" xfId="32622" xr:uid="{A128DD3D-911D-4A21-A4EC-41779FB0E893}"/>
    <cellStyle name="Normal 11 5 4 3 2 5" xfId="36078" xr:uid="{903020BA-D893-42F1-BC48-62BE90535197}"/>
    <cellStyle name="Normal 11 5 4 3 3" xfId="24409" xr:uid="{9D672A06-E323-4532-ABAC-E8BF73EE9E70}"/>
    <cellStyle name="Normal 11 5 4 3 4" xfId="18749" xr:uid="{933908C0-5EAA-44B0-9A6E-BB03201A4715}"/>
    <cellStyle name="Normal 11 5 4 3 5" xfId="30070" xr:uid="{E0110697-8184-4BDD-9E57-FC90AFBEEFF1}"/>
    <cellStyle name="Normal 11 5 4 3 6" xfId="36077" xr:uid="{48D3EAAA-D192-4759-AAA4-013EE822697E}"/>
    <cellStyle name="Normal 11 5 4 4" xfId="7732" xr:uid="{00000000-0005-0000-0000-00003F0E0000}"/>
    <cellStyle name="Normal 11 5 4 4 2" xfId="25220" xr:uid="{6F77B22C-8751-4E92-AD13-D0B1977D405C}"/>
    <cellStyle name="Normal 11 5 4 4 3" xfId="19560" xr:uid="{B874695C-5313-4466-955D-A2EDA0983DA7}"/>
    <cellStyle name="Normal 11 5 4 4 4" xfId="30881" xr:uid="{20030AF1-E73B-4A49-A282-91E9128B6A61}"/>
    <cellStyle name="Normal 11 5 4 4 5" xfId="36079" xr:uid="{D0B0EC47-F448-42BE-976E-C5680F3C9E17}"/>
    <cellStyle name="Normal 11 5 4 5" xfId="22847" xr:uid="{F6686116-B41D-45E2-BA7C-AAE54BBC2F30}"/>
    <cellStyle name="Normal 11 5 4 6" xfId="17187" xr:uid="{C3846ECB-7267-40FD-91D8-DBB2C425DF36}"/>
    <cellStyle name="Normal 11 5 4 7" xfId="28508" xr:uid="{3962DCF7-D7E3-4626-80B9-0764DBABEB2E}"/>
    <cellStyle name="Normal 11 5 4 8" xfId="36072" xr:uid="{78A4B873-8529-4A08-A4DD-AB33A1B8F341}"/>
    <cellStyle name="Normal 11 5 5" xfId="6497" xr:uid="{00000000-0005-0000-0000-0000400E0000}"/>
    <cellStyle name="Normal 11 5 5 2" xfId="14930" xr:uid="{00000000-0005-0000-0000-0000410E0000}"/>
    <cellStyle name="Normal 11 5 5 2 2" xfId="26824" xr:uid="{F2D7D65F-B2EC-44E2-825A-4FFC7B759AA8}"/>
    <cellStyle name="Normal 11 5 5 2 3" xfId="21164" xr:uid="{2C2AE422-DF2E-43CC-AD97-3D6262DD7DB6}"/>
    <cellStyle name="Normal 11 5 5 2 4" xfId="32204" xr:uid="{4AB83028-5BB4-4B4F-94F3-C3894B64FF80}"/>
    <cellStyle name="Normal 11 5 5 2 5" xfId="36081" xr:uid="{88F3BF3E-7B38-4E79-85BA-F972CF355CED}"/>
    <cellStyle name="Normal 11 5 5 3" xfId="23991" xr:uid="{7373E75E-3049-43CC-9408-64742F1DFA38}"/>
    <cellStyle name="Normal 11 5 5 4" xfId="18331" xr:uid="{19F5ED74-09B1-4BD5-AA02-680FFB8B5851}"/>
    <cellStyle name="Normal 11 5 5 5" xfId="29652" xr:uid="{7B3F1D5C-A7A2-481D-9E1C-AE8F1ACECBCE}"/>
    <cellStyle name="Normal 11 5 5 6" xfId="36080" xr:uid="{81DD6711-2033-46C7-A9F6-45120354B3CF}"/>
    <cellStyle name="Normal 11 5 6" xfId="22429" xr:uid="{15581779-7EC2-4DC0-82BE-23AB9192A139}"/>
    <cellStyle name="Normal 11 5 7" xfId="16769" xr:uid="{335E7C3B-9657-4D1F-94F8-0421314CDAF4}"/>
    <cellStyle name="Normal 11 5 8" xfId="28090" xr:uid="{7BAE1944-35D7-4E98-A588-C0F1826EA3FB}"/>
    <cellStyle name="Normal 11 5 9" xfId="36058" xr:uid="{234B7AD2-61A7-44AD-9A80-1DA20D04298A}"/>
    <cellStyle name="Normal 11 6" xfId="4061" xr:uid="{00000000-0005-0000-0000-0000420E0000}"/>
    <cellStyle name="Normal 11 6 2" xfId="36082" xr:uid="{44B55FC6-72DF-455E-B646-E88F24C589A3}"/>
    <cellStyle name="Normal 11 7" xfId="4062" xr:uid="{00000000-0005-0000-0000-0000430E0000}"/>
    <cellStyle name="Normal 11 7 2" xfId="36083" xr:uid="{A06036BD-D109-47CC-9BED-A72C797151B3}"/>
    <cellStyle name="Normal 11 8" xfId="4063" xr:uid="{00000000-0005-0000-0000-0000440E0000}"/>
    <cellStyle name="Normal 11 8 2" xfId="36084" xr:uid="{72C7FAA9-CEB4-40CB-9026-7BF6F9C3D0ED}"/>
    <cellStyle name="Normal 11 9" xfId="36050" xr:uid="{049DBCC6-630F-4E34-8FA4-B838DD11151F}"/>
    <cellStyle name="Normal 12" xfId="8" xr:uid="{00000000-0005-0000-0000-0000450E0000}"/>
    <cellStyle name="Normal 12 2" xfId="4064" xr:uid="{00000000-0005-0000-0000-0000460E0000}"/>
    <cellStyle name="Normal 12 2 2" xfId="36086" xr:uid="{338A02F3-87C7-41BC-A455-9B8800CB3D2C}"/>
    <cellStyle name="Normal 12 3" xfId="4065" xr:uid="{00000000-0005-0000-0000-0000470E0000}"/>
    <cellStyle name="Normal 12 3 2" xfId="36087" xr:uid="{C51BCDB8-C242-4302-A326-43CD952860C8}"/>
    <cellStyle name="Normal 12 4" xfId="4066" xr:uid="{00000000-0005-0000-0000-0000480E0000}"/>
    <cellStyle name="Normal 12 4 2" xfId="36088" xr:uid="{76DDE880-2787-45AB-A4DF-E46D75D37BF7}"/>
    <cellStyle name="Normal 12 5" xfId="4067" xr:uid="{00000000-0005-0000-0000-0000490E0000}"/>
    <cellStyle name="Normal 12 5 2" xfId="36089" xr:uid="{C8D38C18-1CEE-462F-9E39-EADD1ED2314D}"/>
    <cellStyle name="Normal 12 6" xfId="4068" xr:uid="{00000000-0005-0000-0000-00004A0E0000}"/>
    <cellStyle name="Normal 12 6 2" xfId="36090" xr:uid="{575ED48E-EE95-4275-93FE-7343D999EBF8}"/>
    <cellStyle name="Normal 12 7" xfId="4069" xr:uid="{00000000-0005-0000-0000-00004B0E0000}"/>
    <cellStyle name="Normal 12 7 2" xfId="36091" xr:uid="{B8C46658-1F32-4EEA-9C77-ED20C806829D}"/>
    <cellStyle name="Normal 12 8" xfId="4070" xr:uid="{00000000-0005-0000-0000-00004C0E0000}"/>
    <cellStyle name="Normal 12 8 2" xfId="36092" xr:uid="{26FA1BAF-0279-45E0-9FD6-BB636C163264}"/>
    <cellStyle name="Normal 12 9" xfId="36085" xr:uid="{B8AC29C8-1D78-437A-AABB-7A396E4217DB}"/>
    <cellStyle name="Normal 13" xfId="284" xr:uid="{00000000-0005-0000-0000-00004D0E0000}"/>
    <cellStyle name="Normal 13 10" xfId="4071" xr:uid="{00000000-0005-0000-0000-00004E0E0000}"/>
    <cellStyle name="Normal 13 10 10" xfId="36094" xr:uid="{F0E2AD32-444C-487E-83ED-79E71069054E}"/>
    <cellStyle name="Normal 13 10 2" xfId="4881" xr:uid="{00000000-0005-0000-0000-00004F0E0000}"/>
    <cellStyle name="Normal 13 10 2 2" xfId="5300" xr:uid="{00000000-0005-0000-0000-0000500E0000}"/>
    <cellStyle name="Normal 13 10 2 2 2" xfId="7163" xr:uid="{00000000-0005-0000-0000-0000510E0000}"/>
    <cellStyle name="Normal 13 10 2 2 2 2" xfId="15596" xr:uid="{00000000-0005-0000-0000-0000520E0000}"/>
    <cellStyle name="Normal 13 10 2 2 2 2 2" xfId="27490" xr:uid="{DF13FFE0-3A48-4B19-AD37-186368386EBC}"/>
    <cellStyle name="Normal 13 10 2 2 2 2 3" xfId="21830" xr:uid="{67960B58-C546-448D-B809-DD13B9A7B5F8}"/>
    <cellStyle name="Normal 13 10 2 2 2 2 4" xfId="32870" xr:uid="{15BD2DA5-1377-4CE1-A840-9F2F883E28B1}"/>
    <cellStyle name="Normal 13 10 2 2 2 2 5" xfId="36098" xr:uid="{222078AA-549B-4DC2-B988-0DF173A36FCB}"/>
    <cellStyle name="Normal 13 10 2 2 2 3" xfId="24657" xr:uid="{E271F1EF-38B4-4A8F-AB0F-35E98091777D}"/>
    <cellStyle name="Normal 13 10 2 2 2 4" xfId="18997" xr:uid="{6A7B566D-A19B-4B25-98E3-FEEBA273B234}"/>
    <cellStyle name="Normal 13 10 2 2 2 5" xfId="30318" xr:uid="{239912EC-981B-4050-AAB5-62B794F55854}"/>
    <cellStyle name="Normal 13 10 2 2 2 6" xfId="36097" xr:uid="{D6CC40E7-98B7-4768-9989-DAE8F4D0D080}"/>
    <cellStyle name="Normal 13 10 2 2 3" xfId="14186" xr:uid="{00000000-0005-0000-0000-0000530E0000}"/>
    <cellStyle name="Normal 13 10 2 2 3 2" xfId="26225" xr:uid="{106F40A4-1A45-478F-BE8C-B10C8477C062}"/>
    <cellStyle name="Normal 13 10 2 2 3 3" xfId="20565" xr:uid="{768B0563-3F57-49AE-90E0-9249892C66AE}"/>
    <cellStyle name="Normal 13 10 2 2 3 4" xfId="31605" xr:uid="{4530E9E1-9BEA-4D2B-A1C6-F2EAA5814909}"/>
    <cellStyle name="Normal 13 10 2 2 3 5" xfId="36099" xr:uid="{5C8C736E-6112-4821-A393-F11EF38A882D}"/>
    <cellStyle name="Normal 13 10 2 2 4" xfId="23095" xr:uid="{4E370F7E-6419-4DCC-87B9-02BD72561280}"/>
    <cellStyle name="Normal 13 10 2 2 5" xfId="17435" xr:uid="{4BE524BD-3CFB-41A0-A91E-1B93A05A32C3}"/>
    <cellStyle name="Normal 13 10 2 2 6" xfId="28756" xr:uid="{5F09A07A-B172-4A79-A764-A7B220A05F24}"/>
    <cellStyle name="Normal 13 10 2 2 7" xfId="36096" xr:uid="{36280A5A-52AC-4A46-80F9-44C97D431664}"/>
    <cellStyle name="Normal 13 10 2 3" xfId="5977" xr:uid="{00000000-0005-0000-0000-0000540E0000}"/>
    <cellStyle name="Normal 13 10 2 3 2" xfId="7324" xr:uid="{00000000-0005-0000-0000-0000550E0000}"/>
    <cellStyle name="Normal 13 10 2 3 2 2" xfId="15757" xr:uid="{00000000-0005-0000-0000-0000560E0000}"/>
    <cellStyle name="Normal 13 10 2 3 2 2 2" xfId="27651" xr:uid="{87DDB66A-4642-43E6-ACD8-DE59192838EC}"/>
    <cellStyle name="Normal 13 10 2 3 2 2 3" xfId="21991" xr:uid="{A1DDB1E2-B9E5-4DB7-8847-2EA159EB389B}"/>
    <cellStyle name="Normal 13 10 2 3 2 2 4" xfId="33031" xr:uid="{B62CC02A-2967-41C6-BA09-B028F8E209BE}"/>
    <cellStyle name="Normal 13 10 2 3 2 2 5" xfId="36102" xr:uid="{0136A0A0-850C-4A4C-BDDE-4EF77772239F}"/>
    <cellStyle name="Normal 13 10 2 3 2 3" xfId="24818" xr:uid="{5888A9D2-A4D8-492C-9C7C-6B5CD14CA0A8}"/>
    <cellStyle name="Normal 13 10 2 3 2 4" xfId="19158" xr:uid="{B37D5C02-F2C3-4EE9-AB14-8B87B9AC335A}"/>
    <cellStyle name="Normal 13 10 2 3 2 5" xfId="30479" xr:uid="{B10C0AC7-28A6-44EC-A39D-2CBFD04CD0AF}"/>
    <cellStyle name="Normal 13 10 2 3 2 6" xfId="36101" xr:uid="{C39319FC-0CB0-47AF-9302-AE0006CF0182}"/>
    <cellStyle name="Normal 13 10 2 3 3" xfId="14436" xr:uid="{00000000-0005-0000-0000-0000570E0000}"/>
    <cellStyle name="Normal 13 10 2 3 3 2" xfId="26395" xr:uid="{7D47D135-47C2-438B-850C-3C512CE69EC7}"/>
    <cellStyle name="Normal 13 10 2 3 3 3" xfId="20735" xr:uid="{7B0D9E00-CC8E-4A25-9CE7-07FAD126F440}"/>
    <cellStyle name="Normal 13 10 2 3 3 4" xfId="31775" xr:uid="{EE1236EE-D4B5-48EE-926D-A30DB896CEE3}"/>
    <cellStyle name="Normal 13 10 2 3 3 5" xfId="36103" xr:uid="{43AFA3D7-EEC1-4EF4-806A-FD87688E9CA5}"/>
    <cellStyle name="Normal 13 10 2 3 4" xfId="23562" xr:uid="{FD5C6BFC-85AB-4829-BAD6-15F35AB8B1A6}"/>
    <cellStyle name="Normal 13 10 2 3 5" xfId="17902" xr:uid="{EA4E6922-AC28-4889-875E-6F886C792DA5}"/>
    <cellStyle name="Normal 13 10 2 3 6" xfId="29223" xr:uid="{4EEA6A9B-71DC-44F0-AC6E-6F179B50C4C0}"/>
    <cellStyle name="Normal 13 10 2 3 7" xfId="36100" xr:uid="{CC559318-0E7C-4397-84F1-1FC7E1CCA310}"/>
    <cellStyle name="Normal 13 10 2 4" xfId="6745" xr:uid="{00000000-0005-0000-0000-0000580E0000}"/>
    <cellStyle name="Normal 13 10 2 4 2" xfId="15178" xr:uid="{00000000-0005-0000-0000-0000590E0000}"/>
    <cellStyle name="Normal 13 10 2 4 2 2" xfId="27072" xr:uid="{2F518F0D-394C-4DCF-9661-30AF760049B3}"/>
    <cellStyle name="Normal 13 10 2 4 2 3" xfId="21412" xr:uid="{033B8F43-F1FF-4BF1-BC03-3453FEC454BA}"/>
    <cellStyle name="Normal 13 10 2 4 2 4" xfId="32452" xr:uid="{265A91F5-1E43-4073-B0E0-0696418E9B03}"/>
    <cellStyle name="Normal 13 10 2 4 2 5" xfId="36105" xr:uid="{45542150-D467-441A-B378-FDCE0FAE140F}"/>
    <cellStyle name="Normal 13 10 2 4 3" xfId="24239" xr:uid="{DE25646A-029D-417B-971E-623EFD1E235C}"/>
    <cellStyle name="Normal 13 10 2 4 4" xfId="18579" xr:uid="{693064C1-6E96-438A-9A76-1B8EDBB15BD5}"/>
    <cellStyle name="Normal 13 10 2 4 5" xfId="29900" xr:uid="{CB5BB7FD-0343-4EE0-9F29-407996EAF9F8}"/>
    <cellStyle name="Normal 13 10 2 4 6" xfId="36104" xr:uid="{58627490-F1A6-4605-A36C-E5AF562DA616}"/>
    <cellStyle name="Normal 13 10 2 5" xfId="7734" xr:uid="{00000000-0005-0000-0000-00005A0E0000}"/>
    <cellStyle name="Normal 13 10 2 5 2" xfId="25222" xr:uid="{4595EF41-94F6-48DF-8107-02730335DD00}"/>
    <cellStyle name="Normal 13 10 2 5 3" xfId="19562" xr:uid="{D5D561FA-6F8A-405D-B8FD-76EE1F952590}"/>
    <cellStyle name="Normal 13 10 2 5 4" xfId="30883" xr:uid="{2DF72716-2A67-46D1-AA02-73E0B7E490E8}"/>
    <cellStyle name="Normal 13 10 2 5 5" xfId="36106" xr:uid="{08FC026E-8E66-4976-B453-FC7EFDBB0CF2}"/>
    <cellStyle name="Normal 13 10 2 6" xfId="22677" xr:uid="{20FD6319-E839-4FF0-81F7-ED5E138688FD}"/>
    <cellStyle name="Normal 13 10 2 7" xfId="17017" xr:uid="{B479B952-5A10-42F9-8F26-A3B721FF0B31}"/>
    <cellStyle name="Normal 13 10 2 8" xfId="28338" xr:uid="{6982836B-4512-46A1-BB67-3827A2B6865A}"/>
    <cellStyle name="Normal 13 10 2 9" xfId="36095" xr:uid="{05D2F9C2-7B69-430E-A643-7F700F18B19A}"/>
    <cellStyle name="Normal 13 10 3" xfId="5091" xr:uid="{00000000-0005-0000-0000-00005B0E0000}"/>
    <cellStyle name="Normal 13 10 3 2" xfId="5976" xr:uid="{00000000-0005-0000-0000-00005C0E0000}"/>
    <cellStyle name="Normal 13 10 3 2 2" xfId="7323" xr:uid="{00000000-0005-0000-0000-00005D0E0000}"/>
    <cellStyle name="Normal 13 10 3 2 2 2" xfId="15756" xr:uid="{00000000-0005-0000-0000-00005E0E0000}"/>
    <cellStyle name="Normal 13 10 3 2 2 2 2" xfId="27650" xr:uid="{8518F57B-0B64-485D-B9B3-6DDB7BBA0CB0}"/>
    <cellStyle name="Normal 13 10 3 2 2 2 3" xfId="21990" xr:uid="{26CF5FB4-CFFD-4DD5-B43B-360B7FAAA50D}"/>
    <cellStyle name="Normal 13 10 3 2 2 2 4" xfId="33030" xr:uid="{67D7B2D8-82CA-4C9B-8C5D-B51AEE89619B}"/>
    <cellStyle name="Normal 13 10 3 2 2 2 5" xfId="36110" xr:uid="{EBFE0467-99B0-4FD1-8050-9B9BFEEA8896}"/>
    <cellStyle name="Normal 13 10 3 2 2 3" xfId="24817" xr:uid="{C1CA7922-FF96-4A1A-8DA1-76CC8E0D5301}"/>
    <cellStyle name="Normal 13 10 3 2 2 4" xfId="19157" xr:uid="{972D1C6E-D7B7-4EFB-A565-887EFDDB280E}"/>
    <cellStyle name="Normal 13 10 3 2 2 5" xfId="30478" xr:uid="{68E04429-9E9B-40F9-85A9-3740207FD40B}"/>
    <cellStyle name="Normal 13 10 3 2 2 6" xfId="36109" xr:uid="{A39EBDD0-B376-4B41-A9D2-3CC2D26066FB}"/>
    <cellStyle name="Normal 13 10 3 2 3" xfId="14435" xr:uid="{00000000-0005-0000-0000-00005F0E0000}"/>
    <cellStyle name="Normal 13 10 3 2 3 2" xfId="26394" xr:uid="{4FD4C5F1-E0DF-412B-89E7-9431A6797183}"/>
    <cellStyle name="Normal 13 10 3 2 3 3" xfId="20734" xr:uid="{F268BA95-4FE9-4C56-8F0A-2D534C4C7751}"/>
    <cellStyle name="Normal 13 10 3 2 3 4" xfId="31774" xr:uid="{96709BD3-A93E-46F6-902D-979B30453B8C}"/>
    <cellStyle name="Normal 13 10 3 2 3 5" xfId="36111" xr:uid="{77D09763-3D09-4019-B77A-57A0B0F7A0B5}"/>
    <cellStyle name="Normal 13 10 3 2 4" xfId="23561" xr:uid="{E81CCCAD-DA6E-402A-B663-99675A604BB2}"/>
    <cellStyle name="Normal 13 10 3 2 5" xfId="17901" xr:uid="{5AD700E0-8D75-4B05-AF51-92B753AB6D7C}"/>
    <cellStyle name="Normal 13 10 3 2 6" xfId="29222" xr:uid="{72A9908F-2A48-4807-98F4-2A54C4E5FDAA}"/>
    <cellStyle name="Normal 13 10 3 2 7" xfId="36108" xr:uid="{CCD4240F-161C-4A00-BDF7-7276ECAFCFFB}"/>
    <cellStyle name="Normal 13 10 3 3" xfId="6954" xr:uid="{00000000-0005-0000-0000-0000600E0000}"/>
    <cellStyle name="Normal 13 10 3 3 2" xfId="15387" xr:uid="{00000000-0005-0000-0000-0000610E0000}"/>
    <cellStyle name="Normal 13 10 3 3 2 2" xfId="27281" xr:uid="{E6C7E3B6-91F7-4ABA-940D-C4A8F28C4CA7}"/>
    <cellStyle name="Normal 13 10 3 3 2 3" xfId="21621" xr:uid="{CBCBF925-052A-4419-8454-447880E51C7F}"/>
    <cellStyle name="Normal 13 10 3 3 2 4" xfId="32661" xr:uid="{6DC25A1B-EF08-4CCE-A520-1BE3CDA9A5F2}"/>
    <cellStyle name="Normal 13 10 3 3 2 5" xfId="36113" xr:uid="{51B2B767-0555-463A-ACC3-C530852B7BEF}"/>
    <cellStyle name="Normal 13 10 3 3 3" xfId="24448" xr:uid="{147D84D9-2DF7-4130-AC60-2BBC9E7339AD}"/>
    <cellStyle name="Normal 13 10 3 3 4" xfId="18788" xr:uid="{29306CE7-4F47-4AD0-A2A9-2C5E0C1B02D3}"/>
    <cellStyle name="Normal 13 10 3 3 5" xfId="30109" xr:uid="{AAE2AACB-E600-4167-9D5A-FFDB8F9495B8}"/>
    <cellStyle name="Normal 13 10 3 3 6" xfId="36112" xr:uid="{CB292BB4-873F-4093-AB08-281445058DF7}"/>
    <cellStyle name="Normal 13 10 3 4" xfId="13978" xr:uid="{00000000-0005-0000-0000-0000620E0000}"/>
    <cellStyle name="Normal 13 10 3 4 2" xfId="26017" xr:uid="{9436DD70-25AA-4CFB-831B-29C34E0457F6}"/>
    <cellStyle name="Normal 13 10 3 4 3" xfId="20357" xr:uid="{1D2F94A2-D071-4109-8E7E-3D13FB1E8536}"/>
    <cellStyle name="Normal 13 10 3 4 4" xfId="31397" xr:uid="{02437082-91EF-4A49-B2E1-678962306AED}"/>
    <cellStyle name="Normal 13 10 3 4 5" xfId="36114" xr:uid="{BDBB9A17-305C-4BA9-83CD-950DCFF6673A}"/>
    <cellStyle name="Normal 13 10 3 5" xfId="22886" xr:uid="{45880D10-458B-4E8A-8BBB-D9D725997ADF}"/>
    <cellStyle name="Normal 13 10 3 6" xfId="17226" xr:uid="{45CBC88C-7AE2-4E8C-95EE-85DE0003B21E}"/>
    <cellStyle name="Normal 13 10 3 7" xfId="28547" xr:uid="{6C7BEA8E-0D88-4F24-8193-5B06F66EF63A}"/>
    <cellStyle name="Normal 13 10 3 8" xfId="36107" xr:uid="{845CB369-3A55-43BA-A9E1-D2B07F1A4F9D}"/>
    <cellStyle name="Normal 13 10 4" xfId="5623" xr:uid="{00000000-0005-0000-0000-0000630E0000}"/>
    <cellStyle name="Normal 13 10 4 2" xfId="36115" xr:uid="{0D8C4F0B-2B47-4A42-88AF-C4ED072812B3}"/>
    <cellStyle name="Normal 13 10 5" xfId="6536" xr:uid="{00000000-0005-0000-0000-0000640E0000}"/>
    <cellStyle name="Normal 13 10 5 2" xfId="14969" xr:uid="{00000000-0005-0000-0000-0000650E0000}"/>
    <cellStyle name="Normal 13 10 5 2 2" xfId="26863" xr:uid="{2A820683-CC74-4876-85C3-1F3FD821FA05}"/>
    <cellStyle name="Normal 13 10 5 2 3" xfId="21203" xr:uid="{EBEBB335-BC62-4BA4-977A-25723A4701EF}"/>
    <cellStyle name="Normal 13 10 5 2 4" xfId="32243" xr:uid="{02337C06-8D61-49D3-983B-AE7FF341A1A3}"/>
    <cellStyle name="Normal 13 10 5 2 5" xfId="36117" xr:uid="{3932F2A4-FE8B-4625-A50B-5792E3FF5EFF}"/>
    <cellStyle name="Normal 13 10 5 3" xfId="24030" xr:uid="{6AF97460-E407-4982-B483-BFF937C34765}"/>
    <cellStyle name="Normal 13 10 5 4" xfId="18370" xr:uid="{302C395C-7F17-4687-8380-BB50D6925263}"/>
    <cellStyle name="Normal 13 10 5 5" xfId="29691" xr:uid="{0D56751E-6B4E-4372-9CCA-9BC4EAA31928}"/>
    <cellStyle name="Normal 13 10 5 6" xfId="36116" xr:uid="{C75D397F-3781-4CE8-9EAD-AD397CFB251F}"/>
    <cellStyle name="Normal 13 10 6" xfId="7733" xr:uid="{00000000-0005-0000-0000-0000660E0000}"/>
    <cellStyle name="Normal 13 10 6 2" xfId="25221" xr:uid="{67005981-6C4F-4B65-930B-DA5AE27EFF1C}"/>
    <cellStyle name="Normal 13 10 6 3" xfId="19561" xr:uid="{D316A2AF-D7DD-4A02-8291-E9A07E98FBDB}"/>
    <cellStyle name="Normal 13 10 6 4" xfId="30882" xr:uid="{36437816-3FF4-480F-8A8F-1D21C3A33DB2}"/>
    <cellStyle name="Normal 13 10 6 5" xfId="36118" xr:uid="{2DE98EA2-A53A-4958-A28A-1717416E4CD8}"/>
    <cellStyle name="Normal 13 10 7" xfId="22468" xr:uid="{D1C58758-6E7E-487F-9F89-A6D039C8571A}"/>
    <cellStyle name="Normal 13 10 8" xfId="16808" xr:uid="{4D4BD9F1-4848-49C7-85AF-81E223B01420}"/>
    <cellStyle name="Normal 13 10 9" xfId="28129" xr:uid="{55AC0A54-C266-4257-BEE4-BE475BBE653A}"/>
    <cellStyle name="Normal 13 11" xfId="4072" xr:uid="{00000000-0005-0000-0000-0000670E0000}"/>
    <cellStyle name="Normal 13 11 10" xfId="36119" xr:uid="{BF782CBF-8ACA-43F8-AA4F-DBC34422D65D}"/>
    <cellStyle name="Normal 13 11 2" xfId="4882" xr:uid="{00000000-0005-0000-0000-0000680E0000}"/>
    <cellStyle name="Normal 13 11 2 2" xfId="5301" xr:uid="{00000000-0005-0000-0000-0000690E0000}"/>
    <cellStyle name="Normal 13 11 2 2 2" xfId="7164" xr:uid="{00000000-0005-0000-0000-00006A0E0000}"/>
    <cellStyle name="Normal 13 11 2 2 2 2" xfId="15597" xr:uid="{00000000-0005-0000-0000-00006B0E0000}"/>
    <cellStyle name="Normal 13 11 2 2 2 2 2" xfId="27491" xr:uid="{28A8C315-308A-40EA-98BC-D5CA1FBC897B}"/>
    <cellStyle name="Normal 13 11 2 2 2 2 3" xfId="21831" xr:uid="{96E7D683-137C-4FB2-AD0D-C2604930BB98}"/>
    <cellStyle name="Normal 13 11 2 2 2 2 4" xfId="32871" xr:uid="{718F805D-E6B0-4BBD-A55A-55000A2DBB7E}"/>
    <cellStyle name="Normal 13 11 2 2 2 2 5" xfId="36123" xr:uid="{D1FFA177-B024-49AC-82C1-6FEA0B4A145D}"/>
    <cellStyle name="Normal 13 11 2 2 2 3" xfId="24658" xr:uid="{562300EA-3C9E-41AD-8BA0-2F7A35A2F26B}"/>
    <cellStyle name="Normal 13 11 2 2 2 4" xfId="18998" xr:uid="{A90D5EE3-4EE8-4C2C-AA81-0B5A264EE87A}"/>
    <cellStyle name="Normal 13 11 2 2 2 5" xfId="30319" xr:uid="{DB1C968F-B953-4190-99D9-27B0E529114A}"/>
    <cellStyle name="Normal 13 11 2 2 2 6" xfId="36122" xr:uid="{1443E935-0AA8-4B4A-A78B-289FCB6E47B5}"/>
    <cellStyle name="Normal 13 11 2 2 3" xfId="14187" xr:uid="{00000000-0005-0000-0000-00006C0E0000}"/>
    <cellStyle name="Normal 13 11 2 2 3 2" xfId="26226" xr:uid="{9556C70E-5B14-4437-B7E7-ECACAD76F9F2}"/>
    <cellStyle name="Normal 13 11 2 2 3 3" xfId="20566" xr:uid="{7EFD5EDC-2B17-49FD-BB6E-28D3A150A835}"/>
    <cellStyle name="Normal 13 11 2 2 3 4" xfId="31606" xr:uid="{4A8DF6D6-2DDC-4AA5-9B7B-A2C00BF94A8F}"/>
    <cellStyle name="Normal 13 11 2 2 3 5" xfId="36124" xr:uid="{11BFC411-5526-41DE-94C5-A932BD0A011E}"/>
    <cellStyle name="Normal 13 11 2 2 4" xfId="23096" xr:uid="{1867B6E6-2AEB-422B-9CF2-EE9CB72FB7FB}"/>
    <cellStyle name="Normal 13 11 2 2 5" xfId="17436" xr:uid="{705CB8A8-A0D6-4079-845D-74FE0F52B2A5}"/>
    <cellStyle name="Normal 13 11 2 2 6" xfId="28757" xr:uid="{E42E8D76-84F1-4628-B1F0-49B16B5A97A1}"/>
    <cellStyle name="Normal 13 11 2 2 7" xfId="36121" xr:uid="{702B5EA2-2403-44EA-AC13-89AF56A1EC98}"/>
    <cellStyle name="Normal 13 11 2 3" xfId="5979" xr:uid="{00000000-0005-0000-0000-00006D0E0000}"/>
    <cellStyle name="Normal 13 11 2 3 2" xfId="7326" xr:uid="{00000000-0005-0000-0000-00006E0E0000}"/>
    <cellStyle name="Normal 13 11 2 3 2 2" xfId="15759" xr:uid="{00000000-0005-0000-0000-00006F0E0000}"/>
    <cellStyle name="Normal 13 11 2 3 2 2 2" xfId="27653" xr:uid="{EF1C8B38-88C2-4F5E-B455-3F2E9545D99F}"/>
    <cellStyle name="Normal 13 11 2 3 2 2 3" xfId="21993" xr:uid="{F5F00444-2005-49DF-A655-81A8F2D70B39}"/>
    <cellStyle name="Normal 13 11 2 3 2 2 4" xfId="33033" xr:uid="{E7C58E2D-E27B-4468-A493-A3F85F15DE32}"/>
    <cellStyle name="Normal 13 11 2 3 2 2 5" xfId="36127" xr:uid="{4EC0B28A-07E3-4942-94A1-9A062CD96CD3}"/>
    <cellStyle name="Normal 13 11 2 3 2 3" xfId="24820" xr:uid="{279101E6-7A36-4938-B49A-AFB4AB868C9D}"/>
    <cellStyle name="Normal 13 11 2 3 2 4" xfId="19160" xr:uid="{0DD150A0-B528-42D4-882D-443241CA7E0C}"/>
    <cellStyle name="Normal 13 11 2 3 2 5" xfId="30481" xr:uid="{72B25314-371A-4C7C-B4B1-AF4E507BE3E6}"/>
    <cellStyle name="Normal 13 11 2 3 2 6" xfId="36126" xr:uid="{610670F8-D643-4BBA-AB32-8FA3863F0E9C}"/>
    <cellStyle name="Normal 13 11 2 3 3" xfId="14438" xr:uid="{00000000-0005-0000-0000-0000700E0000}"/>
    <cellStyle name="Normal 13 11 2 3 3 2" xfId="26397" xr:uid="{6687C518-100C-4CF1-A672-B1333224587D}"/>
    <cellStyle name="Normal 13 11 2 3 3 3" xfId="20737" xr:uid="{03AB1821-D9EB-4B5D-BD0B-3A216FC4A9B1}"/>
    <cellStyle name="Normal 13 11 2 3 3 4" xfId="31777" xr:uid="{5BF582AA-03FB-4000-BF00-375F717C4911}"/>
    <cellStyle name="Normal 13 11 2 3 3 5" xfId="36128" xr:uid="{D448BF41-7AD5-4772-91AB-10B9223A8473}"/>
    <cellStyle name="Normal 13 11 2 3 4" xfId="23564" xr:uid="{FDDB9AAB-31FB-4C1D-A261-D98558EC69EF}"/>
    <cellStyle name="Normal 13 11 2 3 5" xfId="17904" xr:uid="{401D5CCB-59FF-4280-A21A-F1A79582998B}"/>
    <cellStyle name="Normal 13 11 2 3 6" xfId="29225" xr:uid="{DE62D336-1C8D-456A-AD0C-5848C6AA32A0}"/>
    <cellStyle name="Normal 13 11 2 3 7" xfId="36125" xr:uid="{EE62304A-8888-44A5-8549-18E5D773FFDE}"/>
    <cellStyle name="Normal 13 11 2 4" xfId="6746" xr:uid="{00000000-0005-0000-0000-0000710E0000}"/>
    <cellStyle name="Normal 13 11 2 4 2" xfId="15179" xr:uid="{00000000-0005-0000-0000-0000720E0000}"/>
    <cellStyle name="Normal 13 11 2 4 2 2" xfId="27073" xr:uid="{DAE1A4BE-CBAE-4C78-AFEF-69ED2555C57E}"/>
    <cellStyle name="Normal 13 11 2 4 2 3" xfId="21413" xr:uid="{DAE205B1-B585-449A-ABE1-479E697B12E1}"/>
    <cellStyle name="Normal 13 11 2 4 2 4" xfId="32453" xr:uid="{5B838F3E-ADE3-4AF2-B766-8AE8BE50572D}"/>
    <cellStyle name="Normal 13 11 2 4 2 5" xfId="36130" xr:uid="{956D0E0A-EC51-411C-811D-A9AAA291CFDE}"/>
    <cellStyle name="Normal 13 11 2 4 3" xfId="24240" xr:uid="{94FA2B78-1D90-4977-B263-527B54EC6599}"/>
    <cellStyle name="Normal 13 11 2 4 4" xfId="18580" xr:uid="{79AA8B7E-5BED-47F2-90A4-41CD77A3B057}"/>
    <cellStyle name="Normal 13 11 2 4 5" xfId="29901" xr:uid="{C2A00E11-2AA7-40AE-B3D5-5D3CD0608A2F}"/>
    <cellStyle name="Normal 13 11 2 4 6" xfId="36129" xr:uid="{BD7660E4-94B7-4D0C-BC14-D220696FC4A7}"/>
    <cellStyle name="Normal 13 11 2 5" xfId="7736" xr:uid="{00000000-0005-0000-0000-0000730E0000}"/>
    <cellStyle name="Normal 13 11 2 5 2" xfId="25224" xr:uid="{BA25EC78-4A11-49DD-9556-D290D82ED8BF}"/>
    <cellStyle name="Normal 13 11 2 5 3" xfId="19564" xr:uid="{87F0B82D-66D8-4E7B-8357-701C3F9D7B86}"/>
    <cellStyle name="Normal 13 11 2 5 4" xfId="30885" xr:uid="{43055280-FDBF-42D9-A401-13D0C11C5BE2}"/>
    <cellStyle name="Normal 13 11 2 5 5" xfId="36131" xr:uid="{4798BE25-0E3C-4C1E-BB24-287F162A3FD3}"/>
    <cellStyle name="Normal 13 11 2 6" xfId="22678" xr:uid="{48DDDC28-F91D-4B56-B7F5-031355CA4688}"/>
    <cellStyle name="Normal 13 11 2 7" xfId="17018" xr:uid="{305F947A-44A7-4C84-A5C3-9FB0DF0F705E}"/>
    <cellStyle name="Normal 13 11 2 8" xfId="28339" xr:uid="{25D113D0-2545-4A5D-8FA0-5F53C1D65CB6}"/>
    <cellStyle name="Normal 13 11 2 9" xfId="36120" xr:uid="{F4A0B084-7597-4CE1-A412-F465D1CD7E53}"/>
    <cellStyle name="Normal 13 11 3" xfId="5092" xr:uid="{00000000-0005-0000-0000-0000740E0000}"/>
    <cellStyle name="Normal 13 11 3 2" xfId="5978" xr:uid="{00000000-0005-0000-0000-0000750E0000}"/>
    <cellStyle name="Normal 13 11 3 2 2" xfId="7325" xr:uid="{00000000-0005-0000-0000-0000760E0000}"/>
    <cellStyle name="Normal 13 11 3 2 2 2" xfId="15758" xr:uid="{00000000-0005-0000-0000-0000770E0000}"/>
    <cellStyle name="Normal 13 11 3 2 2 2 2" xfId="27652" xr:uid="{B9D97A40-9933-43FB-989A-417D2985FF6E}"/>
    <cellStyle name="Normal 13 11 3 2 2 2 3" xfId="21992" xr:uid="{F4AEDD4D-811F-4AA5-83F3-629FE9BFC872}"/>
    <cellStyle name="Normal 13 11 3 2 2 2 4" xfId="33032" xr:uid="{17B640FF-9E03-42D6-90DC-A0D8E7B7C429}"/>
    <cellStyle name="Normal 13 11 3 2 2 2 5" xfId="36135" xr:uid="{7D72D578-4F76-46F6-9B58-95E59144481B}"/>
    <cellStyle name="Normal 13 11 3 2 2 3" xfId="24819" xr:uid="{F2004AEF-AFD1-49D9-9B1A-F399005E08A6}"/>
    <cellStyle name="Normal 13 11 3 2 2 4" xfId="19159" xr:uid="{F8D1A4A8-BF8D-49AE-B6A9-E10CD7A6847D}"/>
    <cellStyle name="Normal 13 11 3 2 2 5" xfId="30480" xr:uid="{5F8BCC72-7662-425E-995B-6A63B8797B31}"/>
    <cellStyle name="Normal 13 11 3 2 2 6" xfId="36134" xr:uid="{92FF4071-76C7-4106-A261-F7E3B2EE676B}"/>
    <cellStyle name="Normal 13 11 3 2 3" xfId="14437" xr:uid="{00000000-0005-0000-0000-0000780E0000}"/>
    <cellStyle name="Normal 13 11 3 2 3 2" xfId="26396" xr:uid="{D0ED515C-4557-492A-8177-84E2C1827247}"/>
    <cellStyle name="Normal 13 11 3 2 3 3" xfId="20736" xr:uid="{5A0BE595-2E68-48BF-B925-E579129D26D0}"/>
    <cellStyle name="Normal 13 11 3 2 3 4" xfId="31776" xr:uid="{F4BD62F0-7584-40CA-A7C1-7613F81A7F80}"/>
    <cellStyle name="Normal 13 11 3 2 3 5" xfId="36136" xr:uid="{58870EAD-F70F-465B-9592-86B9F85FB9EF}"/>
    <cellStyle name="Normal 13 11 3 2 4" xfId="23563" xr:uid="{0D3343C0-AAD8-459D-BF1B-E99DC3F007FB}"/>
    <cellStyle name="Normal 13 11 3 2 5" xfId="17903" xr:uid="{78E09CDB-E1BC-4321-B28E-0CDC96817AFF}"/>
    <cellStyle name="Normal 13 11 3 2 6" xfId="29224" xr:uid="{5C83F176-E3C5-49BA-9E15-42E501A73D03}"/>
    <cellStyle name="Normal 13 11 3 2 7" xfId="36133" xr:uid="{9FA2A77E-577E-4A03-8AF9-EACE08BB3B27}"/>
    <cellStyle name="Normal 13 11 3 3" xfId="6955" xr:uid="{00000000-0005-0000-0000-0000790E0000}"/>
    <cellStyle name="Normal 13 11 3 3 2" xfId="15388" xr:uid="{00000000-0005-0000-0000-00007A0E0000}"/>
    <cellStyle name="Normal 13 11 3 3 2 2" xfId="27282" xr:uid="{1575E3B0-D8D7-4CB7-8D5A-FEF2B2E37984}"/>
    <cellStyle name="Normal 13 11 3 3 2 3" xfId="21622" xr:uid="{5B08F2EF-80E1-4DBC-8E78-DE908E28D529}"/>
    <cellStyle name="Normal 13 11 3 3 2 4" xfId="32662" xr:uid="{0B6F462B-6B7F-4DE0-A283-F21884B8C78C}"/>
    <cellStyle name="Normal 13 11 3 3 2 5" xfId="36138" xr:uid="{42C037CB-8002-435B-815C-66A5233D447E}"/>
    <cellStyle name="Normal 13 11 3 3 3" xfId="24449" xr:uid="{AB164B00-FC00-4690-8F2A-BC60C09FC9C1}"/>
    <cellStyle name="Normal 13 11 3 3 4" xfId="18789" xr:uid="{BB2D5EDB-C2F6-4A99-B579-53A8CDF8EE22}"/>
    <cellStyle name="Normal 13 11 3 3 5" xfId="30110" xr:uid="{A2B2C320-2984-4364-8D7A-D12F58EA3F29}"/>
    <cellStyle name="Normal 13 11 3 3 6" xfId="36137" xr:uid="{9A794BB8-6DE1-48FA-B2A3-91EC654B6D2A}"/>
    <cellStyle name="Normal 13 11 3 4" xfId="13979" xr:uid="{00000000-0005-0000-0000-00007B0E0000}"/>
    <cellStyle name="Normal 13 11 3 4 2" xfId="26018" xr:uid="{3D8FF007-01BD-43AC-B099-B9D19D902B32}"/>
    <cellStyle name="Normal 13 11 3 4 3" xfId="20358" xr:uid="{E4F24A73-FBA1-444F-AC44-B8D93AD8B9F6}"/>
    <cellStyle name="Normal 13 11 3 4 4" xfId="31398" xr:uid="{86FE55BB-FD55-4FD6-8379-544B7C6425AC}"/>
    <cellStyle name="Normal 13 11 3 4 5" xfId="36139" xr:uid="{643CD159-BF38-4A96-B188-5FB7880D2AE1}"/>
    <cellStyle name="Normal 13 11 3 5" xfId="22887" xr:uid="{6F5741AE-2D22-4AC9-AEF0-F5ABC1259B4E}"/>
    <cellStyle name="Normal 13 11 3 6" xfId="17227" xr:uid="{7F89CAB5-23E5-47D0-ACBF-5BC63F684A77}"/>
    <cellStyle name="Normal 13 11 3 7" xfId="28548" xr:uid="{DDE11196-B1CA-425E-B452-11FD1257F933}"/>
    <cellStyle name="Normal 13 11 3 8" xfId="36132" xr:uid="{013B7CCD-7C05-4FC0-A584-450E53EC4241}"/>
    <cellStyle name="Normal 13 11 4" xfId="5624" xr:uid="{00000000-0005-0000-0000-00007C0E0000}"/>
    <cellStyle name="Normal 13 11 4 2" xfId="36140" xr:uid="{7A2852DC-7533-43F9-BE44-AA55D45FCA76}"/>
    <cellStyle name="Normal 13 11 5" xfId="6537" xr:uid="{00000000-0005-0000-0000-00007D0E0000}"/>
    <cellStyle name="Normal 13 11 5 2" xfId="14970" xr:uid="{00000000-0005-0000-0000-00007E0E0000}"/>
    <cellStyle name="Normal 13 11 5 2 2" xfId="26864" xr:uid="{854C3B20-B23F-4066-AD1E-879ECEA8A665}"/>
    <cellStyle name="Normal 13 11 5 2 3" xfId="21204" xr:uid="{E72BE22F-0A49-4467-A2EA-68EA8FE7F93F}"/>
    <cellStyle name="Normal 13 11 5 2 4" xfId="32244" xr:uid="{5622939C-1B33-492C-B87F-5606D4E3474C}"/>
    <cellStyle name="Normal 13 11 5 2 5" xfId="36142" xr:uid="{B3B7B89F-5D95-4775-8815-ED7BB0A2230D}"/>
    <cellStyle name="Normal 13 11 5 3" xfId="24031" xr:uid="{632F0D76-A8BA-4FBE-8D32-A25C26957B6B}"/>
    <cellStyle name="Normal 13 11 5 4" xfId="18371" xr:uid="{EC00C0A5-FF65-407F-AFD0-0610E4C0DD57}"/>
    <cellStyle name="Normal 13 11 5 5" xfId="29692" xr:uid="{E60888CA-844B-4765-AD60-82B3D30389DF}"/>
    <cellStyle name="Normal 13 11 5 6" xfId="36141" xr:uid="{02298FC8-FA11-40F9-BD24-8438202C610A}"/>
    <cellStyle name="Normal 13 11 6" xfId="7735" xr:uid="{00000000-0005-0000-0000-00007F0E0000}"/>
    <cellStyle name="Normal 13 11 6 2" xfId="25223" xr:uid="{F0FDDA5A-6EEE-4068-A4B3-57E71D52DF05}"/>
    <cellStyle name="Normal 13 11 6 3" xfId="19563" xr:uid="{A7242C18-81BA-42E4-8D20-6D0EA1B1BAD1}"/>
    <cellStyle name="Normal 13 11 6 4" xfId="30884" xr:uid="{359EFC62-7800-4521-84B4-22619472225B}"/>
    <cellStyle name="Normal 13 11 6 5" xfId="36143" xr:uid="{C0001702-8BE4-4425-91D7-B287FCF81D01}"/>
    <cellStyle name="Normal 13 11 7" xfId="22469" xr:uid="{B625BDA0-DEB6-4BE9-A250-ADC945DCEF14}"/>
    <cellStyle name="Normal 13 11 8" xfId="16809" xr:uid="{4B0F5BA6-2625-48E6-A069-0CEF477DDAE8}"/>
    <cellStyle name="Normal 13 11 9" xfId="28130" xr:uid="{1332CF51-46A4-4897-B8F6-D6B278B5B8EF}"/>
    <cellStyle name="Normal 13 12" xfId="4073" xr:uid="{00000000-0005-0000-0000-0000800E0000}"/>
    <cellStyle name="Normal 13 12 2" xfId="36144" xr:uid="{B648F332-712C-4B39-A449-2B867BAE6C73}"/>
    <cellStyle name="Normal 13 13" xfId="4074" xr:uid="{00000000-0005-0000-0000-0000810E0000}"/>
    <cellStyle name="Normal 13 13 10" xfId="36145" xr:uid="{9A145506-671E-4B33-B947-ED7FF1028EF1}"/>
    <cellStyle name="Normal 13 13 2" xfId="4883" xr:uid="{00000000-0005-0000-0000-0000820E0000}"/>
    <cellStyle name="Normal 13 13 2 2" xfId="5302" xr:uid="{00000000-0005-0000-0000-0000830E0000}"/>
    <cellStyle name="Normal 13 13 2 2 2" xfId="7165" xr:uid="{00000000-0005-0000-0000-0000840E0000}"/>
    <cellStyle name="Normal 13 13 2 2 2 2" xfId="15598" xr:uid="{00000000-0005-0000-0000-0000850E0000}"/>
    <cellStyle name="Normal 13 13 2 2 2 2 2" xfId="27492" xr:uid="{30152DDF-488E-41CA-86D0-E80B1AA47A1E}"/>
    <cellStyle name="Normal 13 13 2 2 2 2 3" xfId="21832" xr:uid="{52ECBA29-729E-4E5E-9D79-F5E05E67FFA4}"/>
    <cellStyle name="Normal 13 13 2 2 2 2 4" xfId="32872" xr:uid="{D3AF42CB-B726-4194-9242-9D9B05564F40}"/>
    <cellStyle name="Normal 13 13 2 2 2 2 5" xfId="36149" xr:uid="{6CA0AB87-DCA9-4C01-82B8-79BAF7832AFD}"/>
    <cellStyle name="Normal 13 13 2 2 2 3" xfId="24659" xr:uid="{91D4CE4B-FD02-4211-9AA0-7CCE2994742C}"/>
    <cellStyle name="Normal 13 13 2 2 2 4" xfId="18999" xr:uid="{498E0DA2-5D68-437A-BDC6-715EC79E8798}"/>
    <cellStyle name="Normal 13 13 2 2 2 5" xfId="30320" xr:uid="{5E2BA1D8-C7DF-4F4D-8D5B-F1905D7DCC0E}"/>
    <cellStyle name="Normal 13 13 2 2 2 6" xfId="36148" xr:uid="{5CD99634-20F9-499A-AACC-F71803116CE9}"/>
    <cellStyle name="Normal 13 13 2 2 3" xfId="14188" xr:uid="{00000000-0005-0000-0000-0000860E0000}"/>
    <cellStyle name="Normal 13 13 2 2 3 2" xfId="26227" xr:uid="{7C24DD1A-4D62-448B-988C-EDC1FFBD02A3}"/>
    <cellStyle name="Normal 13 13 2 2 3 3" xfId="20567" xr:uid="{2A2DDDC7-3CEA-4AB9-B7F5-1C6AF2169A8F}"/>
    <cellStyle name="Normal 13 13 2 2 3 4" xfId="31607" xr:uid="{302B437A-F108-4B1F-A689-62D7EDF49542}"/>
    <cellStyle name="Normal 13 13 2 2 3 5" xfId="36150" xr:uid="{DB6FA60F-7D2C-4DF7-884A-87F44FB4C149}"/>
    <cellStyle name="Normal 13 13 2 2 4" xfId="23097" xr:uid="{E3F4E1B3-27B8-4D3A-BDD8-4C1FF10B006A}"/>
    <cellStyle name="Normal 13 13 2 2 5" xfId="17437" xr:uid="{CBD7D81A-CB4F-47CD-A735-CA6AE834251E}"/>
    <cellStyle name="Normal 13 13 2 2 6" xfId="28758" xr:uid="{D79166D3-713C-4EA5-BCBF-7B81496AC770}"/>
    <cellStyle name="Normal 13 13 2 2 7" xfId="36147" xr:uid="{3531D93D-2D08-4747-8737-BF42D109FBE6}"/>
    <cellStyle name="Normal 13 13 2 3" xfId="5981" xr:uid="{00000000-0005-0000-0000-0000870E0000}"/>
    <cellStyle name="Normal 13 13 2 3 2" xfId="7328" xr:uid="{00000000-0005-0000-0000-0000880E0000}"/>
    <cellStyle name="Normal 13 13 2 3 2 2" xfId="15761" xr:uid="{00000000-0005-0000-0000-0000890E0000}"/>
    <cellStyle name="Normal 13 13 2 3 2 2 2" xfId="27655" xr:uid="{293F2431-BF97-434A-98E4-E635FDD543B7}"/>
    <cellStyle name="Normal 13 13 2 3 2 2 3" xfId="21995" xr:uid="{5A91652F-115E-42D6-9D87-CFA2FAC4F3A3}"/>
    <cellStyle name="Normal 13 13 2 3 2 2 4" xfId="33035" xr:uid="{072ECD92-C2C9-41C7-985D-2FC52A1A65EE}"/>
    <cellStyle name="Normal 13 13 2 3 2 2 5" xfId="36153" xr:uid="{FC7F6037-3AA0-42AF-B167-E985DA789AF8}"/>
    <cellStyle name="Normal 13 13 2 3 2 3" xfId="24822" xr:uid="{2AB21F79-AC39-4797-878B-2D1F53334A28}"/>
    <cellStyle name="Normal 13 13 2 3 2 4" xfId="19162" xr:uid="{5FEC6D41-3E61-4E95-B462-76EF3E1270EA}"/>
    <cellStyle name="Normal 13 13 2 3 2 5" xfId="30483" xr:uid="{304DCE2E-4C2C-40AA-B062-64FE15D9DA52}"/>
    <cellStyle name="Normal 13 13 2 3 2 6" xfId="36152" xr:uid="{2C9C4737-3B17-428D-9A2B-FAA7357A9939}"/>
    <cellStyle name="Normal 13 13 2 3 3" xfId="14440" xr:uid="{00000000-0005-0000-0000-00008A0E0000}"/>
    <cellStyle name="Normal 13 13 2 3 3 2" xfId="26399" xr:uid="{D7CCE05D-2933-4B89-8AB8-746ADB77C2D9}"/>
    <cellStyle name="Normal 13 13 2 3 3 3" xfId="20739" xr:uid="{4B7E80A6-59EE-4EF7-8ED8-5F5D2959643A}"/>
    <cellStyle name="Normal 13 13 2 3 3 4" xfId="31779" xr:uid="{52C7058C-A25C-4D13-B56F-0F124F24B74B}"/>
    <cellStyle name="Normal 13 13 2 3 3 5" xfId="36154" xr:uid="{2F7F38AA-5F36-4F22-92D1-99B8387CF9F1}"/>
    <cellStyle name="Normal 13 13 2 3 4" xfId="23566" xr:uid="{990D80D7-5DDF-4156-AB77-935174CAE90B}"/>
    <cellStyle name="Normal 13 13 2 3 5" xfId="17906" xr:uid="{FBA0983E-A8EB-4DF1-A2F3-C38CC92EF61A}"/>
    <cellStyle name="Normal 13 13 2 3 6" xfId="29227" xr:uid="{353C8E82-90CD-4420-80A9-2C7A91D76E96}"/>
    <cellStyle name="Normal 13 13 2 3 7" xfId="36151" xr:uid="{B7B776B8-8826-4F8F-95BF-6A98B781752E}"/>
    <cellStyle name="Normal 13 13 2 4" xfId="6747" xr:uid="{00000000-0005-0000-0000-00008B0E0000}"/>
    <cellStyle name="Normal 13 13 2 4 2" xfId="15180" xr:uid="{00000000-0005-0000-0000-00008C0E0000}"/>
    <cellStyle name="Normal 13 13 2 4 2 2" xfId="27074" xr:uid="{33817B09-0E9A-4F90-A532-1F45F4D5CFF3}"/>
    <cellStyle name="Normal 13 13 2 4 2 3" xfId="21414" xr:uid="{D1851A65-16AF-4CBB-9449-750F324E68A4}"/>
    <cellStyle name="Normal 13 13 2 4 2 4" xfId="32454" xr:uid="{C911E2FD-C632-44F8-A6F8-3F6EDDB5B331}"/>
    <cellStyle name="Normal 13 13 2 4 2 5" xfId="36156" xr:uid="{8C72D4D1-5D9C-43B2-B738-CAC1267E1A52}"/>
    <cellStyle name="Normal 13 13 2 4 3" xfId="24241" xr:uid="{F8C8A6CC-8351-4E8B-BC19-FC2F762B2333}"/>
    <cellStyle name="Normal 13 13 2 4 4" xfId="18581" xr:uid="{B5ACA282-6474-4C78-9DCA-B27888E51A8C}"/>
    <cellStyle name="Normal 13 13 2 4 5" xfId="29902" xr:uid="{4E8DDCB8-A06F-4652-B066-ECB3573239D2}"/>
    <cellStyle name="Normal 13 13 2 4 6" xfId="36155" xr:uid="{568A4358-01A9-4276-9901-3CD1797CB315}"/>
    <cellStyle name="Normal 13 13 2 5" xfId="7738" xr:uid="{00000000-0005-0000-0000-00008D0E0000}"/>
    <cellStyle name="Normal 13 13 2 5 2" xfId="25226" xr:uid="{2BDE939C-7BD7-446A-9145-519C0BAF95A5}"/>
    <cellStyle name="Normal 13 13 2 5 3" xfId="19566" xr:uid="{469E2A79-7A90-4B43-B3B7-3058A74921BA}"/>
    <cellStyle name="Normal 13 13 2 5 4" xfId="30887" xr:uid="{946393DA-C40E-4683-AC22-404F9EB5CA34}"/>
    <cellStyle name="Normal 13 13 2 5 5" xfId="36157" xr:uid="{0CC0A5AE-8A40-406B-87C0-BF391E80D216}"/>
    <cellStyle name="Normal 13 13 2 6" xfId="22679" xr:uid="{D29B992A-4A7C-4F3D-887F-4EC1F2C404BC}"/>
    <cellStyle name="Normal 13 13 2 7" xfId="17019" xr:uid="{78FE8C7C-73E5-441F-A54F-09846CB8ECD5}"/>
    <cellStyle name="Normal 13 13 2 8" xfId="28340" xr:uid="{4906D5E9-7144-44BB-9602-ECDA3B24DD58}"/>
    <cellStyle name="Normal 13 13 2 9" xfId="36146" xr:uid="{34E44264-C4EC-4403-83D1-4C23512AA617}"/>
    <cellStyle name="Normal 13 13 3" xfId="5093" xr:uid="{00000000-0005-0000-0000-00008E0E0000}"/>
    <cellStyle name="Normal 13 13 3 2" xfId="5980" xr:uid="{00000000-0005-0000-0000-00008F0E0000}"/>
    <cellStyle name="Normal 13 13 3 2 2" xfId="7327" xr:uid="{00000000-0005-0000-0000-0000900E0000}"/>
    <cellStyle name="Normal 13 13 3 2 2 2" xfId="15760" xr:uid="{00000000-0005-0000-0000-0000910E0000}"/>
    <cellStyle name="Normal 13 13 3 2 2 2 2" xfId="27654" xr:uid="{FEE32AAD-4FF6-4E39-8870-83F13C876EE3}"/>
    <cellStyle name="Normal 13 13 3 2 2 2 3" xfId="21994" xr:uid="{A2F4D210-1CF6-430F-A2BE-AA9CFDC8B873}"/>
    <cellStyle name="Normal 13 13 3 2 2 2 4" xfId="33034" xr:uid="{96653921-ACFC-470E-B929-58B229AC99F5}"/>
    <cellStyle name="Normal 13 13 3 2 2 2 5" xfId="36161" xr:uid="{4DEF7CDE-5797-4D68-8B79-ABC8A3A0EEAE}"/>
    <cellStyle name="Normal 13 13 3 2 2 3" xfId="24821" xr:uid="{D58C3570-1F27-4349-AADC-D5C22B44B69B}"/>
    <cellStyle name="Normal 13 13 3 2 2 4" xfId="19161" xr:uid="{F0F0CEAF-3AC3-49A2-84E7-C68614767EAE}"/>
    <cellStyle name="Normal 13 13 3 2 2 5" xfId="30482" xr:uid="{C0C7D7EF-DABE-44DF-A3BE-1955E7B42860}"/>
    <cellStyle name="Normal 13 13 3 2 2 6" xfId="36160" xr:uid="{D2AE8C06-C1C2-44B4-9500-96E39B919995}"/>
    <cellStyle name="Normal 13 13 3 2 3" xfId="14439" xr:uid="{00000000-0005-0000-0000-0000920E0000}"/>
    <cellStyle name="Normal 13 13 3 2 3 2" xfId="26398" xr:uid="{0E5B4A3D-7E24-4ECA-98C2-22D0C14882DC}"/>
    <cellStyle name="Normal 13 13 3 2 3 3" xfId="20738" xr:uid="{F2168DBF-3CC2-4890-ACF0-45648100D9C9}"/>
    <cellStyle name="Normal 13 13 3 2 3 4" xfId="31778" xr:uid="{0BE109ED-C1E8-4CD9-A827-63A440B33211}"/>
    <cellStyle name="Normal 13 13 3 2 3 5" xfId="36162" xr:uid="{61E9854B-1E53-4EB7-9A2A-FB9CBF867580}"/>
    <cellStyle name="Normal 13 13 3 2 4" xfId="23565" xr:uid="{5C600541-AB24-4F96-BD77-6FC992059881}"/>
    <cellStyle name="Normal 13 13 3 2 5" xfId="17905" xr:uid="{A0D6D22B-CEA9-454F-AFB6-19949224C73D}"/>
    <cellStyle name="Normal 13 13 3 2 6" xfId="29226" xr:uid="{245B932F-F6AD-45E3-A511-BDAD3848888C}"/>
    <cellStyle name="Normal 13 13 3 2 7" xfId="36159" xr:uid="{A853E68E-36BF-49E8-8A86-F3C9862153F0}"/>
    <cellStyle name="Normal 13 13 3 3" xfId="6956" xr:uid="{00000000-0005-0000-0000-0000930E0000}"/>
    <cellStyle name="Normal 13 13 3 3 2" xfId="15389" xr:uid="{00000000-0005-0000-0000-0000940E0000}"/>
    <cellStyle name="Normal 13 13 3 3 2 2" xfId="27283" xr:uid="{36B3BCA9-3B11-4C15-AC34-AB144FF1D78F}"/>
    <cellStyle name="Normal 13 13 3 3 2 3" xfId="21623" xr:uid="{B44624F7-6899-4588-BD42-C294EBB1021D}"/>
    <cellStyle name="Normal 13 13 3 3 2 4" xfId="32663" xr:uid="{6C455D8C-B615-4920-8168-F1A29B67C964}"/>
    <cellStyle name="Normal 13 13 3 3 2 5" xfId="36164" xr:uid="{5D8D1AE8-FFB9-4A96-8195-2B7FEB250DEC}"/>
    <cellStyle name="Normal 13 13 3 3 3" xfId="24450" xr:uid="{5FB224DB-791A-40B8-8C5D-64F89BD1C0D0}"/>
    <cellStyle name="Normal 13 13 3 3 4" xfId="18790" xr:uid="{004D2F7D-BFD4-4E12-BD0B-6F6EAC40872A}"/>
    <cellStyle name="Normal 13 13 3 3 5" xfId="30111" xr:uid="{9C1E0521-0005-4A5D-A303-4398F0E73A56}"/>
    <cellStyle name="Normal 13 13 3 3 6" xfId="36163" xr:uid="{4E527BA2-869A-4D14-9D73-97C2316D46C4}"/>
    <cellStyle name="Normal 13 13 3 4" xfId="13980" xr:uid="{00000000-0005-0000-0000-0000950E0000}"/>
    <cellStyle name="Normal 13 13 3 4 2" xfId="26019" xr:uid="{B43DF4B1-2650-492F-AA65-3AE1BD83CC73}"/>
    <cellStyle name="Normal 13 13 3 4 3" xfId="20359" xr:uid="{0A0A9172-9ED8-4235-BDE2-F2C7F1766462}"/>
    <cellStyle name="Normal 13 13 3 4 4" xfId="31399" xr:uid="{254F0C2E-09E0-4DE3-8B3F-197272B4E60A}"/>
    <cellStyle name="Normal 13 13 3 4 5" xfId="36165" xr:uid="{064E5A91-4487-4986-BE82-D32F36DE2A4B}"/>
    <cellStyle name="Normal 13 13 3 5" xfId="22888" xr:uid="{5117F842-2376-4275-B37D-185C4B737CF1}"/>
    <cellStyle name="Normal 13 13 3 6" xfId="17228" xr:uid="{B706AEDB-BB22-400A-9FC4-9F639AB2BEA5}"/>
    <cellStyle name="Normal 13 13 3 7" xfId="28549" xr:uid="{633DF494-2378-4428-A4CE-23281EDA64D4}"/>
    <cellStyle name="Normal 13 13 3 8" xfId="36158" xr:uid="{7869FAA1-D900-4638-A0D6-0DEA6C8513B2}"/>
    <cellStyle name="Normal 13 13 4" xfId="5625" xr:uid="{00000000-0005-0000-0000-0000960E0000}"/>
    <cellStyle name="Normal 13 13 4 2" xfId="36166" xr:uid="{263AD51D-B1C5-40F2-ABB3-133B2A13B4D7}"/>
    <cellStyle name="Normal 13 13 5" xfId="6538" xr:uid="{00000000-0005-0000-0000-0000970E0000}"/>
    <cellStyle name="Normal 13 13 5 2" xfId="14971" xr:uid="{00000000-0005-0000-0000-0000980E0000}"/>
    <cellStyle name="Normal 13 13 5 2 2" xfId="26865" xr:uid="{C1B659F5-BACC-42BE-A10A-918401B17D4C}"/>
    <cellStyle name="Normal 13 13 5 2 3" xfId="21205" xr:uid="{186951EF-CE03-43CF-B69D-AD91D4BF9BF5}"/>
    <cellStyle name="Normal 13 13 5 2 4" xfId="32245" xr:uid="{1B749200-F17D-45D7-8680-58541063BB79}"/>
    <cellStyle name="Normal 13 13 5 2 5" xfId="36168" xr:uid="{83579081-15EB-4AF5-9773-61DBCFF6AB88}"/>
    <cellStyle name="Normal 13 13 5 3" xfId="24032" xr:uid="{31B4ADB9-1CDB-4B10-A47D-7D856133F411}"/>
    <cellStyle name="Normal 13 13 5 4" xfId="18372" xr:uid="{A217F74F-E3A6-4A24-83F1-7566C32A32A2}"/>
    <cellStyle name="Normal 13 13 5 5" xfId="29693" xr:uid="{6AC2FE2A-F97E-4CFE-96DC-C5AC82477588}"/>
    <cellStyle name="Normal 13 13 5 6" xfId="36167" xr:uid="{F9C12A65-BE4F-4188-AD73-6553E779DA8C}"/>
    <cellStyle name="Normal 13 13 6" xfId="7737" xr:uid="{00000000-0005-0000-0000-0000990E0000}"/>
    <cellStyle name="Normal 13 13 6 2" xfId="25225" xr:uid="{F441E226-41EC-4EA0-BAB3-3A1046AB7372}"/>
    <cellStyle name="Normal 13 13 6 3" xfId="19565" xr:uid="{3C4F9566-3EA3-4B58-A5C8-D0861E8855D1}"/>
    <cellStyle name="Normal 13 13 6 4" xfId="30886" xr:uid="{97581B3C-81B9-4A3A-A89B-0D5B64DD83B0}"/>
    <cellStyle name="Normal 13 13 6 5" xfId="36169" xr:uid="{450C155B-F90C-4A4F-8EF2-EBB32BCFBDB4}"/>
    <cellStyle name="Normal 13 13 7" xfId="22470" xr:uid="{CAA4DBCB-BFBC-4FAF-9006-C69E9EAB1FE0}"/>
    <cellStyle name="Normal 13 13 8" xfId="16810" xr:uid="{953BB1CC-81C2-467C-9D35-1B36B66A60EA}"/>
    <cellStyle name="Normal 13 13 9" xfId="28131" xr:uid="{7182181E-4F21-4285-83F2-788D20B0E8EE}"/>
    <cellStyle name="Normal 13 14" xfId="4075" xr:uid="{00000000-0005-0000-0000-00009A0E0000}"/>
    <cellStyle name="Normal 13 14 10" xfId="36170" xr:uid="{D0E2536D-176E-49AB-95F7-15698EEA0995}"/>
    <cellStyle name="Normal 13 14 2" xfId="4884" xr:uid="{00000000-0005-0000-0000-00009B0E0000}"/>
    <cellStyle name="Normal 13 14 2 2" xfId="5303" xr:uid="{00000000-0005-0000-0000-00009C0E0000}"/>
    <cellStyle name="Normal 13 14 2 2 2" xfId="7166" xr:uid="{00000000-0005-0000-0000-00009D0E0000}"/>
    <cellStyle name="Normal 13 14 2 2 2 2" xfId="15599" xr:uid="{00000000-0005-0000-0000-00009E0E0000}"/>
    <cellStyle name="Normal 13 14 2 2 2 2 2" xfId="27493" xr:uid="{190EBDF7-DAF7-4358-AF7E-88480FA9E123}"/>
    <cellStyle name="Normal 13 14 2 2 2 2 3" xfId="21833" xr:uid="{F5D7EA17-41CE-421B-BFB7-3B2FAC9D1F34}"/>
    <cellStyle name="Normal 13 14 2 2 2 2 4" xfId="32873" xr:uid="{5DB8003A-20B3-44A8-A9F9-45738B3195DB}"/>
    <cellStyle name="Normal 13 14 2 2 2 2 5" xfId="36174" xr:uid="{D4D6B7F0-76EC-4986-83B1-7586736E8560}"/>
    <cellStyle name="Normal 13 14 2 2 2 3" xfId="24660" xr:uid="{70E55468-88C2-4F29-B7DE-7B321A677748}"/>
    <cellStyle name="Normal 13 14 2 2 2 4" xfId="19000" xr:uid="{F512E6B4-0196-46EA-98EC-2ED8E2654F52}"/>
    <cellStyle name="Normal 13 14 2 2 2 5" xfId="30321" xr:uid="{0E69D4B4-24D0-4B00-AC77-9D42FE5392C5}"/>
    <cellStyle name="Normal 13 14 2 2 2 6" xfId="36173" xr:uid="{B85F297B-3DD6-40DB-BE4A-2C297A158EEF}"/>
    <cellStyle name="Normal 13 14 2 2 3" xfId="14189" xr:uid="{00000000-0005-0000-0000-00009F0E0000}"/>
    <cellStyle name="Normal 13 14 2 2 3 2" xfId="26228" xr:uid="{66BF1A8A-4B7C-4F1A-826A-CEA59BB178E9}"/>
    <cellStyle name="Normal 13 14 2 2 3 3" xfId="20568" xr:uid="{AB426378-FCDC-4C97-8048-FD8187A087BF}"/>
    <cellStyle name="Normal 13 14 2 2 3 4" xfId="31608" xr:uid="{EA7E057D-8588-4E27-87F4-CA8E619BE613}"/>
    <cellStyle name="Normal 13 14 2 2 3 5" xfId="36175" xr:uid="{1812DB4C-367D-4198-B492-C41A3418FAB4}"/>
    <cellStyle name="Normal 13 14 2 2 4" xfId="23098" xr:uid="{24ED64C6-101C-42E5-85AE-8D535185C193}"/>
    <cellStyle name="Normal 13 14 2 2 5" xfId="17438" xr:uid="{1BE5AB4D-F745-4AC2-8ED2-6C15FD81AE7B}"/>
    <cellStyle name="Normal 13 14 2 2 6" xfId="28759" xr:uid="{4AA601CE-718F-4E83-ADF5-A855E5FCDABA}"/>
    <cellStyle name="Normal 13 14 2 2 7" xfId="36172" xr:uid="{49271DFC-DCE1-4321-8DB3-801972F32F18}"/>
    <cellStyle name="Normal 13 14 2 3" xfId="5983" xr:uid="{00000000-0005-0000-0000-0000A00E0000}"/>
    <cellStyle name="Normal 13 14 2 3 2" xfId="7330" xr:uid="{00000000-0005-0000-0000-0000A10E0000}"/>
    <cellStyle name="Normal 13 14 2 3 2 2" xfId="15763" xr:uid="{00000000-0005-0000-0000-0000A20E0000}"/>
    <cellStyle name="Normal 13 14 2 3 2 2 2" xfId="27657" xr:uid="{848DC44C-FBD2-49C6-9EEF-0A4A82CA7C81}"/>
    <cellStyle name="Normal 13 14 2 3 2 2 3" xfId="21997" xr:uid="{86805799-79EE-4196-9F80-258BECD6DFC6}"/>
    <cellStyle name="Normal 13 14 2 3 2 2 4" xfId="33037" xr:uid="{D0C2945A-8C5C-4D21-83D8-AFD4047265AB}"/>
    <cellStyle name="Normal 13 14 2 3 2 2 5" xfId="36178" xr:uid="{47EEC017-38A6-43B3-B6E4-5F64F94FF534}"/>
    <cellStyle name="Normal 13 14 2 3 2 3" xfId="24824" xr:uid="{B7447376-627E-4110-A371-FCF222DDB6D3}"/>
    <cellStyle name="Normal 13 14 2 3 2 4" xfId="19164" xr:uid="{A50E8D55-2462-4E0C-AF80-68724E103A70}"/>
    <cellStyle name="Normal 13 14 2 3 2 5" xfId="30485" xr:uid="{B85C35B5-8FA8-43C5-B8A3-E32F2D312AF4}"/>
    <cellStyle name="Normal 13 14 2 3 2 6" xfId="36177" xr:uid="{FB4209A4-5E48-49AF-A99E-0AD1694F1E5B}"/>
    <cellStyle name="Normal 13 14 2 3 3" xfId="14442" xr:uid="{00000000-0005-0000-0000-0000A30E0000}"/>
    <cellStyle name="Normal 13 14 2 3 3 2" xfId="26401" xr:uid="{6BC27E78-4F65-4054-8706-FB2B88DCFF1F}"/>
    <cellStyle name="Normal 13 14 2 3 3 3" xfId="20741" xr:uid="{7EE09F95-E48A-4838-8AF3-9DF4BBC6FB1B}"/>
    <cellStyle name="Normal 13 14 2 3 3 4" xfId="31781" xr:uid="{7C5D687A-EF95-4F51-A8BE-964EC7F8DA6C}"/>
    <cellStyle name="Normal 13 14 2 3 3 5" xfId="36179" xr:uid="{C7197327-B318-4739-A435-DD20731AC72E}"/>
    <cellStyle name="Normal 13 14 2 3 4" xfId="23568" xr:uid="{74B6AE7B-1C9F-44E4-A363-C8CBBB5CBAA9}"/>
    <cellStyle name="Normal 13 14 2 3 5" xfId="17908" xr:uid="{553DA858-B680-45DF-BAA1-8DD1B07EA633}"/>
    <cellStyle name="Normal 13 14 2 3 6" xfId="29229" xr:uid="{2E0DD39D-8E1B-4D52-9924-A9DCE855CC70}"/>
    <cellStyle name="Normal 13 14 2 3 7" xfId="36176" xr:uid="{8C55D2C2-AFBE-4EC7-AE63-41B53314FC96}"/>
    <cellStyle name="Normal 13 14 2 4" xfId="6748" xr:uid="{00000000-0005-0000-0000-0000A40E0000}"/>
    <cellStyle name="Normal 13 14 2 4 2" xfId="15181" xr:uid="{00000000-0005-0000-0000-0000A50E0000}"/>
    <cellStyle name="Normal 13 14 2 4 2 2" xfId="27075" xr:uid="{54A0BD96-5161-4244-A996-EE15D7E48037}"/>
    <cellStyle name="Normal 13 14 2 4 2 3" xfId="21415" xr:uid="{3770D626-DFD3-47D5-ABE2-A96B4BC52E32}"/>
    <cellStyle name="Normal 13 14 2 4 2 4" xfId="32455" xr:uid="{63AEF09C-AAE2-44DB-A4F5-7E114F880B22}"/>
    <cellStyle name="Normal 13 14 2 4 2 5" xfId="36181" xr:uid="{8CC1D854-02A6-4CA5-BE4D-351E2DCBF0E2}"/>
    <cellStyle name="Normal 13 14 2 4 3" xfId="24242" xr:uid="{EB6DCC27-4865-4FBA-AE65-FAA02C978603}"/>
    <cellStyle name="Normal 13 14 2 4 4" xfId="18582" xr:uid="{2DC87844-20EF-4361-9D7F-68C0620B3D35}"/>
    <cellStyle name="Normal 13 14 2 4 5" xfId="29903" xr:uid="{753392B3-9AC1-4DA9-9943-FF7C33C8FC4F}"/>
    <cellStyle name="Normal 13 14 2 4 6" xfId="36180" xr:uid="{0492673E-8DA1-489E-B6D8-645F1DD51BF7}"/>
    <cellStyle name="Normal 13 14 2 5" xfId="7740" xr:uid="{00000000-0005-0000-0000-0000A60E0000}"/>
    <cellStyle name="Normal 13 14 2 5 2" xfId="25228" xr:uid="{39440861-D268-4094-8D3C-B3C4289361F4}"/>
    <cellStyle name="Normal 13 14 2 5 3" xfId="19568" xr:uid="{5EF5812D-F009-4A5B-B816-255AE8A04DF4}"/>
    <cellStyle name="Normal 13 14 2 5 4" xfId="30889" xr:uid="{2D5CAE6E-107F-4317-B8B9-DC0F7B63CB49}"/>
    <cellStyle name="Normal 13 14 2 5 5" xfId="36182" xr:uid="{7B9495C8-3CAE-474D-9FB9-AFBB76901B48}"/>
    <cellStyle name="Normal 13 14 2 6" xfId="22680" xr:uid="{BDB5E7D3-91AB-4DCE-83B0-E4C49C84DA75}"/>
    <cellStyle name="Normal 13 14 2 7" xfId="17020" xr:uid="{AAEE79F4-AFB3-4C09-BFBB-155C58D44212}"/>
    <cellStyle name="Normal 13 14 2 8" xfId="28341" xr:uid="{3B4D939C-4F1C-4729-801F-CA2A57DA03ED}"/>
    <cellStyle name="Normal 13 14 2 9" xfId="36171" xr:uid="{13DFA650-6561-4F03-A526-D991405C4313}"/>
    <cellStyle name="Normal 13 14 3" xfId="5094" xr:uid="{00000000-0005-0000-0000-0000A70E0000}"/>
    <cellStyle name="Normal 13 14 3 2" xfId="5982" xr:uid="{00000000-0005-0000-0000-0000A80E0000}"/>
    <cellStyle name="Normal 13 14 3 2 2" xfId="7329" xr:uid="{00000000-0005-0000-0000-0000A90E0000}"/>
    <cellStyle name="Normal 13 14 3 2 2 2" xfId="15762" xr:uid="{00000000-0005-0000-0000-0000AA0E0000}"/>
    <cellStyle name="Normal 13 14 3 2 2 2 2" xfId="27656" xr:uid="{094C040B-8A9A-4D40-86AD-9EE3689272B8}"/>
    <cellStyle name="Normal 13 14 3 2 2 2 3" xfId="21996" xr:uid="{12AAFC9B-C5A7-4FFB-A610-B4A710A1DEF0}"/>
    <cellStyle name="Normal 13 14 3 2 2 2 4" xfId="33036" xr:uid="{9BD0F5CB-05B5-4325-9214-E4E350996181}"/>
    <cellStyle name="Normal 13 14 3 2 2 2 5" xfId="36186" xr:uid="{C51FEC0E-65C2-4A9A-ABE8-DE8E26BBB0D2}"/>
    <cellStyle name="Normal 13 14 3 2 2 3" xfId="24823" xr:uid="{E15B4508-602A-4B72-9528-A5EEC3554CCD}"/>
    <cellStyle name="Normal 13 14 3 2 2 4" xfId="19163" xr:uid="{E7B37E33-30EF-4388-8DE8-B08A2F1DBF02}"/>
    <cellStyle name="Normal 13 14 3 2 2 5" xfId="30484" xr:uid="{25BB6956-937E-402A-8B55-C46A7E86A890}"/>
    <cellStyle name="Normal 13 14 3 2 2 6" xfId="36185" xr:uid="{8A5DD6CB-BAE6-481E-9557-97E4C3735328}"/>
    <cellStyle name="Normal 13 14 3 2 3" xfId="14441" xr:uid="{00000000-0005-0000-0000-0000AB0E0000}"/>
    <cellStyle name="Normal 13 14 3 2 3 2" xfId="26400" xr:uid="{73522E9A-B3FE-4A25-82AE-49DCB5CF22FE}"/>
    <cellStyle name="Normal 13 14 3 2 3 3" xfId="20740" xr:uid="{92900ED2-0CD2-430C-AD34-D9705DD39B1C}"/>
    <cellStyle name="Normal 13 14 3 2 3 4" xfId="31780" xr:uid="{D44B5775-4210-4110-ADC4-5E7995222CE6}"/>
    <cellStyle name="Normal 13 14 3 2 3 5" xfId="36187" xr:uid="{53670E46-424E-42F6-B971-078EB8737C58}"/>
    <cellStyle name="Normal 13 14 3 2 4" xfId="23567" xr:uid="{759ADEAA-C9EC-4E9F-B5D7-80FB4825088D}"/>
    <cellStyle name="Normal 13 14 3 2 5" xfId="17907" xr:uid="{0355F30D-0D40-4E4B-97FB-C72AD5C48FC8}"/>
    <cellStyle name="Normal 13 14 3 2 6" xfId="29228" xr:uid="{E8116E7E-7C90-4095-ACC6-A89BE6B85C80}"/>
    <cellStyle name="Normal 13 14 3 2 7" xfId="36184" xr:uid="{5BED1A90-C76E-4A92-95D6-1AE7228FF4C5}"/>
    <cellStyle name="Normal 13 14 3 3" xfId="6957" xr:uid="{00000000-0005-0000-0000-0000AC0E0000}"/>
    <cellStyle name="Normal 13 14 3 3 2" xfId="15390" xr:uid="{00000000-0005-0000-0000-0000AD0E0000}"/>
    <cellStyle name="Normal 13 14 3 3 2 2" xfId="27284" xr:uid="{70D341DE-CD1A-4438-9D5A-66A587488C11}"/>
    <cellStyle name="Normal 13 14 3 3 2 3" xfId="21624" xr:uid="{513EDEB3-ADB0-43B6-93A5-958C4EF25693}"/>
    <cellStyle name="Normal 13 14 3 3 2 4" xfId="32664" xr:uid="{B6180D25-34C4-46EA-8778-1F9F658498A7}"/>
    <cellStyle name="Normal 13 14 3 3 2 5" xfId="36189" xr:uid="{F934E034-3D1D-4BC1-ABFA-E0090A3AB661}"/>
    <cellStyle name="Normal 13 14 3 3 3" xfId="24451" xr:uid="{E07D7F35-8926-42D0-953E-25520322A8D4}"/>
    <cellStyle name="Normal 13 14 3 3 4" xfId="18791" xr:uid="{DF19EA37-9CA9-4F49-8FFD-DBCFA53B7552}"/>
    <cellStyle name="Normal 13 14 3 3 5" xfId="30112" xr:uid="{33347006-5FC9-424A-B991-4196FEF291DD}"/>
    <cellStyle name="Normal 13 14 3 3 6" xfId="36188" xr:uid="{BA49CD40-FE42-4938-A505-3FC90EE90AFB}"/>
    <cellStyle name="Normal 13 14 3 4" xfId="13981" xr:uid="{00000000-0005-0000-0000-0000AE0E0000}"/>
    <cellStyle name="Normal 13 14 3 4 2" xfId="26020" xr:uid="{16248735-1794-4F04-AA62-2F8B545BA8ED}"/>
    <cellStyle name="Normal 13 14 3 4 3" xfId="20360" xr:uid="{8755F0B6-627F-48B8-B652-B6A472171EC6}"/>
    <cellStyle name="Normal 13 14 3 4 4" xfId="31400" xr:uid="{AAE2FFA8-E6AC-489F-AAC0-3C471EB85808}"/>
    <cellStyle name="Normal 13 14 3 4 5" xfId="36190" xr:uid="{AD3731BA-481A-427A-813B-F9C2CE9FA61D}"/>
    <cellStyle name="Normal 13 14 3 5" xfId="22889" xr:uid="{3DEBFC1D-46A5-4F71-A545-3DE585982672}"/>
    <cellStyle name="Normal 13 14 3 6" xfId="17229" xr:uid="{FCD19236-F40D-4292-8765-41F474C42FDB}"/>
    <cellStyle name="Normal 13 14 3 7" xfId="28550" xr:uid="{F20D67AF-B504-47BC-9FFA-41C220034842}"/>
    <cellStyle name="Normal 13 14 3 8" xfId="36183" xr:uid="{313BAF6A-D581-42B8-BAE4-0FB379C5BF7B}"/>
    <cellStyle name="Normal 13 14 4" xfId="5626" xr:uid="{00000000-0005-0000-0000-0000AF0E0000}"/>
    <cellStyle name="Normal 13 14 4 2" xfId="36191" xr:uid="{7336E789-D890-4D1A-A451-C54C1BD47BFF}"/>
    <cellStyle name="Normal 13 14 5" xfId="6539" xr:uid="{00000000-0005-0000-0000-0000B00E0000}"/>
    <cellStyle name="Normal 13 14 5 2" xfId="14972" xr:uid="{00000000-0005-0000-0000-0000B10E0000}"/>
    <cellStyle name="Normal 13 14 5 2 2" xfId="26866" xr:uid="{005D7CC2-08AD-4F41-AE61-59DFFEDEE7E2}"/>
    <cellStyle name="Normal 13 14 5 2 3" xfId="21206" xr:uid="{B5285ACF-2A0C-48EF-8DBA-35F1A85768D1}"/>
    <cellStyle name="Normal 13 14 5 2 4" xfId="32246" xr:uid="{55BE4C6E-D2F6-47AC-B8E0-28B045C4BC53}"/>
    <cellStyle name="Normal 13 14 5 2 5" xfId="36193" xr:uid="{B425FFBB-5891-4127-BE54-5013F0C048EE}"/>
    <cellStyle name="Normal 13 14 5 3" xfId="24033" xr:uid="{E65387D4-CE72-4FC3-96CB-E46F235D3F0D}"/>
    <cellStyle name="Normal 13 14 5 4" xfId="18373" xr:uid="{C729142B-15B1-44E7-853E-DA3A8B461E2E}"/>
    <cellStyle name="Normal 13 14 5 5" xfId="29694" xr:uid="{31CFA251-1BCF-4971-A685-584FFBCD65DF}"/>
    <cellStyle name="Normal 13 14 5 6" xfId="36192" xr:uid="{7CE58E72-A7DF-42DC-BA9F-6914556D515B}"/>
    <cellStyle name="Normal 13 14 6" xfId="7739" xr:uid="{00000000-0005-0000-0000-0000B20E0000}"/>
    <cellStyle name="Normal 13 14 6 2" xfId="25227" xr:uid="{D39C9653-92A1-4BDC-A370-E4397A085FFB}"/>
    <cellStyle name="Normal 13 14 6 3" xfId="19567" xr:uid="{1676EFD5-E624-43FC-93E0-B0F9B3BDA93D}"/>
    <cellStyle name="Normal 13 14 6 4" xfId="30888" xr:uid="{646F9BB1-C8ED-4911-A037-E7A31AD6400D}"/>
    <cellStyle name="Normal 13 14 6 5" xfId="36194" xr:uid="{F124FA80-0487-4DEF-A6AE-FC52223C4757}"/>
    <cellStyle name="Normal 13 14 7" xfId="22471" xr:uid="{15EC9F48-20C6-4EC3-B03A-C66BC781E674}"/>
    <cellStyle name="Normal 13 14 8" xfId="16811" xr:uid="{4FE72F9F-E14C-4234-B371-D1F7026787C8}"/>
    <cellStyle name="Normal 13 14 9" xfId="28132" xr:uid="{2D551E11-9214-4C14-9BCC-8D500F61CBC8}"/>
    <cellStyle name="Normal 13 15" xfId="4076" xr:uid="{00000000-0005-0000-0000-0000B30E0000}"/>
    <cellStyle name="Normal 13 15 10" xfId="36195" xr:uid="{0150CF27-2E53-47E8-AB7D-01B308970E9D}"/>
    <cellStyle name="Normal 13 15 2" xfId="4885" xr:uid="{00000000-0005-0000-0000-0000B40E0000}"/>
    <cellStyle name="Normal 13 15 2 2" xfId="5304" xr:uid="{00000000-0005-0000-0000-0000B50E0000}"/>
    <cellStyle name="Normal 13 15 2 2 2" xfId="7167" xr:uid="{00000000-0005-0000-0000-0000B60E0000}"/>
    <cellStyle name="Normal 13 15 2 2 2 2" xfId="15600" xr:uid="{00000000-0005-0000-0000-0000B70E0000}"/>
    <cellStyle name="Normal 13 15 2 2 2 2 2" xfId="27494" xr:uid="{BB7BC963-A4E9-42CB-A2DE-B0BFAA56EA65}"/>
    <cellStyle name="Normal 13 15 2 2 2 2 3" xfId="21834" xr:uid="{58A21141-EB45-438E-9FC9-CDB820C66634}"/>
    <cellStyle name="Normal 13 15 2 2 2 2 4" xfId="32874" xr:uid="{84655E7B-5093-49E0-B2C2-358C58594180}"/>
    <cellStyle name="Normal 13 15 2 2 2 2 5" xfId="36199" xr:uid="{A23D1F1C-9224-4D85-B475-3A2BA334477E}"/>
    <cellStyle name="Normal 13 15 2 2 2 3" xfId="24661" xr:uid="{128648A9-C0DF-4CEB-BB2E-562219DF9089}"/>
    <cellStyle name="Normal 13 15 2 2 2 4" xfId="19001" xr:uid="{F0E1A91B-FC38-4175-B12E-B3A664E95240}"/>
    <cellStyle name="Normal 13 15 2 2 2 5" xfId="30322" xr:uid="{9FAF1571-6FD7-4FF2-8396-3D1C206338CA}"/>
    <cellStyle name="Normal 13 15 2 2 2 6" xfId="36198" xr:uid="{4AC2A997-1628-4758-B627-B6EA2069F6E1}"/>
    <cellStyle name="Normal 13 15 2 2 3" xfId="14190" xr:uid="{00000000-0005-0000-0000-0000B80E0000}"/>
    <cellStyle name="Normal 13 15 2 2 3 2" xfId="26229" xr:uid="{98D63681-5D62-40B9-BAFA-E83308BF2F33}"/>
    <cellStyle name="Normal 13 15 2 2 3 3" xfId="20569" xr:uid="{79A18B4A-72A7-4595-9808-A25D594669BF}"/>
    <cellStyle name="Normal 13 15 2 2 3 4" xfId="31609" xr:uid="{059FE706-0736-42B8-A30D-54BB3736BD0E}"/>
    <cellStyle name="Normal 13 15 2 2 3 5" xfId="36200" xr:uid="{544246F2-5A4F-4B3B-B19A-13A2CF5E314A}"/>
    <cellStyle name="Normal 13 15 2 2 4" xfId="23099" xr:uid="{62E90A7D-2AC4-4BAE-9A47-DB16F71A3A8B}"/>
    <cellStyle name="Normal 13 15 2 2 5" xfId="17439" xr:uid="{F965CE6E-BD7F-4C5C-A13B-61E76F2F891D}"/>
    <cellStyle name="Normal 13 15 2 2 6" xfId="28760" xr:uid="{B587DB2B-F4C2-434F-A36A-AC48C91663F1}"/>
    <cellStyle name="Normal 13 15 2 2 7" xfId="36197" xr:uid="{978AAA9B-5A25-4BA8-B76C-C2DAA1830529}"/>
    <cellStyle name="Normal 13 15 2 3" xfId="5985" xr:uid="{00000000-0005-0000-0000-0000B90E0000}"/>
    <cellStyle name="Normal 13 15 2 3 2" xfId="7332" xr:uid="{00000000-0005-0000-0000-0000BA0E0000}"/>
    <cellStyle name="Normal 13 15 2 3 2 2" xfId="15765" xr:uid="{00000000-0005-0000-0000-0000BB0E0000}"/>
    <cellStyle name="Normal 13 15 2 3 2 2 2" xfId="27659" xr:uid="{C35E5F64-4643-4E36-B982-8F706621E4EB}"/>
    <cellStyle name="Normal 13 15 2 3 2 2 3" xfId="21999" xr:uid="{847EB1C7-0B9B-4C45-8C0F-1D58A734EA8B}"/>
    <cellStyle name="Normal 13 15 2 3 2 2 4" xfId="33039" xr:uid="{848E6C2C-5AFB-4CD7-8C81-C05AD6EBCD8C}"/>
    <cellStyle name="Normal 13 15 2 3 2 2 5" xfId="36203" xr:uid="{9BFEC506-93BF-4A33-AAEE-1332ECA37870}"/>
    <cellStyle name="Normal 13 15 2 3 2 3" xfId="24826" xr:uid="{95E60B40-9032-4C1E-A82F-411C2E80BAC6}"/>
    <cellStyle name="Normal 13 15 2 3 2 4" xfId="19166" xr:uid="{58E2DDC8-A7B9-4B61-8775-636B453DC227}"/>
    <cellStyle name="Normal 13 15 2 3 2 5" xfId="30487" xr:uid="{65436900-8808-41D5-A9C9-B0509424C478}"/>
    <cellStyle name="Normal 13 15 2 3 2 6" xfId="36202" xr:uid="{86620DD4-C41B-4339-A267-C074EB2DCDF4}"/>
    <cellStyle name="Normal 13 15 2 3 3" xfId="14444" xr:uid="{00000000-0005-0000-0000-0000BC0E0000}"/>
    <cellStyle name="Normal 13 15 2 3 3 2" xfId="26403" xr:uid="{FB9D1073-2AAA-4A4F-8190-8CC359EA1082}"/>
    <cellStyle name="Normal 13 15 2 3 3 3" xfId="20743" xr:uid="{46318C88-8D51-4BB9-947A-650144DF98D9}"/>
    <cellStyle name="Normal 13 15 2 3 3 4" xfId="31783" xr:uid="{29BCF089-AEFF-4862-B1C4-94D02E77D49B}"/>
    <cellStyle name="Normal 13 15 2 3 3 5" xfId="36204" xr:uid="{8F523CD3-E8F6-4A89-B571-4009649EF70C}"/>
    <cellStyle name="Normal 13 15 2 3 4" xfId="23570" xr:uid="{8B8FFE0F-BD38-4305-92AB-AB59A51ED45C}"/>
    <cellStyle name="Normal 13 15 2 3 5" xfId="17910" xr:uid="{976C0CBE-A190-46CA-91C3-CBF8F51A19E7}"/>
    <cellStyle name="Normal 13 15 2 3 6" xfId="29231" xr:uid="{E936B157-468E-43EB-BF39-11CC4BFE2574}"/>
    <cellStyle name="Normal 13 15 2 3 7" xfId="36201" xr:uid="{A626F7BD-8FAE-45DE-869C-E2B7CBB778E7}"/>
    <cellStyle name="Normal 13 15 2 4" xfId="6749" xr:uid="{00000000-0005-0000-0000-0000BD0E0000}"/>
    <cellStyle name="Normal 13 15 2 4 2" xfId="15182" xr:uid="{00000000-0005-0000-0000-0000BE0E0000}"/>
    <cellStyle name="Normal 13 15 2 4 2 2" xfId="27076" xr:uid="{778E2CC6-92D2-4099-A3AB-7FA7DA9D4DD4}"/>
    <cellStyle name="Normal 13 15 2 4 2 3" xfId="21416" xr:uid="{B7C4BD6D-13AD-4D2B-B1F8-7CAEB7253E83}"/>
    <cellStyle name="Normal 13 15 2 4 2 4" xfId="32456" xr:uid="{74BFA408-92AB-4F5D-92C2-B8E5AB93589A}"/>
    <cellStyle name="Normal 13 15 2 4 2 5" xfId="36206" xr:uid="{10C402D0-AAD5-449A-BBA4-BBEBFBB333CF}"/>
    <cellStyle name="Normal 13 15 2 4 3" xfId="24243" xr:uid="{17F44EAB-2F36-4277-9CAD-CDEAD332713C}"/>
    <cellStyle name="Normal 13 15 2 4 4" xfId="18583" xr:uid="{11786147-7373-49BF-8E9E-2A6FB7ECE914}"/>
    <cellStyle name="Normal 13 15 2 4 5" xfId="29904" xr:uid="{2090EEA7-4796-47DF-B1AD-A6A9B3A238F7}"/>
    <cellStyle name="Normal 13 15 2 4 6" xfId="36205" xr:uid="{5A8BAEAF-D489-48BF-8DE7-DA707406770E}"/>
    <cellStyle name="Normal 13 15 2 5" xfId="7742" xr:uid="{00000000-0005-0000-0000-0000BF0E0000}"/>
    <cellStyle name="Normal 13 15 2 5 2" xfId="25230" xr:uid="{E33BB7FF-FB78-4D20-9BBE-AEE75F37CCE9}"/>
    <cellStyle name="Normal 13 15 2 5 3" xfId="19570" xr:uid="{FDAFDA99-C988-41EB-BE68-BDB02F81E17F}"/>
    <cellStyle name="Normal 13 15 2 5 4" xfId="30891" xr:uid="{7C98E43A-5B4D-483B-BEFC-B0D502F0481C}"/>
    <cellStyle name="Normal 13 15 2 5 5" xfId="36207" xr:uid="{7C31C77B-4219-4439-AEEB-9A952334EB04}"/>
    <cellStyle name="Normal 13 15 2 6" xfId="22681" xr:uid="{9C507760-B3CF-4729-A9D9-538A9831D670}"/>
    <cellStyle name="Normal 13 15 2 7" xfId="17021" xr:uid="{17D22C87-63A6-47B2-8E93-09F27B7AD785}"/>
    <cellStyle name="Normal 13 15 2 8" xfId="28342" xr:uid="{C5987EB4-5092-4735-9797-E5A7433DE53B}"/>
    <cellStyle name="Normal 13 15 2 9" xfId="36196" xr:uid="{0C8E7F37-8FBE-4FE2-913B-6F3A280205A7}"/>
    <cellStyle name="Normal 13 15 3" xfId="5095" xr:uid="{00000000-0005-0000-0000-0000C00E0000}"/>
    <cellStyle name="Normal 13 15 3 2" xfId="5984" xr:uid="{00000000-0005-0000-0000-0000C10E0000}"/>
    <cellStyle name="Normal 13 15 3 2 2" xfId="7331" xr:uid="{00000000-0005-0000-0000-0000C20E0000}"/>
    <cellStyle name="Normal 13 15 3 2 2 2" xfId="15764" xr:uid="{00000000-0005-0000-0000-0000C30E0000}"/>
    <cellStyle name="Normal 13 15 3 2 2 2 2" xfId="27658" xr:uid="{DA4EA697-E69F-4A13-B1E9-70938E94B3F2}"/>
    <cellStyle name="Normal 13 15 3 2 2 2 3" xfId="21998" xr:uid="{AF947CDE-274A-4D82-BDDE-C31ABBC5A286}"/>
    <cellStyle name="Normal 13 15 3 2 2 2 4" xfId="33038" xr:uid="{A7CC382A-8D41-4D87-A296-FA89F8EF2E50}"/>
    <cellStyle name="Normal 13 15 3 2 2 2 5" xfId="36211" xr:uid="{BBA63261-DE39-413E-A3F0-2426463BE59C}"/>
    <cellStyle name="Normal 13 15 3 2 2 3" xfId="24825" xr:uid="{3B210BBD-9758-4359-A976-883D52954452}"/>
    <cellStyle name="Normal 13 15 3 2 2 4" xfId="19165" xr:uid="{D5B3A99C-3CAF-4BC7-9420-7EF635DE1A8C}"/>
    <cellStyle name="Normal 13 15 3 2 2 5" xfId="30486" xr:uid="{0408869A-7800-4535-844F-08AD111620F5}"/>
    <cellStyle name="Normal 13 15 3 2 2 6" xfId="36210" xr:uid="{2C064FA7-E786-456C-92C3-6BEEF54F448E}"/>
    <cellStyle name="Normal 13 15 3 2 3" xfId="14443" xr:uid="{00000000-0005-0000-0000-0000C40E0000}"/>
    <cellStyle name="Normal 13 15 3 2 3 2" xfId="26402" xr:uid="{A442CD76-5D32-400A-B106-B3498A7377BF}"/>
    <cellStyle name="Normal 13 15 3 2 3 3" xfId="20742" xr:uid="{2A9CEEE1-1CD5-4008-A094-D2AF7D6A4F64}"/>
    <cellStyle name="Normal 13 15 3 2 3 4" xfId="31782" xr:uid="{0D41AE36-AD58-4A44-ADF1-A72FA4950C0D}"/>
    <cellStyle name="Normal 13 15 3 2 3 5" xfId="36212" xr:uid="{0A4B7866-E937-4051-9F9A-35EB8E19B407}"/>
    <cellStyle name="Normal 13 15 3 2 4" xfId="23569" xr:uid="{DE0D5145-9410-4613-849B-8A8F0065E2BE}"/>
    <cellStyle name="Normal 13 15 3 2 5" xfId="17909" xr:uid="{6CD026A4-51BB-40C7-8B9C-1FEEFAD9CD81}"/>
    <cellStyle name="Normal 13 15 3 2 6" xfId="29230" xr:uid="{BE0AD504-F3BF-4664-86EB-3743F5BB0F6C}"/>
    <cellStyle name="Normal 13 15 3 2 7" xfId="36209" xr:uid="{E6C6A587-A5E4-4150-9D88-5F4A423E69C5}"/>
    <cellStyle name="Normal 13 15 3 3" xfId="6958" xr:uid="{00000000-0005-0000-0000-0000C50E0000}"/>
    <cellStyle name="Normal 13 15 3 3 2" xfId="15391" xr:uid="{00000000-0005-0000-0000-0000C60E0000}"/>
    <cellStyle name="Normal 13 15 3 3 2 2" xfId="27285" xr:uid="{B25AA1FB-3C33-45BC-B346-783A17F8F74D}"/>
    <cellStyle name="Normal 13 15 3 3 2 3" xfId="21625" xr:uid="{32457277-DF0F-4556-8764-37507172341A}"/>
    <cellStyle name="Normal 13 15 3 3 2 4" xfId="32665" xr:uid="{5EC1D764-232D-4BC8-84A7-BEC27045589A}"/>
    <cellStyle name="Normal 13 15 3 3 2 5" xfId="36214" xr:uid="{002936C9-DA75-43C7-A9BC-2F9417ED934F}"/>
    <cellStyle name="Normal 13 15 3 3 3" xfId="24452" xr:uid="{04129DDA-517E-4D6E-A7EA-994143E8D373}"/>
    <cellStyle name="Normal 13 15 3 3 4" xfId="18792" xr:uid="{B20F8DBC-DB45-4A6B-9210-2ED60D7A9181}"/>
    <cellStyle name="Normal 13 15 3 3 5" xfId="30113" xr:uid="{5E0362F7-60C0-40DF-BDE9-001D11B85C84}"/>
    <cellStyle name="Normal 13 15 3 3 6" xfId="36213" xr:uid="{158BBD1B-288F-4AD5-AE4B-DC01868F0FBB}"/>
    <cellStyle name="Normal 13 15 3 4" xfId="13982" xr:uid="{00000000-0005-0000-0000-0000C70E0000}"/>
    <cellStyle name="Normal 13 15 3 4 2" xfId="26021" xr:uid="{72034010-932E-470D-9C78-2C8A303E49CD}"/>
    <cellStyle name="Normal 13 15 3 4 3" xfId="20361" xr:uid="{2E2C9FFF-FBDB-4677-B8E3-B1B8E3677854}"/>
    <cellStyle name="Normal 13 15 3 4 4" xfId="31401" xr:uid="{9B92F0CF-0CA1-4DB2-99E4-693FF1BE42D3}"/>
    <cellStyle name="Normal 13 15 3 4 5" xfId="36215" xr:uid="{C445C400-34D8-41D4-B372-EDDD37BF45D0}"/>
    <cellStyle name="Normal 13 15 3 5" xfId="22890" xr:uid="{C8C801FA-43EC-4E92-96CE-BEEE900FC329}"/>
    <cellStyle name="Normal 13 15 3 6" xfId="17230" xr:uid="{A713EA9E-86F7-4F36-8DBE-A14C7D7B466C}"/>
    <cellStyle name="Normal 13 15 3 7" xfId="28551" xr:uid="{824D6C2F-E3EA-42FC-946B-B14821F3263B}"/>
    <cellStyle name="Normal 13 15 3 8" xfId="36208" xr:uid="{137DF71B-AC4A-4F4C-AADC-8F33E2E90C3E}"/>
    <cellStyle name="Normal 13 15 4" xfId="5627" xr:uid="{00000000-0005-0000-0000-0000C80E0000}"/>
    <cellStyle name="Normal 13 15 4 2" xfId="36216" xr:uid="{DA4CDF80-CAFF-4592-AA18-BA60952A1A92}"/>
    <cellStyle name="Normal 13 15 5" xfId="6540" xr:uid="{00000000-0005-0000-0000-0000C90E0000}"/>
    <cellStyle name="Normal 13 15 5 2" xfId="14973" xr:uid="{00000000-0005-0000-0000-0000CA0E0000}"/>
    <cellStyle name="Normal 13 15 5 2 2" xfId="26867" xr:uid="{AD08B93A-4F48-4FD7-871B-EDDEA333EEB4}"/>
    <cellStyle name="Normal 13 15 5 2 3" xfId="21207" xr:uid="{B8D2155B-23EB-4D86-83B5-4F092C2E6276}"/>
    <cellStyle name="Normal 13 15 5 2 4" xfId="32247" xr:uid="{ABA5C228-7EEC-43CE-99F6-8830B6467195}"/>
    <cellStyle name="Normal 13 15 5 2 5" xfId="36218" xr:uid="{99C691E6-CB0E-4549-80E0-137F200C9A33}"/>
    <cellStyle name="Normal 13 15 5 3" xfId="24034" xr:uid="{47B03282-E45E-44D1-9732-DEF066567687}"/>
    <cellStyle name="Normal 13 15 5 4" xfId="18374" xr:uid="{0C838910-79E5-4D84-B3BC-C49A754A2DD5}"/>
    <cellStyle name="Normal 13 15 5 5" xfId="29695" xr:uid="{04B51B3F-56B1-4FFE-9D83-2E8497609331}"/>
    <cellStyle name="Normal 13 15 5 6" xfId="36217" xr:uid="{629305EE-8F45-48C6-9090-0F6037619CD8}"/>
    <cellStyle name="Normal 13 15 6" xfId="7741" xr:uid="{00000000-0005-0000-0000-0000CB0E0000}"/>
    <cellStyle name="Normal 13 15 6 2" xfId="25229" xr:uid="{9DABD55F-DB9D-4051-A4B1-B7D9022E2C1B}"/>
    <cellStyle name="Normal 13 15 6 3" xfId="19569" xr:uid="{291F421B-F521-4D68-9F82-4C00F6A4DFE8}"/>
    <cellStyle name="Normal 13 15 6 4" xfId="30890" xr:uid="{EEF9545D-C5F9-40CE-AAE1-550BCF9E6964}"/>
    <cellStyle name="Normal 13 15 6 5" xfId="36219" xr:uid="{404470BF-4E6D-4659-9F1F-AB27447825FE}"/>
    <cellStyle name="Normal 13 15 7" xfId="22472" xr:uid="{30C12AA3-F779-424B-A504-D61E5515964E}"/>
    <cellStyle name="Normal 13 15 8" xfId="16812" xr:uid="{A9E03FFA-8ACF-4B42-A909-37D9C6AEBDA3}"/>
    <cellStyle name="Normal 13 15 9" xfId="28133" xr:uid="{66EF6A0F-2D26-4F99-BDC3-DD892C6A0E1B}"/>
    <cellStyle name="Normal 13 16" xfId="4077" xr:uid="{00000000-0005-0000-0000-0000CC0E0000}"/>
    <cellStyle name="Normal 13 16 10" xfId="36220" xr:uid="{3C67A8F2-7793-4D37-B684-EBF894FE1837}"/>
    <cellStyle name="Normal 13 16 2" xfId="4886" xr:uid="{00000000-0005-0000-0000-0000CD0E0000}"/>
    <cellStyle name="Normal 13 16 2 2" xfId="5305" xr:uid="{00000000-0005-0000-0000-0000CE0E0000}"/>
    <cellStyle name="Normal 13 16 2 2 2" xfId="7168" xr:uid="{00000000-0005-0000-0000-0000CF0E0000}"/>
    <cellStyle name="Normal 13 16 2 2 2 2" xfId="15601" xr:uid="{00000000-0005-0000-0000-0000D00E0000}"/>
    <cellStyle name="Normal 13 16 2 2 2 2 2" xfId="27495" xr:uid="{456BC905-EC7A-4DB5-8D52-47E014D01DFD}"/>
    <cellStyle name="Normal 13 16 2 2 2 2 3" xfId="21835" xr:uid="{EBC6FCBE-6E4F-48EF-899E-1F250753C6C0}"/>
    <cellStyle name="Normal 13 16 2 2 2 2 4" xfId="32875" xr:uid="{0944EE8A-B3A9-4FB4-B782-3C8E8F703990}"/>
    <cellStyle name="Normal 13 16 2 2 2 2 5" xfId="36224" xr:uid="{F49FE46D-7108-466C-8A4D-DA963CAC5615}"/>
    <cellStyle name="Normal 13 16 2 2 2 3" xfId="24662" xr:uid="{B0B41DC8-3381-42F7-9994-EC3F0A0508E0}"/>
    <cellStyle name="Normal 13 16 2 2 2 4" xfId="19002" xr:uid="{7B3F446E-C648-48EC-B448-97FBA73F6CC3}"/>
    <cellStyle name="Normal 13 16 2 2 2 5" xfId="30323" xr:uid="{26A1F94E-D62C-4D4A-B56E-C6761035EA99}"/>
    <cellStyle name="Normal 13 16 2 2 2 6" xfId="36223" xr:uid="{CBC03DFF-678C-4C3C-A26C-505F62FA7EA9}"/>
    <cellStyle name="Normal 13 16 2 2 3" xfId="14191" xr:uid="{00000000-0005-0000-0000-0000D10E0000}"/>
    <cellStyle name="Normal 13 16 2 2 3 2" xfId="26230" xr:uid="{FC3733FB-A715-4CDF-B1E9-C615D6DA46BE}"/>
    <cellStyle name="Normal 13 16 2 2 3 3" xfId="20570" xr:uid="{27EFE5C3-FA8B-498F-88AC-3A5F367B1A05}"/>
    <cellStyle name="Normal 13 16 2 2 3 4" xfId="31610" xr:uid="{7A0784A3-CB84-41AB-A55D-114145B7AAD9}"/>
    <cellStyle name="Normal 13 16 2 2 3 5" xfId="36225" xr:uid="{9D09EFA9-9564-43D7-A27B-4760C3AE5EB9}"/>
    <cellStyle name="Normal 13 16 2 2 4" xfId="23100" xr:uid="{C78D7416-0524-4BD7-83E7-4AD7D03B8203}"/>
    <cellStyle name="Normal 13 16 2 2 5" xfId="17440" xr:uid="{409B85D7-5FF3-478D-BD9A-5613CCDCBE01}"/>
    <cellStyle name="Normal 13 16 2 2 6" xfId="28761" xr:uid="{3FE15AEC-4214-484F-94E8-2E77A4BD22FD}"/>
    <cellStyle name="Normal 13 16 2 2 7" xfId="36222" xr:uid="{64FDE829-A26F-41E7-938E-BEE791ADDFE5}"/>
    <cellStyle name="Normal 13 16 2 3" xfId="5987" xr:uid="{00000000-0005-0000-0000-0000D20E0000}"/>
    <cellStyle name="Normal 13 16 2 3 2" xfId="7334" xr:uid="{00000000-0005-0000-0000-0000D30E0000}"/>
    <cellStyle name="Normal 13 16 2 3 2 2" xfId="15767" xr:uid="{00000000-0005-0000-0000-0000D40E0000}"/>
    <cellStyle name="Normal 13 16 2 3 2 2 2" xfId="27661" xr:uid="{165DC7E7-AEDC-474C-A821-C565AA4543A3}"/>
    <cellStyle name="Normal 13 16 2 3 2 2 3" xfId="22001" xr:uid="{BC8AA143-26C6-4F9C-B1DA-DAE2072868ED}"/>
    <cellStyle name="Normal 13 16 2 3 2 2 4" xfId="33041" xr:uid="{6068199D-7C3A-4BDB-8A7B-1AD30A58C5AD}"/>
    <cellStyle name="Normal 13 16 2 3 2 2 5" xfId="36228" xr:uid="{6D872D1A-6E63-43D3-A58C-3A5EB3C01521}"/>
    <cellStyle name="Normal 13 16 2 3 2 3" xfId="24828" xr:uid="{D7B789EE-9622-40BF-8BFF-FD8267880E73}"/>
    <cellStyle name="Normal 13 16 2 3 2 4" xfId="19168" xr:uid="{57E5D4FE-015C-443F-9982-8FC0460A41BF}"/>
    <cellStyle name="Normal 13 16 2 3 2 5" xfId="30489" xr:uid="{D1D817EB-FE6A-4039-A0A0-991CD3A1273F}"/>
    <cellStyle name="Normal 13 16 2 3 2 6" xfId="36227" xr:uid="{3ED0C329-9D99-41CA-B145-848B33836B54}"/>
    <cellStyle name="Normal 13 16 2 3 3" xfId="14446" xr:uid="{00000000-0005-0000-0000-0000D50E0000}"/>
    <cellStyle name="Normal 13 16 2 3 3 2" xfId="26405" xr:uid="{060546E7-3CF8-44C4-B3F0-33C231997BC7}"/>
    <cellStyle name="Normal 13 16 2 3 3 3" xfId="20745" xr:uid="{2C47BAC9-D960-425E-9691-A4DDFA107182}"/>
    <cellStyle name="Normal 13 16 2 3 3 4" xfId="31785" xr:uid="{752CFDA1-0184-4BED-9358-D923105FE3A5}"/>
    <cellStyle name="Normal 13 16 2 3 3 5" xfId="36229" xr:uid="{0783B0ED-358F-46BD-A715-23BEECCACACD}"/>
    <cellStyle name="Normal 13 16 2 3 4" xfId="23572" xr:uid="{7D1C3374-A184-4A36-924B-E2EF51C1600E}"/>
    <cellStyle name="Normal 13 16 2 3 5" xfId="17912" xr:uid="{C257CEAF-8BAD-4F07-A6AA-5B471039C0DE}"/>
    <cellStyle name="Normal 13 16 2 3 6" xfId="29233" xr:uid="{66DEA595-6E5E-4337-9923-1C68F2C2F8F4}"/>
    <cellStyle name="Normal 13 16 2 3 7" xfId="36226" xr:uid="{1B678BF7-90AB-4E23-A684-C58B1D63A687}"/>
    <cellStyle name="Normal 13 16 2 4" xfId="6750" xr:uid="{00000000-0005-0000-0000-0000D60E0000}"/>
    <cellStyle name="Normal 13 16 2 4 2" xfId="15183" xr:uid="{00000000-0005-0000-0000-0000D70E0000}"/>
    <cellStyle name="Normal 13 16 2 4 2 2" xfId="27077" xr:uid="{06C0EDE9-D7C5-4A65-89C8-E45883D2B74C}"/>
    <cellStyle name="Normal 13 16 2 4 2 3" xfId="21417" xr:uid="{B37FAE90-19DC-4DF2-B5FE-0DB174745B92}"/>
    <cellStyle name="Normal 13 16 2 4 2 4" xfId="32457" xr:uid="{1BBFE3C2-1EF4-4DC7-9613-225CB6E321B2}"/>
    <cellStyle name="Normal 13 16 2 4 2 5" xfId="36231" xr:uid="{D586E966-AF72-406F-AAD0-AF1AFA28FDF1}"/>
    <cellStyle name="Normal 13 16 2 4 3" xfId="24244" xr:uid="{5FEB1001-44A0-4963-9B59-D0E9D737B876}"/>
    <cellStyle name="Normal 13 16 2 4 4" xfId="18584" xr:uid="{C324E35B-FBC6-47E3-9127-7F836EEEBBE0}"/>
    <cellStyle name="Normal 13 16 2 4 5" xfId="29905" xr:uid="{B89D25CA-9D4C-4469-B92D-76A29F466701}"/>
    <cellStyle name="Normal 13 16 2 4 6" xfId="36230" xr:uid="{57E890FF-3303-4586-8AAD-CF5854CB4977}"/>
    <cellStyle name="Normal 13 16 2 5" xfId="7744" xr:uid="{00000000-0005-0000-0000-0000D80E0000}"/>
    <cellStyle name="Normal 13 16 2 5 2" xfId="25232" xr:uid="{9BFFA991-BF10-41CE-81F7-0394CA43628D}"/>
    <cellStyle name="Normal 13 16 2 5 3" xfId="19572" xr:uid="{896B9010-912D-4E3B-BB94-7A055849D900}"/>
    <cellStyle name="Normal 13 16 2 5 4" xfId="30893" xr:uid="{68D09A9B-8D27-4085-B229-B39C89083F29}"/>
    <cellStyle name="Normal 13 16 2 5 5" xfId="36232" xr:uid="{CE0AD1FE-0375-4FF8-B547-5847F6AF50FE}"/>
    <cellStyle name="Normal 13 16 2 6" xfId="22682" xr:uid="{35D9626B-6A7C-4F90-B69D-2AA8390E30EA}"/>
    <cellStyle name="Normal 13 16 2 7" xfId="17022" xr:uid="{1CF7AEB7-9388-43B5-87DF-216C990D97DF}"/>
    <cellStyle name="Normal 13 16 2 8" xfId="28343" xr:uid="{F13835E3-01D5-4023-B2CC-42C8B96F3722}"/>
    <cellStyle name="Normal 13 16 2 9" xfId="36221" xr:uid="{8BDAE265-113F-4725-9107-E189FEA2FB55}"/>
    <cellStyle name="Normal 13 16 3" xfId="5096" xr:uid="{00000000-0005-0000-0000-0000D90E0000}"/>
    <cellStyle name="Normal 13 16 3 2" xfId="5986" xr:uid="{00000000-0005-0000-0000-0000DA0E0000}"/>
    <cellStyle name="Normal 13 16 3 2 2" xfId="7333" xr:uid="{00000000-0005-0000-0000-0000DB0E0000}"/>
    <cellStyle name="Normal 13 16 3 2 2 2" xfId="15766" xr:uid="{00000000-0005-0000-0000-0000DC0E0000}"/>
    <cellStyle name="Normal 13 16 3 2 2 2 2" xfId="27660" xr:uid="{56087007-0D2F-4C04-BE90-90EE332E953C}"/>
    <cellStyle name="Normal 13 16 3 2 2 2 3" xfId="22000" xr:uid="{DCB5F23D-6067-492D-A01C-47FFECDCA989}"/>
    <cellStyle name="Normal 13 16 3 2 2 2 4" xfId="33040" xr:uid="{7A346F65-4C85-499B-B211-D77953CE9733}"/>
    <cellStyle name="Normal 13 16 3 2 2 2 5" xfId="36236" xr:uid="{29A5A2EC-3870-487F-8288-427BA046F8B7}"/>
    <cellStyle name="Normal 13 16 3 2 2 3" xfId="24827" xr:uid="{480945F1-2DF8-4D36-95B3-E6DF81625D48}"/>
    <cellStyle name="Normal 13 16 3 2 2 4" xfId="19167" xr:uid="{A8A82D3C-32A5-4853-9C50-79959CCF9AD5}"/>
    <cellStyle name="Normal 13 16 3 2 2 5" xfId="30488" xr:uid="{F66BC701-253F-4DB9-B6C1-2B3E1E9D5ED4}"/>
    <cellStyle name="Normal 13 16 3 2 2 6" xfId="36235" xr:uid="{F0BD525C-C55F-4FD6-A612-E2B1DDA45FBE}"/>
    <cellStyle name="Normal 13 16 3 2 3" xfId="14445" xr:uid="{00000000-0005-0000-0000-0000DD0E0000}"/>
    <cellStyle name="Normal 13 16 3 2 3 2" xfId="26404" xr:uid="{EBAA0F2A-BFE2-4C82-B75B-D03384F503C1}"/>
    <cellStyle name="Normal 13 16 3 2 3 3" xfId="20744" xr:uid="{58A4E621-7623-42FA-80A2-4F13C103C694}"/>
    <cellStyle name="Normal 13 16 3 2 3 4" xfId="31784" xr:uid="{770B6704-5992-42D5-8BE6-28E2D15D7182}"/>
    <cellStyle name="Normal 13 16 3 2 3 5" xfId="36237" xr:uid="{C41A2FF7-0210-4D54-BD3F-48B8EEE8F1D3}"/>
    <cellStyle name="Normal 13 16 3 2 4" xfId="23571" xr:uid="{E2A70B0B-02BB-46E1-9D2E-E853A64187F6}"/>
    <cellStyle name="Normal 13 16 3 2 5" xfId="17911" xr:uid="{1D7423E6-2E42-4F18-9379-6AF00D1665CC}"/>
    <cellStyle name="Normal 13 16 3 2 6" xfId="29232" xr:uid="{2B007B08-50DC-4831-BEA5-F9260267F3F3}"/>
    <cellStyle name="Normal 13 16 3 2 7" xfId="36234" xr:uid="{AB1AD846-8437-4361-B907-7F85BE297938}"/>
    <cellStyle name="Normal 13 16 3 3" xfId="6959" xr:uid="{00000000-0005-0000-0000-0000DE0E0000}"/>
    <cellStyle name="Normal 13 16 3 3 2" xfId="15392" xr:uid="{00000000-0005-0000-0000-0000DF0E0000}"/>
    <cellStyle name="Normal 13 16 3 3 2 2" xfId="27286" xr:uid="{3FBBD2FE-DDBB-457E-8BE4-F4BBAE4936F6}"/>
    <cellStyle name="Normal 13 16 3 3 2 3" xfId="21626" xr:uid="{4673E88D-8976-42C7-AF6E-A7778CE165E2}"/>
    <cellStyle name="Normal 13 16 3 3 2 4" xfId="32666" xr:uid="{8D2DA3CF-AC2F-4BC3-AEC0-24FD548763D4}"/>
    <cellStyle name="Normal 13 16 3 3 2 5" xfId="36239" xr:uid="{D743BA00-BF2A-4026-AE85-31C7878EBCBD}"/>
    <cellStyle name="Normal 13 16 3 3 3" xfId="24453" xr:uid="{0CC26CF0-4E12-48B6-B85D-670C1768ED26}"/>
    <cellStyle name="Normal 13 16 3 3 4" xfId="18793" xr:uid="{5E200A82-3AEE-4B57-9D1B-A93CB89906F5}"/>
    <cellStyle name="Normal 13 16 3 3 5" xfId="30114" xr:uid="{26CD9B9C-D4BD-4CB0-830B-5811692C5303}"/>
    <cellStyle name="Normal 13 16 3 3 6" xfId="36238" xr:uid="{1560AD3C-2160-4B90-9912-36C019AE30B7}"/>
    <cellStyle name="Normal 13 16 3 4" xfId="13983" xr:uid="{00000000-0005-0000-0000-0000E00E0000}"/>
    <cellStyle name="Normal 13 16 3 4 2" xfId="26022" xr:uid="{60BA003B-65BC-465A-8C97-905E05694914}"/>
    <cellStyle name="Normal 13 16 3 4 3" xfId="20362" xr:uid="{667E5EFC-8916-4479-8C1A-9A2D7BE3DD60}"/>
    <cellStyle name="Normal 13 16 3 4 4" xfId="31402" xr:uid="{0B03A3ED-51D1-4C2D-BE03-C5B7E2F1D6CC}"/>
    <cellStyle name="Normal 13 16 3 4 5" xfId="36240" xr:uid="{F81C00C9-196D-4AE6-B278-7C6502620DBD}"/>
    <cellStyle name="Normal 13 16 3 5" xfId="22891" xr:uid="{187C50D0-AE33-4583-AF52-3596A9E3A829}"/>
    <cellStyle name="Normal 13 16 3 6" xfId="17231" xr:uid="{B5DB97DC-4DBD-49D2-A5C7-84966A4DC3FC}"/>
    <cellStyle name="Normal 13 16 3 7" xfId="28552" xr:uid="{29AAF0FE-CF3E-4FCA-B86D-1123E8660262}"/>
    <cellStyle name="Normal 13 16 3 8" xfId="36233" xr:uid="{04A79585-757F-4B4C-BE24-F2C882426B81}"/>
    <cellStyle name="Normal 13 16 4" xfId="5628" xr:uid="{00000000-0005-0000-0000-0000E10E0000}"/>
    <cellStyle name="Normal 13 16 4 2" xfId="36241" xr:uid="{93101749-30C7-454B-B4FF-A258DE47A24C}"/>
    <cellStyle name="Normal 13 16 5" xfId="6541" xr:uid="{00000000-0005-0000-0000-0000E20E0000}"/>
    <cellStyle name="Normal 13 16 5 2" xfId="14974" xr:uid="{00000000-0005-0000-0000-0000E30E0000}"/>
    <cellStyle name="Normal 13 16 5 2 2" xfId="26868" xr:uid="{9F2A1991-F994-4421-BDF9-BB7679D8BF60}"/>
    <cellStyle name="Normal 13 16 5 2 3" xfId="21208" xr:uid="{3330A73D-48A1-426D-B44A-7D514D1A7436}"/>
    <cellStyle name="Normal 13 16 5 2 4" xfId="32248" xr:uid="{D191DFE5-2CE7-455D-81E3-E03B0B63565E}"/>
    <cellStyle name="Normal 13 16 5 2 5" xfId="36243" xr:uid="{D54A0D50-DD4F-45F7-9F70-5C2DD646CB57}"/>
    <cellStyle name="Normal 13 16 5 3" xfId="24035" xr:uid="{6E858AAB-47D0-4020-8988-FE024B461624}"/>
    <cellStyle name="Normal 13 16 5 4" xfId="18375" xr:uid="{55B9979B-0ABD-43D1-8C57-330814E1A218}"/>
    <cellStyle name="Normal 13 16 5 5" xfId="29696" xr:uid="{B3394CC2-C21B-4903-BC32-D07FC1C063CF}"/>
    <cellStyle name="Normal 13 16 5 6" xfId="36242" xr:uid="{EFD9AC32-21E8-487B-9DCA-7F1C9B4C232A}"/>
    <cellStyle name="Normal 13 16 6" xfId="7743" xr:uid="{00000000-0005-0000-0000-0000E40E0000}"/>
    <cellStyle name="Normal 13 16 6 2" xfId="25231" xr:uid="{4871D6E9-322B-4692-AAA8-8D11CC7BF4AD}"/>
    <cellStyle name="Normal 13 16 6 3" xfId="19571" xr:uid="{9CADB03C-918C-4EF0-930E-F306CB55BBB0}"/>
    <cellStyle name="Normal 13 16 6 4" xfId="30892" xr:uid="{A6D973A6-C198-42B2-BCA6-5CC6DD272C29}"/>
    <cellStyle name="Normal 13 16 6 5" xfId="36244" xr:uid="{4FE7971E-868F-421F-8396-54EC9C38B560}"/>
    <cellStyle name="Normal 13 16 7" xfId="22473" xr:uid="{E304C147-8D77-42D1-8682-D05153528BAD}"/>
    <cellStyle name="Normal 13 16 8" xfId="16813" xr:uid="{97111DCA-4D3D-403E-9FB4-134A09F8DE54}"/>
    <cellStyle name="Normal 13 16 9" xfId="28134" xr:uid="{F20AC241-5F3F-47EB-8862-976BA3FFD3A4}"/>
    <cellStyle name="Normal 13 17" xfId="4078" xr:uid="{00000000-0005-0000-0000-0000E50E0000}"/>
    <cellStyle name="Normal 13 17 2" xfId="36245" xr:uid="{9DFC7D16-33C8-48ED-B3D6-182FB4010090}"/>
    <cellStyle name="Normal 13 18" xfId="4079" xr:uid="{00000000-0005-0000-0000-0000E60E0000}"/>
    <cellStyle name="Normal 13 18 2" xfId="36246" xr:uid="{17302A05-E29E-4047-B3C4-7C620423C980}"/>
    <cellStyle name="Normal 13 19" xfId="4080" xr:uid="{00000000-0005-0000-0000-0000E70E0000}"/>
    <cellStyle name="Normal 13 19 2" xfId="36247" xr:uid="{2E5AE939-C152-40A9-B110-C0EC9BB298EE}"/>
    <cellStyle name="Normal 13 2" xfId="2014" xr:uid="{00000000-0005-0000-0000-0000E80E0000}"/>
    <cellStyle name="Normal 13 2 10" xfId="7745" xr:uid="{00000000-0005-0000-0000-0000E90E0000}"/>
    <cellStyle name="Normal 13 2 10 2" xfId="36249" xr:uid="{750E59E6-BD0D-4A2C-ACCA-CA18035AF90E}"/>
    <cellStyle name="Normal 13 2 11" xfId="36250" xr:uid="{AA1F0D59-8976-4E29-933F-BD031C629CA7}"/>
    <cellStyle name="Normal 13 2 12" xfId="36248" xr:uid="{D9A2551D-4BD7-4A37-B537-C37659778230}"/>
    <cellStyle name="Normal 13 2 13" xfId="49772" xr:uid="{AA8DAA9D-BE76-497C-AACD-35F1C61A0727}"/>
    <cellStyle name="Normal 13 2 2" xfId="4082" xr:uid="{00000000-0005-0000-0000-0000EA0E0000}"/>
    <cellStyle name="Normal 13 2 2 10" xfId="36251" xr:uid="{4B75A449-E6F6-4458-9EFB-754BB3615483}"/>
    <cellStyle name="Normal 13 2 2 2" xfId="4887" xr:uid="{00000000-0005-0000-0000-0000EB0E0000}"/>
    <cellStyle name="Normal 13 2 2 2 2" xfId="5306" xr:uid="{00000000-0005-0000-0000-0000EC0E0000}"/>
    <cellStyle name="Normal 13 2 2 2 2 2" xfId="7169" xr:uid="{00000000-0005-0000-0000-0000ED0E0000}"/>
    <cellStyle name="Normal 13 2 2 2 2 2 2" xfId="15602" xr:uid="{00000000-0005-0000-0000-0000EE0E0000}"/>
    <cellStyle name="Normal 13 2 2 2 2 2 2 2" xfId="27496" xr:uid="{46223957-3B5D-4AA0-A836-FE2B8055B902}"/>
    <cellStyle name="Normal 13 2 2 2 2 2 2 3" xfId="21836" xr:uid="{C4162242-D4B7-4126-A919-5298EA177731}"/>
    <cellStyle name="Normal 13 2 2 2 2 2 2 4" xfId="32876" xr:uid="{3FAC1FAA-082D-409E-BE25-61662026099B}"/>
    <cellStyle name="Normal 13 2 2 2 2 2 2 5" xfId="36255" xr:uid="{80722514-1075-4DC0-96D5-DB77290844DA}"/>
    <cellStyle name="Normal 13 2 2 2 2 2 3" xfId="24663" xr:uid="{1A516FFD-3074-4BD4-99D2-F4F96AD4E18C}"/>
    <cellStyle name="Normal 13 2 2 2 2 2 4" xfId="19003" xr:uid="{574EBAF9-2D39-408C-8EDE-093248227F29}"/>
    <cellStyle name="Normal 13 2 2 2 2 2 5" xfId="30324" xr:uid="{9031B30C-305A-4F2A-8788-C40894603717}"/>
    <cellStyle name="Normal 13 2 2 2 2 2 6" xfId="36254" xr:uid="{5967178F-923A-41D7-A89E-03AEAED2BDC4}"/>
    <cellStyle name="Normal 13 2 2 2 2 3" xfId="14192" xr:uid="{00000000-0005-0000-0000-0000EF0E0000}"/>
    <cellStyle name="Normal 13 2 2 2 2 3 2" xfId="26231" xr:uid="{6204FA15-EE6D-4F1E-8A0A-65849B49ABD7}"/>
    <cellStyle name="Normal 13 2 2 2 2 3 3" xfId="20571" xr:uid="{68049272-A95C-4CEB-AE42-6EDA67B94669}"/>
    <cellStyle name="Normal 13 2 2 2 2 3 4" xfId="31611" xr:uid="{2F02C611-8559-4E98-813F-36C38E3AF78A}"/>
    <cellStyle name="Normal 13 2 2 2 2 3 5" xfId="36256" xr:uid="{79465E12-BE51-4280-B5FD-EB25F6791228}"/>
    <cellStyle name="Normal 13 2 2 2 2 4" xfId="23101" xr:uid="{64D2F4ED-6168-424A-A0C8-6CBB27E54701}"/>
    <cellStyle name="Normal 13 2 2 2 2 5" xfId="17441" xr:uid="{089DFBD0-614E-453B-A456-37D4492A1E88}"/>
    <cellStyle name="Normal 13 2 2 2 2 6" xfId="28762" xr:uid="{88CE8E75-9139-4F39-8B7B-7F002E6B24C6}"/>
    <cellStyle name="Normal 13 2 2 2 2 7" xfId="36253" xr:uid="{02946995-743E-41BF-A5CC-8E2014D70A0E}"/>
    <cellStyle name="Normal 13 2 2 2 3" xfId="5989" xr:uid="{00000000-0005-0000-0000-0000F00E0000}"/>
    <cellStyle name="Normal 13 2 2 2 3 2" xfId="7336" xr:uid="{00000000-0005-0000-0000-0000F10E0000}"/>
    <cellStyle name="Normal 13 2 2 2 3 2 2" xfId="15769" xr:uid="{00000000-0005-0000-0000-0000F20E0000}"/>
    <cellStyle name="Normal 13 2 2 2 3 2 2 2" xfId="27663" xr:uid="{C93720FD-E128-4101-96E4-D07A35C1E72C}"/>
    <cellStyle name="Normal 13 2 2 2 3 2 2 3" xfId="22003" xr:uid="{B69257D8-9642-4357-8221-ADB9FBE791D1}"/>
    <cellStyle name="Normal 13 2 2 2 3 2 2 4" xfId="33043" xr:uid="{22761A21-D372-4A05-A3EB-539D7141826C}"/>
    <cellStyle name="Normal 13 2 2 2 3 2 2 5" xfId="36259" xr:uid="{5981C158-33BB-4F1A-8C68-35B3EC3895CA}"/>
    <cellStyle name="Normal 13 2 2 2 3 2 3" xfId="24830" xr:uid="{E768F366-7478-4BBE-8C56-BF7B188B29AD}"/>
    <cellStyle name="Normal 13 2 2 2 3 2 4" xfId="19170" xr:uid="{4AA70935-14AD-4525-A27A-D9CD4C21343B}"/>
    <cellStyle name="Normal 13 2 2 2 3 2 5" xfId="30491" xr:uid="{90F4767A-19D6-4924-A518-83C58CCA91D4}"/>
    <cellStyle name="Normal 13 2 2 2 3 2 6" xfId="36258" xr:uid="{DC853EAA-9F2C-4DC0-AFEF-2E3D121222E5}"/>
    <cellStyle name="Normal 13 2 2 2 3 3" xfId="14448" xr:uid="{00000000-0005-0000-0000-0000F30E0000}"/>
    <cellStyle name="Normal 13 2 2 2 3 3 2" xfId="26407" xr:uid="{B9CDF7C2-93C0-45C3-89B5-4A9BEE091D96}"/>
    <cellStyle name="Normal 13 2 2 2 3 3 3" xfId="20747" xr:uid="{4C7351B5-7BEC-468D-9D7C-EDC60BB8018B}"/>
    <cellStyle name="Normal 13 2 2 2 3 3 4" xfId="31787" xr:uid="{8E87FB95-21EF-428D-A63B-4EACC51ACB44}"/>
    <cellStyle name="Normal 13 2 2 2 3 3 5" xfId="36260" xr:uid="{A43B9B66-7C64-48AF-8A17-1EB4F5765A38}"/>
    <cellStyle name="Normal 13 2 2 2 3 4" xfId="23574" xr:uid="{F6C25F92-B098-4937-B7A5-75DDFC928F05}"/>
    <cellStyle name="Normal 13 2 2 2 3 5" xfId="17914" xr:uid="{C270065B-20D2-4DFC-8B85-E31544FD7C60}"/>
    <cellStyle name="Normal 13 2 2 2 3 6" xfId="29235" xr:uid="{CACE03D2-718A-4D49-AA35-5981EEEC150F}"/>
    <cellStyle name="Normal 13 2 2 2 3 7" xfId="36257" xr:uid="{5600E5C0-7ED4-4859-8CB2-C7CBAAF779BD}"/>
    <cellStyle name="Normal 13 2 2 2 4" xfId="6751" xr:uid="{00000000-0005-0000-0000-0000F40E0000}"/>
    <cellStyle name="Normal 13 2 2 2 4 2" xfId="15184" xr:uid="{00000000-0005-0000-0000-0000F50E0000}"/>
    <cellStyle name="Normal 13 2 2 2 4 2 2" xfId="27078" xr:uid="{30A46407-BA90-427F-95FA-B7E0BAF0903F}"/>
    <cellStyle name="Normal 13 2 2 2 4 2 3" xfId="21418" xr:uid="{AED171C1-C417-43E8-AD62-0C0EE221CD25}"/>
    <cellStyle name="Normal 13 2 2 2 4 2 4" xfId="32458" xr:uid="{F85DD0D3-782B-4A40-9574-609CED0DB123}"/>
    <cellStyle name="Normal 13 2 2 2 4 2 5" xfId="36262" xr:uid="{8F4165BC-BCAA-4CB0-A20E-2399D6AEEF8E}"/>
    <cellStyle name="Normal 13 2 2 2 4 3" xfId="24245" xr:uid="{FF4A0120-52E3-4739-A5F0-226CBC1DE22B}"/>
    <cellStyle name="Normal 13 2 2 2 4 4" xfId="18585" xr:uid="{93044EAE-FF15-4AAE-B56A-F87140BE135A}"/>
    <cellStyle name="Normal 13 2 2 2 4 5" xfId="29906" xr:uid="{62C0C413-9326-48B5-AA9E-03F5F73222C2}"/>
    <cellStyle name="Normal 13 2 2 2 4 6" xfId="36261" xr:uid="{D5C03E5F-BC41-44BD-9F14-807DAD132F1E}"/>
    <cellStyle name="Normal 13 2 2 2 5" xfId="7747" xr:uid="{00000000-0005-0000-0000-0000F60E0000}"/>
    <cellStyle name="Normal 13 2 2 2 5 2" xfId="25234" xr:uid="{91C42184-1D1D-4E92-B8F5-955E85554189}"/>
    <cellStyle name="Normal 13 2 2 2 5 3" xfId="19574" xr:uid="{9FEA5D99-5E95-42AE-8C8E-76D88C9BEC34}"/>
    <cellStyle name="Normal 13 2 2 2 5 4" xfId="30895" xr:uid="{03FD3422-544B-4D2D-B107-6DC6F3BD666F}"/>
    <cellStyle name="Normal 13 2 2 2 5 5" xfId="36263" xr:uid="{1D86C156-98FC-446D-BCA5-BAB241E189E1}"/>
    <cellStyle name="Normal 13 2 2 2 6" xfId="22683" xr:uid="{6C05E182-5935-4007-AFD3-C1AB567ED830}"/>
    <cellStyle name="Normal 13 2 2 2 7" xfId="17023" xr:uid="{E4D6BD3D-AE4B-4B71-B0D1-5A2C42D68528}"/>
    <cellStyle name="Normal 13 2 2 2 8" xfId="28344" xr:uid="{C6AB0FC2-AED9-4278-ACC2-F4303BEAC843}"/>
    <cellStyle name="Normal 13 2 2 2 9" xfId="36252" xr:uid="{F404B93F-F4BB-471B-AA13-82FBF2823D6C}"/>
    <cellStyle name="Normal 13 2 2 3" xfId="5097" xr:uid="{00000000-0005-0000-0000-0000F70E0000}"/>
    <cellStyle name="Normal 13 2 2 3 2" xfId="5988" xr:uid="{00000000-0005-0000-0000-0000F80E0000}"/>
    <cellStyle name="Normal 13 2 2 3 2 2" xfId="7335" xr:uid="{00000000-0005-0000-0000-0000F90E0000}"/>
    <cellStyle name="Normal 13 2 2 3 2 2 2" xfId="15768" xr:uid="{00000000-0005-0000-0000-0000FA0E0000}"/>
    <cellStyle name="Normal 13 2 2 3 2 2 2 2" xfId="27662" xr:uid="{E70C3B2E-C2E1-44A8-B541-53A5122645C3}"/>
    <cellStyle name="Normal 13 2 2 3 2 2 2 3" xfId="22002" xr:uid="{180AA967-1231-4292-B2C0-C3877165CCC7}"/>
    <cellStyle name="Normal 13 2 2 3 2 2 2 4" xfId="33042" xr:uid="{08F19E24-4256-41E6-8231-1CB61008C7C3}"/>
    <cellStyle name="Normal 13 2 2 3 2 2 2 5" xfId="36267" xr:uid="{FFC7B882-7C5A-411B-8D44-FBE38A0E0110}"/>
    <cellStyle name="Normal 13 2 2 3 2 2 3" xfId="24829" xr:uid="{089A074B-C5BC-48FD-BAAA-E46CBA595876}"/>
    <cellStyle name="Normal 13 2 2 3 2 2 4" xfId="19169" xr:uid="{FCD11B36-B94A-4A49-9D99-78F87BAA5D84}"/>
    <cellStyle name="Normal 13 2 2 3 2 2 5" xfId="30490" xr:uid="{7510FDFC-3B7A-4B99-B779-82BD2FF64FCC}"/>
    <cellStyle name="Normal 13 2 2 3 2 2 6" xfId="36266" xr:uid="{DF0EADD6-1B2C-4BF2-B86B-E3B5B228FA46}"/>
    <cellStyle name="Normal 13 2 2 3 2 3" xfId="14447" xr:uid="{00000000-0005-0000-0000-0000FB0E0000}"/>
    <cellStyle name="Normal 13 2 2 3 2 3 2" xfId="26406" xr:uid="{29F2FACE-FB29-4287-BAFC-AA44F823E658}"/>
    <cellStyle name="Normal 13 2 2 3 2 3 3" xfId="20746" xr:uid="{90F2D36B-8908-4F53-AB04-A31694C81C54}"/>
    <cellStyle name="Normal 13 2 2 3 2 3 4" xfId="31786" xr:uid="{8F2A086B-3131-4831-A607-DBF9E68706C8}"/>
    <cellStyle name="Normal 13 2 2 3 2 3 5" xfId="36268" xr:uid="{82DAB8B1-B2E0-4352-8B3C-19A1E7F2B567}"/>
    <cellStyle name="Normal 13 2 2 3 2 4" xfId="23573" xr:uid="{DD61A637-9C5A-4E9D-8B37-66891360C09B}"/>
    <cellStyle name="Normal 13 2 2 3 2 5" xfId="17913" xr:uid="{6E3F6BCE-4B9F-45C6-8B7B-E7859314D167}"/>
    <cellStyle name="Normal 13 2 2 3 2 6" xfId="29234" xr:uid="{4BA7B7FD-7C6E-4349-A0F4-B1C337C095C9}"/>
    <cellStyle name="Normal 13 2 2 3 2 7" xfId="36265" xr:uid="{5D177464-9458-4E7E-B276-31C7EE8AE46A}"/>
    <cellStyle name="Normal 13 2 2 3 3" xfId="6960" xr:uid="{00000000-0005-0000-0000-0000FC0E0000}"/>
    <cellStyle name="Normal 13 2 2 3 3 2" xfId="15393" xr:uid="{00000000-0005-0000-0000-0000FD0E0000}"/>
    <cellStyle name="Normal 13 2 2 3 3 2 2" xfId="27287" xr:uid="{C4B83F1C-EF1B-4730-A318-7BDDF6DACF6C}"/>
    <cellStyle name="Normal 13 2 2 3 3 2 3" xfId="21627" xr:uid="{D57E39BB-4A31-4317-A27D-9F7FF692FA74}"/>
    <cellStyle name="Normal 13 2 2 3 3 2 4" xfId="32667" xr:uid="{D5ACBABB-45F8-4E27-87D7-D3281033AC90}"/>
    <cellStyle name="Normal 13 2 2 3 3 2 5" xfId="36270" xr:uid="{6E6BC824-8AC3-489C-B181-2DA6C9EAF8A0}"/>
    <cellStyle name="Normal 13 2 2 3 3 3" xfId="24454" xr:uid="{EE01C170-8D8C-403D-BD23-479A2E6A9DBF}"/>
    <cellStyle name="Normal 13 2 2 3 3 4" xfId="18794" xr:uid="{B21721A9-826F-46BC-A6AC-D0E384BE63DF}"/>
    <cellStyle name="Normal 13 2 2 3 3 5" xfId="30115" xr:uid="{CEFBC757-CFF9-422D-BFE0-2946C0788828}"/>
    <cellStyle name="Normal 13 2 2 3 3 6" xfId="36269" xr:uid="{D92A7675-B651-4911-99B6-4FEDD7373083}"/>
    <cellStyle name="Normal 13 2 2 3 4" xfId="13984" xr:uid="{00000000-0005-0000-0000-0000FE0E0000}"/>
    <cellStyle name="Normal 13 2 2 3 4 2" xfId="26023" xr:uid="{4A6EBFC9-08FA-4E98-A5C4-D79A086EA5B3}"/>
    <cellStyle name="Normal 13 2 2 3 4 3" xfId="20363" xr:uid="{CF5E1A34-8AE2-4B88-B89D-2792D2864C0C}"/>
    <cellStyle name="Normal 13 2 2 3 4 4" xfId="31403" xr:uid="{3CC1E1EB-4AAE-4E87-852E-981537D97D5E}"/>
    <cellStyle name="Normal 13 2 2 3 4 5" xfId="36271" xr:uid="{00EC03EE-008C-4B49-9884-16BAA6E9401B}"/>
    <cellStyle name="Normal 13 2 2 3 5" xfId="22892" xr:uid="{8252E0A6-0D64-4694-B4B7-454CFE3FF41A}"/>
    <cellStyle name="Normal 13 2 2 3 6" xfId="17232" xr:uid="{EFF5FBF1-07EC-46D2-8007-014871E32F9C}"/>
    <cellStyle name="Normal 13 2 2 3 7" xfId="28553" xr:uid="{3AE68956-00BC-4025-9075-6F5F94DA7A29}"/>
    <cellStyle name="Normal 13 2 2 3 8" xfId="36264" xr:uid="{5757EABC-0604-42FE-84E7-3C12C8BAE9C6}"/>
    <cellStyle name="Normal 13 2 2 4" xfId="5629" xr:uid="{00000000-0005-0000-0000-0000FF0E0000}"/>
    <cellStyle name="Normal 13 2 2 4 2" xfId="36272" xr:uid="{23CAA873-3C3E-4A81-9F5C-FF981074CBBA}"/>
    <cellStyle name="Normal 13 2 2 5" xfId="6542" xr:uid="{00000000-0005-0000-0000-0000000F0000}"/>
    <cellStyle name="Normal 13 2 2 5 2" xfId="14975" xr:uid="{00000000-0005-0000-0000-0000010F0000}"/>
    <cellStyle name="Normal 13 2 2 5 2 2" xfId="26869" xr:uid="{D8FE3FDB-5D35-4F12-9174-D2BAAA128874}"/>
    <cellStyle name="Normal 13 2 2 5 2 3" xfId="21209" xr:uid="{A41FDBA5-3476-4180-8E32-B540115871B7}"/>
    <cellStyle name="Normal 13 2 2 5 2 4" xfId="32249" xr:uid="{4573C2F8-F326-40A4-B2CC-CF0601A0232A}"/>
    <cellStyle name="Normal 13 2 2 5 2 5" xfId="36274" xr:uid="{9C9D1D40-4059-4236-872B-33CDB827597F}"/>
    <cellStyle name="Normal 13 2 2 5 3" xfId="24036" xr:uid="{66B58741-D9E0-457E-9DB3-7038E48F2BD1}"/>
    <cellStyle name="Normal 13 2 2 5 4" xfId="18376" xr:uid="{F269A040-48DD-4126-93E5-FC64CA28A2DD}"/>
    <cellStyle name="Normal 13 2 2 5 5" xfId="29697" xr:uid="{935E614A-32A5-44FA-88B1-C4BE42659471}"/>
    <cellStyle name="Normal 13 2 2 5 6" xfId="36273" xr:uid="{1F0DDA98-5AB9-4365-BD22-A8797089ACDF}"/>
    <cellStyle name="Normal 13 2 2 6" xfId="7746" xr:uid="{00000000-0005-0000-0000-0000020F0000}"/>
    <cellStyle name="Normal 13 2 2 6 2" xfId="25233" xr:uid="{4103B8CE-609B-4943-9C15-A21849F5D05C}"/>
    <cellStyle name="Normal 13 2 2 6 3" xfId="19573" xr:uid="{15375E48-55C3-4C22-853E-473D359E4560}"/>
    <cellStyle name="Normal 13 2 2 6 4" xfId="30894" xr:uid="{D7EEA73D-B1A0-4320-8DBC-76981F2C1CC6}"/>
    <cellStyle name="Normal 13 2 2 6 5" xfId="36275" xr:uid="{AAB88424-9CE8-432D-AEEA-E343A3B894E9}"/>
    <cellStyle name="Normal 13 2 2 7" xfId="22474" xr:uid="{32DEC90C-AFE0-4061-BF8F-002DAD90B33C}"/>
    <cellStyle name="Normal 13 2 2 8" xfId="16814" xr:uid="{03D7097E-0483-4DCA-8404-5D6FD0FC75AB}"/>
    <cellStyle name="Normal 13 2 2 9" xfId="28135" xr:uid="{511BAC02-EF7F-4705-8816-BB3F29C7D789}"/>
    <cellStyle name="Normal 13 2 3" xfId="4083" xr:uid="{00000000-0005-0000-0000-0000030F0000}"/>
    <cellStyle name="Normal 13 2 3 10" xfId="36276" xr:uid="{A8A56CA3-8603-4214-8B7E-D1A721654EC7}"/>
    <cellStyle name="Normal 13 2 3 2" xfId="4888" xr:uid="{00000000-0005-0000-0000-0000040F0000}"/>
    <cellStyle name="Normal 13 2 3 2 2" xfId="5307" xr:uid="{00000000-0005-0000-0000-0000050F0000}"/>
    <cellStyle name="Normal 13 2 3 2 2 2" xfId="7170" xr:uid="{00000000-0005-0000-0000-0000060F0000}"/>
    <cellStyle name="Normal 13 2 3 2 2 2 2" xfId="15603" xr:uid="{00000000-0005-0000-0000-0000070F0000}"/>
    <cellStyle name="Normal 13 2 3 2 2 2 2 2" xfId="27497" xr:uid="{0638AF29-0E58-4FD7-95A6-B2D691C3EA37}"/>
    <cellStyle name="Normal 13 2 3 2 2 2 2 3" xfId="21837" xr:uid="{3B6FFBDF-5699-4068-AE3E-1D88D3B79119}"/>
    <cellStyle name="Normal 13 2 3 2 2 2 2 4" xfId="32877" xr:uid="{E9893B0D-CD2C-4F49-8B2A-CB4D975E822A}"/>
    <cellStyle name="Normal 13 2 3 2 2 2 2 5" xfId="36280" xr:uid="{C1495F0D-CD10-447D-A3D2-12C117DDACE4}"/>
    <cellStyle name="Normal 13 2 3 2 2 2 3" xfId="24664" xr:uid="{112DAFF8-492F-4C56-8BB5-6BADF8C74FA5}"/>
    <cellStyle name="Normal 13 2 3 2 2 2 4" xfId="19004" xr:uid="{51D79F18-A660-4C63-A1AE-5586DE12299F}"/>
    <cellStyle name="Normal 13 2 3 2 2 2 5" xfId="30325" xr:uid="{9B59C469-7F3B-4B59-886C-2055BA6015BC}"/>
    <cellStyle name="Normal 13 2 3 2 2 2 6" xfId="36279" xr:uid="{5175A9CD-4A98-414B-9825-76F743BFA137}"/>
    <cellStyle name="Normal 13 2 3 2 2 3" xfId="14193" xr:uid="{00000000-0005-0000-0000-0000080F0000}"/>
    <cellStyle name="Normal 13 2 3 2 2 3 2" xfId="26232" xr:uid="{F2E8BB13-2316-4A93-812F-D98F4A8390E8}"/>
    <cellStyle name="Normal 13 2 3 2 2 3 3" xfId="20572" xr:uid="{E9C52CAF-17B6-4FBF-95AD-9FDCF02EFEEB}"/>
    <cellStyle name="Normal 13 2 3 2 2 3 4" xfId="31612" xr:uid="{CD0B9B22-59C0-4AF8-9D29-237175F2E6A5}"/>
    <cellStyle name="Normal 13 2 3 2 2 3 5" xfId="36281" xr:uid="{2FD5C6A4-078E-4944-A57F-A968D374447B}"/>
    <cellStyle name="Normal 13 2 3 2 2 4" xfId="23102" xr:uid="{10807FB3-7E08-485A-9FE1-8A1D76198B0F}"/>
    <cellStyle name="Normal 13 2 3 2 2 5" xfId="17442" xr:uid="{27146C34-70EF-4469-A4EC-292A7A96ACD0}"/>
    <cellStyle name="Normal 13 2 3 2 2 6" xfId="28763" xr:uid="{74CB88B2-9C35-4D57-B37E-1D46825D4186}"/>
    <cellStyle name="Normal 13 2 3 2 2 7" xfId="36278" xr:uid="{74C43BF7-C1AC-46C0-BBE5-15C9C677889A}"/>
    <cellStyle name="Normal 13 2 3 2 3" xfId="5991" xr:uid="{00000000-0005-0000-0000-0000090F0000}"/>
    <cellStyle name="Normal 13 2 3 2 3 2" xfId="7338" xr:uid="{00000000-0005-0000-0000-00000A0F0000}"/>
    <cellStyle name="Normal 13 2 3 2 3 2 2" xfId="15771" xr:uid="{00000000-0005-0000-0000-00000B0F0000}"/>
    <cellStyle name="Normal 13 2 3 2 3 2 2 2" xfId="27665" xr:uid="{80752D29-3E7A-4049-92B0-AABC56865D87}"/>
    <cellStyle name="Normal 13 2 3 2 3 2 2 3" xfId="22005" xr:uid="{680B2BE9-7BDD-4267-8A08-B53E84964342}"/>
    <cellStyle name="Normal 13 2 3 2 3 2 2 4" xfId="33045" xr:uid="{74827B1C-FD97-41B0-B9E3-84AA83A98097}"/>
    <cellStyle name="Normal 13 2 3 2 3 2 2 5" xfId="36284" xr:uid="{9DF564F4-E48C-4FF9-A8AD-F31702CC3C82}"/>
    <cellStyle name="Normal 13 2 3 2 3 2 3" xfId="24832" xr:uid="{4C362A2D-CA54-4F77-A0E1-EBFE21D6475F}"/>
    <cellStyle name="Normal 13 2 3 2 3 2 4" xfId="19172" xr:uid="{2793A923-8077-42C8-98E4-FD025C72E21F}"/>
    <cellStyle name="Normal 13 2 3 2 3 2 5" xfId="30493" xr:uid="{5C4F8AD3-335E-451F-A55C-FE2008831D14}"/>
    <cellStyle name="Normal 13 2 3 2 3 2 6" xfId="36283" xr:uid="{7E50E03B-E24A-4A5F-B3D0-A31A2808EC7E}"/>
    <cellStyle name="Normal 13 2 3 2 3 3" xfId="14450" xr:uid="{00000000-0005-0000-0000-00000C0F0000}"/>
    <cellStyle name="Normal 13 2 3 2 3 3 2" xfId="26409" xr:uid="{8AC2644D-6DAD-41E8-8BD3-EE383BF963E7}"/>
    <cellStyle name="Normal 13 2 3 2 3 3 3" xfId="20749" xr:uid="{7D86422A-9217-4A64-8BA1-69602900EBC3}"/>
    <cellStyle name="Normal 13 2 3 2 3 3 4" xfId="31789" xr:uid="{B9CF47FD-A750-4CE8-8E4A-A58F10F2FF08}"/>
    <cellStyle name="Normal 13 2 3 2 3 3 5" xfId="36285" xr:uid="{9054DB9F-9464-48D8-844C-CB8EBFA438B7}"/>
    <cellStyle name="Normal 13 2 3 2 3 4" xfId="23576" xr:uid="{E13A43F2-AE73-4891-A7AD-F4B1D4D617FB}"/>
    <cellStyle name="Normal 13 2 3 2 3 5" xfId="17916" xr:uid="{AFA4F7C7-8103-4758-997E-CFBE251574D9}"/>
    <cellStyle name="Normal 13 2 3 2 3 6" xfId="29237" xr:uid="{45D538B8-4421-4A64-B01C-3333B912CE1C}"/>
    <cellStyle name="Normal 13 2 3 2 3 7" xfId="36282" xr:uid="{C54DB4EF-BEAE-4332-9E11-5CF3B4BE75AA}"/>
    <cellStyle name="Normal 13 2 3 2 4" xfId="6752" xr:uid="{00000000-0005-0000-0000-00000D0F0000}"/>
    <cellStyle name="Normal 13 2 3 2 4 2" xfId="15185" xr:uid="{00000000-0005-0000-0000-00000E0F0000}"/>
    <cellStyle name="Normal 13 2 3 2 4 2 2" xfId="27079" xr:uid="{3894CD4A-E0F3-4485-BC60-B8B48419D544}"/>
    <cellStyle name="Normal 13 2 3 2 4 2 3" xfId="21419" xr:uid="{EA4167BB-4E0E-40F9-8F1F-D3FFA292324E}"/>
    <cellStyle name="Normal 13 2 3 2 4 2 4" xfId="32459" xr:uid="{2634B26A-2167-4A85-BF67-06D37E94F946}"/>
    <cellStyle name="Normal 13 2 3 2 4 2 5" xfId="36287" xr:uid="{17A31B94-80FA-4386-BF62-40DA08E3D2F9}"/>
    <cellStyle name="Normal 13 2 3 2 4 3" xfId="24246" xr:uid="{DD9BD82D-0D93-454D-B130-14F4863B1038}"/>
    <cellStyle name="Normal 13 2 3 2 4 4" xfId="18586" xr:uid="{9419714E-FB11-4377-BB08-592C047B1ACF}"/>
    <cellStyle name="Normal 13 2 3 2 4 5" xfId="29907" xr:uid="{BC4FA28E-1BAE-46D3-8CD4-0AF13EFD7E2B}"/>
    <cellStyle name="Normal 13 2 3 2 4 6" xfId="36286" xr:uid="{DDD0590B-FE6D-4F45-B568-88641F55CB14}"/>
    <cellStyle name="Normal 13 2 3 2 5" xfId="7749" xr:uid="{00000000-0005-0000-0000-00000F0F0000}"/>
    <cellStyle name="Normal 13 2 3 2 5 2" xfId="25236" xr:uid="{9DF1ACAF-946C-45B4-9D8E-C136DB37FD4D}"/>
    <cellStyle name="Normal 13 2 3 2 5 3" xfId="19576" xr:uid="{92FCCEE5-9008-4303-B4D1-98B8DEE92161}"/>
    <cellStyle name="Normal 13 2 3 2 5 4" xfId="30897" xr:uid="{65FE9C27-CDBF-4156-82ED-80A8D008519B}"/>
    <cellStyle name="Normal 13 2 3 2 5 5" xfId="36288" xr:uid="{9C6A44E0-A805-46B6-A3E9-5CF0206620E9}"/>
    <cellStyle name="Normal 13 2 3 2 6" xfId="22684" xr:uid="{921719EC-455C-4FF7-952F-3A2E67E5381D}"/>
    <cellStyle name="Normal 13 2 3 2 7" xfId="17024" xr:uid="{05980D93-10BF-413B-A189-1F295D6B0DCE}"/>
    <cellStyle name="Normal 13 2 3 2 8" xfId="28345" xr:uid="{84CE0523-F525-4723-81AF-249A9123F5D7}"/>
    <cellStyle name="Normal 13 2 3 2 9" xfId="36277" xr:uid="{5036ED7E-866A-48E0-A40C-B14C1CCBD01B}"/>
    <cellStyle name="Normal 13 2 3 3" xfId="5098" xr:uid="{00000000-0005-0000-0000-0000100F0000}"/>
    <cellStyle name="Normal 13 2 3 3 2" xfId="5990" xr:uid="{00000000-0005-0000-0000-0000110F0000}"/>
    <cellStyle name="Normal 13 2 3 3 2 2" xfId="7337" xr:uid="{00000000-0005-0000-0000-0000120F0000}"/>
    <cellStyle name="Normal 13 2 3 3 2 2 2" xfId="15770" xr:uid="{00000000-0005-0000-0000-0000130F0000}"/>
    <cellStyle name="Normal 13 2 3 3 2 2 2 2" xfId="27664" xr:uid="{9D3702BC-EF86-41CD-AC9D-AFF56334393A}"/>
    <cellStyle name="Normal 13 2 3 3 2 2 2 3" xfId="22004" xr:uid="{7E4A80D6-E43E-48AE-AEE7-3BBF86C904F8}"/>
    <cellStyle name="Normal 13 2 3 3 2 2 2 4" xfId="33044" xr:uid="{B8E74953-4B59-4939-B80B-A3AF30CFBA59}"/>
    <cellStyle name="Normal 13 2 3 3 2 2 2 5" xfId="36292" xr:uid="{1C91494D-75E1-4F14-B4CC-2AAB829BDE55}"/>
    <cellStyle name="Normal 13 2 3 3 2 2 3" xfId="24831" xr:uid="{3062C2BD-6B94-4ED4-80BD-95139D311501}"/>
    <cellStyle name="Normal 13 2 3 3 2 2 4" xfId="19171" xr:uid="{FDB7F643-DB7F-4106-8833-A6477ECDC1E5}"/>
    <cellStyle name="Normal 13 2 3 3 2 2 5" xfId="30492" xr:uid="{205C60DD-73F7-4561-B5BF-34B93A04AC9A}"/>
    <cellStyle name="Normal 13 2 3 3 2 2 6" xfId="36291" xr:uid="{D105EE98-E73A-42E0-9CDD-B3FDCC9601D9}"/>
    <cellStyle name="Normal 13 2 3 3 2 3" xfId="14449" xr:uid="{00000000-0005-0000-0000-0000140F0000}"/>
    <cellStyle name="Normal 13 2 3 3 2 3 2" xfId="26408" xr:uid="{54FB4861-944C-41AD-BC39-F607A0528425}"/>
    <cellStyle name="Normal 13 2 3 3 2 3 3" xfId="20748" xr:uid="{40DA770D-1DF9-401F-B83D-3FD4BB416689}"/>
    <cellStyle name="Normal 13 2 3 3 2 3 4" xfId="31788" xr:uid="{1718B17F-A5CC-4A79-AA1F-789007472D18}"/>
    <cellStyle name="Normal 13 2 3 3 2 3 5" xfId="36293" xr:uid="{2FD3FF1A-FE2B-4AB9-8E1E-7CC8E85B4803}"/>
    <cellStyle name="Normal 13 2 3 3 2 4" xfId="23575" xr:uid="{158A7F5D-B5D6-497E-9963-A58EDDE19D86}"/>
    <cellStyle name="Normal 13 2 3 3 2 5" xfId="17915" xr:uid="{68352CEB-297A-4782-8B4E-1DC151CE7A1B}"/>
    <cellStyle name="Normal 13 2 3 3 2 6" xfId="29236" xr:uid="{3D486F95-9742-41DD-8DAC-05ED4B170C18}"/>
    <cellStyle name="Normal 13 2 3 3 2 7" xfId="36290" xr:uid="{86E95ED6-9868-4B43-A1D9-555351FECCF1}"/>
    <cellStyle name="Normal 13 2 3 3 3" xfId="6961" xr:uid="{00000000-0005-0000-0000-0000150F0000}"/>
    <cellStyle name="Normal 13 2 3 3 3 2" xfId="15394" xr:uid="{00000000-0005-0000-0000-0000160F0000}"/>
    <cellStyle name="Normal 13 2 3 3 3 2 2" xfId="27288" xr:uid="{95972C9B-4B22-4672-9D7C-668100C69212}"/>
    <cellStyle name="Normal 13 2 3 3 3 2 3" xfId="21628" xr:uid="{FACECCDD-5EF0-4B0A-9EB3-6C5D89A671AA}"/>
    <cellStyle name="Normal 13 2 3 3 3 2 4" xfId="32668" xr:uid="{96DE02DD-55F2-4DBD-8899-DCB0AA445DA3}"/>
    <cellStyle name="Normal 13 2 3 3 3 2 5" xfId="36295" xr:uid="{8097557F-26A7-4111-B12D-60749C6AB47F}"/>
    <cellStyle name="Normal 13 2 3 3 3 3" xfId="24455" xr:uid="{830CAE9C-1E13-4D0B-859B-1AB40B7D51F4}"/>
    <cellStyle name="Normal 13 2 3 3 3 4" xfId="18795" xr:uid="{90A8670C-DC58-4FCC-8FC6-FCD4F68834E0}"/>
    <cellStyle name="Normal 13 2 3 3 3 5" xfId="30116" xr:uid="{A747CE6F-E18E-4B5D-9227-D2FD8A950F93}"/>
    <cellStyle name="Normal 13 2 3 3 3 6" xfId="36294" xr:uid="{3DBC1CE1-A050-4968-B762-06D86CC78B28}"/>
    <cellStyle name="Normal 13 2 3 3 4" xfId="13985" xr:uid="{00000000-0005-0000-0000-0000170F0000}"/>
    <cellStyle name="Normal 13 2 3 3 4 2" xfId="26024" xr:uid="{3DB8AA97-8C9F-4D00-8CB2-4D3067FB67AB}"/>
    <cellStyle name="Normal 13 2 3 3 4 3" xfId="20364" xr:uid="{A644941E-B928-4742-9B3E-181560D268C9}"/>
    <cellStyle name="Normal 13 2 3 3 4 4" xfId="31404" xr:uid="{93287666-DA91-46A1-8864-0E4548C0ABBD}"/>
    <cellStyle name="Normal 13 2 3 3 4 5" xfId="36296" xr:uid="{A9584B19-96D2-491A-9470-98B3DC96A830}"/>
    <cellStyle name="Normal 13 2 3 3 5" xfId="22893" xr:uid="{99E88874-9387-4A09-BBC3-7D751FA01498}"/>
    <cellStyle name="Normal 13 2 3 3 6" xfId="17233" xr:uid="{294952CE-EDAA-4BAB-A0E3-56F8AB56C913}"/>
    <cellStyle name="Normal 13 2 3 3 7" xfId="28554" xr:uid="{3BA5B488-11DA-4187-8E81-0E6569C36447}"/>
    <cellStyle name="Normal 13 2 3 3 8" xfId="36289" xr:uid="{7AD7F890-F07D-4395-AFDC-0182EF363034}"/>
    <cellStyle name="Normal 13 2 3 4" xfId="5630" xr:uid="{00000000-0005-0000-0000-0000180F0000}"/>
    <cellStyle name="Normal 13 2 3 4 2" xfId="36297" xr:uid="{FDA7806D-ED0A-4E93-87E4-1409D8720038}"/>
    <cellStyle name="Normal 13 2 3 5" xfId="6543" xr:uid="{00000000-0005-0000-0000-0000190F0000}"/>
    <cellStyle name="Normal 13 2 3 5 2" xfId="14976" xr:uid="{00000000-0005-0000-0000-00001A0F0000}"/>
    <cellStyle name="Normal 13 2 3 5 2 2" xfId="26870" xr:uid="{1C4DF9B8-C1D4-461E-9DBA-66BABAAF177A}"/>
    <cellStyle name="Normal 13 2 3 5 2 3" xfId="21210" xr:uid="{7BCE5ABA-A9D6-4235-B3DB-2CDF581722F5}"/>
    <cellStyle name="Normal 13 2 3 5 2 4" xfId="32250" xr:uid="{6895117B-9C83-4D3F-A3B5-00403E3CBB43}"/>
    <cellStyle name="Normal 13 2 3 5 2 5" xfId="36299" xr:uid="{C64BBE2C-C231-47EF-8A8D-74FA8C16209F}"/>
    <cellStyle name="Normal 13 2 3 5 3" xfId="24037" xr:uid="{743EB0AA-BEC0-441B-A509-EC9B2860C20A}"/>
    <cellStyle name="Normal 13 2 3 5 4" xfId="18377" xr:uid="{0415033B-C3BC-40FC-BC0F-D6A01B8AECCD}"/>
    <cellStyle name="Normal 13 2 3 5 5" xfId="29698" xr:uid="{6116419F-1D7C-4CC7-8276-3BFBB0DFBA5F}"/>
    <cellStyle name="Normal 13 2 3 5 6" xfId="36298" xr:uid="{076EBF29-E7FB-4AB7-AF6F-E0D44AE04BA7}"/>
    <cellStyle name="Normal 13 2 3 6" xfId="7748" xr:uid="{00000000-0005-0000-0000-00001B0F0000}"/>
    <cellStyle name="Normal 13 2 3 6 2" xfId="25235" xr:uid="{F73B6303-666A-4696-8321-33C7CB4DBA80}"/>
    <cellStyle name="Normal 13 2 3 6 3" xfId="19575" xr:uid="{DD5D393D-C19A-43AD-A5F7-58B7C79B007B}"/>
    <cellStyle name="Normal 13 2 3 6 4" xfId="30896" xr:uid="{32542399-2294-40D1-A65A-67141064FD98}"/>
    <cellStyle name="Normal 13 2 3 6 5" xfId="36300" xr:uid="{390888A9-2728-4B9F-A24F-334D9DCCEE61}"/>
    <cellStyle name="Normal 13 2 3 7" xfId="22475" xr:uid="{45B45022-53E4-41AE-B36E-E094EC1DA532}"/>
    <cellStyle name="Normal 13 2 3 8" xfId="16815" xr:uid="{3CA9C9D8-434D-47D9-A778-D6E7A5E493CB}"/>
    <cellStyle name="Normal 13 2 3 9" xfId="28136" xr:uid="{6CDB1C72-D375-4594-AF5D-D30551BD34B9}"/>
    <cellStyle name="Normal 13 2 4" xfId="4084" xr:uid="{00000000-0005-0000-0000-00001C0F0000}"/>
    <cellStyle name="Normal 13 2 4 10" xfId="36301" xr:uid="{D4FDFAF2-AD9F-4BE9-995B-5AA36FC14786}"/>
    <cellStyle name="Normal 13 2 4 2" xfId="4889" xr:uid="{00000000-0005-0000-0000-00001D0F0000}"/>
    <cellStyle name="Normal 13 2 4 2 2" xfId="5308" xr:uid="{00000000-0005-0000-0000-00001E0F0000}"/>
    <cellStyle name="Normal 13 2 4 2 2 2" xfId="7171" xr:uid="{00000000-0005-0000-0000-00001F0F0000}"/>
    <cellStyle name="Normal 13 2 4 2 2 2 2" xfId="15604" xr:uid="{00000000-0005-0000-0000-0000200F0000}"/>
    <cellStyle name="Normal 13 2 4 2 2 2 2 2" xfId="27498" xr:uid="{8AB539BD-61B8-4F96-B5C3-4919F4DAA5B4}"/>
    <cellStyle name="Normal 13 2 4 2 2 2 2 3" xfId="21838" xr:uid="{3AAF2295-C7C0-47AA-8EDE-888B95D6170B}"/>
    <cellStyle name="Normal 13 2 4 2 2 2 2 4" xfId="32878" xr:uid="{BDE24100-C2BE-4C9A-9169-AA600E657868}"/>
    <cellStyle name="Normal 13 2 4 2 2 2 2 5" xfId="36305" xr:uid="{267BB656-81D1-45FC-BB50-6584CEC3F914}"/>
    <cellStyle name="Normal 13 2 4 2 2 2 3" xfId="24665" xr:uid="{5E4CC17B-834B-4DA7-9E1A-2E2F14DF645A}"/>
    <cellStyle name="Normal 13 2 4 2 2 2 4" xfId="19005" xr:uid="{E14260AD-03C7-4CA2-8FA0-0C4C6C7A7A2E}"/>
    <cellStyle name="Normal 13 2 4 2 2 2 5" xfId="30326" xr:uid="{CF774D9F-488D-4BA6-8D83-9442C2FDD0EA}"/>
    <cellStyle name="Normal 13 2 4 2 2 2 6" xfId="36304" xr:uid="{DC00391F-181C-4364-BB60-EB539A53AE09}"/>
    <cellStyle name="Normal 13 2 4 2 2 3" xfId="14194" xr:uid="{00000000-0005-0000-0000-0000210F0000}"/>
    <cellStyle name="Normal 13 2 4 2 2 3 2" xfId="26233" xr:uid="{A6D28356-85F6-4F69-B603-BC6F87379E41}"/>
    <cellStyle name="Normal 13 2 4 2 2 3 3" xfId="20573" xr:uid="{EB5230BF-037E-4605-A685-BA78CDCA5CC2}"/>
    <cellStyle name="Normal 13 2 4 2 2 3 4" xfId="31613" xr:uid="{0712A9B8-C155-4DB0-BCC9-AD5A132710D0}"/>
    <cellStyle name="Normal 13 2 4 2 2 3 5" xfId="36306" xr:uid="{2FC22C86-3E58-4FC4-84C1-F8543DBEEF3D}"/>
    <cellStyle name="Normal 13 2 4 2 2 4" xfId="23103" xr:uid="{907B7FA9-F9DA-473F-897E-1A8E7D646F54}"/>
    <cellStyle name="Normal 13 2 4 2 2 5" xfId="17443" xr:uid="{85EF88F2-0B4F-4D78-9B50-F2BA4C47BADA}"/>
    <cellStyle name="Normal 13 2 4 2 2 6" xfId="28764" xr:uid="{A72AC65E-214C-4935-BE5E-8CFAC2AF8BEC}"/>
    <cellStyle name="Normal 13 2 4 2 2 7" xfId="36303" xr:uid="{78BC05A0-880C-456E-8344-DF42BC0ED18F}"/>
    <cellStyle name="Normal 13 2 4 2 3" xfId="5993" xr:uid="{00000000-0005-0000-0000-0000220F0000}"/>
    <cellStyle name="Normal 13 2 4 2 3 2" xfId="7340" xr:uid="{00000000-0005-0000-0000-0000230F0000}"/>
    <cellStyle name="Normal 13 2 4 2 3 2 2" xfId="15773" xr:uid="{00000000-0005-0000-0000-0000240F0000}"/>
    <cellStyle name="Normal 13 2 4 2 3 2 2 2" xfId="27667" xr:uid="{4DD40D8D-04D1-4E8F-97D7-544D92A35FBE}"/>
    <cellStyle name="Normal 13 2 4 2 3 2 2 3" xfId="22007" xr:uid="{936788C5-B638-4206-B108-7ABB1A8321FF}"/>
    <cellStyle name="Normal 13 2 4 2 3 2 2 4" xfId="33047" xr:uid="{2D38E964-0EF8-472B-ACF5-12F12EF4A498}"/>
    <cellStyle name="Normal 13 2 4 2 3 2 2 5" xfId="36309" xr:uid="{D31992A6-DF82-465F-AB6E-B8A624DACB39}"/>
    <cellStyle name="Normal 13 2 4 2 3 2 3" xfId="24834" xr:uid="{B419EB4C-71E6-49A5-8155-B4B1B051F0F9}"/>
    <cellStyle name="Normal 13 2 4 2 3 2 4" xfId="19174" xr:uid="{40815599-5862-481D-B5FE-DA712CEB54B2}"/>
    <cellStyle name="Normal 13 2 4 2 3 2 5" xfId="30495" xr:uid="{926689C9-7576-4B49-8BAC-AC7A1674FA5C}"/>
    <cellStyle name="Normal 13 2 4 2 3 2 6" xfId="36308" xr:uid="{CDF001E3-6A09-4157-8B2B-CE3BF4AAA68C}"/>
    <cellStyle name="Normal 13 2 4 2 3 3" xfId="14452" xr:uid="{00000000-0005-0000-0000-0000250F0000}"/>
    <cellStyle name="Normal 13 2 4 2 3 3 2" xfId="26411" xr:uid="{1E642C7D-FEF3-4745-B5AD-E13F518A3DC9}"/>
    <cellStyle name="Normal 13 2 4 2 3 3 3" xfId="20751" xr:uid="{5FF491A4-4943-4D49-B026-D57C1E7A063A}"/>
    <cellStyle name="Normal 13 2 4 2 3 3 4" xfId="31791" xr:uid="{1636EA6F-C25B-40C8-97CD-4EB043D175DE}"/>
    <cellStyle name="Normal 13 2 4 2 3 3 5" xfId="36310" xr:uid="{8217FFD4-81F4-41BC-989D-AD1FEBA5DAA8}"/>
    <cellStyle name="Normal 13 2 4 2 3 4" xfId="23578" xr:uid="{AE42DD40-4210-4FE9-8905-599B87F3DB48}"/>
    <cellStyle name="Normal 13 2 4 2 3 5" xfId="17918" xr:uid="{D0063A2D-6BDC-4B33-A3A8-B2B718D1AA67}"/>
    <cellStyle name="Normal 13 2 4 2 3 6" xfId="29239" xr:uid="{1729CE2C-C8FC-4FD4-B520-D16ACCD16032}"/>
    <cellStyle name="Normal 13 2 4 2 3 7" xfId="36307" xr:uid="{49E21AC8-20BD-4F62-BED3-36D4772735E5}"/>
    <cellStyle name="Normal 13 2 4 2 4" xfId="6753" xr:uid="{00000000-0005-0000-0000-0000260F0000}"/>
    <cellStyle name="Normal 13 2 4 2 4 2" xfId="15186" xr:uid="{00000000-0005-0000-0000-0000270F0000}"/>
    <cellStyle name="Normal 13 2 4 2 4 2 2" xfId="27080" xr:uid="{676DB67D-515E-4CD6-9D3C-99E47EC79ACC}"/>
    <cellStyle name="Normal 13 2 4 2 4 2 3" xfId="21420" xr:uid="{B0E566D0-BAA4-4E44-B023-4E8064C9D53A}"/>
    <cellStyle name="Normal 13 2 4 2 4 2 4" xfId="32460" xr:uid="{EC2B6D3A-EDB7-4BDB-99EF-33AA8ED1596F}"/>
    <cellStyle name="Normal 13 2 4 2 4 2 5" xfId="36312" xr:uid="{4D54D8CB-28AD-40A0-9184-062404732770}"/>
    <cellStyle name="Normal 13 2 4 2 4 3" xfId="24247" xr:uid="{D6D6CD78-B94F-4A23-85C3-0478FE93D726}"/>
    <cellStyle name="Normal 13 2 4 2 4 4" xfId="18587" xr:uid="{706BFB8E-7063-47A0-B315-976F52807087}"/>
    <cellStyle name="Normal 13 2 4 2 4 5" xfId="29908" xr:uid="{5928EB76-65B2-4CB4-8814-FCA295FC9DD0}"/>
    <cellStyle name="Normal 13 2 4 2 4 6" xfId="36311" xr:uid="{4FADFB49-B0A2-4EB5-9338-73F722D5B630}"/>
    <cellStyle name="Normal 13 2 4 2 5" xfId="7751" xr:uid="{00000000-0005-0000-0000-0000280F0000}"/>
    <cellStyle name="Normal 13 2 4 2 5 2" xfId="25238" xr:uid="{97EF7F5F-0237-4F43-959B-507A3DC7B11E}"/>
    <cellStyle name="Normal 13 2 4 2 5 3" xfId="19578" xr:uid="{2D175051-1D80-4969-9727-894D7210CF60}"/>
    <cellStyle name="Normal 13 2 4 2 5 4" xfId="30899" xr:uid="{A6736540-9298-4B7C-9276-C445FCEB20C9}"/>
    <cellStyle name="Normal 13 2 4 2 5 5" xfId="36313" xr:uid="{ABA174FB-A678-48E0-9F02-68A6C8E9357F}"/>
    <cellStyle name="Normal 13 2 4 2 6" xfId="22685" xr:uid="{D9C32455-F4C1-437D-A16B-A4C3D89EB3F3}"/>
    <cellStyle name="Normal 13 2 4 2 7" xfId="17025" xr:uid="{8EBF09F5-CF28-4FE8-8B96-21DEAF684ECB}"/>
    <cellStyle name="Normal 13 2 4 2 8" xfId="28346" xr:uid="{D1034716-B501-40AD-B4FC-FB30728AB4CE}"/>
    <cellStyle name="Normal 13 2 4 2 9" xfId="36302" xr:uid="{3DDA0825-0C7B-41A5-82C9-7AA4FADB740E}"/>
    <cellStyle name="Normal 13 2 4 3" xfId="5099" xr:uid="{00000000-0005-0000-0000-0000290F0000}"/>
    <cellStyle name="Normal 13 2 4 3 2" xfId="5992" xr:uid="{00000000-0005-0000-0000-00002A0F0000}"/>
    <cellStyle name="Normal 13 2 4 3 2 2" xfId="7339" xr:uid="{00000000-0005-0000-0000-00002B0F0000}"/>
    <cellStyle name="Normal 13 2 4 3 2 2 2" xfId="15772" xr:uid="{00000000-0005-0000-0000-00002C0F0000}"/>
    <cellStyle name="Normal 13 2 4 3 2 2 2 2" xfId="27666" xr:uid="{E50B2430-2B9A-4DC4-A7A0-53046A50E162}"/>
    <cellStyle name="Normal 13 2 4 3 2 2 2 3" xfId="22006" xr:uid="{692F53B7-AA64-44A2-A4DA-5D9E13F198CE}"/>
    <cellStyle name="Normal 13 2 4 3 2 2 2 4" xfId="33046" xr:uid="{3118196C-90A9-40F5-8A9D-D134B06F9708}"/>
    <cellStyle name="Normal 13 2 4 3 2 2 2 5" xfId="36317" xr:uid="{E979B08B-9DB0-43C4-814A-7669AE357E2F}"/>
    <cellStyle name="Normal 13 2 4 3 2 2 3" xfId="24833" xr:uid="{B0E74C3D-2A64-4B1E-9464-567819F54AF1}"/>
    <cellStyle name="Normal 13 2 4 3 2 2 4" xfId="19173" xr:uid="{10AEF830-F712-4446-96EB-F0D7D5DA7430}"/>
    <cellStyle name="Normal 13 2 4 3 2 2 5" xfId="30494" xr:uid="{755E3BB0-EED6-4E0C-8FB3-5E2D550CDA23}"/>
    <cellStyle name="Normal 13 2 4 3 2 2 6" xfId="36316" xr:uid="{FB2A6745-0AE3-4081-9356-81CE87F27ACE}"/>
    <cellStyle name="Normal 13 2 4 3 2 3" xfId="14451" xr:uid="{00000000-0005-0000-0000-00002D0F0000}"/>
    <cellStyle name="Normal 13 2 4 3 2 3 2" xfId="26410" xr:uid="{A2DCE1CF-1B25-4958-824D-0BA95B1F2488}"/>
    <cellStyle name="Normal 13 2 4 3 2 3 3" xfId="20750" xr:uid="{3A6B8FD7-4D67-4322-A542-5F26808B3E4A}"/>
    <cellStyle name="Normal 13 2 4 3 2 3 4" xfId="31790" xr:uid="{264D9282-7719-4E5C-9EA4-E2B914BC544B}"/>
    <cellStyle name="Normal 13 2 4 3 2 3 5" xfId="36318" xr:uid="{4A03525E-3F14-49BC-81F7-0406E881F26C}"/>
    <cellStyle name="Normal 13 2 4 3 2 4" xfId="23577" xr:uid="{D8E956EF-33C9-4120-B1F8-6813869CAC44}"/>
    <cellStyle name="Normal 13 2 4 3 2 5" xfId="17917" xr:uid="{EFB955C2-A3E5-444C-A69F-A64015B415CB}"/>
    <cellStyle name="Normal 13 2 4 3 2 6" xfId="29238" xr:uid="{A9F1071B-B14D-4437-926D-5B2C248B7F0C}"/>
    <cellStyle name="Normal 13 2 4 3 2 7" xfId="36315" xr:uid="{CE53E5CF-4D85-48EF-8D26-62E4C23734CC}"/>
    <cellStyle name="Normal 13 2 4 3 3" xfId="6962" xr:uid="{00000000-0005-0000-0000-00002E0F0000}"/>
    <cellStyle name="Normal 13 2 4 3 3 2" xfId="15395" xr:uid="{00000000-0005-0000-0000-00002F0F0000}"/>
    <cellStyle name="Normal 13 2 4 3 3 2 2" xfId="27289" xr:uid="{C72D9D29-44B4-4547-A515-0279BCFAC676}"/>
    <cellStyle name="Normal 13 2 4 3 3 2 3" xfId="21629" xr:uid="{A8A453E3-7146-4863-86C9-AF1EA9DA0031}"/>
    <cellStyle name="Normal 13 2 4 3 3 2 4" xfId="32669" xr:uid="{5503E35A-A43B-407A-919C-AEC7EB7A0E06}"/>
    <cellStyle name="Normal 13 2 4 3 3 2 5" xfId="36320" xr:uid="{7A6C708B-92FA-4206-BFE6-23C8A8267850}"/>
    <cellStyle name="Normal 13 2 4 3 3 3" xfId="24456" xr:uid="{A5A0D17B-15F1-4BE1-A58C-268D0BB391BC}"/>
    <cellStyle name="Normal 13 2 4 3 3 4" xfId="18796" xr:uid="{E861A707-A0F6-4F4E-BC8B-62750DA67F80}"/>
    <cellStyle name="Normal 13 2 4 3 3 5" xfId="30117" xr:uid="{480BAAF9-8754-4681-AD8C-0C0893E24F77}"/>
    <cellStyle name="Normal 13 2 4 3 3 6" xfId="36319" xr:uid="{839B73D2-A119-406A-9D57-30ABFE2723AE}"/>
    <cellStyle name="Normal 13 2 4 3 4" xfId="13986" xr:uid="{00000000-0005-0000-0000-0000300F0000}"/>
    <cellStyle name="Normal 13 2 4 3 4 2" xfId="26025" xr:uid="{4BAF8510-B1F7-4E79-BB23-941F1EFAF95D}"/>
    <cellStyle name="Normal 13 2 4 3 4 3" xfId="20365" xr:uid="{83D7507A-2FBA-45BB-B285-42AC94AB50ED}"/>
    <cellStyle name="Normal 13 2 4 3 4 4" xfId="31405" xr:uid="{27802E5D-8628-4EA7-A234-190B249C1F4C}"/>
    <cellStyle name="Normal 13 2 4 3 4 5" xfId="36321" xr:uid="{3AB6653D-6B47-45BB-9AE6-9A8E8B6E0B1B}"/>
    <cellStyle name="Normal 13 2 4 3 5" xfId="22894" xr:uid="{FF46F66F-B0E9-4475-9F62-684A577686D5}"/>
    <cellStyle name="Normal 13 2 4 3 6" xfId="17234" xr:uid="{1B277F44-2A65-460A-AB50-E213D9FB3772}"/>
    <cellStyle name="Normal 13 2 4 3 7" xfId="28555" xr:uid="{1E02702D-C4EE-4DBC-98F0-8BCAD06E1943}"/>
    <cellStyle name="Normal 13 2 4 3 8" xfId="36314" xr:uid="{0EB5D731-0D0D-4A96-9074-21E0C29ABDA6}"/>
    <cellStyle name="Normal 13 2 4 4" xfId="5631" xr:uid="{00000000-0005-0000-0000-0000310F0000}"/>
    <cellStyle name="Normal 13 2 4 4 2" xfId="36322" xr:uid="{37B412FA-3E65-422A-9A77-9FF82847D19D}"/>
    <cellStyle name="Normal 13 2 4 5" xfId="6544" xr:uid="{00000000-0005-0000-0000-0000320F0000}"/>
    <cellStyle name="Normal 13 2 4 5 2" xfId="14977" xr:uid="{00000000-0005-0000-0000-0000330F0000}"/>
    <cellStyle name="Normal 13 2 4 5 2 2" xfId="26871" xr:uid="{904B68AA-09D6-4B4A-83DB-5E664F2443E3}"/>
    <cellStyle name="Normal 13 2 4 5 2 3" xfId="21211" xr:uid="{019717E6-4779-4BA9-BCBC-B0CCD0126B53}"/>
    <cellStyle name="Normal 13 2 4 5 2 4" xfId="32251" xr:uid="{000BFF8A-8983-4DBD-80FF-A5EC6034C44B}"/>
    <cellStyle name="Normal 13 2 4 5 2 5" xfId="36324" xr:uid="{853A0D25-8819-47EF-903E-E7436F6CDADF}"/>
    <cellStyle name="Normal 13 2 4 5 3" xfId="24038" xr:uid="{75D491BA-93D1-4A35-A6B6-9DD85C50B65F}"/>
    <cellStyle name="Normal 13 2 4 5 4" xfId="18378" xr:uid="{4BBE9F5A-FDE2-4A0C-B57F-F7708EB024AE}"/>
    <cellStyle name="Normal 13 2 4 5 5" xfId="29699" xr:uid="{449E6DED-6F30-49DB-8C18-B0CFABFBF332}"/>
    <cellStyle name="Normal 13 2 4 5 6" xfId="36323" xr:uid="{FA11A961-EC81-4510-9D41-7D45C3553026}"/>
    <cellStyle name="Normal 13 2 4 6" xfId="7750" xr:uid="{00000000-0005-0000-0000-0000340F0000}"/>
    <cellStyle name="Normal 13 2 4 6 2" xfId="25237" xr:uid="{1DCDDAD3-CD29-47AA-86C4-AE6BEF0584A4}"/>
    <cellStyle name="Normal 13 2 4 6 3" xfId="19577" xr:uid="{0307BAD1-23A5-43A0-AF90-7FE7FA08303B}"/>
    <cellStyle name="Normal 13 2 4 6 4" xfId="30898" xr:uid="{366C38F3-18C2-4DA9-9AA7-F18505EAAAD0}"/>
    <cellStyle name="Normal 13 2 4 6 5" xfId="36325" xr:uid="{7C705496-2610-4641-AA61-E013C6C29474}"/>
    <cellStyle name="Normal 13 2 4 7" xfId="22476" xr:uid="{869B0DE3-E419-402C-9691-C513B3A24D1E}"/>
    <cellStyle name="Normal 13 2 4 8" xfId="16816" xr:uid="{B038E333-0C30-4BFB-AD64-EA9EB46166AB}"/>
    <cellStyle name="Normal 13 2 4 9" xfId="28137" xr:uid="{3EF0CBF1-1C70-4D1E-8566-6D826C21F8C4}"/>
    <cellStyle name="Normal 13 2 5" xfId="4085" xr:uid="{00000000-0005-0000-0000-0000350F0000}"/>
    <cellStyle name="Normal 13 2 5 10" xfId="36326" xr:uid="{102B339B-DCF0-4D8A-B0F5-C829B1799A78}"/>
    <cellStyle name="Normal 13 2 5 2" xfId="4890" xr:uid="{00000000-0005-0000-0000-0000360F0000}"/>
    <cellStyle name="Normal 13 2 5 2 2" xfId="5309" xr:uid="{00000000-0005-0000-0000-0000370F0000}"/>
    <cellStyle name="Normal 13 2 5 2 2 2" xfId="7172" xr:uid="{00000000-0005-0000-0000-0000380F0000}"/>
    <cellStyle name="Normal 13 2 5 2 2 2 2" xfId="15605" xr:uid="{00000000-0005-0000-0000-0000390F0000}"/>
    <cellStyle name="Normal 13 2 5 2 2 2 2 2" xfId="27499" xr:uid="{3B8EDF33-20C1-4BD8-930B-D38C8BEF6A58}"/>
    <cellStyle name="Normal 13 2 5 2 2 2 2 3" xfId="21839" xr:uid="{3FAF4EB6-60A5-4218-8209-0343895789D0}"/>
    <cellStyle name="Normal 13 2 5 2 2 2 2 4" xfId="32879" xr:uid="{2E7C3AF0-E761-4D2E-A132-21A94C72251A}"/>
    <cellStyle name="Normal 13 2 5 2 2 2 2 5" xfId="36330" xr:uid="{9206F851-A29E-4BC6-A544-297DED35C302}"/>
    <cellStyle name="Normal 13 2 5 2 2 2 3" xfId="24666" xr:uid="{920A528C-3D7F-4906-9CC7-84AD7C616CDC}"/>
    <cellStyle name="Normal 13 2 5 2 2 2 4" xfId="19006" xr:uid="{3B12536E-4698-4113-B9D5-094DB29DA9E1}"/>
    <cellStyle name="Normal 13 2 5 2 2 2 5" xfId="30327" xr:uid="{A2A24494-EA93-4326-8173-3C80C8FAC4CC}"/>
    <cellStyle name="Normal 13 2 5 2 2 2 6" xfId="36329" xr:uid="{761F2949-939C-47BA-8F7A-B15A7F6C2BDE}"/>
    <cellStyle name="Normal 13 2 5 2 2 3" xfId="14195" xr:uid="{00000000-0005-0000-0000-00003A0F0000}"/>
    <cellStyle name="Normal 13 2 5 2 2 3 2" xfId="26234" xr:uid="{CA4F2C9F-4F3C-4009-A0AB-B6A967330660}"/>
    <cellStyle name="Normal 13 2 5 2 2 3 3" xfId="20574" xr:uid="{3A2C01D3-45EC-414B-A41F-9426546F4DC5}"/>
    <cellStyle name="Normal 13 2 5 2 2 3 4" xfId="31614" xr:uid="{D4556454-8E32-4571-9968-650A0D9D4B9B}"/>
    <cellStyle name="Normal 13 2 5 2 2 3 5" xfId="36331" xr:uid="{55DF6EFB-B546-4BDD-8EF8-13AC7235D630}"/>
    <cellStyle name="Normal 13 2 5 2 2 4" xfId="23104" xr:uid="{EA72E054-3D61-4261-9DA9-4BA63790EA8D}"/>
    <cellStyle name="Normal 13 2 5 2 2 5" xfId="17444" xr:uid="{9D392D4E-DBD8-4407-8E8B-6D80AE880C08}"/>
    <cellStyle name="Normal 13 2 5 2 2 6" xfId="28765" xr:uid="{09C38AA2-0446-40E2-96CE-D8C8D1C8EBA9}"/>
    <cellStyle name="Normal 13 2 5 2 2 7" xfId="36328" xr:uid="{0AB1176A-1A16-4491-87DC-BE4BD3997EDE}"/>
    <cellStyle name="Normal 13 2 5 2 3" xfId="5995" xr:uid="{00000000-0005-0000-0000-00003B0F0000}"/>
    <cellStyle name="Normal 13 2 5 2 3 2" xfId="7342" xr:uid="{00000000-0005-0000-0000-00003C0F0000}"/>
    <cellStyle name="Normal 13 2 5 2 3 2 2" xfId="15775" xr:uid="{00000000-0005-0000-0000-00003D0F0000}"/>
    <cellStyle name="Normal 13 2 5 2 3 2 2 2" xfId="27669" xr:uid="{B7841732-EB06-46A5-9B71-60455B375F60}"/>
    <cellStyle name="Normal 13 2 5 2 3 2 2 3" xfId="22009" xr:uid="{D6C667F8-8BF1-4607-8404-0AA890665E67}"/>
    <cellStyle name="Normal 13 2 5 2 3 2 2 4" xfId="33049" xr:uid="{703EDB8C-03E4-4636-AFB7-113828BD5C12}"/>
    <cellStyle name="Normal 13 2 5 2 3 2 2 5" xfId="36334" xr:uid="{D640F5A6-6F36-4699-90EC-951EA4D82DE4}"/>
    <cellStyle name="Normal 13 2 5 2 3 2 3" xfId="24836" xr:uid="{EBE054F3-F997-444D-A1B2-128730C8A960}"/>
    <cellStyle name="Normal 13 2 5 2 3 2 4" xfId="19176" xr:uid="{282BA777-013E-4788-BAC3-429B4253B745}"/>
    <cellStyle name="Normal 13 2 5 2 3 2 5" xfId="30497" xr:uid="{6F529F16-1F23-4605-B697-2B38E97CF5DA}"/>
    <cellStyle name="Normal 13 2 5 2 3 2 6" xfId="36333" xr:uid="{4CBB273C-3439-46B3-85A9-8BB3E6942E44}"/>
    <cellStyle name="Normal 13 2 5 2 3 3" xfId="14454" xr:uid="{00000000-0005-0000-0000-00003E0F0000}"/>
    <cellStyle name="Normal 13 2 5 2 3 3 2" xfId="26413" xr:uid="{07BC74E7-5A02-4739-BB2C-99B1F23A129E}"/>
    <cellStyle name="Normal 13 2 5 2 3 3 3" xfId="20753" xr:uid="{17665AC6-B33A-4B64-8D16-B955EEB6700F}"/>
    <cellStyle name="Normal 13 2 5 2 3 3 4" xfId="31793" xr:uid="{A610EAE5-29BA-4623-93F9-99F035F36A24}"/>
    <cellStyle name="Normal 13 2 5 2 3 3 5" xfId="36335" xr:uid="{AD8D360C-861D-4CD0-BA60-E93521097565}"/>
    <cellStyle name="Normal 13 2 5 2 3 4" xfId="23580" xr:uid="{FD42A381-137F-42DB-BEB3-8934C7B37BFA}"/>
    <cellStyle name="Normal 13 2 5 2 3 5" xfId="17920" xr:uid="{CD574A10-6EA5-4B6C-AE4C-610FF14B16F9}"/>
    <cellStyle name="Normal 13 2 5 2 3 6" xfId="29241" xr:uid="{93B06F49-75C3-4084-9C96-E6E8857C29DC}"/>
    <cellStyle name="Normal 13 2 5 2 3 7" xfId="36332" xr:uid="{8127D055-D24F-4CD3-9645-A2F4656DF86C}"/>
    <cellStyle name="Normal 13 2 5 2 4" xfId="6754" xr:uid="{00000000-0005-0000-0000-00003F0F0000}"/>
    <cellStyle name="Normal 13 2 5 2 4 2" xfId="15187" xr:uid="{00000000-0005-0000-0000-0000400F0000}"/>
    <cellStyle name="Normal 13 2 5 2 4 2 2" xfId="27081" xr:uid="{8CAF1CCC-FBA7-4A4D-90C5-9988A0EE9AB4}"/>
    <cellStyle name="Normal 13 2 5 2 4 2 3" xfId="21421" xr:uid="{A0496406-4A15-4027-BD84-D22BEC38590B}"/>
    <cellStyle name="Normal 13 2 5 2 4 2 4" xfId="32461" xr:uid="{3D6E055A-7D6C-4FA4-9DB5-514B86CDA1B1}"/>
    <cellStyle name="Normal 13 2 5 2 4 2 5" xfId="36337" xr:uid="{43D40F99-D7B9-4810-9A77-C48799365068}"/>
    <cellStyle name="Normal 13 2 5 2 4 3" xfId="24248" xr:uid="{A6A140F6-A085-443C-ABDC-7407E93EA827}"/>
    <cellStyle name="Normal 13 2 5 2 4 4" xfId="18588" xr:uid="{C3848E32-DD86-41AE-B99D-A3C8ED3E1C29}"/>
    <cellStyle name="Normal 13 2 5 2 4 5" xfId="29909" xr:uid="{E7EB9C1D-846B-4ECC-8E38-6D529E3CC1FF}"/>
    <cellStyle name="Normal 13 2 5 2 4 6" xfId="36336" xr:uid="{72C46AF6-4E7B-474F-BDF5-18FDC1BDF249}"/>
    <cellStyle name="Normal 13 2 5 2 5" xfId="7753" xr:uid="{00000000-0005-0000-0000-0000410F0000}"/>
    <cellStyle name="Normal 13 2 5 2 5 2" xfId="25240" xr:uid="{1C21333E-E6FC-4AF4-8C5E-1D63861679CE}"/>
    <cellStyle name="Normal 13 2 5 2 5 3" xfId="19580" xr:uid="{5F24A651-8CAE-4FFE-A594-A528054C086C}"/>
    <cellStyle name="Normal 13 2 5 2 5 4" xfId="30901" xr:uid="{9FC0841F-F337-4ECA-BFF5-86D0D2C274BA}"/>
    <cellStyle name="Normal 13 2 5 2 5 5" xfId="36338" xr:uid="{F3209964-2800-4731-B9AB-22EAD58E2EE1}"/>
    <cellStyle name="Normal 13 2 5 2 6" xfId="22686" xr:uid="{BE2F2ED1-810B-4DA6-81E4-1E1441211DCA}"/>
    <cellStyle name="Normal 13 2 5 2 7" xfId="17026" xr:uid="{7BD93BB0-165C-4335-8016-2919D0F52119}"/>
    <cellStyle name="Normal 13 2 5 2 8" xfId="28347" xr:uid="{9F3EF58C-6C78-488E-BB49-17D4414A3786}"/>
    <cellStyle name="Normal 13 2 5 2 9" xfId="36327" xr:uid="{3F5CC2A5-5A3C-4702-92DB-85B2179E7A82}"/>
    <cellStyle name="Normal 13 2 5 3" xfId="5100" xr:uid="{00000000-0005-0000-0000-0000420F0000}"/>
    <cellStyle name="Normal 13 2 5 3 2" xfId="5994" xr:uid="{00000000-0005-0000-0000-0000430F0000}"/>
    <cellStyle name="Normal 13 2 5 3 2 2" xfId="7341" xr:uid="{00000000-0005-0000-0000-0000440F0000}"/>
    <cellStyle name="Normal 13 2 5 3 2 2 2" xfId="15774" xr:uid="{00000000-0005-0000-0000-0000450F0000}"/>
    <cellStyle name="Normal 13 2 5 3 2 2 2 2" xfId="27668" xr:uid="{05EA73C1-611F-4C0F-831B-1DB24772C41C}"/>
    <cellStyle name="Normal 13 2 5 3 2 2 2 3" xfId="22008" xr:uid="{9C505221-5A4F-4051-94BF-52431A9FA845}"/>
    <cellStyle name="Normal 13 2 5 3 2 2 2 4" xfId="33048" xr:uid="{9E800331-7C62-41AD-A038-4E39AD31BE0E}"/>
    <cellStyle name="Normal 13 2 5 3 2 2 2 5" xfId="36342" xr:uid="{8A2E9C4D-04BC-4BF6-86BE-1604BE27C027}"/>
    <cellStyle name="Normal 13 2 5 3 2 2 3" xfId="24835" xr:uid="{3E22DCA7-3990-4E0C-BA4D-F1E26E3B07FD}"/>
    <cellStyle name="Normal 13 2 5 3 2 2 4" xfId="19175" xr:uid="{072F66EF-4886-4C88-980F-2DACFA8EFA5B}"/>
    <cellStyle name="Normal 13 2 5 3 2 2 5" xfId="30496" xr:uid="{B0947860-EA38-43DF-8C11-493AF8439A07}"/>
    <cellStyle name="Normal 13 2 5 3 2 2 6" xfId="36341" xr:uid="{536D11D1-C1CD-4CB7-8974-FF10AF609353}"/>
    <cellStyle name="Normal 13 2 5 3 2 3" xfId="14453" xr:uid="{00000000-0005-0000-0000-0000460F0000}"/>
    <cellStyle name="Normal 13 2 5 3 2 3 2" xfId="26412" xr:uid="{40D0030D-0982-46DF-BE08-4B2BDAAFF974}"/>
    <cellStyle name="Normal 13 2 5 3 2 3 3" xfId="20752" xr:uid="{37050B16-0317-4044-BAE7-F9D294D9CBFF}"/>
    <cellStyle name="Normal 13 2 5 3 2 3 4" xfId="31792" xr:uid="{F214AB59-C67A-4F4A-AD98-A0FC230E2B93}"/>
    <cellStyle name="Normal 13 2 5 3 2 3 5" xfId="36343" xr:uid="{59512567-69DB-4B8B-884E-5F6E2E995E6E}"/>
    <cellStyle name="Normal 13 2 5 3 2 4" xfId="23579" xr:uid="{265700B0-C24C-4AA3-904B-E90F7836BF7D}"/>
    <cellStyle name="Normal 13 2 5 3 2 5" xfId="17919" xr:uid="{C9292380-827B-4290-83F7-FF97F8A264D7}"/>
    <cellStyle name="Normal 13 2 5 3 2 6" xfId="29240" xr:uid="{4CBA9C07-70EA-473E-AB5D-0F8B8399127C}"/>
    <cellStyle name="Normal 13 2 5 3 2 7" xfId="36340" xr:uid="{7481C61A-2953-44D5-83CF-98031C06A613}"/>
    <cellStyle name="Normal 13 2 5 3 3" xfId="6963" xr:uid="{00000000-0005-0000-0000-0000470F0000}"/>
    <cellStyle name="Normal 13 2 5 3 3 2" xfId="15396" xr:uid="{00000000-0005-0000-0000-0000480F0000}"/>
    <cellStyle name="Normal 13 2 5 3 3 2 2" xfId="27290" xr:uid="{69E058C0-98BB-49AF-8368-8134BF20AF3B}"/>
    <cellStyle name="Normal 13 2 5 3 3 2 3" xfId="21630" xr:uid="{43A7A3F3-63E0-484C-9EFA-9672EC741381}"/>
    <cellStyle name="Normal 13 2 5 3 3 2 4" xfId="32670" xr:uid="{F1697AA1-5282-4BF4-867D-6684B6720681}"/>
    <cellStyle name="Normal 13 2 5 3 3 2 5" xfId="36345" xr:uid="{0D3F10E8-1D08-4DB3-BEA4-8C9047362B27}"/>
    <cellStyle name="Normal 13 2 5 3 3 3" xfId="24457" xr:uid="{723951FE-AD4F-435C-9701-1DC83EE041B9}"/>
    <cellStyle name="Normal 13 2 5 3 3 4" xfId="18797" xr:uid="{57E5B0D7-3F1A-475B-AA80-567D9033ECC3}"/>
    <cellStyle name="Normal 13 2 5 3 3 5" xfId="30118" xr:uid="{289805B0-C2E1-422A-81C4-7F84DD268B52}"/>
    <cellStyle name="Normal 13 2 5 3 3 6" xfId="36344" xr:uid="{005ADB42-68E4-4F2F-9529-125452102408}"/>
    <cellStyle name="Normal 13 2 5 3 4" xfId="13987" xr:uid="{00000000-0005-0000-0000-0000490F0000}"/>
    <cellStyle name="Normal 13 2 5 3 4 2" xfId="26026" xr:uid="{4E2F1497-2813-4F6D-A323-1938EBF5B930}"/>
    <cellStyle name="Normal 13 2 5 3 4 3" xfId="20366" xr:uid="{14F26039-8293-4E0C-997A-D67982ADFB5E}"/>
    <cellStyle name="Normal 13 2 5 3 4 4" xfId="31406" xr:uid="{A1FABB78-1A0C-4069-8888-F9435A861D17}"/>
    <cellStyle name="Normal 13 2 5 3 4 5" xfId="36346" xr:uid="{B3B645A3-6C1C-426E-A800-83ED55A2FCBC}"/>
    <cellStyle name="Normal 13 2 5 3 5" xfId="22895" xr:uid="{46F26226-A45D-4E80-839E-269AAD5ED76B}"/>
    <cellStyle name="Normal 13 2 5 3 6" xfId="17235" xr:uid="{85F4CD0C-A379-452E-BA87-06AA7326804B}"/>
    <cellStyle name="Normal 13 2 5 3 7" xfId="28556" xr:uid="{35194703-DC58-4130-949D-45888A915147}"/>
    <cellStyle name="Normal 13 2 5 3 8" xfId="36339" xr:uid="{E2DD3B87-A02D-4B55-B2AC-5C61AF0199B5}"/>
    <cellStyle name="Normal 13 2 5 4" xfId="5632" xr:uid="{00000000-0005-0000-0000-00004A0F0000}"/>
    <cellStyle name="Normal 13 2 5 4 2" xfId="36347" xr:uid="{E73CB767-350B-4059-A8B0-7ADBCDD44176}"/>
    <cellStyle name="Normal 13 2 5 5" xfId="6545" xr:uid="{00000000-0005-0000-0000-00004B0F0000}"/>
    <cellStyle name="Normal 13 2 5 5 2" xfId="14978" xr:uid="{00000000-0005-0000-0000-00004C0F0000}"/>
    <cellStyle name="Normal 13 2 5 5 2 2" xfId="26872" xr:uid="{1639EDC0-BECB-44F8-A5E5-DE15F232CD51}"/>
    <cellStyle name="Normal 13 2 5 5 2 3" xfId="21212" xr:uid="{53900C49-4396-4EDD-AF74-D681EAA78DD3}"/>
    <cellStyle name="Normal 13 2 5 5 2 4" xfId="32252" xr:uid="{DFA2DEFB-DB64-4CCC-B18D-84DF0078A60B}"/>
    <cellStyle name="Normal 13 2 5 5 2 5" xfId="36349" xr:uid="{E5C58111-EA0B-4B76-90E6-9225B80E70E6}"/>
    <cellStyle name="Normal 13 2 5 5 3" xfId="24039" xr:uid="{AA19C45D-A5AC-4386-A04E-9480CB782599}"/>
    <cellStyle name="Normal 13 2 5 5 4" xfId="18379" xr:uid="{B004BDC9-7957-4A0F-81A7-E0D98F8838B4}"/>
    <cellStyle name="Normal 13 2 5 5 5" xfId="29700" xr:uid="{F5ECD968-22B6-4C81-9058-FA05EF37BB5D}"/>
    <cellStyle name="Normal 13 2 5 5 6" xfId="36348" xr:uid="{A2AF6039-864E-4942-894E-78A143EE2EE1}"/>
    <cellStyle name="Normal 13 2 5 6" xfId="7752" xr:uid="{00000000-0005-0000-0000-00004D0F0000}"/>
    <cellStyle name="Normal 13 2 5 6 2" xfId="25239" xr:uid="{35D60667-E4F4-4550-8391-BFA971170017}"/>
    <cellStyle name="Normal 13 2 5 6 3" xfId="19579" xr:uid="{F90096DF-6781-4002-B2B3-E28F13A52999}"/>
    <cellStyle name="Normal 13 2 5 6 4" xfId="30900" xr:uid="{3FFA8F19-17A1-495F-982E-AFA29340E0FE}"/>
    <cellStyle name="Normal 13 2 5 6 5" xfId="36350" xr:uid="{F1F907DF-CCBE-449A-8732-E086F5BBCAD8}"/>
    <cellStyle name="Normal 13 2 5 7" xfId="22477" xr:uid="{A7B863A1-464D-43F6-9FA0-1344E413DE9F}"/>
    <cellStyle name="Normal 13 2 5 8" xfId="16817" xr:uid="{0F7C1874-4CED-4519-8F1B-6EF83FFA2CAF}"/>
    <cellStyle name="Normal 13 2 5 9" xfId="28138" xr:uid="{9298DEB1-224E-442C-B2F8-006574D0E20E}"/>
    <cellStyle name="Normal 13 2 6" xfId="4086" xr:uid="{00000000-0005-0000-0000-00004E0F0000}"/>
    <cellStyle name="Normal 13 2 6 10" xfId="36351" xr:uid="{B00E2301-6CF5-4436-B010-FCE105ED1362}"/>
    <cellStyle name="Normal 13 2 6 2" xfId="4891" xr:uid="{00000000-0005-0000-0000-00004F0F0000}"/>
    <cellStyle name="Normal 13 2 6 2 2" xfId="5310" xr:uid="{00000000-0005-0000-0000-0000500F0000}"/>
    <cellStyle name="Normal 13 2 6 2 2 2" xfId="7173" xr:uid="{00000000-0005-0000-0000-0000510F0000}"/>
    <cellStyle name="Normal 13 2 6 2 2 2 2" xfId="15606" xr:uid="{00000000-0005-0000-0000-0000520F0000}"/>
    <cellStyle name="Normal 13 2 6 2 2 2 2 2" xfId="27500" xr:uid="{8CC223F5-333A-4ABE-A1E9-99636E07CE41}"/>
    <cellStyle name="Normal 13 2 6 2 2 2 2 3" xfId="21840" xr:uid="{78572A3A-CA22-44EA-A5A7-ECED8C6FD1A2}"/>
    <cellStyle name="Normal 13 2 6 2 2 2 2 4" xfId="32880" xr:uid="{C7C35AB7-9F89-4B21-9123-DEA69D952289}"/>
    <cellStyle name="Normal 13 2 6 2 2 2 2 5" xfId="36355" xr:uid="{915E5061-02BF-4E76-AE80-450634DCECCF}"/>
    <cellStyle name="Normal 13 2 6 2 2 2 3" xfId="24667" xr:uid="{9CFE3957-A3F2-440E-BA87-4DB2F59D2021}"/>
    <cellStyle name="Normal 13 2 6 2 2 2 4" xfId="19007" xr:uid="{4DA6FE4A-4427-416B-99A5-5F3B52578E97}"/>
    <cellStyle name="Normal 13 2 6 2 2 2 5" xfId="30328" xr:uid="{1A923BCF-F405-4C1B-91DA-7AAEB6FE1288}"/>
    <cellStyle name="Normal 13 2 6 2 2 2 6" xfId="36354" xr:uid="{BFBB5601-4181-4506-8C9C-8E5BE0AC936A}"/>
    <cellStyle name="Normal 13 2 6 2 2 3" xfId="14196" xr:uid="{00000000-0005-0000-0000-0000530F0000}"/>
    <cellStyle name="Normal 13 2 6 2 2 3 2" xfId="26235" xr:uid="{49C297D3-6C2E-4964-812B-FFB5B770CBD9}"/>
    <cellStyle name="Normal 13 2 6 2 2 3 3" xfId="20575" xr:uid="{439F6116-A4FD-4F4F-BF2F-5FAD0292EE21}"/>
    <cellStyle name="Normal 13 2 6 2 2 3 4" xfId="31615" xr:uid="{8ABBACA1-D879-4DCB-8AE4-75537353B34F}"/>
    <cellStyle name="Normal 13 2 6 2 2 3 5" xfId="36356" xr:uid="{49E78C14-FD67-4D7A-A793-E6ECEE20D15F}"/>
    <cellStyle name="Normal 13 2 6 2 2 4" xfId="23105" xr:uid="{C5D0E0CD-D782-4398-A831-4FBE82C8E75C}"/>
    <cellStyle name="Normal 13 2 6 2 2 5" xfId="17445" xr:uid="{AF00615A-C5A0-494B-A54A-B00B9741A602}"/>
    <cellStyle name="Normal 13 2 6 2 2 6" xfId="28766" xr:uid="{25E9F9B5-6D8C-4D66-932F-BA33A1A5A5B9}"/>
    <cellStyle name="Normal 13 2 6 2 2 7" xfId="36353" xr:uid="{76CBE67D-6547-4011-81CE-66D2CC6D88C9}"/>
    <cellStyle name="Normal 13 2 6 2 3" xfId="5997" xr:uid="{00000000-0005-0000-0000-0000540F0000}"/>
    <cellStyle name="Normal 13 2 6 2 3 2" xfId="7344" xr:uid="{00000000-0005-0000-0000-0000550F0000}"/>
    <cellStyle name="Normal 13 2 6 2 3 2 2" xfId="15777" xr:uid="{00000000-0005-0000-0000-0000560F0000}"/>
    <cellStyle name="Normal 13 2 6 2 3 2 2 2" xfId="27671" xr:uid="{010BAAA5-0FE0-4DFB-BC57-73AADAF3680F}"/>
    <cellStyle name="Normal 13 2 6 2 3 2 2 3" xfId="22011" xr:uid="{86468821-6829-49AC-A257-1897B16BC229}"/>
    <cellStyle name="Normal 13 2 6 2 3 2 2 4" xfId="33051" xr:uid="{B5409C53-BE1D-4274-B390-C3B9BB3463E9}"/>
    <cellStyle name="Normal 13 2 6 2 3 2 2 5" xfId="36359" xr:uid="{072186E8-CD11-412C-B5BB-04BAC0388E36}"/>
    <cellStyle name="Normal 13 2 6 2 3 2 3" xfId="24838" xr:uid="{F330D6AD-0AC5-42DD-8818-A292771EE515}"/>
    <cellStyle name="Normal 13 2 6 2 3 2 4" xfId="19178" xr:uid="{F518D5A2-BF11-4D9A-AB8A-F87680F226AD}"/>
    <cellStyle name="Normal 13 2 6 2 3 2 5" xfId="30499" xr:uid="{B6A70BDF-9787-4CEA-A4AE-AF5616C6802C}"/>
    <cellStyle name="Normal 13 2 6 2 3 2 6" xfId="36358" xr:uid="{B1AD7A89-CDA4-4BB9-9C55-625ADC881167}"/>
    <cellStyle name="Normal 13 2 6 2 3 3" xfId="14456" xr:uid="{00000000-0005-0000-0000-0000570F0000}"/>
    <cellStyle name="Normal 13 2 6 2 3 3 2" xfId="26415" xr:uid="{44A9DA4E-88F0-4DBF-BED5-47A8A77113A1}"/>
    <cellStyle name="Normal 13 2 6 2 3 3 3" xfId="20755" xr:uid="{1D438CFC-6276-43E2-9924-E5686007C50A}"/>
    <cellStyle name="Normal 13 2 6 2 3 3 4" xfId="31795" xr:uid="{30CAE73A-DDEF-4707-8832-8C4471D671C6}"/>
    <cellStyle name="Normal 13 2 6 2 3 3 5" xfId="36360" xr:uid="{D822CA90-3FED-4E60-AFA2-E61C2EC51C5F}"/>
    <cellStyle name="Normal 13 2 6 2 3 4" xfId="23582" xr:uid="{94D355CB-A1CE-422A-8B3F-0F8490361040}"/>
    <cellStyle name="Normal 13 2 6 2 3 5" xfId="17922" xr:uid="{CD81B024-80DA-4A85-A648-AB571020DD34}"/>
    <cellStyle name="Normal 13 2 6 2 3 6" xfId="29243" xr:uid="{EEDD36BF-DEDB-408E-BC10-18BA4DCCBB04}"/>
    <cellStyle name="Normal 13 2 6 2 3 7" xfId="36357" xr:uid="{C946B407-3619-43AD-B96C-55069E1E0420}"/>
    <cellStyle name="Normal 13 2 6 2 4" xfId="6755" xr:uid="{00000000-0005-0000-0000-0000580F0000}"/>
    <cellStyle name="Normal 13 2 6 2 4 2" xfId="15188" xr:uid="{00000000-0005-0000-0000-0000590F0000}"/>
    <cellStyle name="Normal 13 2 6 2 4 2 2" xfId="27082" xr:uid="{395F07EE-FC08-4C9B-ACA9-A8A47AF41569}"/>
    <cellStyle name="Normal 13 2 6 2 4 2 3" xfId="21422" xr:uid="{BB8DD711-7F9F-4268-B83A-3AF896B3D143}"/>
    <cellStyle name="Normal 13 2 6 2 4 2 4" xfId="32462" xr:uid="{1F2DB9B9-C488-4370-B21A-4E902DF976A2}"/>
    <cellStyle name="Normal 13 2 6 2 4 2 5" xfId="36362" xr:uid="{0461B654-20AA-4D69-A1D9-F098D7EFB495}"/>
    <cellStyle name="Normal 13 2 6 2 4 3" xfId="24249" xr:uid="{FD4E405F-44BD-422C-B188-2A2C0FA82916}"/>
    <cellStyle name="Normal 13 2 6 2 4 4" xfId="18589" xr:uid="{3467C615-19FB-4231-998D-CB57FCCFFAD6}"/>
    <cellStyle name="Normal 13 2 6 2 4 5" xfId="29910" xr:uid="{666EB79F-3082-4C4E-9ED8-3951F2C7FDA6}"/>
    <cellStyle name="Normal 13 2 6 2 4 6" xfId="36361" xr:uid="{F141AEFC-6A9E-41D7-8E96-B4BF8BA0A530}"/>
    <cellStyle name="Normal 13 2 6 2 5" xfId="7755" xr:uid="{00000000-0005-0000-0000-00005A0F0000}"/>
    <cellStyle name="Normal 13 2 6 2 5 2" xfId="25242" xr:uid="{B3CCD8F7-5E55-49E5-9D49-88680952B75F}"/>
    <cellStyle name="Normal 13 2 6 2 5 3" xfId="19582" xr:uid="{E6F078D1-FF5A-421D-8CCF-ABA7AF3AAC78}"/>
    <cellStyle name="Normal 13 2 6 2 5 4" xfId="30903" xr:uid="{7C19E0F3-E70C-4767-BB22-41F83A58F6AE}"/>
    <cellStyle name="Normal 13 2 6 2 5 5" xfId="36363" xr:uid="{A8DECFC5-A205-4757-AB4C-2A9DBCA71E81}"/>
    <cellStyle name="Normal 13 2 6 2 6" xfId="22687" xr:uid="{AB3689BF-C97B-4630-836C-6BAFDD55B164}"/>
    <cellStyle name="Normal 13 2 6 2 7" xfId="17027" xr:uid="{920EDCAE-ECB7-498B-88EE-CCEFE9534CD5}"/>
    <cellStyle name="Normal 13 2 6 2 8" xfId="28348" xr:uid="{194364A7-67A1-4221-8F86-4CA0E99A4C5B}"/>
    <cellStyle name="Normal 13 2 6 2 9" xfId="36352" xr:uid="{180C91A9-E104-4AE1-957D-972DC9FF963C}"/>
    <cellStyle name="Normal 13 2 6 3" xfId="5101" xr:uid="{00000000-0005-0000-0000-00005B0F0000}"/>
    <cellStyle name="Normal 13 2 6 3 2" xfId="5996" xr:uid="{00000000-0005-0000-0000-00005C0F0000}"/>
    <cellStyle name="Normal 13 2 6 3 2 2" xfId="7343" xr:uid="{00000000-0005-0000-0000-00005D0F0000}"/>
    <cellStyle name="Normal 13 2 6 3 2 2 2" xfId="15776" xr:uid="{00000000-0005-0000-0000-00005E0F0000}"/>
    <cellStyle name="Normal 13 2 6 3 2 2 2 2" xfId="27670" xr:uid="{9523B345-8D32-4753-8F36-4AF0F2D24F90}"/>
    <cellStyle name="Normal 13 2 6 3 2 2 2 3" xfId="22010" xr:uid="{868D10BB-3C85-4C0C-B36B-578C28F13F3C}"/>
    <cellStyle name="Normal 13 2 6 3 2 2 2 4" xfId="33050" xr:uid="{46131512-D141-4F7A-B981-125D3F85E902}"/>
    <cellStyle name="Normal 13 2 6 3 2 2 2 5" xfId="36367" xr:uid="{0BB18731-22B4-405B-9DB5-2D5F2B61E17F}"/>
    <cellStyle name="Normal 13 2 6 3 2 2 3" xfId="24837" xr:uid="{D846E962-58FF-43FC-A7EF-E63B6C9BE150}"/>
    <cellStyle name="Normal 13 2 6 3 2 2 4" xfId="19177" xr:uid="{9E830BBB-D87C-41CB-B772-BCB10CE152D9}"/>
    <cellStyle name="Normal 13 2 6 3 2 2 5" xfId="30498" xr:uid="{271B85E8-C00A-4799-9526-8E9C7369BE44}"/>
    <cellStyle name="Normal 13 2 6 3 2 2 6" xfId="36366" xr:uid="{2235B8AA-DE01-4B5F-B1A5-9D5D921C22E2}"/>
    <cellStyle name="Normal 13 2 6 3 2 3" xfId="14455" xr:uid="{00000000-0005-0000-0000-00005F0F0000}"/>
    <cellStyle name="Normal 13 2 6 3 2 3 2" xfId="26414" xr:uid="{B00A5367-FC63-4EFD-8B8B-D4281D4CB269}"/>
    <cellStyle name="Normal 13 2 6 3 2 3 3" xfId="20754" xr:uid="{33655F5D-0B35-44FA-9E40-01B2BF5BB60F}"/>
    <cellStyle name="Normal 13 2 6 3 2 3 4" xfId="31794" xr:uid="{CFE5BB55-9785-4006-B677-735C34CDE302}"/>
    <cellStyle name="Normal 13 2 6 3 2 3 5" xfId="36368" xr:uid="{B8FADC14-AA5F-4786-A1E3-594CCD719350}"/>
    <cellStyle name="Normal 13 2 6 3 2 4" xfId="23581" xr:uid="{CD55BC86-1E6F-467B-BE7E-A1DC457DF082}"/>
    <cellStyle name="Normal 13 2 6 3 2 5" xfId="17921" xr:uid="{DA5C3A1E-3B1F-445A-8F85-910A58117950}"/>
    <cellStyle name="Normal 13 2 6 3 2 6" xfId="29242" xr:uid="{B31058C7-248A-44FD-8F1A-44ADF67844B1}"/>
    <cellStyle name="Normal 13 2 6 3 2 7" xfId="36365" xr:uid="{736BC4D4-E413-4918-898A-C39AD1BDEA70}"/>
    <cellStyle name="Normal 13 2 6 3 3" xfId="6964" xr:uid="{00000000-0005-0000-0000-0000600F0000}"/>
    <cellStyle name="Normal 13 2 6 3 3 2" xfId="15397" xr:uid="{00000000-0005-0000-0000-0000610F0000}"/>
    <cellStyle name="Normal 13 2 6 3 3 2 2" xfId="27291" xr:uid="{F87EC944-0E3D-4E18-989A-9DB5F0EFCC4E}"/>
    <cellStyle name="Normal 13 2 6 3 3 2 3" xfId="21631" xr:uid="{AECDE6D5-9447-4E0E-92B9-54C1AEECDDA3}"/>
    <cellStyle name="Normal 13 2 6 3 3 2 4" xfId="32671" xr:uid="{3886A5A3-4A9D-402B-B2A4-8D79D3DEF202}"/>
    <cellStyle name="Normal 13 2 6 3 3 2 5" xfId="36370" xr:uid="{A9EDCF48-07A0-472B-B9B0-E4EEEFF94E85}"/>
    <cellStyle name="Normal 13 2 6 3 3 3" xfId="24458" xr:uid="{8E46CF95-8153-481A-876B-97E0E4D577DF}"/>
    <cellStyle name="Normal 13 2 6 3 3 4" xfId="18798" xr:uid="{04145ABA-1FEE-4102-98A4-33ECDE324FA2}"/>
    <cellStyle name="Normal 13 2 6 3 3 5" xfId="30119" xr:uid="{A30A691B-D076-4C21-8D85-CC46D87B4EC9}"/>
    <cellStyle name="Normal 13 2 6 3 3 6" xfId="36369" xr:uid="{892A764B-9733-4301-8476-6760134ACF30}"/>
    <cellStyle name="Normal 13 2 6 3 4" xfId="13988" xr:uid="{00000000-0005-0000-0000-0000620F0000}"/>
    <cellStyle name="Normal 13 2 6 3 4 2" xfId="26027" xr:uid="{571B5EE9-ADC0-4C96-8459-80480E6F9019}"/>
    <cellStyle name="Normal 13 2 6 3 4 3" xfId="20367" xr:uid="{FCC66679-D0D2-4449-BD85-57579218ED32}"/>
    <cellStyle name="Normal 13 2 6 3 4 4" xfId="31407" xr:uid="{9519DC1B-EF3F-49F0-A6E4-ACBA64BC070F}"/>
    <cellStyle name="Normal 13 2 6 3 4 5" xfId="36371" xr:uid="{4F6BAD24-363F-4A8B-8778-CA9AFCE940E9}"/>
    <cellStyle name="Normal 13 2 6 3 5" xfId="22896" xr:uid="{479AD493-156B-49A0-AB9C-9E57925FBDA5}"/>
    <cellStyle name="Normal 13 2 6 3 6" xfId="17236" xr:uid="{ECB5FEA6-F656-44D8-9F6A-C610F3DCE32C}"/>
    <cellStyle name="Normal 13 2 6 3 7" xfId="28557" xr:uid="{EE227E86-C252-454C-AAD4-F7878F7972DE}"/>
    <cellStyle name="Normal 13 2 6 3 8" xfId="36364" xr:uid="{D1356E4D-F92E-4824-A56E-1B8462A1F918}"/>
    <cellStyle name="Normal 13 2 6 4" xfId="5633" xr:uid="{00000000-0005-0000-0000-0000630F0000}"/>
    <cellStyle name="Normal 13 2 6 4 2" xfId="36372" xr:uid="{534069ED-EC25-434C-B0BE-E36BC64866D7}"/>
    <cellStyle name="Normal 13 2 6 5" xfId="6546" xr:uid="{00000000-0005-0000-0000-0000640F0000}"/>
    <cellStyle name="Normal 13 2 6 5 2" xfId="14979" xr:uid="{00000000-0005-0000-0000-0000650F0000}"/>
    <cellStyle name="Normal 13 2 6 5 2 2" xfId="26873" xr:uid="{88F01C98-70FB-45A9-A6C1-69254D9A5BDB}"/>
    <cellStyle name="Normal 13 2 6 5 2 3" xfId="21213" xr:uid="{90D04C35-DCD5-4D1C-9A2C-39EB0DAE689B}"/>
    <cellStyle name="Normal 13 2 6 5 2 4" xfId="32253" xr:uid="{F0073669-80B9-47E7-9ABB-B41588F441F8}"/>
    <cellStyle name="Normal 13 2 6 5 2 5" xfId="36374" xr:uid="{047EC0EC-2935-4C70-B527-EC3198114024}"/>
    <cellStyle name="Normal 13 2 6 5 3" xfId="24040" xr:uid="{F77DE8DB-E841-42F2-9E3F-09BABB9F592C}"/>
    <cellStyle name="Normal 13 2 6 5 4" xfId="18380" xr:uid="{07A3CD28-DC28-4697-BB83-FF96E7C419A6}"/>
    <cellStyle name="Normal 13 2 6 5 5" xfId="29701" xr:uid="{2449A402-E7B6-4C69-B1DE-2BC3B6E82460}"/>
    <cellStyle name="Normal 13 2 6 5 6" xfId="36373" xr:uid="{F489E93E-3C05-4C33-BD10-C65F4F14C528}"/>
    <cellStyle name="Normal 13 2 6 6" xfId="7754" xr:uid="{00000000-0005-0000-0000-0000660F0000}"/>
    <cellStyle name="Normal 13 2 6 6 2" xfId="25241" xr:uid="{8C0ED330-E7A1-4E94-9E7C-72CB97A9E032}"/>
    <cellStyle name="Normal 13 2 6 6 3" xfId="19581" xr:uid="{27745A04-06E8-4861-876A-341905D86567}"/>
    <cellStyle name="Normal 13 2 6 6 4" xfId="30902" xr:uid="{C771CD1E-6F0D-42D7-8A20-EDBE97FEA08E}"/>
    <cellStyle name="Normal 13 2 6 6 5" xfId="36375" xr:uid="{D97920D9-BAE2-42B8-A52D-B1A1CAD111A4}"/>
    <cellStyle name="Normal 13 2 6 7" xfId="22478" xr:uid="{2433D2F0-2798-4897-AC31-F22B3F7FB58B}"/>
    <cellStyle name="Normal 13 2 6 8" xfId="16818" xr:uid="{70071205-7B20-4460-8D80-87268A880FE7}"/>
    <cellStyle name="Normal 13 2 6 9" xfId="28139" xr:uid="{C0F182C0-CD45-4DAC-AD66-E89044E983E8}"/>
    <cellStyle name="Normal 13 2 7" xfId="4087" xr:uid="{00000000-0005-0000-0000-0000670F0000}"/>
    <cellStyle name="Normal 13 2 7 10" xfId="36376" xr:uid="{4FCDF0E8-3ACF-4847-8EDD-2DAA8FB22E65}"/>
    <cellStyle name="Normal 13 2 7 2" xfId="4892" xr:uid="{00000000-0005-0000-0000-0000680F0000}"/>
    <cellStyle name="Normal 13 2 7 2 2" xfId="5311" xr:uid="{00000000-0005-0000-0000-0000690F0000}"/>
    <cellStyle name="Normal 13 2 7 2 2 2" xfId="7174" xr:uid="{00000000-0005-0000-0000-00006A0F0000}"/>
    <cellStyle name="Normal 13 2 7 2 2 2 2" xfId="15607" xr:uid="{00000000-0005-0000-0000-00006B0F0000}"/>
    <cellStyle name="Normal 13 2 7 2 2 2 2 2" xfId="27501" xr:uid="{329F86F3-B59F-4190-B06D-AD2A7B58270A}"/>
    <cellStyle name="Normal 13 2 7 2 2 2 2 3" xfId="21841" xr:uid="{3CD664D9-34DB-4646-9CFC-C8397CFEF79B}"/>
    <cellStyle name="Normal 13 2 7 2 2 2 2 4" xfId="32881" xr:uid="{E3324A65-CE3D-46A5-AA77-140BA660CD16}"/>
    <cellStyle name="Normal 13 2 7 2 2 2 2 5" xfId="36380" xr:uid="{5BCCE9AF-3697-4011-B4B6-A4CD9DACBE5F}"/>
    <cellStyle name="Normal 13 2 7 2 2 2 3" xfId="24668" xr:uid="{8FD4C7C3-A688-4017-9DE9-FEB1CDC7AB10}"/>
    <cellStyle name="Normal 13 2 7 2 2 2 4" xfId="19008" xr:uid="{D6E7BEE0-E170-4D1F-8020-6EDCB79B68FD}"/>
    <cellStyle name="Normal 13 2 7 2 2 2 5" xfId="30329" xr:uid="{F8A2ACAE-F05E-4FC8-AA98-77EB5F627AEE}"/>
    <cellStyle name="Normal 13 2 7 2 2 2 6" xfId="36379" xr:uid="{3EA0B6B2-ACD1-4CDA-9DB3-9CE907BD054B}"/>
    <cellStyle name="Normal 13 2 7 2 2 3" xfId="14197" xr:uid="{00000000-0005-0000-0000-00006C0F0000}"/>
    <cellStyle name="Normal 13 2 7 2 2 3 2" xfId="26236" xr:uid="{DBE191F5-C93A-4CFF-A924-260807F3F768}"/>
    <cellStyle name="Normal 13 2 7 2 2 3 3" xfId="20576" xr:uid="{B2416E62-2F10-42FB-BF5D-35CB6CC5381F}"/>
    <cellStyle name="Normal 13 2 7 2 2 3 4" xfId="31616" xr:uid="{79638EB3-E902-4B75-83C8-14ECA59DEB84}"/>
    <cellStyle name="Normal 13 2 7 2 2 3 5" xfId="36381" xr:uid="{D634B66B-F3F3-4AEE-B036-7CB958BB3C90}"/>
    <cellStyle name="Normal 13 2 7 2 2 4" xfId="23106" xr:uid="{CE56B631-2501-478B-968E-2CEC08DD2B9C}"/>
    <cellStyle name="Normal 13 2 7 2 2 5" xfId="17446" xr:uid="{E3BE87E6-49BC-486F-8EEE-C109BF3C99BC}"/>
    <cellStyle name="Normal 13 2 7 2 2 6" xfId="28767" xr:uid="{950F3EE4-90A3-4064-A049-1DFFA5AC849E}"/>
    <cellStyle name="Normal 13 2 7 2 2 7" xfId="36378" xr:uid="{63817640-2B64-451F-B85B-909862E85A10}"/>
    <cellStyle name="Normal 13 2 7 2 3" xfId="5999" xr:uid="{00000000-0005-0000-0000-00006D0F0000}"/>
    <cellStyle name="Normal 13 2 7 2 3 2" xfId="7346" xr:uid="{00000000-0005-0000-0000-00006E0F0000}"/>
    <cellStyle name="Normal 13 2 7 2 3 2 2" xfId="15779" xr:uid="{00000000-0005-0000-0000-00006F0F0000}"/>
    <cellStyle name="Normal 13 2 7 2 3 2 2 2" xfId="27673" xr:uid="{7099F381-347F-463A-A9EA-0A0E58209593}"/>
    <cellStyle name="Normal 13 2 7 2 3 2 2 3" xfId="22013" xr:uid="{EB7D2E8A-2026-42E6-B115-57EF2BFA3A7D}"/>
    <cellStyle name="Normal 13 2 7 2 3 2 2 4" xfId="33053" xr:uid="{C605A420-2B59-4264-98A3-DCDE19900478}"/>
    <cellStyle name="Normal 13 2 7 2 3 2 2 5" xfId="36384" xr:uid="{651159B9-87AF-4FE9-AB37-A49B3EB141AA}"/>
    <cellStyle name="Normal 13 2 7 2 3 2 3" xfId="24840" xr:uid="{25B108C3-3574-492E-B649-676612A96573}"/>
    <cellStyle name="Normal 13 2 7 2 3 2 4" xfId="19180" xr:uid="{0FC878A6-5106-43EE-B06F-E88FD9BBAD6A}"/>
    <cellStyle name="Normal 13 2 7 2 3 2 5" xfId="30501" xr:uid="{2955E854-7196-40E2-A4E9-AD8158595170}"/>
    <cellStyle name="Normal 13 2 7 2 3 2 6" xfId="36383" xr:uid="{FBAFC8F0-0DE0-4022-A325-A71FDDDA38C9}"/>
    <cellStyle name="Normal 13 2 7 2 3 3" xfId="14458" xr:uid="{00000000-0005-0000-0000-0000700F0000}"/>
    <cellStyle name="Normal 13 2 7 2 3 3 2" xfId="26417" xr:uid="{FF9E7376-966C-430D-8131-5A1C57678F91}"/>
    <cellStyle name="Normal 13 2 7 2 3 3 3" xfId="20757" xr:uid="{644DF4E3-334D-45C1-9DBF-E850B9B9E8FC}"/>
    <cellStyle name="Normal 13 2 7 2 3 3 4" xfId="31797" xr:uid="{0EC0BCE7-1F10-47D4-AC1C-77857996BE73}"/>
    <cellStyle name="Normal 13 2 7 2 3 3 5" xfId="36385" xr:uid="{7FA1DE0B-ABFB-4E95-A399-04368D2CF9DC}"/>
    <cellStyle name="Normal 13 2 7 2 3 4" xfId="23584" xr:uid="{66F1AFD3-BE33-4C8A-8697-7F5D340A97A8}"/>
    <cellStyle name="Normal 13 2 7 2 3 5" xfId="17924" xr:uid="{9601D7EA-6092-4853-BDE3-193B15590EE5}"/>
    <cellStyle name="Normal 13 2 7 2 3 6" xfId="29245" xr:uid="{B0900005-CF52-48DF-936A-B44C2D789225}"/>
    <cellStyle name="Normal 13 2 7 2 3 7" xfId="36382" xr:uid="{CC4FC549-C9AA-4DE2-891C-9AA7F718E373}"/>
    <cellStyle name="Normal 13 2 7 2 4" xfId="6756" xr:uid="{00000000-0005-0000-0000-0000710F0000}"/>
    <cellStyle name="Normal 13 2 7 2 4 2" xfId="15189" xr:uid="{00000000-0005-0000-0000-0000720F0000}"/>
    <cellStyle name="Normal 13 2 7 2 4 2 2" xfId="27083" xr:uid="{5A885228-E42B-4A64-BEC6-C50AF9496533}"/>
    <cellStyle name="Normal 13 2 7 2 4 2 3" xfId="21423" xr:uid="{50E38ED1-D970-4908-8B7F-E63A0EFA3E98}"/>
    <cellStyle name="Normal 13 2 7 2 4 2 4" xfId="32463" xr:uid="{6D769355-903F-48B0-A420-D76B8BC00509}"/>
    <cellStyle name="Normal 13 2 7 2 4 2 5" xfId="36387" xr:uid="{A8102A4D-77D7-4910-A25C-BCD8EBFB8ACE}"/>
    <cellStyle name="Normal 13 2 7 2 4 3" xfId="24250" xr:uid="{AC3190C6-EC49-4C75-9028-044FACFACF6A}"/>
    <cellStyle name="Normal 13 2 7 2 4 4" xfId="18590" xr:uid="{77AE015A-8367-48A5-A8B5-1AF82EFBC76C}"/>
    <cellStyle name="Normal 13 2 7 2 4 5" xfId="29911" xr:uid="{CCF68229-C7AA-4DFD-B87F-C51D181F3489}"/>
    <cellStyle name="Normal 13 2 7 2 4 6" xfId="36386" xr:uid="{DF393114-7343-44EF-A48E-AE1230EC50F6}"/>
    <cellStyle name="Normal 13 2 7 2 5" xfId="7757" xr:uid="{00000000-0005-0000-0000-0000730F0000}"/>
    <cellStyle name="Normal 13 2 7 2 5 2" xfId="25244" xr:uid="{CD837B77-906F-49FE-9F6F-4734C5C8D7AA}"/>
    <cellStyle name="Normal 13 2 7 2 5 3" xfId="19584" xr:uid="{63CD04E6-35D1-4866-AA1F-A5530A88558D}"/>
    <cellStyle name="Normal 13 2 7 2 5 4" xfId="30905" xr:uid="{D880A45D-BC1D-4903-86A3-ACB157FCE009}"/>
    <cellStyle name="Normal 13 2 7 2 5 5" xfId="36388" xr:uid="{7BA7171E-C15E-46BD-9E49-507400913886}"/>
    <cellStyle name="Normal 13 2 7 2 6" xfId="22688" xr:uid="{DF1A454F-A07C-4188-BCE9-5DF51AA09F94}"/>
    <cellStyle name="Normal 13 2 7 2 7" xfId="17028" xr:uid="{90A759A8-BF0E-407E-8DD2-D8FDE10B82EB}"/>
    <cellStyle name="Normal 13 2 7 2 8" xfId="28349" xr:uid="{61F812A4-DD21-4968-8F0E-C7C886AA0696}"/>
    <cellStyle name="Normal 13 2 7 2 9" xfId="36377" xr:uid="{86B55A34-7505-4D9D-B49E-138E270A2D08}"/>
    <cellStyle name="Normal 13 2 7 3" xfId="5102" xr:uid="{00000000-0005-0000-0000-0000740F0000}"/>
    <cellStyle name="Normal 13 2 7 3 2" xfId="5998" xr:uid="{00000000-0005-0000-0000-0000750F0000}"/>
    <cellStyle name="Normal 13 2 7 3 2 2" xfId="7345" xr:uid="{00000000-0005-0000-0000-0000760F0000}"/>
    <cellStyle name="Normal 13 2 7 3 2 2 2" xfId="15778" xr:uid="{00000000-0005-0000-0000-0000770F0000}"/>
    <cellStyle name="Normal 13 2 7 3 2 2 2 2" xfId="27672" xr:uid="{9A46291D-D37D-4D86-8AD9-3CAAE540D94D}"/>
    <cellStyle name="Normal 13 2 7 3 2 2 2 3" xfId="22012" xr:uid="{F4AED953-66E7-4682-8731-A1F273A80CB1}"/>
    <cellStyle name="Normal 13 2 7 3 2 2 2 4" xfId="33052" xr:uid="{EFDEC39C-43C8-48B5-9C95-89786E46F4FD}"/>
    <cellStyle name="Normal 13 2 7 3 2 2 2 5" xfId="36392" xr:uid="{1B2F1E24-0A86-4FC2-BF99-FD56FF94768F}"/>
    <cellStyle name="Normal 13 2 7 3 2 2 3" xfId="24839" xr:uid="{1A2CD234-016C-4EA1-9211-66472C324FCF}"/>
    <cellStyle name="Normal 13 2 7 3 2 2 4" xfId="19179" xr:uid="{9C1CFA79-0946-4AD6-826C-5F439CFCFBB5}"/>
    <cellStyle name="Normal 13 2 7 3 2 2 5" xfId="30500" xr:uid="{4F9CD12F-8FEC-474C-841C-39AC1F3F225A}"/>
    <cellStyle name="Normal 13 2 7 3 2 2 6" xfId="36391" xr:uid="{8E327001-6506-4558-8CA4-D97F5A41FCE5}"/>
    <cellStyle name="Normal 13 2 7 3 2 3" xfId="14457" xr:uid="{00000000-0005-0000-0000-0000780F0000}"/>
    <cellStyle name="Normal 13 2 7 3 2 3 2" xfId="26416" xr:uid="{9F505321-CF0B-4E2D-AA66-974644728DB5}"/>
    <cellStyle name="Normal 13 2 7 3 2 3 3" xfId="20756" xr:uid="{40FD3EE7-272A-485E-9457-5A8BA26720AA}"/>
    <cellStyle name="Normal 13 2 7 3 2 3 4" xfId="31796" xr:uid="{661D87EC-2BD2-4C44-8D77-3111FF74A086}"/>
    <cellStyle name="Normal 13 2 7 3 2 3 5" xfId="36393" xr:uid="{DDEAFA65-9BDF-4BCB-8F0F-C7061F8F51A4}"/>
    <cellStyle name="Normal 13 2 7 3 2 4" xfId="23583" xr:uid="{830762DA-8950-4BA3-A9FB-AF7A0E52CA52}"/>
    <cellStyle name="Normal 13 2 7 3 2 5" xfId="17923" xr:uid="{C452CCD1-5485-4441-B44E-72A51B7A02CE}"/>
    <cellStyle name="Normal 13 2 7 3 2 6" xfId="29244" xr:uid="{7BFBA2FC-7CF8-420F-B1E3-5E8DB746C14E}"/>
    <cellStyle name="Normal 13 2 7 3 2 7" xfId="36390" xr:uid="{F55A960F-7719-4805-8ACF-D458196AEA83}"/>
    <cellStyle name="Normal 13 2 7 3 3" xfId="6965" xr:uid="{00000000-0005-0000-0000-0000790F0000}"/>
    <cellStyle name="Normal 13 2 7 3 3 2" xfId="15398" xr:uid="{00000000-0005-0000-0000-00007A0F0000}"/>
    <cellStyle name="Normal 13 2 7 3 3 2 2" xfId="27292" xr:uid="{927F06F8-4B48-4CA5-AEC5-54BD567193A7}"/>
    <cellStyle name="Normal 13 2 7 3 3 2 3" xfId="21632" xr:uid="{57844D6F-C11D-48F5-8013-FAC454E7D872}"/>
    <cellStyle name="Normal 13 2 7 3 3 2 4" xfId="32672" xr:uid="{62A190DB-B49B-4438-AB39-59EA8886D76B}"/>
    <cellStyle name="Normal 13 2 7 3 3 2 5" xfId="36395" xr:uid="{F6B437D9-AD92-4927-8266-89251B22F052}"/>
    <cellStyle name="Normal 13 2 7 3 3 3" xfId="24459" xr:uid="{BD04372C-A3B2-4057-9729-BE3035C20628}"/>
    <cellStyle name="Normal 13 2 7 3 3 4" xfId="18799" xr:uid="{565C39D9-2500-4E57-999F-59DAB1F39A1D}"/>
    <cellStyle name="Normal 13 2 7 3 3 5" xfId="30120" xr:uid="{78AFDD0F-E90E-4707-9351-EE1BE7CCCF63}"/>
    <cellStyle name="Normal 13 2 7 3 3 6" xfId="36394" xr:uid="{C8640CFF-DB3A-444B-98A2-979425EE3CED}"/>
    <cellStyle name="Normal 13 2 7 3 4" xfId="13989" xr:uid="{00000000-0005-0000-0000-00007B0F0000}"/>
    <cellStyle name="Normal 13 2 7 3 4 2" xfId="26028" xr:uid="{FD5C17C4-0608-4E86-9F59-96F4022A8CCD}"/>
    <cellStyle name="Normal 13 2 7 3 4 3" xfId="20368" xr:uid="{161AF261-96E8-46FD-A254-C10E958A4D42}"/>
    <cellStyle name="Normal 13 2 7 3 4 4" xfId="31408" xr:uid="{520CE9AA-949C-443F-981F-9C08EE1022DB}"/>
    <cellStyle name="Normal 13 2 7 3 4 5" xfId="36396" xr:uid="{CE2896DC-EE9D-4DB2-95FA-D13468B90E90}"/>
    <cellStyle name="Normal 13 2 7 3 5" xfId="22897" xr:uid="{5CAF8AB5-8A5A-48DC-86BB-63CBC7C9529B}"/>
    <cellStyle name="Normal 13 2 7 3 6" xfId="17237" xr:uid="{ECFEE278-0FCD-44AF-95E5-55029F027A98}"/>
    <cellStyle name="Normal 13 2 7 3 7" xfId="28558" xr:uid="{E6D5D4C6-F44C-4E0C-9205-5966B1FA0938}"/>
    <cellStyle name="Normal 13 2 7 3 8" xfId="36389" xr:uid="{C15F755E-62EA-4560-943D-FAF63765A201}"/>
    <cellStyle name="Normal 13 2 7 4" xfId="5634" xr:uid="{00000000-0005-0000-0000-00007C0F0000}"/>
    <cellStyle name="Normal 13 2 7 4 2" xfId="36397" xr:uid="{494E620C-F821-4104-8547-7226044EA666}"/>
    <cellStyle name="Normal 13 2 7 5" xfId="6547" xr:uid="{00000000-0005-0000-0000-00007D0F0000}"/>
    <cellStyle name="Normal 13 2 7 5 2" xfId="14980" xr:uid="{00000000-0005-0000-0000-00007E0F0000}"/>
    <cellStyle name="Normal 13 2 7 5 2 2" xfId="26874" xr:uid="{5BEC3C43-20BC-416E-9B8F-0B467B5FAB1F}"/>
    <cellStyle name="Normal 13 2 7 5 2 3" xfId="21214" xr:uid="{D8AE505F-66C3-4F35-9CF4-685B74465BCF}"/>
    <cellStyle name="Normal 13 2 7 5 2 4" xfId="32254" xr:uid="{9EE74EF8-8FAB-4226-AF4E-487CF39A27C2}"/>
    <cellStyle name="Normal 13 2 7 5 2 5" xfId="36399" xr:uid="{961BF002-EE72-4842-A1BB-25504C3AB692}"/>
    <cellStyle name="Normal 13 2 7 5 3" xfId="24041" xr:uid="{E704A544-F419-41F0-AEEB-F5915BE6C710}"/>
    <cellStyle name="Normal 13 2 7 5 4" xfId="18381" xr:uid="{0D109A70-A4F2-4AF1-9F47-C1DFB125E3B2}"/>
    <cellStyle name="Normal 13 2 7 5 5" xfId="29702" xr:uid="{044CD16D-A284-43F9-A77D-519D6178CC26}"/>
    <cellStyle name="Normal 13 2 7 5 6" xfId="36398" xr:uid="{73345FF4-1A9E-469E-9321-0CE486F66BEB}"/>
    <cellStyle name="Normal 13 2 7 6" xfId="7756" xr:uid="{00000000-0005-0000-0000-00007F0F0000}"/>
    <cellStyle name="Normal 13 2 7 6 2" xfId="25243" xr:uid="{67FA7954-6DA9-4750-A0E5-2DD8AC9A6B89}"/>
    <cellStyle name="Normal 13 2 7 6 3" xfId="19583" xr:uid="{D56F8AB1-B676-49B2-81E7-B36F097A8645}"/>
    <cellStyle name="Normal 13 2 7 6 4" xfId="30904" xr:uid="{CD2823C5-F7E8-44F0-9A37-433879BBCAF3}"/>
    <cellStyle name="Normal 13 2 7 6 5" xfId="36400" xr:uid="{23C48F2A-F60E-41C6-9D9A-8E1A75BF94AA}"/>
    <cellStyle name="Normal 13 2 7 7" xfId="22479" xr:uid="{C1C7B415-EE5F-45BB-B7F9-8524B76C8A6C}"/>
    <cellStyle name="Normal 13 2 7 8" xfId="16819" xr:uid="{876F2013-7970-46F4-99EC-786298409425}"/>
    <cellStyle name="Normal 13 2 7 9" xfId="28140" xr:uid="{5F89E41E-4174-485E-8D63-6DB97555BAA4}"/>
    <cellStyle name="Normal 13 2 8" xfId="4088" xr:uid="{00000000-0005-0000-0000-0000800F0000}"/>
    <cellStyle name="Normal 13 2 8 10" xfId="36401" xr:uid="{9BB227A2-059F-4726-A393-290BD161234E}"/>
    <cellStyle name="Normal 13 2 8 2" xfId="4893" xr:uid="{00000000-0005-0000-0000-0000810F0000}"/>
    <cellStyle name="Normal 13 2 8 2 2" xfId="5312" xr:uid="{00000000-0005-0000-0000-0000820F0000}"/>
    <cellStyle name="Normal 13 2 8 2 2 2" xfId="7175" xr:uid="{00000000-0005-0000-0000-0000830F0000}"/>
    <cellStyle name="Normal 13 2 8 2 2 2 2" xfId="15608" xr:uid="{00000000-0005-0000-0000-0000840F0000}"/>
    <cellStyle name="Normal 13 2 8 2 2 2 2 2" xfId="27502" xr:uid="{30F274EF-11D1-480D-BFA2-409D9C02AB89}"/>
    <cellStyle name="Normal 13 2 8 2 2 2 2 3" xfId="21842" xr:uid="{1BE05E91-1DBC-424F-8CD3-6E7D95DFA911}"/>
    <cellStyle name="Normal 13 2 8 2 2 2 2 4" xfId="32882" xr:uid="{9CDB2E38-C713-4E51-9E0B-5B6331470931}"/>
    <cellStyle name="Normal 13 2 8 2 2 2 2 5" xfId="36405" xr:uid="{0973B9ED-33EB-43FC-A9A2-5CA0E3392529}"/>
    <cellStyle name="Normal 13 2 8 2 2 2 3" xfId="24669" xr:uid="{311077C7-EB61-405B-9552-C826C7E6E395}"/>
    <cellStyle name="Normal 13 2 8 2 2 2 4" xfId="19009" xr:uid="{70719167-905B-4156-887F-DD10CBC730D4}"/>
    <cellStyle name="Normal 13 2 8 2 2 2 5" xfId="30330" xr:uid="{A4F3F669-8BDE-4A8E-A518-FBB74E385D56}"/>
    <cellStyle name="Normal 13 2 8 2 2 2 6" xfId="36404" xr:uid="{1354752F-5833-4D08-9DD6-3D6033E9B601}"/>
    <cellStyle name="Normal 13 2 8 2 2 3" xfId="14198" xr:uid="{00000000-0005-0000-0000-0000850F0000}"/>
    <cellStyle name="Normal 13 2 8 2 2 3 2" xfId="26237" xr:uid="{2C99F9FF-1F99-4D7D-A341-585D0DD990A2}"/>
    <cellStyle name="Normal 13 2 8 2 2 3 3" xfId="20577" xr:uid="{B33FC42D-68D4-45B9-990F-564E825035AF}"/>
    <cellStyle name="Normal 13 2 8 2 2 3 4" xfId="31617" xr:uid="{9DB36B3B-637C-4E56-ABB7-9B914CF93703}"/>
    <cellStyle name="Normal 13 2 8 2 2 3 5" xfId="36406" xr:uid="{6F1E0359-B510-4B5D-8EAD-5B4E60C74644}"/>
    <cellStyle name="Normal 13 2 8 2 2 4" xfId="23107" xr:uid="{9033727F-1B73-4B29-93B5-E46F3A18FD52}"/>
    <cellStyle name="Normal 13 2 8 2 2 5" xfId="17447" xr:uid="{05741EAF-6D17-4B20-8E46-E73F9B9C313A}"/>
    <cellStyle name="Normal 13 2 8 2 2 6" xfId="28768" xr:uid="{48C01D16-98A1-440F-9028-E6C33F371E74}"/>
    <cellStyle name="Normal 13 2 8 2 2 7" xfId="36403" xr:uid="{6150471F-E5C1-4DB4-9E4A-733B7EA226B1}"/>
    <cellStyle name="Normal 13 2 8 2 3" xfId="6001" xr:uid="{00000000-0005-0000-0000-0000860F0000}"/>
    <cellStyle name="Normal 13 2 8 2 3 2" xfId="7348" xr:uid="{00000000-0005-0000-0000-0000870F0000}"/>
    <cellStyle name="Normal 13 2 8 2 3 2 2" xfId="15781" xr:uid="{00000000-0005-0000-0000-0000880F0000}"/>
    <cellStyle name="Normal 13 2 8 2 3 2 2 2" xfId="27675" xr:uid="{69157FA8-C062-4BD4-8C3E-09D6D698D05F}"/>
    <cellStyle name="Normal 13 2 8 2 3 2 2 3" xfId="22015" xr:uid="{69ECBA6A-3883-41C1-BBC4-56E341FD32FD}"/>
    <cellStyle name="Normal 13 2 8 2 3 2 2 4" xfId="33055" xr:uid="{84A8F813-D949-4E03-A1C0-A5A0A42D5D72}"/>
    <cellStyle name="Normal 13 2 8 2 3 2 2 5" xfId="36409" xr:uid="{13BA035B-EC76-43D3-B76B-C719219C26C9}"/>
    <cellStyle name="Normal 13 2 8 2 3 2 3" xfId="24842" xr:uid="{1C3EAE93-1695-486A-83AB-BCA89630C007}"/>
    <cellStyle name="Normal 13 2 8 2 3 2 4" xfId="19182" xr:uid="{BF07D9E7-1336-46B8-B054-0D7FDBF099F4}"/>
    <cellStyle name="Normal 13 2 8 2 3 2 5" xfId="30503" xr:uid="{6188A209-309D-4B65-BA1D-F0F58CC0EDAA}"/>
    <cellStyle name="Normal 13 2 8 2 3 2 6" xfId="36408" xr:uid="{E368AE76-BED8-4598-AF46-A548D02B28FC}"/>
    <cellStyle name="Normal 13 2 8 2 3 3" xfId="14460" xr:uid="{00000000-0005-0000-0000-0000890F0000}"/>
    <cellStyle name="Normal 13 2 8 2 3 3 2" xfId="26419" xr:uid="{F5F124DC-FA9E-4313-B7A6-C7158883D4EA}"/>
    <cellStyle name="Normal 13 2 8 2 3 3 3" xfId="20759" xr:uid="{8E33BEB8-6E05-4C39-BBE0-6E8BC86AEA79}"/>
    <cellStyle name="Normal 13 2 8 2 3 3 4" xfId="31799" xr:uid="{AA219348-BE6D-4BE3-9A53-9C7FF1252958}"/>
    <cellStyle name="Normal 13 2 8 2 3 3 5" xfId="36410" xr:uid="{7B79E2E1-588B-4635-B49E-547DAEA1FE4F}"/>
    <cellStyle name="Normal 13 2 8 2 3 4" xfId="23586" xr:uid="{A08D928B-0EA6-491B-ABD7-865712879A70}"/>
    <cellStyle name="Normal 13 2 8 2 3 5" xfId="17926" xr:uid="{26D26182-A475-4841-8887-C18B67FB98C0}"/>
    <cellStyle name="Normal 13 2 8 2 3 6" xfId="29247" xr:uid="{6C8059B8-CA58-4F3F-A15C-C43B4A30D19C}"/>
    <cellStyle name="Normal 13 2 8 2 3 7" xfId="36407" xr:uid="{42B187B9-68BC-4090-B318-F0B893DADF20}"/>
    <cellStyle name="Normal 13 2 8 2 4" xfId="6757" xr:uid="{00000000-0005-0000-0000-00008A0F0000}"/>
    <cellStyle name="Normal 13 2 8 2 4 2" xfId="15190" xr:uid="{00000000-0005-0000-0000-00008B0F0000}"/>
    <cellStyle name="Normal 13 2 8 2 4 2 2" xfId="27084" xr:uid="{D3850C1B-9D40-46DE-9BFA-4C976AABD851}"/>
    <cellStyle name="Normal 13 2 8 2 4 2 3" xfId="21424" xr:uid="{9F53688E-C586-4F74-B9E7-0C1CEAA2AE48}"/>
    <cellStyle name="Normal 13 2 8 2 4 2 4" xfId="32464" xr:uid="{14FBCAC5-D934-4D73-9BD6-917E7A228DCC}"/>
    <cellStyle name="Normal 13 2 8 2 4 2 5" xfId="36412" xr:uid="{985EC140-83DC-4B03-BED4-1A8B4CB33600}"/>
    <cellStyle name="Normal 13 2 8 2 4 3" xfId="24251" xr:uid="{DDB518E4-D677-4BF3-AAE0-B310717756E2}"/>
    <cellStyle name="Normal 13 2 8 2 4 4" xfId="18591" xr:uid="{62BD20E4-2554-4863-9086-60596D73C78F}"/>
    <cellStyle name="Normal 13 2 8 2 4 5" xfId="29912" xr:uid="{014C4621-8C77-4911-90AB-5224CCDE790F}"/>
    <cellStyle name="Normal 13 2 8 2 4 6" xfId="36411" xr:uid="{10446B81-0DC3-4311-BC43-2F7BA91A1DE8}"/>
    <cellStyle name="Normal 13 2 8 2 5" xfId="7759" xr:uid="{00000000-0005-0000-0000-00008C0F0000}"/>
    <cellStyle name="Normal 13 2 8 2 5 2" xfId="25246" xr:uid="{C8771E95-3925-4312-81FF-5C7C2FDE98FE}"/>
    <cellStyle name="Normal 13 2 8 2 5 3" xfId="19586" xr:uid="{1A98DF74-9D03-4DD4-8B7B-ADD335D4E084}"/>
    <cellStyle name="Normal 13 2 8 2 5 4" xfId="30907" xr:uid="{33D40E2D-9537-4C60-8906-92EC47F8CF2B}"/>
    <cellStyle name="Normal 13 2 8 2 5 5" xfId="36413" xr:uid="{1457F8D9-02A2-4C18-8EB2-610FAFE6815B}"/>
    <cellStyle name="Normal 13 2 8 2 6" xfId="22689" xr:uid="{6C367A6C-AC4B-46DD-B8E7-E4B702E979F1}"/>
    <cellStyle name="Normal 13 2 8 2 7" xfId="17029" xr:uid="{D74B4539-37C8-48AD-95D3-98ECF06BC472}"/>
    <cellStyle name="Normal 13 2 8 2 8" xfId="28350" xr:uid="{F9876B0B-CCFB-4361-9E46-33164F6390A3}"/>
    <cellStyle name="Normal 13 2 8 2 9" xfId="36402" xr:uid="{DC4C7931-4442-483A-9B83-558E8129E5AB}"/>
    <cellStyle name="Normal 13 2 8 3" xfId="5103" xr:uid="{00000000-0005-0000-0000-00008D0F0000}"/>
    <cellStyle name="Normal 13 2 8 3 2" xfId="6000" xr:uid="{00000000-0005-0000-0000-00008E0F0000}"/>
    <cellStyle name="Normal 13 2 8 3 2 2" xfId="7347" xr:uid="{00000000-0005-0000-0000-00008F0F0000}"/>
    <cellStyle name="Normal 13 2 8 3 2 2 2" xfId="15780" xr:uid="{00000000-0005-0000-0000-0000900F0000}"/>
    <cellStyle name="Normal 13 2 8 3 2 2 2 2" xfId="27674" xr:uid="{0F4FF59D-20A8-4858-966D-8665E21AEC35}"/>
    <cellStyle name="Normal 13 2 8 3 2 2 2 3" xfId="22014" xr:uid="{E4C9B613-CC46-4214-B9B7-BECFEA021C5A}"/>
    <cellStyle name="Normal 13 2 8 3 2 2 2 4" xfId="33054" xr:uid="{FDBC6D81-4375-4CD5-9D50-77D98ADB1A77}"/>
    <cellStyle name="Normal 13 2 8 3 2 2 2 5" xfId="36417" xr:uid="{87121718-81F0-4D4F-A69C-C1D42B441EED}"/>
    <cellStyle name="Normal 13 2 8 3 2 2 3" xfId="24841" xr:uid="{F8C63C83-4ED2-4EFC-A59F-2813E273A944}"/>
    <cellStyle name="Normal 13 2 8 3 2 2 4" xfId="19181" xr:uid="{1B790FFE-A837-4E50-871F-0B46DEED05CF}"/>
    <cellStyle name="Normal 13 2 8 3 2 2 5" xfId="30502" xr:uid="{2A27E76A-A111-4F3C-91D6-F00F45E2EFEE}"/>
    <cellStyle name="Normal 13 2 8 3 2 2 6" xfId="36416" xr:uid="{C882EE59-F99B-407F-B35C-60838C019CBD}"/>
    <cellStyle name="Normal 13 2 8 3 2 3" xfId="14459" xr:uid="{00000000-0005-0000-0000-0000910F0000}"/>
    <cellStyle name="Normal 13 2 8 3 2 3 2" xfId="26418" xr:uid="{F47248BD-EF19-4E39-A43D-0B3D4BAA8E21}"/>
    <cellStyle name="Normal 13 2 8 3 2 3 3" xfId="20758" xr:uid="{0084E9CB-17C3-47D9-8A13-D3F6EB5A1E85}"/>
    <cellStyle name="Normal 13 2 8 3 2 3 4" xfId="31798" xr:uid="{D0191E96-5A54-4395-AE84-938CE6A58D23}"/>
    <cellStyle name="Normal 13 2 8 3 2 3 5" xfId="36418" xr:uid="{5BFFE5C7-B6A7-4B20-86EF-1A04917E4BB4}"/>
    <cellStyle name="Normal 13 2 8 3 2 4" xfId="23585" xr:uid="{FC096938-AE83-4703-9962-FEE36383C268}"/>
    <cellStyle name="Normal 13 2 8 3 2 5" xfId="17925" xr:uid="{BB2CF413-6703-41A3-BC0C-AAAE063981B8}"/>
    <cellStyle name="Normal 13 2 8 3 2 6" xfId="29246" xr:uid="{5091EBD2-7E8D-460F-B6B6-B3C0C1C29B21}"/>
    <cellStyle name="Normal 13 2 8 3 2 7" xfId="36415" xr:uid="{EE2A65F2-1587-4091-A3C2-86B39A1B1705}"/>
    <cellStyle name="Normal 13 2 8 3 3" xfId="6966" xr:uid="{00000000-0005-0000-0000-0000920F0000}"/>
    <cellStyle name="Normal 13 2 8 3 3 2" xfId="15399" xr:uid="{00000000-0005-0000-0000-0000930F0000}"/>
    <cellStyle name="Normal 13 2 8 3 3 2 2" xfId="27293" xr:uid="{216604C6-E89D-4D11-A3D9-701209E48C7F}"/>
    <cellStyle name="Normal 13 2 8 3 3 2 3" xfId="21633" xr:uid="{BC2760F2-1430-44FE-BCDA-D76942B01E4F}"/>
    <cellStyle name="Normal 13 2 8 3 3 2 4" xfId="32673" xr:uid="{06904BAE-1FFD-479A-ABC8-2B0AEC31CD7D}"/>
    <cellStyle name="Normal 13 2 8 3 3 2 5" xfId="36420" xr:uid="{E5CCF820-02BD-42A3-8365-745442FD8365}"/>
    <cellStyle name="Normal 13 2 8 3 3 3" xfId="24460" xr:uid="{1146CAF1-4DFE-496D-9E6C-7F7118C7B067}"/>
    <cellStyle name="Normal 13 2 8 3 3 4" xfId="18800" xr:uid="{F50A6B7F-2C23-4135-A5E7-C58911F3619F}"/>
    <cellStyle name="Normal 13 2 8 3 3 5" xfId="30121" xr:uid="{C301E58E-8FF3-406E-A25C-E25A692B1681}"/>
    <cellStyle name="Normal 13 2 8 3 3 6" xfId="36419" xr:uid="{6C36C104-532C-4F64-9F25-134C9CF1CE9B}"/>
    <cellStyle name="Normal 13 2 8 3 4" xfId="13990" xr:uid="{00000000-0005-0000-0000-0000940F0000}"/>
    <cellStyle name="Normal 13 2 8 3 4 2" xfId="26029" xr:uid="{3417A046-1E9F-48DC-8C85-1B9B4BD0389D}"/>
    <cellStyle name="Normal 13 2 8 3 4 3" xfId="20369" xr:uid="{44B375F3-CAB5-4DCB-A880-0AE7B5CEDDD4}"/>
    <cellStyle name="Normal 13 2 8 3 4 4" xfId="31409" xr:uid="{6D4D6940-6BDA-43CC-9BD5-DC695E1ACAD1}"/>
    <cellStyle name="Normal 13 2 8 3 4 5" xfId="36421" xr:uid="{948AED2B-CC12-43ED-BA7C-EF63303F058F}"/>
    <cellStyle name="Normal 13 2 8 3 5" xfId="22898" xr:uid="{6C3E76C8-A1E0-497D-893D-D0F1A67399F7}"/>
    <cellStyle name="Normal 13 2 8 3 6" xfId="17238" xr:uid="{AC25A67F-B8F4-4EA1-A885-A71270E81238}"/>
    <cellStyle name="Normal 13 2 8 3 7" xfId="28559" xr:uid="{3082E82A-FCB4-4C23-A890-410BDC299B68}"/>
    <cellStyle name="Normal 13 2 8 3 8" xfId="36414" xr:uid="{080F6BC8-09DE-4404-9C4C-001FC1716456}"/>
    <cellStyle name="Normal 13 2 8 4" xfId="5635" xr:uid="{00000000-0005-0000-0000-0000950F0000}"/>
    <cellStyle name="Normal 13 2 8 4 2" xfId="36422" xr:uid="{9168921E-FC5E-4B24-8EF0-07BD5524D27C}"/>
    <cellStyle name="Normal 13 2 8 5" xfId="6548" xr:uid="{00000000-0005-0000-0000-0000960F0000}"/>
    <cellStyle name="Normal 13 2 8 5 2" xfId="14981" xr:uid="{00000000-0005-0000-0000-0000970F0000}"/>
    <cellStyle name="Normal 13 2 8 5 2 2" xfId="26875" xr:uid="{BDC2FE2E-A184-475E-A127-7E48231020A1}"/>
    <cellStyle name="Normal 13 2 8 5 2 3" xfId="21215" xr:uid="{03818856-E67D-42A0-B8F4-519015098D02}"/>
    <cellStyle name="Normal 13 2 8 5 2 4" xfId="32255" xr:uid="{E2C23997-0E86-402A-B841-2BD884976616}"/>
    <cellStyle name="Normal 13 2 8 5 2 5" xfId="36424" xr:uid="{DE169A43-607A-4A28-825F-DB7232CC82F0}"/>
    <cellStyle name="Normal 13 2 8 5 3" xfId="24042" xr:uid="{ED81C923-644E-49FB-9909-203EA48F33EE}"/>
    <cellStyle name="Normal 13 2 8 5 4" xfId="18382" xr:uid="{348CA2CA-0EF5-416B-8AE4-67514F0F6392}"/>
    <cellStyle name="Normal 13 2 8 5 5" xfId="29703" xr:uid="{E4FF6186-F01D-4A07-B758-571029D5D413}"/>
    <cellStyle name="Normal 13 2 8 5 6" xfId="36423" xr:uid="{14AB3B90-39EF-49AB-8588-D24D006F9DFE}"/>
    <cellStyle name="Normal 13 2 8 6" xfId="7758" xr:uid="{00000000-0005-0000-0000-0000980F0000}"/>
    <cellStyle name="Normal 13 2 8 6 2" xfId="25245" xr:uid="{4FD9C164-AB49-4568-BB32-F82289326389}"/>
    <cellStyle name="Normal 13 2 8 6 3" xfId="19585" xr:uid="{6E79B43F-72A9-4887-9E0F-794658699A39}"/>
    <cellStyle name="Normal 13 2 8 6 4" xfId="30906" xr:uid="{9A041B0A-8D77-4DC2-A732-DDEA1C391358}"/>
    <cellStyle name="Normal 13 2 8 6 5" xfId="36425" xr:uid="{0507F91E-42A9-4D81-8B23-000C3563AEED}"/>
    <cellStyle name="Normal 13 2 8 7" xfId="22480" xr:uid="{549B6497-4955-41BE-98E6-63DC59414A36}"/>
    <cellStyle name="Normal 13 2 8 8" xfId="16820" xr:uid="{605E3577-AECB-4BF8-B372-DF43CAF9F3AC}"/>
    <cellStyle name="Normal 13 2 8 9" xfId="28141" xr:uid="{8FD0A757-8AB4-4B24-B04E-DCF44C595025}"/>
    <cellStyle name="Normal 13 2 9" xfId="4081" xr:uid="{00000000-0005-0000-0000-0000990F0000}"/>
    <cellStyle name="Normal 13 2 9 2" xfId="36426" xr:uid="{6C0E9EF1-61CC-4632-8BF3-AAA89A4F4ACD}"/>
    <cellStyle name="Normal 13 20" xfId="4089" xr:uid="{00000000-0005-0000-0000-00009A0F0000}"/>
    <cellStyle name="Normal 13 20 2" xfId="36427" xr:uid="{A34DD7E3-09F0-4489-8CB6-1AB9116D6120}"/>
    <cellStyle name="Normal 13 21" xfId="4090" xr:uid="{00000000-0005-0000-0000-00009B0F0000}"/>
    <cellStyle name="Normal 13 21 2" xfId="36428" xr:uid="{23C8C8AB-D113-4249-9AAD-CE7B6047B9C8}"/>
    <cellStyle name="Normal 13 22" xfId="4091" xr:uid="{00000000-0005-0000-0000-00009C0F0000}"/>
    <cellStyle name="Normal 13 22 2" xfId="36429" xr:uid="{DBC9CDF7-9AC8-4864-8F5F-F8D3057C934F}"/>
    <cellStyle name="Normal 13 23" xfId="4092" xr:uid="{00000000-0005-0000-0000-00009D0F0000}"/>
    <cellStyle name="Normal 13 23 2" xfId="36430" xr:uid="{4FD805AA-7DE2-4C82-9C27-C1DC9CA956CF}"/>
    <cellStyle name="Normal 13 24" xfId="4093" xr:uid="{00000000-0005-0000-0000-00009E0F0000}"/>
    <cellStyle name="Normal 13 24 2" xfId="36431" xr:uid="{E84E27CA-91F0-440B-8D32-B3F9F5369B4A}"/>
    <cellStyle name="Normal 13 25" xfId="4094" xr:uid="{00000000-0005-0000-0000-00009F0F0000}"/>
    <cellStyle name="Normal 13 25 2" xfId="36432" xr:uid="{B92DED53-B447-4D98-9D7C-10D421DD1EB0}"/>
    <cellStyle name="Normal 13 26" xfId="4095" xr:uid="{00000000-0005-0000-0000-0000A00F0000}"/>
    <cellStyle name="Normal 13 26 2" xfId="36433" xr:uid="{72C33512-1D4F-4FB3-A828-CD1ACE75EA08}"/>
    <cellStyle name="Normal 13 27" xfId="4096" xr:uid="{00000000-0005-0000-0000-0000A10F0000}"/>
    <cellStyle name="Normal 13 27 2" xfId="36434" xr:uid="{9F155DE6-B357-40D7-8466-4FD786679000}"/>
    <cellStyle name="Normal 13 28" xfId="4097" xr:uid="{00000000-0005-0000-0000-0000A20F0000}"/>
    <cellStyle name="Normal 13 28 2" xfId="36435" xr:uid="{AA9B5327-BE96-4A28-86C9-C184DCF6CC65}"/>
    <cellStyle name="Normal 13 29" xfId="4098" xr:uid="{00000000-0005-0000-0000-0000A30F0000}"/>
    <cellStyle name="Normal 13 29 2" xfId="36436" xr:uid="{77208C4F-F99F-403A-A001-28E6B6E0C9BF}"/>
    <cellStyle name="Normal 13 3" xfId="2015" xr:uid="{00000000-0005-0000-0000-0000A40F0000}"/>
    <cellStyle name="Normal 13 3 2" xfId="4099" xr:uid="{00000000-0005-0000-0000-0000A50F0000}"/>
    <cellStyle name="Normal 13 3 2 10" xfId="36438" xr:uid="{6F425D66-C1EF-4698-9A64-55B578492A59}"/>
    <cellStyle name="Normal 13 3 2 2" xfId="4894" xr:uid="{00000000-0005-0000-0000-0000A60F0000}"/>
    <cellStyle name="Normal 13 3 2 2 2" xfId="5313" xr:uid="{00000000-0005-0000-0000-0000A70F0000}"/>
    <cellStyle name="Normal 13 3 2 2 2 2" xfId="7176" xr:uid="{00000000-0005-0000-0000-0000A80F0000}"/>
    <cellStyle name="Normal 13 3 2 2 2 2 2" xfId="15609" xr:uid="{00000000-0005-0000-0000-0000A90F0000}"/>
    <cellStyle name="Normal 13 3 2 2 2 2 2 2" xfId="27503" xr:uid="{E0827AED-BC5E-4759-B47A-9F5D2D1D615F}"/>
    <cellStyle name="Normal 13 3 2 2 2 2 2 3" xfId="21843" xr:uid="{2A4CFF04-4344-4277-96D2-10BC800D6FF5}"/>
    <cellStyle name="Normal 13 3 2 2 2 2 2 4" xfId="32883" xr:uid="{83567C40-F44B-408A-83A9-AFEE2629D96D}"/>
    <cellStyle name="Normal 13 3 2 2 2 2 2 5" xfId="36442" xr:uid="{3C8F43E6-A31F-4DA6-A23F-97B70050BEBB}"/>
    <cellStyle name="Normal 13 3 2 2 2 2 3" xfId="24670" xr:uid="{11530852-191F-4074-A763-777AC41E01DD}"/>
    <cellStyle name="Normal 13 3 2 2 2 2 4" xfId="19010" xr:uid="{39EAFCBC-3374-4E00-BEA9-5935A4748BC7}"/>
    <cellStyle name="Normal 13 3 2 2 2 2 5" xfId="30331" xr:uid="{E08260F9-6DB9-491E-A325-53E09727AE95}"/>
    <cellStyle name="Normal 13 3 2 2 2 2 6" xfId="36441" xr:uid="{2409D65E-831C-46CC-9C66-028FDA64AF2B}"/>
    <cellStyle name="Normal 13 3 2 2 2 3" xfId="14199" xr:uid="{00000000-0005-0000-0000-0000AA0F0000}"/>
    <cellStyle name="Normal 13 3 2 2 2 3 2" xfId="26238" xr:uid="{F7B03634-AB00-44F6-8D92-4A2BC0A2A11B}"/>
    <cellStyle name="Normal 13 3 2 2 2 3 3" xfId="20578" xr:uid="{F96A1AE5-E438-4B9E-8A93-72CCED8D8832}"/>
    <cellStyle name="Normal 13 3 2 2 2 3 4" xfId="31618" xr:uid="{AFC891CD-F8F2-4B94-88B4-AD346614B9B8}"/>
    <cellStyle name="Normal 13 3 2 2 2 3 5" xfId="36443" xr:uid="{47FF97C8-9F54-4D44-8E11-643027FB4F01}"/>
    <cellStyle name="Normal 13 3 2 2 2 4" xfId="23108" xr:uid="{ED8E8F2C-F3AA-4D39-BD15-A76C46EC5FC9}"/>
    <cellStyle name="Normal 13 3 2 2 2 5" xfId="17448" xr:uid="{B9AD965A-4BA2-4991-B28E-5C2D223D2479}"/>
    <cellStyle name="Normal 13 3 2 2 2 6" xfId="28769" xr:uid="{78E91414-E3B4-4ED1-8BAD-FF75C8C7E275}"/>
    <cellStyle name="Normal 13 3 2 2 2 7" xfId="36440" xr:uid="{79378AA8-74A4-46C2-8FB8-697D0FD8AAB4}"/>
    <cellStyle name="Normal 13 3 2 2 3" xfId="6004" xr:uid="{00000000-0005-0000-0000-0000AB0F0000}"/>
    <cellStyle name="Normal 13 3 2 2 3 2" xfId="7350" xr:uid="{00000000-0005-0000-0000-0000AC0F0000}"/>
    <cellStyle name="Normal 13 3 2 2 3 2 2" xfId="15783" xr:uid="{00000000-0005-0000-0000-0000AD0F0000}"/>
    <cellStyle name="Normal 13 3 2 2 3 2 2 2" xfId="27677" xr:uid="{3E862121-CB18-4624-9116-96EE856D3DFC}"/>
    <cellStyle name="Normal 13 3 2 2 3 2 2 3" xfId="22017" xr:uid="{D8D10FA9-1A51-4FC8-A615-46D9D919A4A1}"/>
    <cellStyle name="Normal 13 3 2 2 3 2 2 4" xfId="33057" xr:uid="{D4B42923-DF8A-419E-B381-55A764D0ED90}"/>
    <cellStyle name="Normal 13 3 2 2 3 2 2 5" xfId="36446" xr:uid="{F6FF6ABA-1D8E-4B04-9109-7672989AB945}"/>
    <cellStyle name="Normal 13 3 2 2 3 2 3" xfId="24844" xr:uid="{06EA3288-DA45-4D90-91F2-32FFEFF54CDC}"/>
    <cellStyle name="Normal 13 3 2 2 3 2 4" xfId="19184" xr:uid="{53E83E32-9405-48B4-BFB8-615CFBBC308B}"/>
    <cellStyle name="Normal 13 3 2 2 3 2 5" xfId="30505" xr:uid="{A77DC0B4-9F1E-419D-99CE-9E2D916F515F}"/>
    <cellStyle name="Normal 13 3 2 2 3 2 6" xfId="36445" xr:uid="{163339B2-7D1E-4A91-9D3E-2AFC2B920BC4}"/>
    <cellStyle name="Normal 13 3 2 2 3 3" xfId="14462" xr:uid="{00000000-0005-0000-0000-0000AE0F0000}"/>
    <cellStyle name="Normal 13 3 2 2 3 3 2" xfId="26421" xr:uid="{2E104DE5-2820-488E-B993-30091F645F52}"/>
    <cellStyle name="Normal 13 3 2 2 3 3 3" xfId="20761" xr:uid="{63445068-DE1C-4EFF-8025-4A6F7AE97457}"/>
    <cellStyle name="Normal 13 3 2 2 3 3 4" xfId="31801" xr:uid="{74A67B94-BA78-4354-9E84-F175A503A5DF}"/>
    <cellStyle name="Normal 13 3 2 2 3 3 5" xfId="36447" xr:uid="{DE7D8DB0-E8DE-4C69-98B6-B7F752D34B18}"/>
    <cellStyle name="Normal 13 3 2 2 3 4" xfId="23588" xr:uid="{BD66EFD3-EC02-4A7B-AA24-A0E5B82B7320}"/>
    <cellStyle name="Normal 13 3 2 2 3 5" xfId="17928" xr:uid="{0EF932E1-F9BD-4E65-A285-271D69425D96}"/>
    <cellStyle name="Normal 13 3 2 2 3 6" xfId="29249" xr:uid="{1C708503-915D-403A-A277-DD9D1A16EFBF}"/>
    <cellStyle name="Normal 13 3 2 2 3 7" xfId="36444" xr:uid="{5CA5078B-5C46-4EDA-994A-8A6E459011FE}"/>
    <cellStyle name="Normal 13 3 2 2 4" xfId="6758" xr:uid="{00000000-0005-0000-0000-0000AF0F0000}"/>
    <cellStyle name="Normal 13 3 2 2 4 2" xfId="15191" xr:uid="{00000000-0005-0000-0000-0000B00F0000}"/>
    <cellStyle name="Normal 13 3 2 2 4 2 2" xfId="27085" xr:uid="{BB9C55F4-CC0A-4C1E-A6DA-02532CCFC775}"/>
    <cellStyle name="Normal 13 3 2 2 4 2 3" xfId="21425" xr:uid="{3E25B4FC-DE70-4E68-9C6F-2928812398DC}"/>
    <cellStyle name="Normal 13 3 2 2 4 2 4" xfId="32465" xr:uid="{14AB5E8A-0D89-4D8A-A592-153AD465CDB0}"/>
    <cellStyle name="Normal 13 3 2 2 4 2 5" xfId="36449" xr:uid="{125D58A7-873B-43AF-8251-4EF475EE3210}"/>
    <cellStyle name="Normal 13 3 2 2 4 3" xfId="24252" xr:uid="{6B14EDD9-EDE4-43D1-8078-2FE2EEDA5497}"/>
    <cellStyle name="Normal 13 3 2 2 4 4" xfId="18592" xr:uid="{28024E72-796D-4223-B652-0426059D70DA}"/>
    <cellStyle name="Normal 13 3 2 2 4 5" xfId="29913" xr:uid="{01D72228-901F-4505-9243-490167F26E04}"/>
    <cellStyle name="Normal 13 3 2 2 4 6" xfId="36448" xr:uid="{573A2DC8-3940-4186-8B78-26CFE438FCA3}"/>
    <cellStyle name="Normal 13 3 2 2 5" xfId="7762" xr:uid="{00000000-0005-0000-0000-0000B10F0000}"/>
    <cellStyle name="Normal 13 3 2 2 5 2" xfId="25249" xr:uid="{AA824C46-ABBE-4302-9101-E368C82A041D}"/>
    <cellStyle name="Normal 13 3 2 2 5 3" xfId="19589" xr:uid="{0DD5DF34-926D-4517-BCAE-2AF9241BB7AB}"/>
    <cellStyle name="Normal 13 3 2 2 5 4" xfId="30910" xr:uid="{B6C2E3FD-29C3-4164-80CE-B07D5003554A}"/>
    <cellStyle name="Normal 13 3 2 2 5 5" xfId="36450" xr:uid="{7377A4F0-B04C-4ABA-A581-6D92BC7395E1}"/>
    <cellStyle name="Normal 13 3 2 2 6" xfId="22690" xr:uid="{4AA0AE63-EBDB-4555-9D75-AD6976E1753D}"/>
    <cellStyle name="Normal 13 3 2 2 7" xfId="17030" xr:uid="{044DE60A-4802-4B41-95B8-531145A4EB9C}"/>
    <cellStyle name="Normal 13 3 2 2 8" xfId="28351" xr:uid="{7A1CF30A-0C0A-4C56-815A-5B06C871658A}"/>
    <cellStyle name="Normal 13 3 2 2 9" xfId="36439" xr:uid="{F225F448-9FAF-4B09-A3D8-51B3B19A590D}"/>
    <cellStyle name="Normal 13 3 2 3" xfId="5104" xr:uid="{00000000-0005-0000-0000-0000B20F0000}"/>
    <cellStyle name="Normal 13 3 2 3 2" xfId="6967" xr:uid="{00000000-0005-0000-0000-0000B30F0000}"/>
    <cellStyle name="Normal 13 3 2 3 2 2" xfId="15400" xr:uid="{00000000-0005-0000-0000-0000B40F0000}"/>
    <cellStyle name="Normal 13 3 2 3 2 2 2" xfId="27294" xr:uid="{AA8CD34A-7ACA-43B7-97A2-E3E5B311D197}"/>
    <cellStyle name="Normal 13 3 2 3 2 2 3" xfId="21634" xr:uid="{D0919C2A-4689-420B-B838-1183EF6F31B1}"/>
    <cellStyle name="Normal 13 3 2 3 2 2 4" xfId="32674" xr:uid="{FA454E19-E39C-46DB-8F34-FA71E8C834CE}"/>
    <cellStyle name="Normal 13 3 2 3 2 2 5" xfId="36453" xr:uid="{490DCF08-8D70-4F1E-8140-665EB2E79223}"/>
    <cellStyle name="Normal 13 3 2 3 2 3" xfId="24461" xr:uid="{F469B1DA-3F67-49F8-AD25-7A5A74165C57}"/>
    <cellStyle name="Normal 13 3 2 3 2 4" xfId="18801" xr:uid="{54FC6B8E-0E07-4DF1-AED4-02ED7E49916C}"/>
    <cellStyle name="Normal 13 3 2 3 2 5" xfId="30122" xr:uid="{1DCB9F36-3F94-444A-9BA8-B20B8A0496F3}"/>
    <cellStyle name="Normal 13 3 2 3 2 6" xfId="36452" xr:uid="{9D8EC8C6-A67B-4868-9985-9BF6EAE5D357}"/>
    <cellStyle name="Normal 13 3 2 3 3" xfId="13991" xr:uid="{00000000-0005-0000-0000-0000B50F0000}"/>
    <cellStyle name="Normal 13 3 2 3 3 2" xfId="26030" xr:uid="{B0796136-900F-4B87-BB09-81979D904BB1}"/>
    <cellStyle name="Normal 13 3 2 3 3 3" xfId="20370" xr:uid="{7ED2A47B-A054-467E-9C97-B0B86066F780}"/>
    <cellStyle name="Normal 13 3 2 3 3 4" xfId="31410" xr:uid="{EFFB4E1F-2D3D-471A-87D3-D1FBFDDAAB45}"/>
    <cellStyle name="Normal 13 3 2 3 3 5" xfId="36454" xr:uid="{965BA869-8072-44B6-AF40-3D45D3F96BFE}"/>
    <cellStyle name="Normal 13 3 2 3 4" xfId="22899" xr:uid="{BB71578C-AC18-4669-A40A-2B543D054758}"/>
    <cellStyle name="Normal 13 3 2 3 5" xfId="17239" xr:uid="{40E5C9EE-D96F-4C15-86CE-17B6C3917564}"/>
    <cellStyle name="Normal 13 3 2 3 6" xfId="28560" xr:uid="{719B6F97-527C-4691-86B9-897D0D8495C9}"/>
    <cellStyle name="Normal 13 3 2 3 7" xfId="36451" xr:uid="{0467DD95-605D-45FF-9FB7-BA76D1A071D2}"/>
    <cellStyle name="Normal 13 3 2 4" xfId="6003" xr:uid="{00000000-0005-0000-0000-0000B60F0000}"/>
    <cellStyle name="Normal 13 3 2 4 2" xfId="7349" xr:uid="{00000000-0005-0000-0000-0000B70F0000}"/>
    <cellStyle name="Normal 13 3 2 4 2 2" xfId="15782" xr:uid="{00000000-0005-0000-0000-0000B80F0000}"/>
    <cellStyle name="Normal 13 3 2 4 2 2 2" xfId="27676" xr:uid="{10D299A5-3BD4-4B34-A285-0712A4470747}"/>
    <cellStyle name="Normal 13 3 2 4 2 2 3" xfId="22016" xr:uid="{24A5DEA9-81C1-4266-AD9B-F5EF1F040AFD}"/>
    <cellStyle name="Normal 13 3 2 4 2 2 4" xfId="33056" xr:uid="{7B4AB037-AF56-4D51-865E-8D90607FF7BA}"/>
    <cellStyle name="Normal 13 3 2 4 2 2 5" xfId="36457" xr:uid="{DB2CD4BE-1942-4DBA-A801-EF255AA9CA0E}"/>
    <cellStyle name="Normal 13 3 2 4 2 3" xfId="24843" xr:uid="{C84D596D-669D-47CB-9BA7-D3E6468AD882}"/>
    <cellStyle name="Normal 13 3 2 4 2 4" xfId="19183" xr:uid="{9ACD0425-8ECE-4DFB-B27B-71D52B783AEE}"/>
    <cellStyle name="Normal 13 3 2 4 2 5" xfId="30504" xr:uid="{C2264F6A-E616-4949-A951-FC37EEECF772}"/>
    <cellStyle name="Normal 13 3 2 4 2 6" xfId="36456" xr:uid="{0888F780-7B1F-40D5-B0C3-D4889BAEE319}"/>
    <cellStyle name="Normal 13 3 2 4 3" xfId="14461" xr:uid="{00000000-0005-0000-0000-0000B90F0000}"/>
    <cellStyle name="Normal 13 3 2 4 3 2" xfId="26420" xr:uid="{7EFD6CBC-90F3-448B-A35B-5D37D20D0C45}"/>
    <cellStyle name="Normal 13 3 2 4 3 3" xfId="20760" xr:uid="{1E3B3674-55B8-4A57-AC4E-193753EDCF5A}"/>
    <cellStyle name="Normal 13 3 2 4 3 4" xfId="31800" xr:uid="{7A555EC1-89D4-4121-88BE-473D0FBD47BF}"/>
    <cellStyle name="Normal 13 3 2 4 3 5" xfId="36458" xr:uid="{448FE957-03EC-4E70-984D-857E2079B4C3}"/>
    <cellStyle name="Normal 13 3 2 4 4" xfId="23587" xr:uid="{0E0AEA26-C541-4A17-BF18-5169FD81F249}"/>
    <cellStyle name="Normal 13 3 2 4 5" xfId="17927" xr:uid="{943753DE-0188-4AE9-B77B-874DC554DA5B}"/>
    <cellStyle name="Normal 13 3 2 4 6" xfId="29248" xr:uid="{52B7C881-8D44-43B5-8E51-8BFE6BE7657A}"/>
    <cellStyle name="Normal 13 3 2 4 7" xfId="36455" xr:uid="{9D6A1145-5706-4101-B3A9-18E268F8AA96}"/>
    <cellStyle name="Normal 13 3 2 5" xfId="6549" xr:uid="{00000000-0005-0000-0000-0000BA0F0000}"/>
    <cellStyle name="Normal 13 3 2 5 2" xfId="14982" xr:uid="{00000000-0005-0000-0000-0000BB0F0000}"/>
    <cellStyle name="Normal 13 3 2 5 2 2" xfId="26876" xr:uid="{98E73111-E065-4345-A92D-821A4358D04E}"/>
    <cellStyle name="Normal 13 3 2 5 2 3" xfId="21216" xr:uid="{FAFF2460-C2C3-4216-887C-B261EF2A6210}"/>
    <cellStyle name="Normal 13 3 2 5 2 4" xfId="32256" xr:uid="{A32B07D6-E964-4DB0-87EF-2C1B1F7D2062}"/>
    <cellStyle name="Normal 13 3 2 5 2 5" xfId="36460" xr:uid="{1220A82C-028F-447E-B571-71D99CAE509E}"/>
    <cellStyle name="Normal 13 3 2 5 3" xfId="24043" xr:uid="{39A80490-4150-4D05-9CFB-97D6720DD6CB}"/>
    <cellStyle name="Normal 13 3 2 5 4" xfId="18383" xr:uid="{C2943614-12FF-4796-98ED-994FF0F8431E}"/>
    <cellStyle name="Normal 13 3 2 5 5" xfId="29704" xr:uid="{18293A3B-89DC-47AC-9134-696D82411C6E}"/>
    <cellStyle name="Normal 13 3 2 5 6" xfId="36459" xr:uid="{E02926AC-AEE9-464B-A624-51365056F767}"/>
    <cellStyle name="Normal 13 3 2 6" xfId="7761" xr:uid="{00000000-0005-0000-0000-0000BC0F0000}"/>
    <cellStyle name="Normal 13 3 2 6 2" xfId="25248" xr:uid="{B4EF3246-EE5F-49A1-995B-CC5AB00E23FE}"/>
    <cellStyle name="Normal 13 3 2 6 3" xfId="19588" xr:uid="{13CD2885-1AB6-4863-90B9-61C922A9D20C}"/>
    <cellStyle name="Normal 13 3 2 6 4" xfId="30909" xr:uid="{E75E32F7-CB70-4723-859F-F452BD3C1AA2}"/>
    <cellStyle name="Normal 13 3 2 6 5" xfId="36461" xr:uid="{4F1985F7-C806-40CF-B242-E2648317C4B1}"/>
    <cellStyle name="Normal 13 3 2 7" xfId="22481" xr:uid="{247B30BC-3ABD-48DA-A981-BB6BA9A518A4}"/>
    <cellStyle name="Normal 13 3 2 8" xfId="16821" xr:uid="{9E9B7F69-1CE8-4738-9549-533D16BC50C6}"/>
    <cellStyle name="Normal 13 3 2 9" xfId="28142" xr:uid="{353D64C0-02F8-47F9-BCC7-144C01CED091}"/>
    <cellStyle name="Normal 13 3 3" xfId="6002" xr:uid="{00000000-0005-0000-0000-0000BD0F0000}"/>
    <cellStyle name="Normal 13 3 3 2" xfId="36462" xr:uid="{57B889D7-48F4-45A8-AD30-3FFAA21F8E0A}"/>
    <cellStyle name="Normal 13 3 4" xfId="5636" xr:uid="{00000000-0005-0000-0000-0000BE0F0000}"/>
    <cellStyle name="Normal 13 3 4 2" xfId="36463" xr:uid="{479A0C98-CE3C-4D2B-8D88-5A6EBB013A05}"/>
    <cellStyle name="Normal 13 3 5" xfId="7760" xr:uid="{00000000-0005-0000-0000-0000BF0F0000}"/>
    <cellStyle name="Normal 13 3 5 2" xfId="25247" xr:uid="{56D81D61-D417-4C62-A628-6AB5F053ECE1}"/>
    <cellStyle name="Normal 13 3 5 3" xfId="19587" xr:uid="{AD2A22C0-984D-4C5D-B116-D801F8A81FA0}"/>
    <cellStyle name="Normal 13 3 5 4" xfId="30908" xr:uid="{D8D6DE37-09BC-4BD0-8300-8BAF68F0E569}"/>
    <cellStyle name="Normal 13 3 5 5" xfId="36464" xr:uid="{587EB791-231D-4109-8C1D-DED803A0AE5A}"/>
    <cellStyle name="Normal 13 3 6" xfId="36437" xr:uid="{5B98B1BC-9D6A-4CC3-A89A-4E204E3F2410}"/>
    <cellStyle name="Normal 13 30" xfId="4100" xr:uid="{00000000-0005-0000-0000-0000C00F0000}"/>
    <cellStyle name="Normal 13 30 2" xfId="36465" xr:uid="{0D8568A2-182A-4399-A671-0D2444AB0E2D}"/>
    <cellStyle name="Normal 13 31" xfId="4101" xr:uid="{00000000-0005-0000-0000-0000C10F0000}"/>
    <cellStyle name="Normal 13 31 2" xfId="36466" xr:uid="{1E911421-BF57-40D8-842A-5EF03D846A44}"/>
    <cellStyle name="Normal 13 32" xfId="4102" xr:uid="{00000000-0005-0000-0000-0000C20F0000}"/>
    <cellStyle name="Normal 13 32 2" xfId="36467" xr:uid="{69B30522-A1B8-4C8F-85F7-7064A70A2AE3}"/>
    <cellStyle name="Normal 13 33" xfId="4103" xr:uid="{00000000-0005-0000-0000-0000C30F0000}"/>
    <cellStyle name="Normal 13 33 2" xfId="36468" xr:uid="{CFA55817-D920-408C-82D4-ED8DA72C3589}"/>
    <cellStyle name="Normal 13 34" xfId="4104" xr:uid="{00000000-0005-0000-0000-0000C40F0000}"/>
    <cellStyle name="Normal 13 34 2" xfId="36469" xr:uid="{05D7D8A0-78BE-4D1E-8D89-E374683D98C0}"/>
    <cellStyle name="Normal 13 35" xfId="4105" xr:uid="{00000000-0005-0000-0000-0000C50F0000}"/>
    <cellStyle name="Normal 13 35 2" xfId="36470" xr:uid="{3BB0E9A4-B0DF-439E-92ED-574E87771AA0}"/>
    <cellStyle name="Normal 13 36" xfId="4106" xr:uid="{00000000-0005-0000-0000-0000C60F0000}"/>
    <cellStyle name="Normal 13 36 2" xfId="36471" xr:uid="{BC3354B7-16B0-471B-99C3-DFBA1CB788AE}"/>
    <cellStyle name="Normal 13 37" xfId="4107" xr:uid="{00000000-0005-0000-0000-0000C70F0000}"/>
    <cellStyle name="Normal 13 37 2" xfId="36472" xr:uid="{AE399220-F0F0-429A-A59F-11B89746F1E1}"/>
    <cellStyle name="Normal 13 38" xfId="4108" xr:uid="{00000000-0005-0000-0000-0000C80F0000}"/>
    <cellStyle name="Normal 13 38 2" xfId="36473" xr:uid="{1D20AA7F-38D6-44B2-8FA6-757B38CB8007}"/>
    <cellStyle name="Normal 13 39" xfId="4812" xr:uid="{00000000-0005-0000-0000-0000C90F0000}"/>
    <cellStyle name="Normal 13 39 2" xfId="5234" xr:uid="{00000000-0005-0000-0000-0000CA0F0000}"/>
    <cellStyle name="Normal 13 39 2 2" xfId="7097" xr:uid="{00000000-0005-0000-0000-0000CB0F0000}"/>
    <cellStyle name="Normal 13 39 2 2 2" xfId="15530" xr:uid="{00000000-0005-0000-0000-0000CC0F0000}"/>
    <cellStyle name="Normal 13 39 2 2 2 2" xfId="27424" xr:uid="{D58D197B-F115-4BA3-8CEB-1E3C823D5110}"/>
    <cellStyle name="Normal 13 39 2 2 2 3" xfId="21764" xr:uid="{834E8857-06DC-4BC7-96C0-F7F0A31195C9}"/>
    <cellStyle name="Normal 13 39 2 2 2 4" xfId="32804" xr:uid="{31884A6B-164B-4EE3-A250-3B7C4EA350C0}"/>
    <cellStyle name="Normal 13 39 2 2 2 5" xfId="36477" xr:uid="{C3EC0687-C6B8-4CF9-A244-B54032959CA6}"/>
    <cellStyle name="Normal 13 39 2 2 3" xfId="24591" xr:uid="{2C2B1797-B93F-40B0-A085-22597E2CCBAD}"/>
    <cellStyle name="Normal 13 39 2 2 4" xfId="18931" xr:uid="{B9790EE3-64B2-40D0-B2A1-B392B1C9742F}"/>
    <cellStyle name="Normal 13 39 2 2 5" xfId="30252" xr:uid="{7E51FBF4-47A8-44AD-9B9E-F43BA9BD4AF0}"/>
    <cellStyle name="Normal 13 39 2 2 6" xfId="36476" xr:uid="{9ECD0853-B912-47E7-B169-5C594FDF0E75}"/>
    <cellStyle name="Normal 13 39 2 3" xfId="14120" xr:uid="{00000000-0005-0000-0000-0000CD0F0000}"/>
    <cellStyle name="Normal 13 39 2 3 2" xfId="26159" xr:uid="{7098BE91-0788-4AC2-B848-3632FA176AD1}"/>
    <cellStyle name="Normal 13 39 2 3 3" xfId="20499" xr:uid="{D4A4753A-66BE-428C-9549-7FB91CC22797}"/>
    <cellStyle name="Normal 13 39 2 3 4" xfId="31539" xr:uid="{C95FB4BE-CF60-4B4F-B55A-88247C5BF61B}"/>
    <cellStyle name="Normal 13 39 2 3 5" xfId="36478" xr:uid="{107D1689-663A-454A-A964-C98E546B376A}"/>
    <cellStyle name="Normal 13 39 2 4" xfId="23029" xr:uid="{DADEAC3E-234B-418C-A2F4-2A74F12426DA}"/>
    <cellStyle name="Normal 13 39 2 5" xfId="17369" xr:uid="{624147FB-43A1-406A-85A8-FFFEFFD56FF8}"/>
    <cellStyle name="Normal 13 39 2 6" xfId="28690" xr:uid="{A2B7CAA1-1F65-4084-BE0B-AA101C9E861E}"/>
    <cellStyle name="Normal 13 39 2 7" xfId="36475" xr:uid="{09D209A8-744D-4309-A94F-54F8243545F5}"/>
    <cellStyle name="Normal 13 39 3" xfId="6005" xr:uid="{00000000-0005-0000-0000-0000CE0F0000}"/>
    <cellStyle name="Normal 13 39 3 2" xfId="7351" xr:uid="{00000000-0005-0000-0000-0000CF0F0000}"/>
    <cellStyle name="Normal 13 39 3 2 2" xfId="15784" xr:uid="{00000000-0005-0000-0000-0000D00F0000}"/>
    <cellStyle name="Normal 13 39 3 2 2 2" xfId="27678" xr:uid="{464E61DF-6F04-40F1-832E-FA96F2CF3B01}"/>
    <cellStyle name="Normal 13 39 3 2 2 3" xfId="22018" xr:uid="{5A139095-001E-4191-827E-94E35567AA74}"/>
    <cellStyle name="Normal 13 39 3 2 2 4" xfId="33058" xr:uid="{F0BF5937-EAAD-4CD6-BCDE-F2278B0188F1}"/>
    <cellStyle name="Normal 13 39 3 2 2 5" xfId="36481" xr:uid="{59E29543-28CD-4FDF-925D-6991930BBBE3}"/>
    <cellStyle name="Normal 13 39 3 2 3" xfId="24845" xr:uid="{5E4CD1D8-BF61-4D88-8F39-E06F94D0B9AD}"/>
    <cellStyle name="Normal 13 39 3 2 4" xfId="19185" xr:uid="{DD06C20C-82DF-4EC9-8C28-1FC3331839E3}"/>
    <cellStyle name="Normal 13 39 3 2 5" xfId="30506" xr:uid="{B2B53A49-80E8-4E6F-9F86-B45C8DFDFB14}"/>
    <cellStyle name="Normal 13 39 3 2 6" xfId="36480" xr:uid="{2A08DF8D-043D-4445-91F2-2FF5B53D07ED}"/>
    <cellStyle name="Normal 13 39 3 3" xfId="14463" xr:uid="{00000000-0005-0000-0000-0000D10F0000}"/>
    <cellStyle name="Normal 13 39 3 3 2" xfId="26422" xr:uid="{85FD5DB3-0233-4870-9BBC-9E9DFC1189B6}"/>
    <cellStyle name="Normal 13 39 3 3 3" xfId="20762" xr:uid="{24C042C3-42E4-4F86-9D62-B0AD2F184158}"/>
    <cellStyle name="Normal 13 39 3 3 4" xfId="31802" xr:uid="{697FE3A6-43D2-4491-BBBF-D6DA9204C8E4}"/>
    <cellStyle name="Normal 13 39 3 3 5" xfId="36482" xr:uid="{7B328D85-472B-4367-A168-DC9C8215ED56}"/>
    <cellStyle name="Normal 13 39 3 4" xfId="23589" xr:uid="{5ED1F3A4-E21D-41C8-A239-C4E89F456795}"/>
    <cellStyle name="Normal 13 39 3 5" xfId="17929" xr:uid="{318CF243-9961-4141-9BF6-4846F0B1FD4B}"/>
    <cellStyle name="Normal 13 39 3 6" xfId="29250" xr:uid="{9283B9EC-388C-4EDD-8C42-AE1CA99032DD}"/>
    <cellStyle name="Normal 13 39 3 7" xfId="36479" xr:uid="{63F04019-EE5B-4E1B-AB49-725A558A2559}"/>
    <cellStyle name="Normal 13 39 4" xfId="6679" xr:uid="{00000000-0005-0000-0000-0000D20F0000}"/>
    <cellStyle name="Normal 13 39 4 2" xfId="15112" xr:uid="{00000000-0005-0000-0000-0000D30F0000}"/>
    <cellStyle name="Normal 13 39 4 2 2" xfId="27006" xr:uid="{ECCF7E89-247A-4A80-BB0D-9A17687F1DA4}"/>
    <cellStyle name="Normal 13 39 4 2 3" xfId="21346" xr:uid="{D43E6633-4B6B-4E4A-877F-79A845778D03}"/>
    <cellStyle name="Normal 13 39 4 2 4" xfId="32386" xr:uid="{A42324E7-8348-406A-A377-2A3AABD6A191}"/>
    <cellStyle name="Normal 13 39 4 2 5" xfId="36484" xr:uid="{471EFE79-B59B-4BC2-B3BF-27D37D6893AF}"/>
    <cellStyle name="Normal 13 39 4 3" xfId="24173" xr:uid="{3D8FDC12-34DA-4EE4-94B4-3F7254F5CA45}"/>
    <cellStyle name="Normal 13 39 4 4" xfId="18513" xr:uid="{531FF276-68D8-4918-A065-684F11A51843}"/>
    <cellStyle name="Normal 13 39 4 5" xfId="29834" xr:uid="{A98ADF81-7793-4F57-917B-5809CAC02F0F}"/>
    <cellStyle name="Normal 13 39 4 6" xfId="36483" xr:uid="{263F0852-9768-47D5-9B97-90F0FD0DBA77}"/>
    <cellStyle name="Normal 13 39 5" xfId="7763" xr:uid="{00000000-0005-0000-0000-0000D40F0000}"/>
    <cellStyle name="Normal 13 39 5 2" xfId="25250" xr:uid="{0A1EFC22-A457-462E-9361-1C2DDC95D057}"/>
    <cellStyle name="Normal 13 39 5 3" xfId="19590" xr:uid="{B513572D-81B3-48AE-92FF-683F345E79D3}"/>
    <cellStyle name="Normal 13 39 5 4" xfId="30911" xr:uid="{20ABF5FA-6D8C-4975-A282-D357C334EB5B}"/>
    <cellStyle name="Normal 13 39 5 5" xfId="36485" xr:uid="{215B96B5-BA97-44F8-B170-1A79383329ED}"/>
    <cellStyle name="Normal 13 39 6" xfId="22611" xr:uid="{ACB06D9D-BAA2-4C28-AC94-0327D540FAA6}"/>
    <cellStyle name="Normal 13 39 7" xfId="16951" xr:uid="{1EDE400E-6745-4253-9468-174DDA09DB7F}"/>
    <cellStyle name="Normal 13 39 8" xfId="28272" xr:uid="{D6DB6FC6-377C-4010-8369-2626A291816F}"/>
    <cellStyle name="Normal 13 39 9" xfId="36474" xr:uid="{8E86DB3E-8865-4324-857B-27432E823801}"/>
    <cellStyle name="Normal 13 4" xfId="2013" xr:uid="{00000000-0005-0000-0000-0000D50F0000}"/>
    <cellStyle name="Normal 13 4 10" xfId="28091" xr:uid="{C8B88388-3B39-4403-9A2D-E6A94F56EE77}"/>
    <cellStyle name="Normal 13 4 11" xfId="36486" xr:uid="{DD055016-D675-4EB3-8D7D-2D5A73757ACF}"/>
    <cellStyle name="Normal 13 4 2" xfId="4109" xr:uid="{00000000-0005-0000-0000-0000D60F0000}"/>
    <cellStyle name="Normal 13 4 2 10" xfId="36487" xr:uid="{E2192997-1A84-4D93-8890-E4CE934B0BA9}"/>
    <cellStyle name="Normal 13 4 2 2" xfId="4895" xr:uid="{00000000-0005-0000-0000-0000D70F0000}"/>
    <cellStyle name="Normal 13 4 2 2 2" xfId="5314" xr:uid="{00000000-0005-0000-0000-0000D80F0000}"/>
    <cellStyle name="Normal 13 4 2 2 2 2" xfId="7177" xr:uid="{00000000-0005-0000-0000-0000D90F0000}"/>
    <cellStyle name="Normal 13 4 2 2 2 2 2" xfId="15610" xr:uid="{00000000-0005-0000-0000-0000DA0F0000}"/>
    <cellStyle name="Normal 13 4 2 2 2 2 2 2" xfId="27504" xr:uid="{536B5B13-5D33-4CA7-BA82-D6AE14EAEFD5}"/>
    <cellStyle name="Normal 13 4 2 2 2 2 2 3" xfId="21844" xr:uid="{B44875EB-58A3-4FDF-A523-7562AE2FE160}"/>
    <cellStyle name="Normal 13 4 2 2 2 2 2 4" xfId="32884" xr:uid="{5579A0EB-C178-48E3-BE1C-FE61A57B3BDD}"/>
    <cellStyle name="Normal 13 4 2 2 2 2 2 5" xfId="36491" xr:uid="{4498C43F-F2EB-4167-9262-7E39DD1DD0E2}"/>
    <cellStyle name="Normal 13 4 2 2 2 2 3" xfId="24671" xr:uid="{89BB5EDE-5AB9-45D6-AF46-5C2F50F0E5D1}"/>
    <cellStyle name="Normal 13 4 2 2 2 2 4" xfId="19011" xr:uid="{0B87D27E-322F-46F9-A84F-025A250BEC14}"/>
    <cellStyle name="Normal 13 4 2 2 2 2 5" xfId="30332" xr:uid="{2F70F4A5-1E4F-41B7-9F3F-31C70A99D3DB}"/>
    <cellStyle name="Normal 13 4 2 2 2 2 6" xfId="36490" xr:uid="{C61E9F9B-F9B4-47B9-B5B2-7A3F410F3B56}"/>
    <cellStyle name="Normal 13 4 2 2 2 3" xfId="14200" xr:uid="{00000000-0005-0000-0000-0000DB0F0000}"/>
    <cellStyle name="Normal 13 4 2 2 2 3 2" xfId="26239" xr:uid="{A5AAFF22-9AD3-4BCF-83BE-5E94A28EE3D0}"/>
    <cellStyle name="Normal 13 4 2 2 2 3 3" xfId="20579" xr:uid="{234F985D-4A89-46BB-9C5A-7D6EFC458B2A}"/>
    <cellStyle name="Normal 13 4 2 2 2 3 4" xfId="31619" xr:uid="{83140913-4F6B-4BFA-A447-1CD031648F1A}"/>
    <cellStyle name="Normal 13 4 2 2 2 3 5" xfId="36492" xr:uid="{B4F74540-85A4-46C3-A24F-A42C95AEF091}"/>
    <cellStyle name="Normal 13 4 2 2 2 4" xfId="23109" xr:uid="{DCF4A733-97A6-4EBD-87E6-D965D64D7333}"/>
    <cellStyle name="Normal 13 4 2 2 2 5" xfId="17449" xr:uid="{EFB21F96-11D2-4E4D-AA53-CAEF7860D9EF}"/>
    <cellStyle name="Normal 13 4 2 2 2 6" xfId="28770" xr:uid="{F9BFDF96-9FDB-43F3-8981-7F9DCE1A19E0}"/>
    <cellStyle name="Normal 13 4 2 2 2 7" xfId="36489" xr:uid="{9226B51B-040F-4560-9673-FA890872A740}"/>
    <cellStyle name="Normal 13 4 2 2 3" xfId="6008" xr:uid="{00000000-0005-0000-0000-0000DC0F0000}"/>
    <cellStyle name="Normal 13 4 2 2 3 2" xfId="7354" xr:uid="{00000000-0005-0000-0000-0000DD0F0000}"/>
    <cellStyle name="Normal 13 4 2 2 3 2 2" xfId="15787" xr:uid="{00000000-0005-0000-0000-0000DE0F0000}"/>
    <cellStyle name="Normal 13 4 2 2 3 2 2 2" xfId="27681" xr:uid="{BD6FF52B-A7FA-49EA-B55E-46995502408E}"/>
    <cellStyle name="Normal 13 4 2 2 3 2 2 3" xfId="22021" xr:uid="{89F56DDE-4895-450B-9E94-B69492EFB081}"/>
    <cellStyle name="Normal 13 4 2 2 3 2 2 4" xfId="33061" xr:uid="{15EE5E80-0AD7-4E57-ACC6-C2EB89445406}"/>
    <cellStyle name="Normal 13 4 2 2 3 2 2 5" xfId="36495" xr:uid="{127FAE75-C12A-440D-9683-D54780F5919F}"/>
    <cellStyle name="Normal 13 4 2 2 3 2 3" xfId="24848" xr:uid="{E0A6C423-6C5B-484E-B445-79574E0A7653}"/>
    <cellStyle name="Normal 13 4 2 2 3 2 4" xfId="19188" xr:uid="{273817A8-075F-4DC5-BA24-58E0D5DCD8A0}"/>
    <cellStyle name="Normal 13 4 2 2 3 2 5" xfId="30509" xr:uid="{198CF684-FA7B-4F98-AB11-6C79FBF738E7}"/>
    <cellStyle name="Normal 13 4 2 2 3 2 6" xfId="36494" xr:uid="{46421FA4-555F-435E-B4C8-EF5A46D6FF8B}"/>
    <cellStyle name="Normal 13 4 2 2 3 3" xfId="14466" xr:uid="{00000000-0005-0000-0000-0000DF0F0000}"/>
    <cellStyle name="Normal 13 4 2 2 3 3 2" xfId="26425" xr:uid="{C72F2E78-420C-4207-A29D-DB7C08548EF3}"/>
    <cellStyle name="Normal 13 4 2 2 3 3 3" xfId="20765" xr:uid="{0EA02B30-92BB-4CF0-B362-452BAC154900}"/>
    <cellStyle name="Normal 13 4 2 2 3 3 4" xfId="31805" xr:uid="{F713EC69-09E1-4DF9-84DE-2426CB681E1B}"/>
    <cellStyle name="Normal 13 4 2 2 3 3 5" xfId="36496" xr:uid="{0C0CF6AA-C5F8-495D-814E-5E3C9283D30D}"/>
    <cellStyle name="Normal 13 4 2 2 3 4" xfId="23592" xr:uid="{7FF27AE2-B4E6-4CAD-AE86-16D983405EB1}"/>
    <cellStyle name="Normal 13 4 2 2 3 5" xfId="17932" xr:uid="{7E38441C-9BAE-403A-A069-2BEE0B965E29}"/>
    <cellStyle name="Normal 13 4 2 2 3 6" xfId="29253" xr:uid="{17F842A3-8DC2-497B-B51F-F7238E844C1D}"/>
    <cellStyle name="Normal 13 4 2 2 3 7" xfId="36493" xr:uid="{29286AC6-3CD3-4CD9-A963-5739E8402B19}"/>
    <cellStyle name="Normal 13 4 2 2 4" xfId="6759" xr:uid="{00000000-0005-0000-0000-0000E00F0000}"/>
    <cellStyle name="Normal 13 4 2 2 4 2" xfId="15192" xr:uid="{00000000-0005-0000-0000-0000E10F0000}"/>
    <cellStyle name="Normal 13 4 2 2 4 2 2" xfId="27086" xr:uid="{77A83BFD-1F82-40F1-802B-9C217CD807D1}"/>
    <cellStyle name="Normal 13 4 2 2 4 2 3" xfId="21426" xr:uid="{2F5484FC-41DD-4AFE-BD8B-D985425A8C8A}"/>
    <cellStyle name="Normal 13 4 2 2 4 2 4" xfId="32466" xr:uid="{2FB3849F-2D1B-4BE3-A358-3E1BF267374D}"/>
    <cellStyle name="Normal 13 4 2 2 4 2 5" xfId="36498" xr:uid="{9A9232F7-59FA-4D28-A0E3-5A6896C2463A}"/>
    <cellStyle name="Normal 13 4 2 2 4 3" xfId="24253" xr:uid="{8F589CFE-0B2F-464A-A0AC-B756F61EA4CA}"/>
    <cellStyle name="Normal 13 4 2 2 4 4" xfId="18593" xr:uid="{AB21BA6A-9C82-4B25-B277-3C4E78A60A8F}"/>
    <cellStyle name="Normal 13 4 2 2 4 5" xfId="29914" xr:uid="{ED67D5E0-B2E2-4A95-A2ED-17DDBEEA4A21}"/>
    <cellStyle name="Normal 13 4 2 2 4 6" xfId="36497" xr:uid="{048CA8EE-C066-4DB4-8D5E-652BC18D533A}"/>
    <cellStyle name="Normal 13 4 2 2 5" xfId="7766" xr:uid="{00000000-0005-0000-0000-0000E20F0000}"/>
    <cellStyle name="Normal 13 4 2 2 5 2" xfId="25253" xr:uid="{66B7EF5A-8005-4DF3-868B-CE1D2891303F}"/>
    <cellStyle name="Normal 13 4 2 2 5 3" xfId="19593" xr:uid="{DA13C74D-097E-4B97-B92C-A48431233EE1}"/>
    <cellStyle name="Normal 13 4 2 2 5 4" xfId="30914" xr:uid="{EF8BE175-53E3-4516-B299-ECE061C973FF}"/>
    <cellStyle name="Normal 13 4 2 2 5 5" xfId="36499" xr:uid="{F9A8AD4B-8F3E-4BBD-9E7C-7B97502E4423}"/>
    <cellStyle name="Normal 13 4 2 2 6" xfId="22691" xr:uid="{B8868794-E03D-45F9-909F-BB6D7D112E0C}"/>
    <cellStyle name="Normal 13 4 2 2 7" xfId="17031" xr:uid="{C03A7EBB-3612-4DED-B2F5-5FD4E9200A73}"/>
    <cellStyle name="Normal 13 4 2 2 8" xfId="28352" xr:uid="{D55264BE-E349-428F-840E-521C534E3FCC}"/>
    <cellStyle name="Normal 13 4 2 2 9" xfId="36488" xr:uid="{13416371-BE2F-4FAC-AE57-BF66134409E3}"/>
    <cellStyle name="Normal 13 4 2 3" xfId="5105" xr:uid="{00000000-0005-0000-0000-0000E30F0000}"/>
    <cellStyle name="Normal 13 4 2 3 2" xfId="6968" xr:uid="{00000000-0005-0000-0000-0000E40F0000}"/>
    <cellStyle name="Normal 13 4 2 3 2 2" xfId="15401" xr:uid="{00000000-0005-0000-0000-0000E50F0000}"/>
    <cellStyle name="Normal 13 4 2 3 2 2 2" xfId="27295" xr:uid="{77DF49A0-4AC8-43D4-A81C-C35672BE8F22}"/>
    <cellStyle name="Normal 13 4 2 3 2 2 3" xfId="21635" xr:uid="{31D4D5BC-0E65-46A6-9B7F-06AFAEFE6B0D}"/>
    <cellStyle name="Normal 13 4 2 3 2 2 4" xfId="32675" xr:uid="{112FE437-37BE-4B39-B5A8-41DDA15973EC}"/>
    <cellStyle name="Normal 13 4 2 3 2 2 5" xfId="36502" xr:uid="{F6B25241-4AEA-4C3E-AF62-CBDC9053DB0F}"/>
    <cellStyle name="Normal 13 4 2 3 2 3" xfId="24462" xr:uid="{AD27F2AE-CF04-4EC7-AC7B-333479ADACE0}"/>
    <cellStyle name="Normal 13 4 2 3 2 4" xfId="18802" xr:uid="{CFA0BF91-1C2E-4BD5-94BF-F1A99C954A0B}"/>
    <cellStyle name="Normal 13 4 2 3 2 5" xfId="30123" xr:uid="{B4C0629F-91C2-4CEC-9E9B-ED00054845C2}"/>
    <cellStyle name="Normal 13 4 2 3 2 6" xfId="36501" xr:uid="{6A1D2526-F417-4EC8-890F-8286C68F91E5}"/>
    <cellStyle name="Normal 13 4 2 3 3" xfId="13992" xr:uid="{00000000-0005-0000-0000-0000E60F0000}"/>
    <cellStyle name="Normal 13 4 2 3 3 2" xfId="26031" xr:uid="{4E0F9D5E-A965-4471-A4C8-D370C45638F7}"/>
    <cellStyle name="Normal 13 4 2 3 3 3" xfId="20371" xr:uid="{E4417D58-A30E-40F8-A856-B9E343F1DC0E}"/>
    <cellStyle name="Normal 13 4 2 3 3 4" xfId="31411" xr:uid="{EDBF75C6-19D9-468B-9871-99DA3181B08C}"/>
    <cellStyle name="Normal 13 4 2 3 3 5" xfId="36503" xr:uid="{CDB9A551-15D9-45C8-B552-0DFDDD36B61F}"/>
    <cellStyle name="Normal 13 4 2 3 4" xfId="22900" xr:uid="{FB6BD8B9-28F0-464B-AC79-F707DAE5DD3E}"/>
    <cellStyle name="Normal 13 4 2 3 5" xfId="17240" xr:uid="{A6A4A037-21EF-43F8-848E-D15537AF9479}"/>
    <cellStyle name="Normal 13 4 2 3 6" xfId="28561" xr:uid="{34D37512-D75F-4C7A-AF9D-325BB5D8BEEA}"/>
    <cellStyle name="Normal 13 4 2 3 7" xfId="36500" xr:uid="{1A9FBE64-4098-4CEE-9F75-C963DCEE7CFE}"/>
    <cellStyle name="Normal 13 4 2 4" xfId="6007" xr:uid="{00000000-0005-0000-0000-0000E70F0000}"/>
    <cellStyle name="Normal 13 4 2 4 2" xfId="7353" xr:uid="{00000000-0005-0000-0000-0000E80F0000}"/>
    <cellStyle name="Normal 13 4 2 4 2 2" xfId="15786" xr:uid="{00000000-0005-0000-0000-0000E90F0000}"/>
    <cellStyle name="Normal 13 4 2 4 2 2 2" xfId="27680" xr:uid="{E71B1785-8300-47B6-A761-84B04C73C061}"/>
    <cellStyle name="Normal 13 4 2 4 2 2 3" xfId="22020" xr:uid="{A66C2413-A4E4-4B92-B835-35169BFD4E59}"/>
    <cellStyle name="Normal 13 4 2 4 2 2 4" xfId="33060" xr:uid="{4628E055-6DD0-4AEE-AF78-07ECF2D56875}"/>
    <cellStyle name="Normal 13 4 2 4 2 2 5" xfId="36506" xr:uid="{F6A7B542-A13D-4A62-8CD7-15CC3BCE6E59}"/>
    <cellStyle name="Normal 13 4 2 4 2 3" xfId="24847" xr:uid="{E2CB0986-A118-46DE-8D9B-D0DF3BE81137}"/>
    <cellStyle name="Normal 13 4 2 4 2 4" xfId="19187" xr:uid="{8A678B3F-A6C0-4CEF-8774-C9AD1F6CFA27}"/>
    <cellStyle name="Normal 13 4 2 4 2 5" xfId="30508" xr:uid="{E61BD77C-7637-4D56-A425-9E50EEAE05B9}"/>
    <cellStyle name="Normal 13 4 2 4 2 6" xfId="36505" xr:uid="{F2C0A28B-43E8-43F4-A837-53690B7417F6}"/>
    <cellStyle name="Normal 13 4 2 4 3" xfId="14465" xr:uid="{00000000-0005-0000-0000-0000EA0F0000}"/>
    <cellStyle name="Normal 13 4 2 4 3 2" xfId="26424" xr:uid="{D6D27C07-45ED-4BDD-A8E0-263F4D5AA04D}"/>
    <cellStyle name="Normal 13 4 2 4 3 3" xfId="20764" xr:uid="{1FE052B7-3167-4C94-B8D6-F5D38F92B377}"/>
    <cellStyle name="Normal 13 4 2 4 3 4" xfId="31804" xr:uid="{572241BD-9637-4F18-A64B-E3ADDAFC9754}"/>
    <cellStyle name="Normal 13 4 2 4 3 5" xfId="36507" xr:uid="{3724D4E4-7F28-4128-9523-33A55E0B97AC}"/>
    <cellStyle name="Normal 13 4 2 4 4" xfId="23591" xr:uid="{31FDB0D1-9234-4F86-8965-72E0A3079556}"/>
    <cellStyle name="Normal 13 4 2 4 5" xfId="17931" xr:uid="{6BCB365D-6E36-49D8-AFB1-C3B2FF3B382C}"/>
    <cellStyle name="Normal 13 4 2 4 6" xfId="29252" xr:uid="{5C9E012A-854F-4BA4-A903-32523182796C}"/>
    <cellStyle name="Normal 13 4 2 4 7" xfId="36504" xr:uid="{564730E9-7725-4094-AE61-355B12D811B6}"/>
    <cellStyle name="Normal 13 4 2 5" xfId="6550" xr:uid="{00000000-0005-0000-0000-0000EB0F0000}"/>
    <cellStyle name="Normal 13 4 2 5 2" xfId="14983" xr:uid="{00000000-0005-0000-0000-0000EC0F0000}"/>
    <cellStyle name="Normal 13 4 2 5 2 2" xfId="26877" xr:uid="{1AC5D4B4-A0E0-4A36-A9FF-1102F0A02AFA}"/>
    <cellStyle name="Normal 13 4 2 5 2 3" xfId="21217" xr:uid="{A27A8DB4-385D-48BC-AAA4-775DF8E22769}"/>
    <cellStyle name="Normal 13 4 2 5 2 4" xfId="32257" xr:uid="{D0741C4F-F7EE-4E9A-A3FD-D97C70A7046D}"/>
    <cellStyle name="Normal 13 4 2 5 2 5" xfId="36509" xr:uid="{7B0B813A-7AE9-4F2C-B58A-7FD0805ECE08}"/>
    <cellStyle name="Normal 13 4 2 5 3" xfId="24044" xr:uid="{FB354DA9-AEFD-488F-AA6A-A03AD459BD07}"/>
    <cellStyle name="Normal 13 4 2 5 4" xfId="18384" xr:uid="{1019ECF1-76AC-44B4-9672-F6E0CDF47879}"/>
    <cellStyle name="Normal 13 4 2 5 5" xfId="29705" xr:uid="{3E704865-79C2-407A-B0E2-EE8D8500B090}"/>
    <cellStyle name="Normal 13 4 2 5 6" xfId="36508" xr:uid="{2F1BDC0C-3BB8-44E6-9CC8-7ADE58E7694A}"/>
    <cellStyle name="Normal 13 4 2 6" xfId="7765" xr:uid="{00000000-0005-0000-0000-0000ED0F0000}"/>
    <cellStyle name="Normal 13 4 2 6 2" xfId="25252" xr:uid="{9ADD9982-4ECB-475E-9CDC-9642801E0782}"/>
    <cellStyle name="Normal 13 4 2 6 3" xfId="19592" xr:uid="{451295F0-B7EC-4597-9FCA-1150B8CE1CF1}"/>
    <cellStyle name="Normal 13 4 2 6 4" xfId="30913" xr:uid="{96BFC8E6-31D3-4C3A-8F16-832E133DB09D}"/>
    <cellStyle name="Normal 13 4 2 6 5" xfId="36510" xr:uid="{B0BB009A-9487-4953-A5CD-EA5810CE6AB4}"/>
    <cellStyle name="Normal 13 4 2 7" xfId="22482" xr:uid="{DF5FB49F-20D3-4E1C-87EB-0B1A80BD7DB0}"/>
    <cellStyle name="Normal 13 4 2 8" xfId="16822" xr:uid="{99EE2414-F980-4663-A42A-E5C43F599672}"/>
    <cellStyle name="Normal 13 4 2 9" xfId="28143" xr:uid="{0F770320-E877-4122-8813-411F1C512B52}"/>
    <cellStyle name="Normal 13 4 3" xfId="4843" xr:uid="{00000000-0005-0000-0000-0000EE0F0000}"/>
    <cellStyle name="Normal 13 4 3 2" xfId="5262" xr:uid="{00000000-0005-0000-0000-0000EF0F0000}"/>
    <cellStyle name="Normal 13 4 3 2 2" xfId="7125" xr:uid="{00000000-0005-0000-0000-0000F00F0000}"/>
    <cellStyle name="Normal 13 4 3 2 2 2" xfId="15558" xr:uid="{00000000-0005-0000-0000-0000F10F0000}"/>
    <cellStyle name="Normal 13 4 3 2 2 2 2" xfId="27452" xr:uid="{A3D647B8-6278-47E4-9E71-B763DDA85888}"/>
    <cellStyle name="Normal 13 4 3 2 2 2 3" xfId="21792" xr:uid="{6EE5FEAB-2F2E-4F46-ABFB-369C3926DFEB}"/>
    <cellStyle name="Normal 13 4 3 2 2 2 4" xfId="32832" xr:uid="{6D05E305-7A54-444D-A4F3-2C95B67A6838}"/>
    <cellStyle name="Normal 13 4 3 2 2 2 5" xfId="36514" xr:uid="{050C9392-AFF5-4C5B-91BD-038A4BB76965}"/>
    <cellStyle name="Normal 13 4 3 2 2 3" xfId="24619" xr:uid="{8F0CEC5B-BCA0-4E38-AEE0-DDE5DAB92B28}"/>
    <cellStyle name="Normal 13 4 3 2 2 4" xfId="18959" xr:uid="{B709DCE1-3D15-44C6-B683-71AE11436777}"/>
    <cellStyle name="Normal 13 4 3 2 2 5" xfId="30280" xr:uid="{FFD75FC4-8CB4-43D6-A2FD-3494AAD10533}"/>
    <cellStyle name="Normal 13 4 3 2 2 6" xfId="36513" xr:uid="{4A15E73E-E518-4CA5-8D00-FC15836BCA3C}"/>
    <cellStyle name="Normal 13 4 3 2 3" xfId="14148" xr:uid="{00000000-0005-0000-0000-0000F20F0000}"/>
    <cellStyle name="Normal 13 4 3 2 3 2" xfId="26187" xr:uid="{121DD6F2-B840-4FFB-B9F9-C64C5EFA5D28}"/>
    <cellStyle name="Normal 13 4 3 2 3 3" xfId="20527" xr:uid="{75FDC9B1-0EB2-4A7E-A448-97812ADF49CE}"/>
    <cellStyle name="Normal 13 4 3 2 3 4" xfId="31567" xr:uid="{3563DD95-8D20-44EF-BA80-10B6A89FB61A}"/>
    <cellStyle name="Normal 13 4 3 2 3 5" xfId="36515" xr:uid="{EB30FD4C-752C-44FD-817C-04408E03E982}"/>
    <cellStyle name="Normal 13 4 3 2 4" xfId="23057" xr:uid="{79BD3CAF-E521-4121-8330-168831AA5B2C}"/>
    <cellStyle name="Normal 13 4 3 2 5" xfId="17397" xr:uid="{8B0BC2F7-28C1-4777-B400-D556F940A415}"/>
    <cellStyle name="Normal 13 4 3 2 6" xfId="28718" xr:uid="{9EA00CBD-B167-490E-BBC5-6C6D8074EACF}"/>
    <cellStyle name="Normal 13 4 3 2 7" xfId="36512" xr:uid="{D3C0767A-2D64-4FE4-8ECC-B8508B2AF027}"/>
    <cellStyle name="Normal 13 4 3 3" xfId="6009" xr:uid="{00000000-0005-0000-0000-0000F30F0000}"/>
    <cellStyle name="Normal 13 4 3 3 2" xfId="7355" xr:uid="{00000000-0005-0000-0000-0000F40F0000}"/>
    <cellStyle name="Normal 13 4 3 3 2 2" xfId="15788" xr:uid="{00000000-0005-0000-0000-0000F50F0000}"/>
    <cellStyle name="Normal 13 4 3 3 2 2 2" xfId="27682" xr:uid="{7A4E8981-9553-499D-9366-8B5A53C8EDC7}"/>
    <cellStyle name="Normal 13 4 3 3 2 2 3" xfId="22022" xr:uid="{A9C35CB2-8E55-4E9D-8B05-1D080A0EE698}"/>
    <cellStyle name="Normal 13 4 3 3 2 2 4" xfId="33062" xr:uid="{E7A13831-A0D3-45B8-AE95-A6AB7130C114}"/>
    <cellStyle name="Normal 13 4 3 3 2 2 5" xfId="36518" xr:uid="{40F2B579-E1EA-4427-BBDA-D383EA36A859}"/>
    <cellStyle name="Normal 13 4 3 3 2 3" xfId="24849" xr:uid="{6B77BD60-7962-4F00-A3A9-6F414358ACA7}"/>
    <cellStyle name="Normal 13 4 3 3 2 4" xfId="19189" xr:uid="{38FFECF3-ACF1-4131-98B1-8496351026BE}"/>
    <cellStyle name="Normal 13 4 3 3 2 5" xfId="30510" xr:uid="{4C1225FD-A596-48F2-BF8C-095A4800F2A1}"/>
    <cellStyle name="Normal 13 4 3 3 2 6" xfId="36517" xr:uid="{76DE0D6D-5633-45CF-AA25-D494A1720A09}"/>
    <cellStyle name="Normal 13 4 3 3 3" xfId="14467" xr:uid="{00000000-0005-0000-0000-0000F60F0000}"/>
    <cellStyle name="Normal 13 4 3 3 3 2" xfId="26426" xr:uid="{675A47D2-F297-40C2-AA5F-44B243435AB0}"/>
    <cellStyle name="Normal 13 4 3 3 3 3" xfId="20766" xr:uid="{A7F4AF3C-D7A1-4C40-BB05-019294E9BFB6}"/>
    <cellStyle name="Normal 13 4 3 3 3 4" xfId="31806" xr:uid="{2B8C208B-3241-4D91-B70E-C46FF7066334}"/>
    <cellStyle name="Normal 13 4 3 3 3 5" xfId="36519" xr:uid="{EE473CB9-22CA-4BF3-82B9-8235BD47471F}"/>
    <cellStyle name="Normal 13 4 3 3 4" xfId="23593" xr:uid="{68C0CD7B-D701-47BA-947C-70D1F1C6AD19}"/>
    <cellStyle name="Normal 13 4 3 3 5" xfId="17933" xr:uid="{2DE80295-4EF1-44FB-B7C4-2C6E8F4B40CA}"/>
    <cellStyle name="Normal 13 4 3 3 6" xfId="29254" xr:uid="{25258B10-62DF-48E0-9287-0224AFCF114B}"/>
    <cellStyle name="Normal 13 4 3 3 7" xfId="36516" xr:uid="{2FF65A6A-576D-40CD-8945-B1A16D6032E2}"/>
    <cellStyle name="Normal 13 4 3 4" xfId="6707" xr:uid="{00000000-0005-0000-0000-0000F70F0000}"/>
    <cellStyle name="Normal 13 4 3 4 2" xfId="15140" xr:uid="{00000000-0005-0000-0000-0000F80F0000}"/>
    <cellStyle name="Normal 13 4 3 4 2 2" xfId="27034" xr:uid="{1F1560D7-4BCD-46C0-A4F5-1ECB99C123E4}"/>
    <cellStyle name="Normal 13 4 3 4 2 3" xfId="21374" xr:uid="{FB947BE3-6235-4AF1-B0FE-409F05C8B518}"/>
    <cellStyle name="Normal 13 4 3 4 2 4" xfId="32414" xr:uid="{969C5C26-5752-41B3-A51A-925772E00A4C}"/>
    <cellStyle name="Normal 13 4 3 4 2 5" xfId="36521" xr:uid="{82FCC1E3-3FB3-4DA9-BD3A-4FD4F9D871C3}"/>
    <cellStyle name="Normal 13 4 3 4 3" xfId="24201" xr:uid="{DBD3EA56-EC6F-490A-B5B9-7D5487BB737F}"/>
    <cellStyle name="Normal 13 4 3 4 4" xfId="18541" xr:uid="{3EF7F577-917F-4CEA-9E43-ABA95DCEA6AD}"/>
    <cellStyle name="Normal 13 4 3 4 5" xfId="29862" xr:uid="{7D300D4E-5671-49AC-B899-37A8DC5A2FD2}"/>
    <cellStyle name="Normal 13 4 3 4 6" xfId="36520" xr:uid="{E4646269-F48C-49C4-8C20-E0124C9B63DF}"/>
    <cellStyle name="Normal 13 4 3 5" xfId="7767" xr:uid="{00000000-0005-0000-0000-0000F90F0000}"/>
    <cellStyle name="Normal 13 4 3 5 2" xfId="25254" xr:uid="{747FFD4C-2C79-46FA-8F80-EB041E68DC9B}"/>
    <cellStyle name="Normal 13 4 3 5 3" xfId="19594" xr:uid="{D3A19930-C942-4601-A123-E4EF08CC2644}"/>
    <cellStyle name="Normal 13 4 3 5 4" xfId="30915" xr:uid="{3CC4BD06-701C-464F-AF53-8C08E5AA0C33}"/>
    <cellStyle name="Normal 13 4 3 5 5" xfId="36522" xr:uid="{F57A80F5-A6CD-457B-9F9C-B6DA860AAADB}"/>
    <cellStyle name="Normal 13 4 3 6" xfId="22639" xr:uid="{95A887DC-CC12-4BAE-810F-3E69E758B359}"/>
    <cellStyle name="Normal 13 4 3 7" xfId="16979" xr:uid="{3BB0AA86-DC66-4FFB-A1F1-82511E17CA11}"/>
    <cellStyle name="Normal 13 4 3 8" xfId="28300" xr:uid="{F36B9138-46D7-4155-B4A6-907E2F730C6E}"/>
    <cellStyle name="Normal 13 4 3 9" xfId="36511" xr:uid="{F5421AAB-D098-42C7-9EE5-666B2F300235}"/>
    <cellStyle name="Normal 13 4 4" xfId="5053" xr:uid="{00000000-0005-0000-0000-0000FA0F0000}"/>
    <cellStyle name="Normal 13 4 4 2" xfId="6006" xr:uid="{00000000-0005-0000-0000-0000FB0F0000}"/>
    <cellStyle name="Normal 13 4 4 2 2" xfId="7352" xr:uid="{00000000-0005-0000-0000-0000FC0F0000}"/>
    <cellStyle name="Normal 13 4 4 2 2 2" xfId="15785" xr:uid="{00000000-0005-0000-0000-0000FD0F0000}"/>
    <cellStyle name="Normal 13 4 4 2 2 2 2" xfId="27679" xr:uid="{E01CEEAA-418C-42A4-AEE2-6D50604CBF10}"/>
    <cellStyle name="Normal 13 4 4 2 2 2 3" xfId="22019" xr:uid="{C1E5F91D-7F52-4DDC-AD87-9EE56846DBCA}"/>
    <cellStyle name="Normal 13 4 4 2 2 2 4" xfId="33059" xr:uid="{6B0EB334-03D7-40B9-A50E-84DE1A68751F}"/>
    <cellStyle name="Normal 13 4 4 2 2 2 5" xfId="36526" xr:uid="{7DA9D0CF-2E04-4F04-BCE4-499224AD326A}"/>
    <cellStyle name="Normal 13 4 4 2 2 3" xfId="24846" xr:uid="{ED8A22B2-98BB-4F08-AD1F-B5F0705218B9}"/>
    <cellStyle name="Normal 13 4 4 2 2 4" xfId="19186" xr:uid="{6291E506-3824-4474-89DE-D0D0BD08AA47}"/>
    <cellStyle name="Normal 13 4 4 2 2 5" xfId="30507" xr:uid="{01CC9DA9-6CC8-49CD-9D12-1DE17D4C3712}"/>
    <cellStyle name="Normal 13 4 4 2 2 6" xfId="36525" xr:uid="{51099D1A-419B-45FB-A53B-9C453AC94420}"/>
    <cellStyle name="Normal 13 4 4 2 3" xfId="14464" xr:uid="{00000000-0005-0000-0000-0000FE0F0000}"/>
    <cellStyle name="Normal 13 4 4 2 3 2" xfId="26423" xr:uid="{94AD528C-9642-4217-9836-4B169DF9DA58}"/>
    <cellStyle name="Normal 13 4 4 2 3 3" xfId="20763" xr:uid="{67414D5C-3877-4A26-A2DE-6E2406E31E6D}"/>
    <cellStyle name="Normal 13 4 4 2 3 4" xfId="31803" xr:uid="{69625FB3-2A51-4D0C-B594-5AFA7387DDC4}"/>
    <cellStyle name="Normal 13 4 4 2 3 5" xfId="36527" xr:uid="{9D871C77-8B95-48C9-BE92-B93B71B560C2}"/>
    <cellStyle name="Normal 13 4 4 2 4" xfId="23590" xr:uid="{740E7C0A-9397-4E1C-A3EB-724E903A459C}"/>
    <cellStyle name="Normal 13 4 4 2 5" xfId="17930" xr:uid="{591AB9BD-FA0F-4071-B824-EB0D4A1AA4B1}"/>
    <cellStyle name="Normal 13 4 4 2 6" xfId="29251" xr:uid="{1D270C38-47E6-4CC9-896C-322B6995D716}"/>
    <cellStyle name="Normal 13 4 4 2 7" xfId="36524" xr:uid="{F58614E1-6B42-4D17-ADFE-DFAFA018EFCA}"/>
    <cellStyle name="Normal 13 4 4 3" xfId="6916" xr:uid="{00000000-0005-0000-0000-0000FF0F0000}"/>
    <cellStyle name="Normal 13 4 4 3 2" xfId="15349" xr:uid="{00000000-0005-0000-0000-000000100000}"/>
    <cellStyle name="Normal 13 4 4 3 2 2" xfId="27243" xr:uid="{18972D47-06E1-4175-8EEC-52B91836D094}"/>
    <cellStyle name="Normal 13 4 4 3 2 3" xfId="21583" xr:uid="{30051C29-4242-4DA0-8548-91EBAF605127}"/>
    <cellStyle name="Normal 13 4 4 3 2 4" xfId="32623" xr:uid="{1AE1A2B3-0580-4FBC-90D7-A3542B32093D}"/>
    <cellStyle name="Normal 13 4 4 3 2 5" xfId="36529" xr:uid="{07166F63-6323-4299-AB6D-C181707F973C}"/>
    <cellStyle name="Normal 13 4 4 3 3" xfId="24410" xr:uid="{BC9E81D8-D905-440E-B9E9-0C041DEC4EE5}"/>
    <cellStyle name="Normal 13 4 4 3 4" xfId="18750" xr:uid="{ABA0BC5F-6BD1-45F6-8167-8C6E68093B31}"/>
    <cellStyle name="Normal 13 4 4 3 5" xfId="30071" xr:uid="{4011E577-A653-40BC-8C50-243DF79CFCCD}"/>
    <cellStyle name="Normal 13 4 4 3 6" xfId="36528" xr:uid="{F0F84CC3-6E4A-4C84-A6D5-710EAA7E3718}"/>
    <cellStyle name="Normal 13 4 4 4" xfId="13948" xr:uid="{00000000-0005-0000-0000-000001100000}"/>
    <cellStyle name="Normal 13 4 4 4 2" xfId="25989" xr:uid="{582CAC1E-105B-497F-A1E3-11632D9A0074}"/>
    <cellStyle name="Normal 13 4 4 4 3" xfId="20329" xr:uid="{93EF8912-3209-4780-ACCF-B7D504AB59D0}"/>
    <cellStyle name="Normal 13 4 4 4 4" xfId="31369" xr:uid="{5D9E5D09-565C-492E-90F7-11124FD79EF5}"/>
    <cellStyle name="Normal 13 4 4 4 5" xfId="36530" xr:uid="{928728DF-AABC-4E05-BD56-8C1C0BFB6DB4}"/>
    <cellStyle name="Normal 13 4 4 5" xfId="22848" xr:uid="{03A145C4-08F8-491D-85A9-81D0CD6C9179}"/>
    <cellStyle name="Normal 13 4 4 6" xfId="17188" xr:uid="{02B189B8-C458-4061-85B3-3B619D050405}"/>
    <cellStyle name="Normal 13 4 4 7" xfId="28509" xr:uid="{4051D2D6-AEDE-45AA-BD2A-028FB408655F}"/>
    <cellStyle name="Normal 13 4 4 8" xfId="36523" xr:uid="{02B2FC35-9DE7-4988-9AE1-2AA85D317C58}"/>
    <cellStyle name="Normal 13 4 5" xfId="5637" xr:uid="{00000000-0005-0000-0000-000002100000}"/>
    <cellStyle name="Normal 13 4 5 2" xfId="36531" xr:uid="{770D2251-E893-4FD9-8C7E-5A8D0A6B96A7}"/>
    <cellStyle name="Normal 13 4 6" xfId="6498" xr:uid="{00000000-0005-0000-0000-000003100000}"/>
    <cellStyle name="Normal 13 4 6 2" xfId="14931" xr:uid="{00000000-0005-0000-0000-000004100000}"/>
    <cellStyle name="Normal 13 4 6 2 2" xfId="26825" xr:uid="{88504F65-5FA8-4052-B3B8-F825821D0D08}"/>
    <cellStyle name="Normal 13 4 6 2 3" xfId="21165" xr:uid="{3603AEA6-1AD2-4D37-B5D5-1CE1BC88941F}"/>
    <cellStyle name="Normal 13 4 6 2 4" xfId="32205" xr:uid="{5BF56214-2F3B-49CE-81A4-2759D07CA519}"/>
    <cellStyle name="Normal 13 4 6 2 5" xfId="36533" xr:uid="{C4ABFD05-0B58-4CA6-9D58-230AABCAE891}"/>
    <cellStyle name="Normal 13 4 6 3" xfId="23992" xr:uid="{B810123C-BBED-40F8-9362-5811EC9DC81E}"/>
    <cellStyle name="Normal 13 4 6 4" xfId="18332" xr:uid="{2DDFB2CF-F2AD-4186-9A9E-A2249B6F4E34}"/>
    <cellStyle name="Normal 13 4 6 5" xfId="29653" xr:uid="{ED08A39C-6739-4670-A0D1-402768DA37AE}"/>
    <cellStyle name="Normal 13 4 6 6" xfId="36532" xr:uid="{02CF8CFB-32E8-4F25-BEEA-86E109FC9552}"/>
    <cellStyle name="Normal 13 4 7" xfId="7764" xr:uid="{00000000-0005-0000-0000-000005100000}"/>
    <cellStyle name="Normal 13 4 7 2" xfId="25251" xr:uid="{17F06CDC-C35E-44F9-88A1-5BD0EE7E630F}"/>
    <cellStyle name="Normal 13 4 7 3" xfId="19591" xr:uid="{C9008FA7-F294-43EB-A0A5-94340C455628}"/>
    <cellStyle name="Normal 13 4 7 4" xfId="30912" xr:uid="{9AD891A7-04B7-438E-8883-4CD83E0F3590}"/>
    <cellStyle name="Normal 13 4 7 5" xfId="36534" xr:uid="{8CA8ECF3-9E2F-4304-ADE3-A266D10AD0BD}"/>
    <cellStyle name="Normal 13 4 8" xfId="22430" xr:uid="{3A3442C1-53C0-4739-A52C-9B92FF44AAC0}"/>
    <cellStyle name="Normal 13 4 9" xfId="16770" xr:uid="{37CB83A0-1619-4DB9-8CF7-C75C1F4078DA}"/>
    <cellStyle name="Normal 13 40" xfId="5025" xr:uid="{00000000-0005-0000-0000-000006100000}"/>
    <cellStyle name="Normal 13 40 2" xfId="5975" xr:uid="{00000000-0005-0000-0000-000007100000}"/>
    <cellStyle name="Normal 13 40 2 2" xfId="7322" xr:uid="{00000000-0005-0000-0000-000008100000}"/>
    <cellStyle name="Normal 13 40 2 2 2" xfId="15755" xr:uid="{00000000-0005-0000-0000-000009100000}"/>
    <cellStyle name="Normal 13 40 2 2 2 2" xfId="27649" xr:uid="{E0BBEB57-F17C-44D4-B708-BD78398FFC68}"/>
    <cellStyle name="Normal 13 40 2 2 2 3" xfId="21989" xr:uid="{C611E875-D163-4C69-9EF2-D5560090202C}"/>
    <cellStyle name="Normal 13 40 2 2 2 4" xfId="33029" xr:uid="{A4A8F453-3719-4559-B0F6-0820385C79D9}"/>
    <cellStyle name="Normal 13 40 2 2 2 5" xfId="36538" xr:uid="{670E2E4C-43AB-43EC-8DCB-B250ABE6B86B}"/>
    <cellStyle name="Normal 13 40 2 2 3" xfId="24816" xr:uid="{9ABB215E-4410-4D92-BDD6-5165AC2D54C9}"/>
    <cellStyle name="Normal 13 40 2 2 4" xfId="19156" xr:uid="{4CB9E4F2-47FF-4808-AED2-5052CEEEB649}"/>
    <cellStyle name="Normal 13 40 2 2 5" xfId="30477" xr:uid="{5D38D594-5161-442A-BE5B-EE22591D5082}"/>
    <cellStyle name="Normal 13 40 2 2 6" xfId="36537" xr:uid="{7058681A-75EC-41A2-A094-14EF962DF51F}"/>
    <cellStyle name="Normal 13 40 2 3" xfId="14434" xr:uid="{00000000-0005-0000-0000-00000A100000}"/>
    <cellStyle name="Normal 13 40 2 3 2" xfId="26393" xr:uid="{166C9314-CB7B-4C0A-A0C1-AE06F3109283}"/>
    <cellStyle name="Normal 13 40 2 3 3" xfId="20733" xr:uid="{7B886309-BE6D-4302-819C-4BDD5E87BC32}"/>
    <cellStyle name="Normal 13 40 2 3 4" xfId="31773" xr:uid="{15A2C190-BB93-4AE1-8B1B-B6025C15F11F}"/>
    <cellStyle name="Normal 13 40 2 3 5" xfId="36539" xr:uid="{CA80648F-7031-46F2-887C-BEAF3BBC923E}"/>
    <cellStyle name="Normal 13 40 2 4" xfId="23560" xr:uid="{A81F64F3-1901-46C1-942B-C2DDD8588C1F}"/>
    <cellStyle name="Normal 13 40 2 5" xfId="17900" xr:uid="{D5163944-95AD-4628-B29E-9950F954467B}"/>
    <cellStyle name="Normal 13 40 2 6" xfId="29221" xr:uid="{6CC7C86F-69FF-4EA4-9DE0-CC5045A517C0}"/>
    <cellStyle name="Normal 13 40 2 7" xfId="36536" xr:uid="{1FEE28FE-504F-4FA3-B0D7-C03E024DD15B}"/>
    <cellStyle name="Normal 13 40 3" xfId="6888" xr:uid="{00000000-0005-0000-0000-00000B100000}"/>
    <cellStyle name="Normal 13 40 3 2" xfId="15321" xr:uid="{00000000-0005-0000-0000-00000C100000}"/>
    <cellStyle name="Normal 13 40 3 2 2" xfId="27215" xr:uid="{39CF00DD-08B8-4828-AB7B-9E99FE91F090}"/>
    <cellStyle name="Normal 13 40 3 2 3" xfId="21555" xr:uid="{58E05D01-6BFD-4F46-858C-CCF360B39B5E}"/>
    <cellStyle name="Normal 13 40 3 2 4" xfId="32595" xr:uid="{27A6A85C-2A3F-4622-96C3-AB42EBC9BB94}"/>
    <cellStyle name="Normal 13 40 3 2 5" xfId="36541" xr:uid="{3923662C-8704-4A07-B038-8B36CEC9C23F}"/>
    <cellStyle name="Normal 13 40 3 3" xfId="24382" xr:uid="{F0782DCB-D2BC-4BDB-95DA-C4186518FD7E}"/>
    <cellStyle name="Normal 13 40 3 4" xfId="18722" xr:uid="{409E8BAE-2882-4C95-9FAA-BED61DB4B6D7}"/>
    <cellStyle name="Normal 13 40 3 5" xfId="30043" xr:uid="{42E45644-2280-4A9A-BBC9-0D8B2DCEE7FE}"/>
    <cellStyle name="Normal 13 40 3 6" xfId="36540" xr:uid="{5B4ABBAD-7CF3-45E4-8BCB-42A1FF719FBD}"/>
    <cellStyle name="Normal 13 40 4" xfId="13929" xr:uid="{00000000-0005-0000-0000-00000D100000}"/>
    <cellStyle name="Normal 13 40 4 2" xfId="25970" xr:uid="{29BA39C1-3F93-4B9D-AC19-C07C58110986}"/>
    <cellStyle name="Normal 13 40 4 3" xfId="20310" xr:uid="{C4BFE0E7-4A0C-467F-ABBF-16C97A89B112}"/>
    <cellStyle name="Normal 13 40 4 4" xfId="31350" xr:uid="{0347E7CA-52BE-4B5B-9F5A-2448D1B94DB2}"/>
    <cellStyle name="Normal 13 40 4 5" xfId="36542" xr:uid="{1152887D-C354-4A6E-BB1A-2572A80A8915}"/>
    <cellStyle name="Normal 13 40 5" xfId="22820" xr:uid="{D5EA3A1A-555D-4236-84CF-BBE30E089925}"/>
    <cellStyle name="Normal 13 40 6" xfId="17160" xr:uid="{7E71A79E-A8F9-43D2-99F7-FA9C8D242F47}"/>
    <cellStyle name="Normal 13 40 7" xfId="28481" xr:uid="{391CEE78-C08E-4D64-888F-C7FA7A33A697}"/>
    <cellStyle name="Normal 13 40 8" xfId="36535" xr:uid="{B231757F-1CE3-4A0C-96DF-79159FB2FD7D}"/>
    <cellStyle name="Normal 13 41" xfId="6470" xr:uid="{00000000-0005-0000-0000-00000E100000}"/>
    <cellStyle name="Normal 13 41 2" xfId="14903" xr:uid="{00000000-0005-0000-0000-00000F100000}"/>
    <cellStyle name="Normal 13 41 2 2" xfId="26797" xr:uid="{0E720C1F-A368-4CED-88DF-A6A8B861ADBF}"/>
    <cellStyle name="Normal 13 41 2 3" xfId="21137" xr:uid="{1A714058-8153-4645-9101-44BC181532F9}"/>
    <cellStyle name="Normal 13 41 2 4" xfId="32177" xr:uid="{4860BC40-3F1F-4BB9-9A56-044F70C2C097}"/>
    <cellStyle name="Normal 13 41 2 5" xfId="36544" xr:uid="{3349BCF9-A02E-48D1-8C91-2286A3C0C24F}"/>
    <cellStyle name="Normal 13 41 3" xfId="23964" xr:uid="{00999F68-0F70-4A17-9F24-B7E6A3AC7DB6}"/>
    <cellStyle name="Normal 13 41 4" xfId="18304" xr:uid="{DBB15324-D435-4B7C-9673-FE411DF1AF96}"/>
    <cellStyle name="Normal 13 41 5" xfId="29625" xr:uid="{0F5531B0-FA9D-403B-9933-8F932580C33D}"/>
    <cellStyle name="Normal 13 41 6" xfId="36543" xr:uid="{F6590D39-3E97-4E70-9E8B-92B665B2C1D4}"/>
    <cellStyle name="Normal 13 42" xfId="22402" xr:uid="{A86846FC-67A1-4E29-AAE2-1EFB4D7DE48A}"/>
    <cellStyle name="Normal 13 43" xfId="16742" xr:uid="{5D99B5FE-7971-40E3-9A1C-5E5015523796}"/>
    <cellStyle name="Normal 13 44" xfId="28063" xr:uid="{62AA2186-909C-411F-9B1D-7A102EE689C3}"/>
    <cellStyle name="Normal 13 45" xfId="36093" xr:uid="{1CBD9FAE-EAC5-4CC7-A5C2-B3A5C60DE0A9}"/>
    <cellStyle name="Normal 13 5" xfId="4110" xr:uid="{00000000-0005-0000-0000-000010100000}"/>
    <cellStyle name="Normal 13 5 2" xfId="36545" xr:uid="{B7FD07CF-EAEB-4103-AB47-68BC139EC25C}"/>
    <cellStyle name="Normal 13 6" xfId="4111" xr:uid="{00000000-0005-0000-0000-000011100000}"/>
    <cellStyle name="Normal 13 6 2" xfId="36546" xr:uid="{F6C32E6B-61C3-4357-A5A3-C24CDDB80A21}"/>
    <cellStyle name="Normal 13 7" xfId="4112" xr:uid="{00000000-0005-0000-0000-000012100000}"/>
    <cellStyle name="Normal 13 7 2" xfId="36547" xr:uid="{1B94828D-D961-4320-8AD8-FA45E660F15F}"/>
    <cellStyle name="Normal 13 8" xfId="4113" xr:uid="{00000000-0005-0000-0000-000013100000}"/>
    <cellStyle name="Normal 13 8 2" xfId="36548" xr:uid="{F1C55122-64D3-449E-A1F3-31C139D7677B}"/>
    <cellStyle name="Normal 13 9" xfId="4114" xr:uid="{00000000-0005-0000-0000-000014100000}"/>
    <cellStyle name="Normal 13 9 10" xfId="36549" xr:uid="{1127B547-FDD7-44E3-BC36-2F3A494F2F8A}"/>
    <cellStyle name="Normal 13 9 2" xfId="4896" xr:uid="{00000000-0005-0000-0000-000015100000}"/>
    <cellStyle name="Normal 13 9 2 2" xfId="5315" xr:uid="{00000000-0005-0000-0000-000016100000}"/>
    <cellStyle name="Normal 13 9 2 2 2" xfId="7178" xr:uid="{00000000-0005-0000-0000-000017100000}"/>
    <cellStyle name="Normal 13 9 2 2 2 2" xfId="15611" xr:uid="{00000000-0005-0000-0000-000018100000}"/>
    <cellStyle name="Normal 13 9 2 2 2 2 2" xfId="27505" xr:uid="{74736671-0E90-4FF3-AE29-EBB19F21189F}"/>
    <cellStyle name="Normal 13 9 2 2 2 2 3" xfId="21845" xr:uid="{873CD70E-9091-4545-B6D9-9F8E5071EA05}"/>
    <cellStyle name="Normal 13 9 2 2 2 2 4" xfId="32885" xr:uid="{5C06A696-C579-4B6A-A65D-B4FC09BB8D98}"/>
    <cellStyle name="Normal 13 9 2 2 2 2 5" xfId="36553" xr:uid="{81C31454-8DDA-41E4-9B6D-87A434E9205E}"/>
    <cellStyle name="Normal 13 9 2 2 2 3" xfId="24672" xr:uid="{E06B6EAA-6833-4269-BD72-AC1CE39D20D5}"/>
    <cellStyle name="Normal 13 9 2 2 2 4" xfId="19012" xr:uid="{EB4373A4-6DB4-404B-A721-1585018D0E74}"/>
    <cellStyle name="Normal 13 9 2 2 2 5" xfId="30333" xr:uid="{107BA963-BB7E-43EC-8872-8910964A547D}"/>
    <cellStyle name="Normal 13 9 2 2 2 6" xfId="36552" xr:uid="{29CB10FB-1EC2-4F3E-BD17-F73F916EF9E7}"/>
    <cellStyle name="Normal 13 9 2 2 3" xfId="14201" xr:uid="{00000000-0005-0000-0000-000019100000}"/>
    <cellStyle name="Normal 13 9 2 2 3 2" xfId="26240" xr:uid="{A1A9F4C8-D222-4DE4-AB71-1F253E8DB05A}"/>
    <cellStyle name="Normal 13 9 2 2 3 3" xfId="20580" xr:uid="{DE2A62CF-AA16-471F-9C76-AC9B926C0A97}"/>
    <cellStyle name="Normal 13 9 2 2 3 4" xfId="31620" xr:uid="{589A8053-A6D8-49C9-8BB7-E687839E55B6}"/>
    <cellStyle name="Normal 13 9 2 2 3 5" xfId="36554" xr:uid="{64B0075F-6247-43F1-91B9-7E774808491A}"/>
    <cellStyle name="Normal 13 9 2 2 4" xfId="23110" xr:uid="{17265DE2-102E-40AC-A83E-28F5797D51C0}"/>
    <cellStyle name="Normal 13 9 2 2 5" xfId="17450" xr:uid="{8C287949-5449-4D52-8BA2-9C5A1FBAC041}"/>
    <cellStyle name="Normal 13 9 2 2 6" xfId="28771" xr:uid="{2010CB93-2931-45DD-AD9B-7F0AD98DFA7A}"/>
    <cellStyle name="Normal 13 9 2 2 7" xfId="36551" xr:uid="{E1174318-D2C9-4461-B7CB-518711049E81}"/>
    <cellStyle name="Normal 13 9 2 3" xfId="6011" xr:uid="{00000000-0005-0000-0000-00001A100000}"/>
    <cellStyle name="Normal 13 9 2 3 2" xfId="7357" xr:uid="{00000000-0005-0000-0000-00001B100000}"/>
    <cellStyle name="Normal 13 9 2 3 2 2" xfId="15790" xr:uid="{00000000-0005-0000-0000-00001C100000}"/>
    <cellStyle name="Normal 13 9 2 3 2 2 2" xfId="27684" xr:uid="{82511A24-BF87-4FD6-BD76-EA56B732B951}"/>
    <cellStyle name="Normal 13 9 2 3 2 2 3" xfId="22024" xr:uid="{63D30426-05F5-4F36-B2F2-5F8FE524EE42}"/>
    <cellStyle name="Normal 13 9 2 3 2 2 4" xfId="33064" xr:uid="{35B764C7-EA80-44CE-8584-D75D908271EE}"/>
    <cellStyle name="Normal 13 9 2 3 2 2 5" xfId="36557" xr:uid="{8E9600E5-F31D-4CA9-A396-0F40CFAFA71F}"/>
    <cellStyle name="Normal 13 9 2 3 2 3" xfId="24851" xr:uid="{6D1D7AD2-31E9-4904-8777-8A64E2B242DA}"/>
    <cellStyle name="Normal 13 9 2 3 2 4" xfId="19191" xr:uid="{DF2690B2-8EC0-42C2-9C5D-0070E9DBFE2B}"/>
    <cellStyle name="Normal 13 9 2 3 2 5" xfId="30512" xr:uid="{00B536EE-20F3-4BCF-A0A8-BDB81AB270B5}"/>
    <cellStyle name="Normal 13 9 2 3 2 6" xfId="36556" xr:uid="{3A5E908D-FFAF-408E-BF82-AFD53182609E}"/>
    <cellStyle name="Normal 13 9 2 3 3" xfId="14469" xr:uid="{00000000-0005-0000-0000-00001D100000}"/>
    <cellStyle name="Normal 13 9 2 3 3 2" xfId="26428" xr:uid="{8DB78259-6CAB-42F8-9313-FC803DEE2A71}"/>
    <cellStyle name="Normal 13 9 2 3 3 3" xfId="20768" xr:uid="{132F535F-1DD0-49B1-B3ED-8A49DF97BE61}"/>
    <cellStyle name="Normal 13 9 2 3 3 4" xfId="31808" xr:uid="{968BCEE1-BFEA-4493-811A-A38FFAC75974}"/>
    <cellStyle name="Normal 13 9 2 3 3 5" xfId="36558" xr:uid="{7FD81A72-BCE9-4518-948F-2C847C4A1BE9}"/>
    <cellStyle name="Normal 13 9 2 3 4" xfId="23595" xr:uid="{4BD56579-8C2E-4EEE-B732-C77A2C7BE9DA}"/>
    <cellStyle name="Normal 13 9 2 3 5" xfId="17935" xr:uid="{343DD1F7-AC4D-41D4-8844-27594A8BFC96}"/>
    <cellStyle name="Normal 13 9 2 3 6" xfId="29256" xr:uid="{1A508BA1-DE64-4A49-A749-9A9EB6AA317B}"/>
    <cellStyle name="Normal 13 9 2 3 7" xfId="36555" xr:uid="{873F6260-77D0-44D1-8B9D-17B6D5204CE9}"/>
    <cellStyle name="Normal 13 9 2 4" xfId="6760" xr:uid="{00000000-0005-0000-0000-00001E100000}"/>
    <cellStyle name="Normal 13 9 2 4 2" xfId="15193" xr:uid="{00000000-0005-0000-0000-00001F100000}"/>
    <cellStyle name="Normal 13 9 2 4 2 2" xfId="27087" xr:uid="{881FE8CC-AEA0-4CB8-97F5-EA5910D69EA8}"/>
    <cellStyle name="Normal 13 9 2 4 2 3" xfId="21427" xr:uid="{DBABA11B-AB5D-4FE1-B99D-5D21D29CDECA}"/>
    <cellStyle name="Normal 13 9 2 4 2 4" xfId="32467" xr:uid="{A77E65AB-57F2-41D0-90CB-2ED951E4F4A9}"/>
    <cellStyle name="Normal 13 9 2 4 2 5" xfId="36560" xr:uid="{31B26B7E-05F4-48D0-B380-4E028E40DD49}"/>
    <cellStyle name="Normal 13 9 2 4 3" xfId="24254" xr:uid="{6D2DED99-D0E8-42D9-84B5-6A1F6CA9F1DA}"/>
    <cellStyle name="Normal 13 9 2 4 4" xfId="18594" xr:uid="{2D3FA7DD-C886-43B0-B29E-8EA35DBF1478}"/>
    <cellStyle name="Normal 13 9 2 4 5" xfId="29915" xr:uid="{EA9AE768-592A-4E6A-A049-FE5364B97A53}"/>
    <cellStyle name="Normal 13 9 2 4 6" xfId="36559" xr:uid="{447EBF01-5731-40CA-A51A-BEC9ED3B4775}"/>
    <cellStyle name="Normal 13 9 2 5" xfId="7769" xr:uid="{00000000-0005-0000-0000-000020100000}"/>
    <cellStyle name="Normal 13 9 2 5 2" xfId="25256" xr:uid="{4012C69D-2A05-465D-90B0-97F2FF26A582}"/>
    <cellStyle name="Normal 13 9 2 5 3" xfId="19596" xr:uid="{B7EC06DD-5019-429F-8EA3-AF48DFFD4204}"/>
    <cellStyle name="Normal 13 9 2 5 4" xfId="30917" xr:uid="{22715841-784D-47A4-8E22-DC405D713899}"/>
    <cellStyle name="Normal 13 9 2 5 5" xfId="36561" xr:uid="{48E12637-CA76-444E-95EB-C5913B2D7152}"/>
    <cellStyle name="Normal 13 9 2 6" xfId="22692" xr:uid="{BA20A40D-3D0D-4055-8276-2BAB99C80AF3}"/>
    <cellStyle name="Normal 13 9 2 7" xfId="17032" xr:uid="{C0C4A139-18F2-49D2-B5F1-E7DAD3B269DE}"/>
    <cellStyle name="Normal 13 9 2 8" xfId="28353" xr:uid="{6F55F391-2BC4-44D2-9201-68BB2F09A490}"/>
    <cellStyle name="Normal 13 9 2 9" xfId="36550" xr:uid="{C5B143FF-F26A-4E47-9B1A-F8D9024C3054}"/>
    <cellStyle name="Normal 13 9 3" xfId="5106" xr:uid="{00000000-0005-0000-0000-000021100000}"/>
    <cellStyle name="Normal 13 9 3 2" xfId="6010" xr:uid="{00000000-0005-0000-0000-000022100000}"/>
    <cellStyle name="Normal 13 9 3 2 2" xfId="7356" xr:uid="{00000000-0005-0000-0000-000023100000}"/>
    <cellStyle name="Normal 13 9 3 2 2 2" xfId="15789" xr:uid="{00000000-0005-0000-0000-000024100000}"/>
    <cellStyle name="Normal 13 9 3 2 2 2 2" xfId="27683" xr:uid="{8CD05057-CF41-4C1C-A41D-1815C92ABEAF}"/>
    <cellStyle name="Normal 13 9 3 2 2 2 3" xfId="22023" xr:uid="{CECBF80A-832E-4FE7-9D9D-EC485A5C99B7}"/>
    <cellStyle name="Normal 13 9 3 2 2 2 4" xfId="33063" xr:uid="{DE732975-8AA8-4168-8EEE-4F688C493AF6}"/>
    <cellStyle name="Normal 13 9 3 2 2 2 5" xfId="36565" xr:uid="{4ACCB89C-EEBB-4F5F-8137-B486BDB8FD34}"/>
    <cellStyle name="Normal 13 9 3 2 2 3" xfId="24850" xr:uid="{18122163-A4BE-49C9-A620-3BBA477A5AFF}"/>
    <cellStyle name="Normal 13 9 3 2 2 4" xfId="19190" xr:uid="{134B225C-86FE-43B7-97C1-7F449FDA6221}"/>
    <cellStyle name="Normal 13 9 3 2 2 5" xfId="30511" xr:uid="{232B8344-5DE6-40BB-B077-2D8A195ED74E}"/>
    <cellStyle name="Normal 13 9 3 2 2 6" xfId="36564" xr:uid="{7722B3C3-8BD9-4C67-A717-F7AA51A41843}"/>
    <cellStyle name="Normal 13 9 3 2 3" xfId="14468" xr:uid="{00000000-0005-0000-0000-000025100000}"/>
    <cellStyle name="Normal 13 9 3 2 3 2" xfId="26427" xr:uid="{EA310416-C38D-466A-961B-8E34C425CDD6}"/>
    <cellStyle name="Normal 13 9 3 2 3 3" xfId="20767" xr:uid="{4287BB30-14AD-48C5-975B-755DB8353ACD}"/>
    <cellStyle name="Normal 13 9 3 2 3 4" xfId="31807" xr:uid="{FD55FBD5-41F9-4401-9650-EF01673E9513}"/>
    <cellStyle name="Normal 13 9 3 2 3 5" xfId="36566" xr:uid="{FDE7ABFC-C409-46DB-97F1-AED344BDA7CC}"/>
    <cellStyle name="Normal 13 9 3 2 4" xfId="23594" xr:uid="{31998445-62C4-4E2D-BE84-F700AEEC46E0}"/>
    <cellStyle name="Normal 13 9 3 2 5" xfId="17934" xr:uid="{DE8409F8-D8F9-46D6-B3BB-0E72A4A3EC21}"/>
    <cellStyle name="Normal 13 9 3 2 6" xfId="29255" xr:uid="{B5F3B0DB-FCC7-44BF-A428-E942D17903A7}"/>
    <cellStyle name="Normal 13 9 3 2 7" xfId="36563" xr:uid="{7459EF20-A3F8-4274-904B-0B637E160831}"/>
    <cellStyle name="Normal 13 9 3 3" xfId="6969" xr:uid="{00000000-0005-0000-0000-000026100000}"/>
    <cellStyle name="Normal 13 9 3 3 2" xfId="15402" xr:uid="{00000000-0005-0000-0000-000027100000}"/>
    <cellStyle name="Normal 13 9 3 3 2 2" xfId="27296" xr:uid="{321AB9DE-46C0-4622-B9C1-71018DE7BA1A}"/>
    <cellStyle name="Normal 13 9 3 3 2 3" xfId="21636" xr:uid="{7C35C18C-1B0C-4A7B-BFA7-1ABFA88481E0}"/>
    <cellStyle name="Normal 13 9 3 3 2 4" xfId="32676" xr:uid="{FB43395B-352C-49A9-BA53-10CA4C372ACB}"/>
    <cellStyle name="Normal 13 9 3 3 2 5" xfId="36568" xr:uid="{98EC08E0-B350-47E4-8F41-EEDA1A0492CE}"/>
    <cellStyle name="Normal 13 9 3 3 3" xfId="24463" xr:uid="{F992EFD2-78C3-4D2D-AC3A-80552F0E20E0}"/>
    <cellStyle name="Normal 13 9 3 3 4" xfId="18803" xr:uid="{9E993902-2A33-4EE4-B12B-3A90AC505FB2}"/>
    <cellStyle name="Normal 13 9 3 3 5" xfId="30124" xr:uid="{7307FD90-C603-4E95-97E3-57CCF8039A1E}"/>
    <cellStyle name="Normal 13 9 3 3 6" xfId="36567" xr:uid="{4F14E5BA-C788-4C4D-828A-20DAFAB0265A}"/>
    <cellStyle name="Normal 13 9 3 4" xfId="13993" xr:uid="{00000000-0005-0000-0000-000028100000}"/>
    <cellStyle name="Normal 13 9 3 4 2" xfId="26032" xr:uid="{54637413-E76F-4B18-960A-135420BB516E}"/>
    <cellStyle name="Normal 13 9 3 4 3" xfId="20372" xr:uid="{61E2B530-BBDE-4393-8FA6-0B576811836C}"/>
    <cellStyle name="Normal 13 9 3 4 4" xfId="31412" xr:uid="{07DF99E1-620B-4FA9-B355-1FC6176A1FE2}"/>
    <cellStyle name="Normal 13 9 3 4 5" xfId="36569" xr:uid="{396FB1F9-F580-4896-BA13-79A67FACF60F}"/>
    <cellStyle name="Normal 13 9 3 5" xfId="22901" xr:uid="{9E4BE99B-8B2F-46D5-B26B-C76D3CA4648E}"/>
    <cellStyle name="Normal 13 9 3 6" xfId="17241" xr:uid="{F1686621-04DA-4B1A-A3B4-0B5756AF5E39}"/>
    <cellStyle name="Normal 13 9 3 7" xfId="28562" xr:uid="{2CAFA259-1F3E-4A87-B809-BFBE62B1C2E2}"/>
    <cellStyle name="Normal 13 9 3 8" xfId="36562" xr:uid="{04FEE42B-241C-43EB-9C1C-B9028BEBB82F}"/>
    <cellStyle name="Normal 13 9 4" xfId="5638" xr:uid="{00000000-0005-0000-0000-000029100000}"/>
    <cellStyle name="Normal 13 9 4 2" xfId="36570" xr:uid="{E43D8F90-6A4F-4411-8821-4F9DC9EB8375}"/>
    <cellStyle name="Normal 13 9 5" xfId="6551" xr:uid="{00000000-0005-0000-0000-00002A100000}"/>
    <cellStyle name="Normal 13 9 5 2" xfId="14984" xr:uid="{00000000-0005-0000-0000-00002B100000}"/>
    <cellStyle name="Normal 13 9 5 2 2" xfId="26878" xr:uid="{B1FADCBC-2043-442A-8FD6-137BE0502C42}"/>
    <cellStyle name="Normal 13 9 5 2 3" xfId="21218" xr:uid="{C2B1A8A1-D309-440C-9DDF-6B087D217ED5}"/>
    <cellStyle name="Normal 13 9 5 2 4" xfId="32258" xr:uid="{46F8D826-24C8-4CB7-A6D0-34141378D2C9}"/>
    <cellStyle name="Normal 13 9 5 2 5" xfId="36572" xr:uid="{6FA99826-A424-44EF-9B19-217C135CEFE6}"/>
    <cellStyle name="Normal 13 9 5 3" xfId="24045" xr:uid="{511F64A6-174C-46CF-BDE5-97BEB2228AAF}"/>
    <cellStyle name="Normal 13 9 5 4" xfId="18385" xr:uid="{4C7A6889-23AD-46C9-AB68-7D2355435726}"/>
    <cellStyle name="Normal 13 9 5 5" xfId="29706" xr:uid="{8E182CCF-0457-4464-B634-32208573C7C0}"/>
    <cellStyle name="Normal 13 9 5 6" xfId="36571" xr:uid="{56BA9A82-742C-4178-839C-1A7DE1354944}"/>
    <cellStyle name="Normal 13 9 6" xfId="7768" xr:uid="{00000000-0005-0000-0000-00002C100000}"/>
    <cellStyle name="Normal 13 9 6 2" xfId="25255" xr:uid="{D80A9203-F24C-4296-8351-9AB13732B224}"/>
    <cellStyle name="Normal 13 9 6 3" xfId="19595" xr:uid="{18ACB7AE-CC91-467C-9607-0E1A3C901416}"/>
    <cellStyle name="Normal 13 9 6 4" xfId="30916" xr:uid="{0684B9E4-CD7F-43A2-A707-96C9B7BDCD40}"/>
    <cellStyle name="Normal 13 9 6 5" xfId="36573" xr:uid="{13AB8230-7A1B-4470-AE2A-41EAF51D39EE}"/>
    <cellStyle name="Normal 13 9 7" xfId="22483" xr:uid="{B040BB6F-C846-4C2A-8B2D-40ABAD3DEDD3}"/>
    <cellStyle name="Normal 13 9 8" xfId="16823" xr:uid="{4E080C8C-0675-4C66-81C6-E31B17953821}"/>
    <cellStyle name="Normal 13 9 9" xfId="28144" xr:uid="{4AAE3EBE-3CCC-4C2F-A490-179DA1C82447}"/>
    <cellStyle name="Normal 14" xfId="286" xr:uid="{00000000-0005-0000-0000-00002D100000}"/>
    <cellStyle name="Normal 14 10" xfId="4116" xr:uid="{00000000-0005-0000-0000-00002E100000}"/>
    <cellStyle name="Normal 14 10 10" xfId="36575" xr:uid="{2D556455-2551-479D-9D11-79B376122DEF}"/>
    <cellStyle name="Normal 14 10 2" xfId="4897" xr:uid="{00000000-0005-0000-0000-00002F100000}"/>
    <cellStyle name="Normal 14 10 2 2" xfId="5316" xr:uid="{00000000-0005-0000-0000-000030100000}"/>
    <cellStyle name="Normal 14 10 2 2 2" xfId="7179" xr:uid="{00000000-0005-0000-0000-000031100000}"/>
    <cellStyle name="Normal 14 10 2 2 2 2" xfId="15612" xr:uid="{00000000-0005-0000-0000-000032100000}"/>
    <cellStyle name="Normal 14 10 2 2 2 2 2" xfId="27506" xr:uid="{9551F6B9-0815-4DBB-8102-51EEF3260384}"/>
    <cellStyle name="Normal 14 10 2 2 2 2 3" xfId="21846" xr:uid="{A01046A9-7EF2-4129-9F53-D8F0F30D7841}"/>
    <cellStyle name="Normal 14 10 2 2 2 2 4" xfId="32886" xr:uid="{C8F7A05F-9A90-4050-A30B-C99B6C51DB67}"/>
    <cellStyle name="Normal 14 10 2 2 2 2 5" xfId="36579" xr:uid="{2E50E509-AC12-414D-B577-36FE8215E49A}"/>
    <cellStyle name="Normal 14 10 2 2 2 3" xfId="24673" xr:uid="{0392C970-B1F3-4CF0-AF57-74C43DA39218}"/>
    <cellStyle name="Normal 14 10 2 2 2 4" xfId="19013" xr:uid="{909A203F-88DC-4E98-B856-7C7F9FE5770A}"/>
    <cellStyle name="Normal 14 10 2 2 2 5" xfId="30334" xr:uid="{07FBFD8D-D387-4F4E-88CD-4B6854480448}"/>
    <cellStyle name="Normal 14 10 2 2 2 6" xfId="36578" xr:uid="{3A048197-3274-486F-B9BF-4F3F67808F01}"/>
    <cellStyle name="Normal 14 10 2 2 3" xfId="14202" xr:uid="{00000000-0005-0000-0000-000033100000}"/>
    <cellStyle name="Normal 14 10 2 2 3 2" xfId="26241" xr:uid="{75FEE6B4-57CD-429A-9595-4E8D19BEFD94}"/>
    <cellStyle name="Normal 14 10 2 2 3 3" xfId="20581" xr:uid="{0D4955D5-5F04-45EE-AA21-5D1646809EA8}"/>
    <cellStyle name="Normal 14 10 2 2 3 4" xfId="31621" xr:uid="{F8ED506D-354B-4EA1-B41B-351C4BB76BA4}"/>
    <cellStyle name="Normal 14 10 2 2 3 5" xfId="36580" xr:uid="{9436F743-1A2C-48EB-A1EB-B3E5E629F647}"/>
    <cellStyle name="Normal 14 10 2 2 4" xfId="23111" xr:uid="{368FBE5E-AF97-46FC-B322-F05D1468BDAF}"/>
    <cellStyle name="Normal 14 10 2 2 5" xfId="17451" xr:uid="{C0B558A1-FD8A-4505-88E3-FE9546053135}"/>
    <cellStyle name="Normal 14 10 2 2 6" xfId="28772" xr:uid="{40A0371D-316E-4E13-8549-3B1DA097C32B}"/>
    <cellStyle name="Normal 14 10 2 2 7" xfId="36577" xr:uid="{77FD82C8-DFB6-4CA4-B522-8A2C531F57F4}"/>
    <cellStyle name="Normal 14 10 2 3" xfId="6014" xr:uid="{00000000-0005-0000-0000-000034100000}"/>
    <cellStyle name="Normal 14 10 2 3 2" xfId="7360" xr:uid="{00000000-0005-0000-0000-000035100000}"/>
    <cellStyle name="Normal 14 10 2 3 2 2" xfId="15793" xr:uid="{00000000-0005-0000-0000-000036100000}"/>
    <cellStyle name="Normal 14 10 2 3 2 2 2" xfId="27687" xr:uid="{8B0AFF43-9BEE-453C-B401-289729D5816C}"/>
    <cellStyle name="Normal 14 10 2 3 2 2 3" xfId="22027" xr:uid="{E9C09F35-4A5F-40D9-9FBB-DF2732297F76}"/>
    <cellStyle name="Normal 14 10 2 3 2 2 4" xfId="33067" xr:uid="{DD4F778A-3109-4840-9C45-8EEA3F9B5169}"/>
    <cellStyle name="Normal 14 10 2 3 2 2 5" xfId="36583" xr:uid="{51762DBA-EE9F-4AE3-92C5-505F61D0E5B5}"/>
    <cellStyle name="Normal 14 10 2 3 2 3" xfId="24854" xr:uid="{5586F448-001A-47C3-B193-C8CB91327556}"/>
    <cellStyle name="Normal 14 10 2 3 2 4" xfId="19194" xr:uid="{816060F6-42A9-4DE6-9EEF-01A647171E48}"/>
    <cellStyle name="Normal 14 10 2 3 2 5" xfId="30515" xr:uid="{C1CE07CC-EF25-4866-A0DA-0D838474F4F9}"/>
    <cellStyle name="Normal 14 10 2 3 2 6" xfId="36582" xr:uid="{3190BA3A-C81A-4616-9BB3-51B7F939E349}"/>
    <cellStyle name="Normal 14 10 2 3 3" xfId="14472" xr:uid="{00000000-0005-0000-0000-000037100000}"/>
    <cellStyle name="Normal 14 10 2 3 3 2" xfId="26431" xr:uid="{2CBB565C-DFC1-4466-B75C-B0C77591024C}"/>
    <cellStyle name="Normal 14 10 2 3 3 3" xfId="20771" xr:uid="{980742DB-64B4-46EC-9759-C71A92E7857E}"/>
    <cellStyle name="Normal 14 10 2 3 3 4" xfId="31811" xr:uid="{2D8D0844-592F-4294-AEAC-19525806E575}"/>
    <cellStyle name="Normal 14 10 2 3 3 5" xfId="36584" xr:uid="{209DA0BB-FB08-4EF2-8455-9E9FDE16FE78}"/>
    <cellStyle name="Normal 14 10 2 3 4" xfId="23598" xr:uid="{CAEF2A86-D5B4-4693-A09C-A2ACA9E1AD7F}"/>
    <cellStyle name="Normal 14 10 2 3 5" xfId="17938" xr:uid="{861A63DB-475C-452F-B9B9-2E6865C43009}"/>
    <cellStyle name="Normal 14 10 2 3 6" xfId="29259" xr:uid="{1AE8906D-4E95-4887-929F-4E170166D80A}"/>
    <cellStyle name="Normal 14 10 2 3 7" xfId="36581" xr:uid="{D3F28AD5-37DD-40C2-A294-1FC8BB371DAE}"/>
    <cellStyle name="Normal 14 10 2 4" xfId="6761" xr:uid="{00000000-0005-0000-0000-000038100000}"/>
    <cellStyle name="Normal 14 10 2 4 2" xfId="15194" xr:uid="{00000000-0005-0000-0000-000039100000}"/>
    <cellStyle name="Normal 14 10 2 4 2 2" xfId="27088" xr:uid="{14244406-08C4-444B-87E9-8EA14E5B8E0B}"/>
    <cellStyle name="Normal 14 10 2 4 2 3" xfId="21428" xr:uid="{D9A22559-EEB7-4A2A-9D32-B463497A3B92}"/>
    <cellStyle name="Normal 14 10 2 4 2 4" xfId="32468" xr:uid="{964D976E-BBBE-4F42-9634-E375D5EA8825}"/>
    <cellStyle name="Normal 14 10 2 4 2 5" xfId="36586" xr:uid="{2FBDA964-D91A-4BAA-9453-8402E8AC510B}"/>
    <cellStyle name="Normal 14 10 2 4 3" xfId="24255" xr:uid="{1519666A-10CA-4FF0-8551-1287CCE42C48}"/>
    <cellStyle name="Normal 14 10 2 4 4" xfId="18595" xr:uid="{5F179C27-4045-4C68-BF08-A7BA06DB29E9}"/>
    <cellStyle name="Normal 14 10 2 4 5" xfId="29916" xr:uid="{F4D95708-3774-452B-9ABA-8D724F3A5CE9}"/>
    <cellStyle name="Normal 14 10 2 4 6" xfId="36585" xr:uid="{AB933EAA-4142-4C7B-BC40-97F6D08D05B2}"/>
    <cellStyle name="Normal 14 10 2 5" xfId="7771" xr:uid="{00000000-0005-0000-0000-00003A100000}"/>
    <cellStyle name="Normal 14 10 2 5 2" xfId="25258" xr:uid="{1E0490D3-AB4C-41C7-83FC-E2CB5F437801}"/>
    <cellStyle name="Normal 14 10 2 5 3" xfId="19598" xr:uid="{423A76B9-F1A4-4890-9CCA-6B09B905A34A}"/>
    <cellStyle name="Normal 14 10 2 5 4" xfId="30919" xr:uid="{56042297-7D7B-428B-873E-D20A2C6FEDF3}"/>
    <cellStyle name="Normal 14 10 2 5 5" xfId="36587" xr:uid="{2718A1DF-6220-4D65-8AF4-9AC05B5887FC}"/>
    <cellStyle name="Normal 14 10 2 6" xfId="22693" xr:uid="{5B662C3B-6EBC-4CD4-B5BE-4F3D42822A69}"/>
    <cellStyle name="Normal 14 10 2 7" xfId="17033" xr:uid="{CC1A50C9-8525-4CA3-9229-0ECE5936A1A8}"/>
    <cellStyle name="Normal 14 10 2 8" xfId="28354" xr:uid="{F76B647F-C53C-421C-B7D9-F5C9DFBD69B1}"/>
    <cellStyle name="Normal 14 10 2 9" xfId="36576" xr:uid="{A6D15582-BDDB-4A4D-ACCE-6B456C086A0F}"/>
    <cellStyle name="Normal 14 10 3" xfId="5107" xr:uid="{00000000-0005-0000-0000-00003B100000}"/>
    <cellStyle name="Normal 14 10 3 2" xfId="6013" xr:uid="{00000000-0005-0000-0000-00003C100000}"/>
    <cellStyle name="Normal 14 10 3 2 2" xfId="7359" xr:uid="{00000000-0005-0000-0000-00003D100000}"/>
    <cellStyle name="Normal 14 10 3 2 2 2" xfId="15792" xr:uid="{00000000-0005-0000-0000-00003E100000}"/>
    <cellStyle name="Normal 14 10 3 2 2 2 2" xfId="27686" xr:uid="{449E1C17-6F52-48F7-927B-1421A992AA16}"/>
    <cellStyle name="Normal 14 10 3 2 2 2 3" xfId="22026" xr:uid="{C1A3472C-FAFA-4707-A98F-B54BC8179787}"/>
    <cellStyle name="Normal 14 10 3 2 2 2 4" xfId="33066" xr:uid="{9B0D219B-F631-420D-B93E-49F33C44D005}"/>
    <cellStyle name="Normal 14 10 3 2 2 2 5" xfId="36591" xr:uid="{9F9C9169-4736-4C5E-940E-CA71E48FBF2F}"/>
    <cellStyle name="Normal 14 10 3 2 2 3" xfId="24853" xr:uid="{3CB50D3D-142F-4A61-8F84-134E15F5DD64}"/>
    <cellStyle name="Normal 14 10 3 2 2 4" xfId="19193" xr:uid="{28F781A7-AE70-4CA7-8CC3-FCF1DED72A82}"/>
    <cellStyle name="Normal 14 10 3 2 2 5" xfId="30514" xr:uid="{2F2354D2-ED00-4320-AA9C-D979116A479D}"/>
    <cellStyle name="Normal 14 10 3 2 2 6" xfId="36590" xr:uid="{FF087DB8-1180-4AE9-AB0B-402707360BD5}"/>
    <cellStyle name="Normal 14 10 3 2 3" xfId="14471" xr:uid="{00000000-0005-0000-0000-00003F100000}"/>
    <cellStyle name="Normal 14 10 3 2 3 2" xfId="26430" xr:uid="{EEAD176F-BCF0-465D-A3C0-CC095A4B1781}"/>
    <cellStyle name="Normal 14 10 3 2 3 3" xfId="20770" xr:uid="{DD068A19-3EA5-48FB-A4B9-4BA832F9A569}"/>
    <cellStyle name="Normal 14 10 3 2 3 4" xfId="31810" xr:uid="{25B64164-B867-4BC0-974D-55CD2085BEDE}"/>
    <cellStyle name="Normal 14 10 3 2 3 5" xfId="36592" xr:uid="{DA83B639-E2AD-45A4-9AFA-C124BCBA7095}"/>
    <cellStyle name="Normal 14 10 3 2 4" xfId="23597" xr:uid="{6D1C3050-A1E1-45AD-A0FA-ABDF66A86097}"/>
    <cellStyle name="Normal 14 10 3 2 5" xfId="17937" xr:uid="{43E2E670-D1C0-49E4-9440-2844F741F996}"/>
    <cellStyle name="Normal 14 10 3 2 6" xfId="29258" xr:uid="{C98A9CBB-E8AB-439A-995F-DDC2BBE8A06B}"/>
    <cellStyle name="Normal 14 10 3 2 7" xfId="36589" xr:uid="{30925CAE-5EE5-4F8F-B98C-E285FC4CFE48}"/>
    <cellStyle name="Normal 14 10 3 3" xfId="6970" xr:uid="{00000000-0005-0000-0000-000040100000}"/>
    <cellStyle name="Normal 14 10 3 3 2" xfId="15403" xr:uid="{00000000-0005-0000-0000-000041100000}"/>
    <cellStyle name="Normal 14 10 3 3 2 2" xfId="27297" xr:uid="{A551D395-1ECD-4B24-ABAB-D58EE34FFF31}"/>
    <cellStyle name="Normal 14 10 3 3 2 3" xfId="21637" xr:uid="{C9F2D6C3-2270-4EF1-8D35-C64A4784A033}"/>
    <cellStyle name="Normal 14 10 3 3 2 4" xfId="32677" xr:uid="{FF3644A8-E3B7-4C33-AF9D-ED554E11DCC7}"/>
    <cellStyle name="Normal 14 10 3 3 2 5" xfId="36594" xr:uid="{8A6A2443-3F52-4D00-B892-BB8F88CBE525}"/>
    <cellStyle name="Normal 14 10 3 3 3" xfId="24464" xr:uid="{A1782748-9010-48FD-9F96-A0951B1228BA}"/>
    <cellStyle name="Normal 14 10 3 3 4" xfId="18804" xr:uid="{F7C47AF1-8085-40D1-9516-37E77B5CB542}"/>
    <cellStyle name="Normal 14 10 3 3 5" xfId="30125" xr:uid="{EF7EEBC0-7E0D-4F7A-AAA6-DC3DA3AADA6C}"/>
    <cellStyle name="Normal 14 10 3 3 6" xfId="36593" xr:uid="{E76D3EE0-5132-44A0-9B8A-D95A520B87B9}"/>
    <cellStyle name="Normal 14 10 3 4" xfId="13994" xr:uid="{00000000-0005-0000-0000-000042100000}"/>
    <cellStyle name="Normal 14 10 3 4 2" xfId="26033" xr:uid="{ED26CD1C-30DA-4E84-AE33-E992F904327C}"/>
    <cellStyle name="Normal 14 10 3 4 3" xfId="20373" xr:uid="{7FE23D6B-BDE4-4F5A-902A-4262F3000831}"/>
    <cellStyle name="Normal 14 10 3 4 4" xfId="31413" xr:uid="{96B03D80-24DD-40DE-B6E6-01613E441395}"/>
    <cellStyle name="Normal 14 10 3 4 5" xfId="36595" xr:uid="{F86083F9-EEDC-41A1-89B1-B33D1C79CE95}"/>
    <cellStyle name="Normal 14 10 3 5" xfId="22902" xr:uid="{B94E8F87-9DE1-4077-B67D-7E7F0D57EA94}"/>
    <cellStyle name="Normal 14 10 3 6" xfId="17242" xr:uid="{225A3BDC-8788-4D15-8C1F-E282C6FCD051}"/>
    <cellStyle name="Normal 14 10 3 7" xfId="28563" xr:uid="{F9A68713-3157-4589-AAA7-CF68ABC225F7}"/>
    <cellStyle name="Normal 14 10 3 8" xfId="36588" xr:uid="{E7B6FDDA-D540-462A-80B9-E65AEB1F92F9}"/>
    <cellStyle name="Normal 14 10 4" xfId="5639" xr:uid="{00000000-0005-0000-0000-000043100000}"/>
    <cellStyle name="Normal 14 10 4 2" xfId="36596" xr:uid="{46D29CCC-7C85-484A-87C6-6DC52DBA89C4}"/>
    <cellStyle name="Normal 14 10 5" xfId="6552" xr:uid="{00000000-0005-0000-0000-000044100000}"/>
    <cellStyle name="Normal 14 10 5 2" xfId="14985" xr:uid="{00000000-0005-0000-0000-000045100000}"/>
    <cellStyle name="Normal 14 10 5 2 2" xfId="26879" xr:uid="{BF434E5C-A42E-40BE-A7F5-CE20467EE13D}"/>
    <cellStyle name="Normal 14 10 5 2 3" xfId="21219" xr:uid="{8ABABEED-9CB2-45F0-8317-3E90700DFF5C}"/>
    <cellStyle name="Normal 14 10 5 2 4" xfId="32259" xr:uid="{73C5DD98-3B7E-410A-8510-2888E5E2FB55}"/>
    <cellStyle name="Normal 14 10 5 2 5" xfId="36598" xr:uid="{DCA55DB4-22D5-44C9-A6AB-ECCEBCF6F08B}"/>
    <cellStyle name="Normal 14 10 5 3" xfId="24046" xr:uid="{AC18C617-D4D6-4647-8BE5-181547348E91}"/>
    <cellStyle name="Normal 14 10 5 4" xfId="18386" xr:uid="{1C96B1A7-6269-4848-A3EB-60DE1EAB63A1}"/>
    <cellStyle name="Normal 14 10 5 5" xfId="29707" xr:uid="{FE355061-8C10-4687-9060-70114C8285B8}"/>
    <cellStyle name="Normal 14 10 5 6" xfId="36597" xr:uid="{BC940DED-B5B5-4E78-A08D-04B6CECF4C4D}"/>
    <cellStyle name="Normal 14 10 6" xfId="7770" xr:uid="{00000000-0005-0000-0000-000046100000}"/>
    <cellStyle name="Normal 14 10 6 2" xfId="25257" xr:uid="{530C7B5F-F065-4D62-8578-6C91494690A1}"/>
    <cellStyle name="Normal 14 10 6 3" xfId="19597" xr:uid="{572DF688-A920-42F9-A0E5-0A0FAA05C38C}"/>
    <cellStyle name="Normal 14 10 6 4" xfId="30918" xr:uid="{FEB5B78F-3BC6-44E2-B939-D115514108E4}"/>
    <cellStyle name="Normal 14 10 6 5" xfId="36599" xr:uid="{2AC72FE1-5CC2-4FDC-8F85-DA1222055AD6}"/>
    <cellStyle name="Normal 14 10 7" xfId="22484" xr:uid="{3879E745-D614-414B-805F-82888F88CF06}"/>
    <cellStyle name="Normal 14 10 8" xfId="16824" xr:uid="{10E4CE86-F390-4198-8F2B-C4683990AB55}"/>
    <cellStyle name="Normal 14 10 9" xfId="28145" xr:uid="{0B5571FF-EA80-4096-BC2F-64E9949B2E03}"/>
    <cellStyle name="Normal 14 11" xfId="4117" xr:uid="{00000000-0005-0000-0000-000047100000}"/>
    <cellStyle name="Normal 14 11 10" xfId="36600" xr:uid="{317450AA-C7C2-4434-94C3-98A728C28083}"/>
    <cellStyle name="Normal 14 11 2" xfId="4898" xr:uid="{00000000-0005-0000-0000-000048100000}"/>
    <cellStyle name="Normal 14 11 2 2" xfId="5317" xr:uid="{00000000-0005-0000-0000-000049100000}"/>
    <cellStyle name="Normal 14 11 2 2 2" xfId="7180" xr:uid="{00000000-0005-0000-0000-00004A100000}"/>
    <cellStyle name="Normal 14 11 2 2 2 2" xfId="15613" xr:uid="{00000000-0005-0000-0000-00004B100000}"/>
    <cellStyle name="Normal 14 11 2 2 2 2 2" xfId="27507" xr:uid="{7BC86522-BFCB-4E7D-8322-B24E4D47D9AE}"/>
    <cellStyle name="Normal 14 11 2 2 2 2 3" xfId="21847" xr:uid="{97770395-4E8D-4433-A551-0D5C633C0D2D}"/>
    <cellStyle name="Normal 14 11 2 2 2 2 4" xfId="32887" xr:uid="{8A5FFAA9-4F8A-4D4A-B8F1-F919B5AA0E49}"/>
    <cellStyle name="Normal 14 11 2 2 2 2 5" xfId="36604" xr:uid="{8A95BDE6-B95F-41BF-ADFF-E6179EF234A8}"/>
    <cellStyle name="Normal 14 11 2 2 2 3" xfId="24674" xr:uid="{36E6B5C4-27B1-499D-88AF-1B6A2936D065}"/>
    <cellStyle name="Normal 14 11 2 2 2 4" xfId="19014" xr:uid="{0E7DA0A2-1AFB-4569-8E5C-1AF467651FD0}"/>
    <cellStyle name="Normal 14 11 2 2 2 5" xfId="30335" xr:uid="{068DA19A-0945-440A-BE23-AD31AF8F0654}"/>
    <cellStyle name="Normal 14 11 2 2 2 6" xfId="36603" xr:uid="{F89E9722-2574-473A-9D07-9F746671776A}"/>
    <cellStyle name="Normal 14 11 2 2 3" xfId="14203" xr:uid="{00000000-0005-0000-0000-00004C100000}"/>
    <cellStyle name="Normal 14 11 2 2 3 2" xfId="26242" xr:uid="{7B434FE8-556C-4A61-8EF3-588B7B7A3D96}"/>
    <cellStyle name="Normal 14 11 2 2 3 3" xfId="20582" xr:uid="{D6995C84-B9F3-4595-8C09-1405D27E8D0B}"/>
    <cellStyle name="Normal 14 11 2 2 3 4" xfId="31622" xr:uid="{2455D335-BEC6-4B16-B687-6BF4E3C36EF9}"/>
    <cellStyle name="Normal 14 11 2 2 3 5" xfId="36605" xr:uid="{4E8EF4AE-C81A-42BB-8AF2-EAAAB232A130}"/>
    <cellStyle name="Normal 14 11 2 2 4" xfId="23112" xr:uid="{4E95840F-AC72-492C-BEE1-5CDE539E5F61}"/>
    <cellStyle name="Normal 14 11 2 2 5" xfId="17452" xr:uid="{E9533DC9-CEE7-4BDB-931C-5B65238CC428}"/>
    <cellStyle name="Normal 14 11 2 2 6" xfId="28773" xr:uid="{D6426CCA-221C-4D22-A4EF-B2302B8BD4E6}"/>
    <cellStyle name="Normal 14 11 2 2 7" xfId="36602" xr:uid="{AFEFFF95-4BD5-449C-B4CA-67D3E4E54E27}"/>
    <cellStyle name="Normal 14 11 2 3" xfId="6016" xr:uid="{00000000-0005-0000-0000-00004D100000}"/>
    <cellStyle name="Normal 14 11 2 3 2" xfId="7362" xr:uid="{00000000-0005-0000-0000-00004E100000}"/>
    <cellStyle name="Normal 14 11 2 3 2 2" xfId="15795" xr:uid="{00000000-0005-0000-0000-00004F100000}"/>
    <cellStyle name="Normal 14 11 2 3 2 2 2" xfId="27689" xr:uid="{CD5E7323-4F2B-4BD1-A8AE-B9348DF108FF}"/>
    <cellStyle name="Normal 14 11 2 3 2 2 3" xfId="22029" xr:uid="{4EBE077B-0AB6-431B-ABC8-E79DC24884B2}"/>
    <cellStyle name="Normal 14 11 2 3 2 2 4" xfId="33069" xr:uid="{D3EFB918-FA0F-4827-AB12-A5509AA6C720}"/>
    <cellStyle name="Normal 14 11 2 3 2 2 5" xfId="36608" xr:uid="{E713A956-C82C-4A28-A580-B4265BD6E0FA}"/>
    <cellStyle name="Normal 14 11 2 3 2 3" xfId="24856" xr:uid="{C1B75E29-0D67-4D84-BA4C-95DFB3EE7649}"/>
    <cellStyle name="Normal 14 11 2 3 2 4" xfId="19196" xr:uid="{508186EE-2601-45F0-9781-1712D2B0101E}"/>
    <cellStyle name="Normal 14 11 2 3 2 5" xfId="30517" xr:uid="{021B7FF5-2025-4765-8B8B-D39ABB4BF0D0}"/>
    <cellStyle name="Normal 14 11 2 3 2 6" xfId="36607" xr:uid="{CC693F48-0245-4578-BDC8-A4587C5B76B7}"/>
    <cellStyle name="Normal 14 11 2 3 3" xfId="14474" xr:uid="{00000000-0005-0000-0000-000050100000}"/>
    <cellStyle name="Normal 14 11 2 3 3 2" xfId="26433" xr:uid="{90B3DEE5-8C7D-4104-95F7-C4B31F667E56}"/>
    <cellStyle name="Normal 14 11 2 3 3 3" xfId="20773" xr:uid="{BC9FAD1C-516B-464B-8465-BF9F269BA041}"/>
    <cellStyle name="Normal 14 11 2 3 3 4" xfId="31813" xr:uid="{DB592CB6-0D22-4DE5-9EBB-B11024BCBBE9}"/>
    <cellStyle name="Normal 14 11 2 3 3 5" xfId="36609" xr:uid="{BC6F428D-6941-4C6C-B794-5127411921E8}"/>
    <cellStyle name="Normal 14 11 2 3 4" xfId="23600" xr:uid="{2F0B732B-EAB3-4E92-B86C-F13382BB1779}"/>
    <cellStyle name="Normal 14 11 2 3 5" xfId="17940" xr:uid="{5410D46C-69A6-4EE9-911F-220F3AA14186}"/>
    <cellStyle name="Normal 14 11 2 3 6" xfId="29261" xr:uid="{4B9793CF-510E-4D97-B3C3-EED289E9751E}"/>
    <cellStyle name="Normal 14 11 2 3 7" xfId="36606" xr:uid="{DDA93CED-6FB2-45D5-8D77-01372E9551FE}"/>
    <cellStyle name="Normal 14 11 2 4" xfId="6762" xr:uid="{00000000-0005-0000-0000-000051100000}"/>
    <cellStyle name="Normal 14 11 2 4 2" xfId="15195" xr:uid="{00000000-0005-0000-0000-000052100000}"/>
    <cellStyle name="Normal 14 11 2 4 2 2" xfId="27089" xr:uid="{980E38A9-804F-4275-B16D-9AFE917CDBE1}"/>
    <cellStyle name="Normal 14 11 2 4 2 3" xfId="21429" xr:uid="{2EE9FF69-2201-4E8A-8D45-568A7FCCE112}"/>
    <cellStyle name="Normal 14 11 2 4 2 4" xfId="32469" xr:uid="{8037DC1D-A922-4F66-BC1B-8155706F273B}"/>
    <cellStyle name="Normal 14 11 2 4 2 5" xfId="36611" xr:uid="{917D4489-428A-4EC5-B61C-A0CE878D7041}"/>
    <cellStyle name="Normal 14 11 2 4 3" xfId="24256" xr:uid="{B744BD5B-5211-48B2-B666-00C79469A382}"/>
    <cellStyle name="Normal 14 11 2 4 4" xfId="18596" xr:uid="{841741E7-D067-4F59-9C97-2EE8640A9FF4}"/>
    <cellStyle name="Normal 14 11 2 4 5" xfId="29917" xr:uid="{E51B418E-E800-4346-8CB9-8A8B2FD76ADD}"/>
    <cellStyle name="Normal 14 11 2 4 6" xfId="36610" xr:uid="{FDE1218A-2294-4D61-B6D6-77CFD79E231F}"/>
    <cellStyle name="Normal 14 11 2 5" xfId="7773" xr:uid="{00000000-0005-0000-0000-000053100000}"/>
    <cellStyle name="Normal 14 11 2 5 2" xfId="25260" xr:uid="{4A87CCFF-6CB8-45E5-B6EE-36C989631D31}"/>
    <cellStyle name="Normal 14 11 2 5 3" xfId="19600" xr:uid="{B2AA0843-13D2-4B94-A162-767EFA133C7C}"/>
    <cellStyle name="Normal 14 11 2 5 4" xfId="30921" xr:uid="{7FCCDDC6-02D2-4184-A756-8073FD215496}"/>
    <cellStyle name="Normal 14 11 2 5 5" xfId="36612" xr:uid="{96E62D50-99DE-437A-B0C7-05857DAAD188}"/>
    <cellStyle name="Normal 14 11 2 6" xfId="22694" xr:uid="{69F975E9-02C3-4460-ACFD-CC0664F685BB}"/>
    <cellStyle name="Normal 14 11 2 7" xfId="17034" xr:uid="{5558512A-4E07-4766-A67A-BE7F688DB58B}"/>
    <cellStyle name="Normal 14 11 2 8" xfId="28355" xr:uid="{142A3EFB-D8B6-40E4-AE0A-E08703E5953B}"/>
    <cellStyle name="Normal 14 11 2 9" xfId="36601" xr:uid="{5E75E803-EAE8-4377-AB71-C962B8C015B3}"/>
    <cellStyle name="Normal 14 11 3" xfId="5108" xr:uid="{00000000-0005-0000-0000-000054100000}"/>
    <cellStyle name="Normal 14 11 3 2" xfId="6015" xr:uid="{00000000-0005-0000-0000-000055100000}"/>
    <cellStyle name="Normal 14 11 3 2 2" xfId="7361" xr:uid="{00000000-0005-0000-0000-000056100000}"/>
    <cellStyle name="Normal 14 11 3 2 2 2" xfId="15794" xr:uid="{00000000-0005-0000-0000-000057100000}"/>
    <cellStyle name="Normal 14 11 3 2 2 2 2" xfId="27688" xr:uid="{C6B9775D-A58A-472D-AFFC-3E204652D168}"/>
    <cellStyle name="Normal 14 11 3 2 2 2 3" xfId="22028" xr:uid="{ED6886AC-C9F3-426E-9EE1-5433FF693D3F}"/>
    <cellStyle name="Normal 14 11 3 2 2 2 4" xfId="33068" xr:uid="{7A272316-38B1-4FDC-9D83-540892EF1520}"/>
    <cellStyle name="Normal 14 11 3 2 2 2 5" xfId="36616" xr:uid="{4409CA98-A06E-4574-B12F-BFDEBFE8A4A7}"/>
    <cellStyle name="Normal 14 11 3 2 2 3" xfId="24855" xr:uid="{7D3FB320-C388-465C-880A-6E1D488B2213}"/>
    <cellStyle name="Normal 14 11 3 2 2 4" xfId="19195" xr:uid="{99478B26-DCF8-44A5-BFCA-00015305FE53}"/>
    <cellStyle name="Normal 14 11 3 2 2 5" xfId="30516" xr:uid="{2F74C35C-47ED-462E-9A92-C43187266594}"/>
    <cellStyle name="Normal 14 11 3 2 2 6" xfId="36615" xr:uid="{8F7B81EF-008E-47BF-9895-CAE5171A5727}"/>
    <cellStyle name="Normal 14 11 3 2 3" xfId="14473" xr:uid="{00000000-0005-0000-0000-000058100000}"/>
    <cellStyle name="Normal 14 11 3 2 3 2" xfId="26432" xr:uid="{E9393A4D-AAF9-4E6A-861C-D9CCF6D086D9}"/>
    <cellStyle name="Normal 14 11 3 2 3 3" xfId="20772" xr:uid="{D6ADB6B7-0218-4E5B-89BE-8953841339DB}"/>
    <cellStyle name="Normal 14 11 3 2 3 4" xfId="31812" xr:uid="{476DEC7E-1478-48E4-BDA4-4F584B6B5BDE}"/>
    <cellStyle name="Normal 14 11 3 2 3 5" xfId="36617" xr:uid="{BDD3363D-47B8-4A85-90EA-EB116921D96B}"/>
    <cellStyle name="Normal 14 11 3 2 4" xfId="23599" xr:uid="{A23BD36C-308A-4428-AF30-FB71DAEB80BA}"/>
    <cellStyle name="Normal 14 11 3 2 5" xfId="17939" xr:uid="{3A0C7425-3524-4CA5-996F-045F6F65EA87}"/>
    <cellStyle name="Normal 14 11 3 2 6" xfId="29260" xr:uid="{9D02D70A-E56C-45D9-9B9B-0BD2D672459A}"/>
    <cellStyle name="Normal 14 11 3 2 7" xfId="36614" xr:uid="{605DE7D9-A381-4F13-83BC-4B9420056897}"/>
    <cellStyle name="Normal 14 11 3 3" xfId="6971" xr:uid="{00000000-0005-0000-0000-000059100000}"/>
    <cellStyle name="Normal 14 11 3 3 2" xfId="15404" xr:uid="{00000000-0005-0000-0000-00005A100000}"/>
    <cellStyle name="Normal 14 11 3 3 2 2" xfId="27298" xr:uid="{1B912C26-F047-4728-AED9-5BC3AB327A86}"/>
    <cellStyle name="Normal 14 11 3 3 2 3" xfId="21638" xr:uid="{D1E826BB-F708-42ED-8A5C-8A5BD2191046}"/>
    <cellStyle name="Normal 14 11 3 3 2 4" xfId="32678" xr:uid="{851576F0-6D7A-4872-BEAF-3E0FCFFB1ABF}"/>
    <cellStyle name="Normal 14 11 3 3 2 5" xfId="36619" xr:uid="{583C511B-446B-4FFC-8635-709E730A4164}"/>
    <cellStyle name="Normal 14 11 3 3 3" xfId="24465" xr:uid="{A886CAE6-A457-4B35-8BB5-4933BAFE0DED}"/>
    <cellStyle name="Normal 14 11 3 3 4" xfId="18805" xr:uid="{3104DD26-3300-4DE3-8098-FE4F05288333}"/>
    <cellStyle name="Normal 14 11 3 3 5" xfId="30126" xr:uid="{48BACDDF-D511-4D0C-9BA5-6DA18CE74C58}"/>
    <cellStyle name="Normal 14 11 3 3 6" xfId="36618" xr:uid="{0FCDBDE3-4C3E-4831-A760-0221E7B7CC52}"/>
    <cellStyle name="Normal 14 11 3 4" xfId="13995" xr:uid="{00000000-0005-0000-0000-00005B100000}"/>
    <cellStyle name="Normal 14 11 3 4 2" xfId="26034" xr:uid="{9FB8A801-0042-42F1-8033-27B49CBFACF1}"/>
    <cellStyle name="Normal 14 11 3 4 3" xfId="20374" xr:uid="{20E3F795-0AA7-469B-B8E9-FF7B3F6A186B}"/>
    <cellStyle name="Normal 14 11 3 4 4" xfId="31414" xr:uid="{33BAAD64-A4E8-4647-BE01-0538F0F8E8BB}"/>
    <cellStyle name="Normal 14 11 3 4 5" xfId="36620" xr:uid="{9E0691B6-22EC-4AC8-B181-A697708BFEBA}"/>
    <cellStyle name="Normal 14 11 3 5" xfId="22903" xr:uid="{1E4DC958-9921-4619-8104-08521FE83E15}"/>
    <cellStyle name="Normal 14 11 3 6" xfId="17243" xr:uid="{EC852283-A256-461D-BE57-7FE103A6FEC9}"/>
    <cellStyle name="Normal 14 11 3 7" xfId="28564" xr:uid="{D27296D5-F1D4-42AC-AB34-093B3525506F}"/>
    <cellStyle name="Normal 14 11 3 8" xfId="36613" xr:uid="{22A7B2A0-32C9-45E9-9BF2-EC7854CEA12B}"/>
    <cellStyle name="Normal 14 11 4" xfId="5640" xr:uid="{00000000-0005-0000-0000-00005C100000}"/>
    <cellStyle name="Normal 14 11 4 2" xfId="36621" xr:uid="{4C14936F-89AD-4BC7-8BE0-82B1D021E2B1}"/>
    <cellStyle name="Normal 14 11 5" xfId="6553" xr:uid="{00000000-0005-0000-0000-00005D100000}"/>
    <cellStyle name="Normal 14 11 5 2" xfId="14986" xr:uid="{00000000-0005-0000-0000-00005E100000}"/>
    <cellStyle name="Normal 14 11 5 2 2" xfId="26880" xr:uid="{15B6F7E0-24FA-4BF8-858E-BFE743B9B3BA}"/>
    <cellStyle name="Normal 14 11 5 2 3" xfId="21220" xr:uid="{6491A996-FC78-4EFC-8373-E350829125B5}"/>
    <cellStyle name="Normal 14 11 5 2 4" xfId="32260" xr:uid="{786656B6-374D-4D10-AAED-0E0C82C116E5}"/>
    <cellStyle name="Normal 14 11 5 2 5" xfId="36623" xr:uid="{EAA7A1DD-DD62-428B-8850-FEFCC4E209CE}"/>
    <cellStyle name="Normal 14 11 5 3" xfId="24047" xr:uid="{AB4A4F0F-ED0F-4288-AF10-5DEEFCAD34D4}"/>
    <cellStyle name="Normal 14 11 5 4" xfId="18387" xr:uid="{B9D42134-0F7B-4D87-BF89-FD6BA9F7A030}"/>
    <cellStyle name="Normal 14 11 5 5" xfId="29708" xr:uid="{986F4836-3B6E-4DA4-9750-A5B15311EFA9}"/>
    <cellStyle name="Normal 14 11 5 6" xfId="36622" xr:uid="{3E10C3E1-1A7E-4CA4-BA72-A7E34379A88C}"/>
    <cellStyle name="Normal 14 11 6" xfId="7772" xr:uid="{00000000-0005-0000-0000-00005F100000}"/>
    <cellStyle name="Normal 14 11 6 2" xfId="25259" xr:uid="{AC1C5012-7780-45EB-B338-F15E44A13BA5}"/>
    <cellStyle name="Normal 14 11 6 3" xfId="19599" xr:uid="{55C3D7F6-4BBF-423B-831C-9DAF2C9E4110}"/>
    <cellStyle name="Normal 14 11 6 4" xfId="30920" xr:uid="{AA2F3D53-9805-451E-8D58-07EA864596BE}"/>
    <cellStyle name="Normal 14 11 6 5" xfId="36624" xr:uid="{C8D66DD9-A687-4B0E-8A1A-1F79258691B0}"/>
    <cellStyle name="Normal 14 11 7" xfId="22485" xr:uid="{74B10392-78F5-4D7F-B7FA-AB10C517DDED}"/>
    <cellStyle name="Normal 14 11 8" xfId="16825" xr:uid="{78DD5DBA-514B-42E9-B55F-A838454DB2FF}"/>
    <cellStyle name="Normal 14 11 9" xfId="28146" xr:uid="{091E9686-B96A-43EC-9621-A41AC9B0C007}"/>
    <cellStyle name="Normal 14 12" xfId="4118" xr:uid="{00000000-0005-0000-0000-000060100000}"/>
    <cellStyle name="Normal 14 12 10" xfId="36625" xr:uid="{FF0EB133-5CBA-400D-A0C8-A1558153D39F}"/>
    <cellStyle name="Normal 14 12 2" xfId="4899" xr:uid="{00000000-0005-0000-0000-000061100000}"/>
    <cellStyle name="Normal 14 12 2 2" xfId="5318" xr:uid="{00000000-0005-0000-0000-000062100000}"/>
    <cellStyle name="Normal 14 12 2 2 2" xfId="7181" xr:uid="{00000000-0005-0000-0000-000063100000}"/>
    <cellStyle name="Normal 14 12 2 2 2 2" xfId="15614" xr:uid="{00000000-0005-0000-0000-000064100000}"/>
    <cellStyle name="Normal 14 12 2 2 2 2 2" xfId="27508" xr:uid="{563CD09A-B1C3-47E3-942C-B3E143AA4128}"/>
    <cellStyle name="Normal 14 12 2 2 2 2 3" xfId="21848" xr:uid="{2FC41746-408D-471A-9EEA-C982B41F15D8}"/>
    <cellStyle name="Normal 14 12 2 2 2 2 4" xfId="32888" xr:uid="{C2DAB937-3EB6-437C-A1E8-C11E189F43B0}"/>
    <cellStyle name="Normal 14 12 2 2 2 2 5" xfId="36629" xr:uid="{C257821B-BDD4-4E35-9A8E-009E4D7AEC1C}"/>
    <cellStyle name="Normal 14 12 2 2 2 3" xfId="24675" xr:uid="{845D333B-9A8E-4286-B285-5101C171B527}"/>
    <cellStyle name="Normal 14 12 2 2 2 4" xfId="19015" xr:uid="{E8809634-32E8-4CEB-8BBC-49AC8B62A9F5}"/>
    <cellStyle name="Normal 14 12 2 2 2 5" xfId="30336" xr:uid="{E9C72796-13DC-4BD8-BB69-975AB4068662}"/>
    <cellStyle name="Normal 14 12 2 2 2 6" xfId="36628" xr:uid="{F482880E-7795-4123-BDC4-8B443CA5AA86}"/>
    <cellStyle name="Normal 14 12 2 2 3" xfId="14204" xr:uid="{00000000-0005-0000-0000-000065100000}"/>
    <cellStyle name="Normal 14 12 2 2 3 2" xfId="26243" xr:uid="{3B19580B-FF50-4A22-8A27-702DE9E67D73}"/>
    <cellStyle name="Normal 14 12 2 2 3 3" xfId="20583" xr:uid="{10C733F3-BE9A-4022-9CD9-4840094451AE}"/>
    <cellStyle name="Normal 14 12 2 2 3 4" xfId="31623" xr:uid="{8C032BF2-AE2A-4FDD-8369-EBDA6E711D54}"/>
    <cellStyle name="Normal 14 12 2 2 3 5" xfId="36630" xr:uid="{3B4752A8-CF56-4AA7-AE14-793BB08D375C}"/>
    <cellStyle name="Normal 14 12 2 2 4" xfId="23113" xr:uid="{3878E6EA-A318-42C6-A531-675F268C47F8}"/>
    <cellStyle name="Normal 14 12 2 2 5" xfId="17453" xr:uid="{F9B1CE6D-6ED3-4819-8945-B8848B70E389}"/>
    <cellStyle name="Normal 14 12 2 2 6" xfId="28774" xr:uid="{F381848F-1F7D-4416-91BF-148EB0BCF993}"/>
    <cellStyle name="Normal 14 12 2 2 7" xfId="36627" xr:uid="{06CCF751-3609-4EBD-BCD7-BBAD5D66A412}"/>
    <cellStyle name="Normal 14 12 2 3" xfId="6018" xr:uid="{00000000-0005-0000-0000-000066100000}"/>
    <cellStyle name="Normal 14 12 2 3 2" xfId="7364" xr:uid="{00000000-0005-0000-0000-000067100000}"/>
    <cellStyle name="Normal 14 12 2 3 2 2" xfId="15797" xr:uid="{00000000-0005-0000-0000-000068100000}"/>
    <cellStyle name="Normal 14 12 2 3 2 2 2" xfId="27691" xr:uid="{44180A0B-DD41-4AC0-8591-15808BF87520}"/>
    <cellStyle name="Normal 14 12 2 3 2 2 3" xfId="22031" xr:uid="{82C85258-5BB8-4F7E-BB54-66BD33A5A8F4}"/>
    <cellStyle name="Normal 14 12 2 3 2 2 4" xfId="33071" xr:uid="{DBE41FD8-8924-42D2-A548-F5056E842358}"/>
    <cellStyle name="Normal 14 12 2 3 2 2 5" xfId="36633" xr:uid="{ABCA2014-D234-4DCC-BEDA-20B242F3BD7B}"/>
    <cellStyle name="Normal 14 12 2 3 2 3" xfId="24858" xr:uid="{F7734806-5DB1-45F9-8B64-56F15958EB74}"/>
    <cellStyle name="Normal 14 12 2 3 2 4" xfId="19198" xr:uid="{2D57832C-736A-447E-8A8A-BD4C98C75E7B}"/>
    <cellStyle name="Normal 14 12 2 3 2 5" xfId="30519" xr:uid="{859B99F4-CFBE-4941-A573-664842A86431}"/>
    <cellStyle name="Normal 14 12 2 3 2 6" xfId="36632" xr:uid="{7C9ED489-9429-461F-82F0-139C08B3283C}"/>
    <cellStyle name="Normal 14 12 2 3 3" xfId="14476" xr:uid="{00000000-0005-0000-0000-000069100000}"/>
    <cellStyle name="Normal 14 12 2 3 3 2" xfId="26435" xr:uid="{2404A2D1-B586-41DD-8BAE-A2B33FF0D4C7}"/>
    <cellStyle name="Normal 14 12 2 3 3 3" xfId="20775" xr:uid="{70D26156-A012-4981-B0D2-36D9D3B64417}"/>
    <cellStyle name="Normal 14 12 2 3 3 4" xfId="31815" xr:uid="{75CABF08-CE6E-406F-B78B-34EA58A3246D}"/>
    <cellStyle name="Normal 14 12 2 3 3 5" xfId="36634" xr:uid="{8E626BD3-99A2-4D33-BB32-67E1A2C30D55}"/>
    <cellStyle name="Normal 14 12 2 3 4" xfId="23602" xr:uid="{A4AD5FC2-9229-43DB-8AB1-20E0FDFC9DB7}"/>
    <cellStyle name="Normal 14 12 2 3 5" xfId="17942" xr:uid="{A7827310-B674-4904-BB5B-31CEDA4A5FF5}"/>
    <cellStyle name="Normal 14 12 2 3 6" xfId="29263" xr:uid="{52BDCC52-57A2-4C4E-AE8B-84761A995017}"/>
    <cellStyle name="Normal 14 12 2 3 7" xfId="36631" xr:uid="{46004A6A-11A0-4E98-A2BC-4E7592ECE0E2}"/>
    <cellStyle name="Normal 14 12 2 4" xfId="6763" xr:uid="{00000000-0005-0000-0000-00006A100000}"/>
    <cellStyle name="Normal 14 12 2 4 2" xfId="15196" xr:uid="{00000000-0005-0000-0000-00006B100000}"/>
    <cellStyle name="Normal 14 12 2 4 2 2" xfId="27090" xr:uid="{C53DAE1B-9747-4B0D-B3BD-B026A6CD984F}"/>
    <cellStyle name="Normal 14 12 2 4 2 3" xfId="21430" xr:uid="{A354918A-DF8E-498A-BF1C-4F31C2AB4C2D}"/>
    <cellStyle name="Normal 14 12 2 4 2 4" xfId="32470" xr:uid="{D19353D5-5149-4C80-95BD-063ED131D123}"/>
    <cellStyle name="Normal 14 12 2 4 2 5" xfId="36636" xr:uid="{78AEF53E-73FC-4A94-8650-6E1531B3D55A}"/>
    <cellStyle name="Normal 14 12 2 4 3" xfId="24257" xr:uid="{51B4B0EA-AE9B-4A46-933B-25F3027CF044}"/>
    <cellStyle name="Normal 14 12 2 4 4" xfId="18597" xr:uid="{BF59F08B-CBF2-4A42-889F-E5C2E7D86F31}"/>
    <cellStyle name="Normal 14 12 2 4 5" xfId="29918" xr:uid="{6557D889-CA23-4B88-8C5A-42C769A18ECA}"/>
    <cellStyle name="Normal 14 12 2 4 6" xfId="36635" xr:uid="{271C74AB-C4E4-4E33-95DD-7194698C31B4}"/>
    <cellStyle name="Normal 14 12 2 5" xfId="7775" xr:uid="{00000000-0005-0000-0000-00006C100000}"/>
    <cellStyle name="Normal 14 12 2 5 2" xfId="25262" xr:uid="{9C22C883-2337-4325-B27D-AB860B3DA30B}"/>
    <cellStyle name="Normal 14 12 2 5 3" xfId="19602" xr:uid="{7163ABF9-5C02-47D5-9947-65C1884EEA26}"/>
    <cellStyle name="Normal 14 12 2 5 4" xfId="30923" xr:uid="{162F982C-D4E7-4E8A-AEC8-C6A98FCF8190}"/>
    <cellStyle name="Normal 14 12 2 5 5" xfId="36637" xr:uid="{8BC5ECE6-7DB7-49CE-9B72-6994B75F97FF}"/>
    <cellStyle name="Normal 14 12 2 6" xfId="22695" xr:uid="{5DF92801-71FE-411A-9DD3-1399D739C174}"/>
    <cellStyle name="Normal 14 12 2 7" xfId="17035" xr:uid="{A6ED3759-1EF6-4C0A-9FB2-A2355D463226}"/>
    <cellStyle name="Normal 14 12 2 8" xfId="28356" xr:uid="{BBE26924-0CB5-4FEC-BF23-3395E1E6A916}"/>
    <cellStyle name="Normal 14 12 2 9" xfId="36626" xr:uid="{74A545A3-1983-42B6-B88B-A68F1660128C}"/>
    <cellStyle name="Normal 14 12 3" xfId="5109" xr:uid="{00000000-0005-0000-0000-00006D100000}"/>
    <cellStyle name="Normal 14 12 3 2" xfId="6017" xr:uid="{00000000-0005-0000-0000-00006E100000}"/>
    <cellStyle name="Normal 14 12 3 2 2" xfId="7363" xr:uid="{00000000-0005-0000-0000-00006F100000}"/>
    <cellStyle name="Normal 14 12 3 2 2 2" xfId="15796" xr:uid="{00000000-0005-0000-0000-000070100000}"/>
    <cellStyle name="Normal 14 12 3 2 2 2 2" xfId="27690" xr:uid="{C58709C6-B165-4A2F-92AC-0A0352535E50}"/>
    <cellStyle name="Normal 14 12 3 2 2 2 3" xfId="22030" xr:uid="{E33FABCA-8673-44C9-9E97-B60A7D1E1BBD}"/>
    <cellStyle name="Normal 14 12 3 2 2 2 4" xfId="33070" xr:uid="{F16E63BD-B107-45F8-8B8F-B5C91B330BFA}"/>
    <cellStyle name="Normal 14 12 3 2 2 2 5" xfId="36641" xr:uid="{70E9635C-BF1E-46BE-B81D-A8A2B1ACE9E9}"/>
    <cellStyle name="Normal 14 12 3 2 2 3" xfId="24857" xr:uid="{CC587D83-E7E8-4AC0-8A68-4AA70594B04A}"/>
    <cellStyle name="Normal 14 12 3 2 2 4" xfId="19197" xr:uid="{3F415DED-CC66-4E59-A149-9A0F12A0F0AF}"/>
    <cellStyle name="Normal 14 12 3 2 2 5" xfId="30518" xr:uid="{A766F848-4D53-4732-B809-E41753D70C12}"/>
    <cellStyle name="Normal 14 12 3 2 2 6" xfId="36640" xr:uid="{F8FDC8EE-4ABA-41A6-8C05-EE66D5F30EFF}"/>
    <cellStyle name="Normal 14 12 3 2 3" xfId="14475" xr:uid="{00000000-0005-0000-0000-000071100000}"/>
    <cellStyle name="Normal 14 12 3 2 3 2" xfId="26434" xr:uid="{56844241-9080-4074-BABC-023557075FA6}"/>
    <cellStyle name="Normal 14 12 3 2 3 3" xfId="20774" xr:uid="{0E31F524-AA5D-4ED7-B527-1580C5C3321C}"/>
    <cellStyle name="Normal 14 12 3 2 3 4" xfId="31814" xr:uid="{746F443F-237A-472E-A228-7D9C32541969}"/>
    <cellStyle name="Normal 14 12 3 2 3 5" xfId="36642" xr:uid="{061FCD30-CC17-49DE-97D8-35AF8C3D6271}"/>
    <cellStyle name="Normal 14 12 3 2 4" xfId="23601" xr:uid="{C56A4776-9F74-4A81-B5A8-D84E385569C8}"/>
    <cellStyle name="Normal 14 12 3 2 5" xfId="17941" xr:uid="{E25FDFF1-8B6D-4E38-B1C5-99DB56139245}"/>
    <cellStyle name="Normal 14 12 3 2 6" xfId="29262" xr:uid="{B4CC87B8-DC6C-4709-97C1-584699122B6B}"/>
    <cellStyle name="Normal 14 12 3 2 7" xfId="36639" xr:uid="{88235526-57E8-47CD-9072-BAE8520A24CC}"/>
    <cellStyle name="Normal 14 12 3 3" xfId="6972" xr:uid="{00000000-0005-0000-0000-000072100000}"/>
    <cellStyle name="Normal 14 12 3 3 2" xfId="15405" xr:uid="{00000000-0005-0000-0000-000073100000}"/>
    <cellStyle name="Normal 14 12 3 3 2 2" xfId="27299" xr:uid="{BE192B60-14A7-4D92-9447-4F3D33B459CA}"/>
    <cellStyle name="Normal 14 12 3 3 2 3" xfId="21639" xr:uid="{3B3DD6A9-8564-47A8-BF83-1F8CD331810D}"/>
    <cellStyle name="Normal 14 12 3 3 2 4" xfId="32679" xr:uid="{D4495DAC-C5B0-4271-9082-D226E991CCB4}"/>
    <cellStyle name="Normal 14 12 3 3 2 5" xfId="36644" xr:uid="{86A6B9BB-961B-4E31-A4F8-C898102B5740}"/>
    <cellStyle name="Normal 14 12 3 3 3" xfId="24466" xr:uid="{B06A4C6B-54FF-4CA0-A851-CE0E081C4369}"/>
    <cellStyle name="Normal 14 12 3 3 4" xfId="18806" xr:uid="{8E267E3D-CC85-42D2-B2C4-343F8DA41549}"/>
    <cellStyle name="Normal 14 12 3 3 5" xfId="30127" xr:uid="{0E938A95-8766-478D-9D1B-5BC8C3B90D9F}"/>
    <cellStyle name="Normal 14 12 3 3 6" xfId="36643" xr:uid="{1AE49775-96E5-4D5D-82E1-9A89CEE548A3}"/>
    <cellStyle name="Normal 14 12 3 4" xfId="13996" xr:uid="{00000000-0005-0000-0000-000074100000}"/>
    <cellStyle name="Normal 14 12 3 4 2" xfId="26035" xr:uid="{B2910D37-1907-4E52-B059-EE539DA1BA68}"/>
    <cellStyle name="Normal 14 12 3 4 3" xfId="20375" xr:uid="{88D6C664-C7B8-4133-A815-A2C6B243DC93}"/>
    <cellStyle name="Normal 14 12 3 4 4" xfId="31415" xr:uid="{2B252EF2-4CC8-46B7-8AE5-23BC915D072C}"/>
    <cellStyle name="Normal 14 12 3 4 5" xfId="36645" xr:uid="{361FC1F8-BAF0-42AA-8C02-49483F92DB0E}"/>
    <cellStyle name="Normal 14 12 3 5" xfId="22904" xr:uid="{80760039-AEA2-4A5F-8ADA-99843098D9EA}"/>
    <cellStyle name="Normal 14 12 3 6" xfId="17244" xr:uid="{2E9CD11A-5D65-41B5-8CDB-57E8D8D19154}"/>
    <cellStyle name="Normal 14 12 3 7" xfId="28565" xr:uid="{8FFEC77D-5037-4019-A667-3BAC366EE9DD}"/>
    <cellStyle name="Normal 14 12 3 8" xfId="36638" xr:uid="{B88643A6-97C3-40F3-8AFF-70DD055C45E7}"/>
    <cellStyle name="Normal 14 12 4" xfId="5641" xr:uid="{00000000-0005-0000-0000-000075100000}"/>
    <cellStyle name="Normal 14 12 4 2" xfId="36646" xr:uid="{055F7B61-7915-496F-A4EF-13C2EB522313}"/>
    <cellStyle name="Normal 14 12 5" xfId="6554" xr:uid="{00000000-0005-0000-0000-000076100000}"/>
    <cellStyle name="Normal 14 12 5 2" xfId="14987" xr:uid="{00000000-0005-0000-0000-000077100000}"/>
    <cellStyle name="Normal 14 12 5 2 2" xfId="26881" xr:uid="{E14A1DC7-4DC9-41F2-90C2-7EAE6CB8637C}"/>
    <cellStyle name="Normal 14 12 5 2 3" xfId="21221" xr:uid="{EDBA70E2-9F7A-488F-9742-F2046B100ABA}"/>
    <cellStyle name="Normal 14 12 5 2 4" xfId="32261" xr:uid="{F375429B-14EC-4FB0-8AAC-A5B7D054A713}"/>
    <cellStyle name="Normal 14 12 5 2 5" xfId="36648" xr:uid="{F248F5FC-BAEA-4D61-9D14-73841FDA32BC}"/>
    <cellStyle name="Normal 14 12 5 3" xfId="24048" xr:uid="{68C631FF-4B8C-48B8-AF3D-20FEB6C490A3}"/>
    <cellStyle name="Normal 14 12 5 4" xfId="18388" xr:uid="{56ECAC13-78F7-42F4-83D0-FECC021C3F0F}"/>
    <cellStyle name="Normal 14 12 5 5" xfId="29709" xr:uid="{F68D8A9B-0D40-4882-8DF2-21C730A0256E}"/>
    <cellStyle name="Normal 14 12 5 6" xfId="36647" xr:uid="{208A837B-57B7-4F18-9C1A-735C98F6A8D1}"/>
    <cellStyle name="Normal 14 12 6" xfId="7774" xr:uid="{00000000-0005-0000-0000-000078100000}"/>
    <cellStyle name="Normal 14 12 6 2" xfId="25261" xr:uid="{32DE0E23-18AC-4B84-AF1D-DA336A7CFFFA}"/>
    <cellStyle name="Normal 14 12 6 3" xfId="19601" xr:uid="{C2452A3D-6C4F-4081-802E-FE1A608E1BB5}"/>
    <cellStyle name="Normal 14 12 6 4" xfId="30922" xr:uid="{5111B4F3-2343-4628-9DAD-7B1B0A63800A}"/>
    <cellStyle name="Normal 14 12 6 5" xfId="36649" xr:uid="{CC8415DC-A4F8-4421-B9FF-3D2A05E59A3B}"/>
    <cellStyle name="Normal 14 12 7" xfId="22486" xr:uid="{29E840A2-1A33-44A0-A3EE-11E78BF12024}"/>
    <cellStyle name="Normal 14 12 8" xfId="16826" xr:uid="{04685153-4453-4645-884C-324BEF36A939}"/>
    <cellStyle name="Normal 14 12 9" xfId="28147" xr:uid="{0BA8C74A-F66C-4E46-A8A0-1210A70A80F7}"/>
    <cellStyle name="Normal 14 13" xfId="4119" xr:uid="{00000000-0005-0000-0000-000079100000}"/>
    <cellStyle name="Normal 14 13 10" xfId="36650" xr:uid="{EE722120-18B3-4A7E-83AC-CB5FA353E088}"/>
    <cellStyle name="Normal 14 13 2" xfId="4900" xr:uid="{00000000-0005-0000-0000-00007A100000}"/>
    <cellStyle name="Normal 14 13 2 2" xfId="5319" xr:uid="{00000000-0005-0000-0000-00007B100000}"/>
    <cellStyle name="Normal 14 13 2 2 2" xfId="7182" xr:uid="{00000000-0005-0000-0000-00007C100000}"/>
    <cellStyle name="Normal 14 13 2 2 2 2" xfId="15615" xr:uid="{00000000-0005-0000-0000-00007D100000}"/>
    <cellStyle name="Normal 14 13 2 2 2 2 2" xfId="27509" xr:uid="{76ED4E29-AB09-4F52-9D5E-B9B480D7F627}"/>
    <cellStyle name="Normal 14 13 2 2 2 2 3" xfId="21849" xr:uid="{F664A66B-07BF-48CD-9DEF-E0972A4C5848}"/>
    <cellStyle name="Normal 14 13 2 2 2 2 4" xfId="32889" xr:uid="{F3B0F6AF-F940-4555-AA87-28567E39FD74}"/>
    <cellStyle name="Normal 14 13 2 2 2 2 5" xfId="36654" xr:uid="{956F209A-6AC7-4ECB-AC76-5E01161B4DF6}"/>
    <cellStyle name="Normal 14 13 2 2 2 3" xfId="24676" xr:uid="{801205F8-88F9-404D-AB40-35FFD47064DE}"/>
    <cellStyle name="Normal 14 13 2 2 2 4" xfId="19016" xr:uid="{998015CA-0953-478D-92FA-767A1998205D}"/>
    <cellStyle name="Normal 14 13 2 2 2 5" xfId="30337" xr:uid="{D31A709C-10BE-42CA-A9D7-53A21E68C7B3}"/>
    <cellStyle name="Normal 14 13 2 2 2 6" xfId="36653" xr:uid="{834B60B9-67C9-45AE-9075-54010ECD10A3}"/>
    <cellStyle name="Normal 14 13 2 2 3" xfId="14205" xr:uid="{00000000-0005-0000-0000-00007E100000}"/>
    <cellStyle name="Normal 14 13 2 2 3 2" xfId="26244" xr:uid="{1AC874C6-5061-4366-9EF8-187C10C30433}"/>
    <cellStyle name="Normal 14 13 2 2 3 3" xfId="20584" xr:uid="{013CC45A-1FB5-4E27-93BF-4A0E42F1287F}"/>
    <cellStyle name="Normal 14 13 2 2 3 4" xfId="31624" xr:uid="{2DA7666C-2876-4EC2-9D67-2FA165D5CC5A}"/>
    <cellStyle name="Normal 14 13 2 2 3 5" xfId="36655" xr:uid="{E9CD0781-FBF5-4905-BA4C-0D038607C706}"/>
    <cellStyle name="Normal 14 13 2 2 4" xfId="23114" xr:uid="{A301F169-8051-4148-AA36-2F5C5F5CE38A}"/>
    <cellStyle name="Normal 14 13 2 2 5" xfId="17454" xr:uid="{B0A3163B-9D9D-4C93-B5BD-30EE7666B332}"/>
    <cellStyle name="Normal 14 13 2 2 6" xfId="28775" xr:uid="{68991A4C-FB0D-420B-8AEC-3457DE342ADB}"/>
    <cellStyle name="Normal 14 13 2 2 7" xfId="36652" xr:uid="{067E20B4-5051-4A54-AD87-4129D4B263E3}"/>
    <cellStyle name="Normal 14 13 2 3" xfId="6020" xr:uid="{00000000-0005-0000-0000-00007F100000}"/>
    <cellStyle name="Normal 14 13 2 3 2" xfId="7366" xr:uid="{00000000-0005-0000-0000-000080100000}"/>
    <cellStyle name="Normal 14 13 2 3 2 2" xfId="15799" xr:uid="{00000000-0005-0000-0000-000081100000}"/>
    <cellStyle name="Normal 14 13 2 3 2 2 2" xfId="27693" xr:uid="{C65C1D79-8AAF-48AB-BD6F-69E34F3FAFDC}"/>
    <cellStyle name="Normal 14 13 2 3 2 2 3" xfId="22033" xr:uid="{491CD820-DDAB-4977-8AC0-09D05A8302DB}"/>
    <cellStyle name="Normal 14 13 2 3 2 2 4" xfId="33073" xr:uid="{758DF033-13C9-4DBB-934E-097447293451}"/>
    <cellStyle name="Normal 14 13 2 3 2 2 5" xfId="36658" xr:uid="{54D9A296-879A-439D-A7EA-1F60A5D162A2}"/>
    <cellStyle name="Normal 14 13 2 3 2 3" xfId="24860" xr:uid="{15D8D5EC-6954-45F8-AF2A-7E8964E4A312}"/>
    <cellStyle name="Normal 14 13 2 3 2 4" xfId="19200" xr:uid="{4C0586FC-482F-4587-B136-68B5C558E5A2}"/>
    <cellStyle name="Normal 14 13 2 3 2 5" xfId="30521" xr:uid="{49706510-143C-4772-B2A5-5B6E0DC2792E}"/>
    <cellStyle name="Normal 14 13 2 3 2 6" xfId="36657" xr:uid="{FA1DA901-E6A9-43DA-9927-75A07FF54E4E}"/>
    <cellStyle name="Normal 14 13 2 3 3" xfId="14478" xr:uid="{00000000-0005-0000-0000-000082100000}"/>
    <cellStyle name="Normal 14 13 2 3 3 2" xfId="26437" xr:uid="{46024BF7-1AD8-4213-B2B3-72A36DEEBD12}"/>
    <cellStyle name="Normal 14 13 2 3 3 3" xfId="20777" xr:uid="{C8A20F36-7302-4549-87A1-BEFDE5DF9A26}"/>
    <cellStyle name="Normal 14 13 2 3 3 4" xfId="31817" xr:uid="{60095810-CB60-484A-BA82-5FCA01B39FA1}"/>
    <cellStyle name="Normal 14 13 2 3 3 5" xfId="36659" xr:uid="{F56C6DD5-64BE-4E88-8570-D6F959FB7316}"/>
    <cellStyle name="Normal 14 13 2 3 4" xfId="23604" xr:uid="{E077479B-3EFE-4400-9F0E-1C9B5F061A50}"/>
    <cellStyle name="Normal 14 13 2 3 5" xfId="17944" xr:uid="{E591927E-8953-4D96-AC22-DB6AE44B07F4}"/>
    <cellStyle name="Normal 14 13 2 3 6" xfId="29265" xr:uid="{8860FBEB-8778-40FC-B92E-60D14CE0ECD5}"/>
    <cellStyle name="Normal 14 13 2 3 7" xfId="36656" xr:uid="{CCFABBC9-0474-4DFA-B415-6E77C8E6C8A7}"/>
    <cellStyle name="Normal 14 13 2 4" xfId="6764" xr:uid="{00000000-0005-0000-0000-000083100000}"/>
    <cellStyle name="Normal 14 13 2 4 2" xfId="15197" xr:uid="{00000000-0005-0000-0000-000084100000}"/>
    <cellStyle name="Normal 14 13 2 4 2 2" xfId="27091" xr:uid="{09D73232-E445-49FD-851D-8ACB5F5B4234}"/>
    <cellStyle name="Normal 14 13 2 4 2 3" xfId="21431" xr:uid="{87BF5074-4CF9-4643-BE74-B0B03DD538A6}"/>
    <cellStyle name="Normal 14 13 2 4 2 4" xfId="32471" xr:uid="{4DFA98E7-D225-4EC2-A17E-AA6804371948}"/>
    <cellStyle name="Normal 14 13 2 4 2 5" xfId="36661" xr:uid="{E728C360-371E-4F3A-9F0D-8283C27FF03D}"/>
    <cellStyle name="Normal 14 13 2 4 3" xfId="24258" xr:uid="{33E2148B-B459-47D2-B4CE-A5EBA81BA5C3}"/>
    <cellStyle name="Normal 14 13 2 4 4" xfId="18598" xr:uid="{42A95311-0923-4618-B74D-A6C85449469B}"/>
    <cellStyle name="Normal 14 13 2 4 5" xfId="29919" xr:uid="{78D1CCDF-5547-4E52-9E40-83988967EE25}"/>
    <cellStyle name="Normal 14 13 2 4 6" xfId="36660" xr:uid="{08B7172C-28BC-47B1-9383-3BB41C6675FE}"/>
    <cellStyle name="Normal 14 13 2 5" xfId="7777" xr:uid="{00000000-0005-0000-0000-000085100000}"/>
    <cellStyle name="Normal 14 13 2 5 2" xfId="25264" xr:uid="{8AE0DF9D-1793-4855-B0EC-9D0342D1511A}"/>
    <cellStyle name="Normal 14 13 2 5 3" xfId="19604" xr:uid="{F91B4532-9029-4882-9772-EA16B3A0FE35}"/>
    <cellStyle name="Normal 14 13 2 5 4" xfId="30925" xr:uid="{1CEDCB5A-4C45-40B6-8587-103352689C0D}"/>
    <cellStyle name="Normal 14 13 2 5 5" xfId="36662" xr:uid="{BDA1EBAD-B1AB-4E31-A006-B650744D948B}"/>
    <cellStyle name="Normal 14 13 2 6" xfId="22696" xr:uid="{197685D3-31FE-4163-8370-8F14F12A404C}"/>
    <cellStyle name="Normal 14 13 2 7" xfId="17036" xr:uid="{ACC233B9-E3CE-4F80-98C3-C81614BDF80E}"/>
    <cellStyle name="Normal 14 13 2 8" xfId="28357" xr:uid="{85144D7D-E632-45BD-BC52-7F64A7846A28}"/>
    <cellStyle name="Normal 14 13 2 9" xfId="36651" xr:uid="{63033856-1D49-42EA-B82F-AC0EC9B7F9FE}"/>
    <cellStyle name="Normal 14 13 3" xfId="5110" xr:uid="{00000000-0005-0000-0000-000086100000}"/>
    <cellStyle name="Normal 14 13 3 2" xfId="6019" xr:uid="{00000000-0005-0000-0000-000087100000}"/>
    <cellStyle name="Normal 14 13 3 2 2" xfId="7365" xr:uid="{00000000-0005-0000-0000-000088100000}"/>
    <cellStyle name="Normal 14 13 3 2 2 2" xfId="15798" xr:uid="{00000000-0005-0000-0000-000089100000}"/>
    <cellStyle name="Normal 14 13 3 2 2 2 2" xfId="27692" xr:uid="{81EE06B5-564C-465A-8B21-ED7154FAE848}"/>
    <cellStyle name="Normal 14 13 3 2 2 2 3" xfId="22032" xr:uid="{C3959E0F-F455-4A1D-A920-A223F0B563F1}"/>
    <cellStyle name="Normal 14 13 3 2 2 2 4" xfId="33072" xr:uid="{4C779A55-B3A3-4672-B150-7D2D558DAB05}"/>
    <cellStyle name="Normal 14 13 3 2 2 2 5" xfId="36666" xr:uid="{DF452C98-53AA-40D4-AE89-47332B549E59}"/>
    <cellStyle name="Normal 14 13 3 2 2 3" xfId="24859" xr:uid="{C062B92A-941A-44E2-A8F9-DD42BF750FCD}"/>
    <cellStyle name="Normal 14 13 3 2 2 4" xfId="19199" xr:uid="{D8D33AAB-887D-436A-920D-45428FBAC914}"/>
    <cellStyle name="Normal 14 13 3 2 2 5" xfId="30520" xr:uid="{8BA9009B-1F42-4B9B-A41D-4A4642D4D429}"/>
    <cellStyle name="Normal 14 13 3 2 2 6" xfId="36665" xr:uid="{8AA297F2-D79A-4277-99B3-469B3EDCDEBE}"/>
    <cellStyle name="Normal 14 13 3 2 3" xfId="14477" xr:uid="{00000000-0005-0000-0000-00008A100000}"/>
    <cellStyle name="Normal 14 13 3 2 3 2" xfId="26436" xr:uid="{63EAA9CB-CEAE-4C00-9BD6-21FC89AC246E}"/>
    <cellStyle name="Normal 14 13 3 2 3 3" xfId="20776" xr:uid="{7846096B-4EA2-4E5A-B50E-D98177D08B0F}"/>
    <cellStyle name="Normal 14 13 3 2 3 4" xfId="31816" xr:uid="{04BC8807-9C7C-43D6-B61A-8CDCADFF1EE1}"/>
    <cellStyle name="Normal 14 13 3 2 3 5" xfId="36667" xr:uid="{A6359AAF-FDE8-4E57-B565-3106DCDAD166}"/>
    <cellStyle name="Normal 14 13 3 2 4" xfId="23603" xr:uid="{ED8A7200-E8CB-452C-A5E5-94B4C713800B}"/>
    <cellStyle name="Normal 14 13 3 2 5" xfId="17943" xr:uid="{30219CBE-5A3C-4ED6-89D3-F5691F06C60C}"/>
    <cellStyle name="Normal 14 13 3 2 6" xfId="29264" xr:uid="{F052F3D9-4A74-4502-A002-711E68471A0E}"/>
    <cellStyle name="Normal 14 13 3 2 7" xfId="36664" xr:uid="{9942D01C-C748-45D9-83D1-D95C05C8BB66}"/>
    <cellStyle name="Normal 14 13 3 3" xfId="6973" xr:uid="{00000000-0005-0000-0000-00008B100000}"/>
    <cellStyle name="Normal 14 13 3 3 2" xfId="15406" xr:uid="{00000000-0005-0000-0000-00008C100000}"/>
    <cellStyle name="Normal 14 13 3 3 2 2" xfId="27300" xr:uid="{CC5E911A-2C6F-457E-BEBE-EF1493E8980C}"/>
    <cellStyle name="Normal 14 13 3 3 2 3" xfId="21640" xr:uid="{17FF1307-2FB1-4913-AE1E-BF7A2274779C}"/>
    <cellStyle name="Normal 14 13 3 3 2 4" xfId="32680" xr:uid="{EC3F9386-8102-4AA0-B988-BD859310E17C}"/>
    <cellStyle name="Normal 14 13 3 3 2 5" xfId="36669" xr:uid="{E6BA8AD4-88D7-4919-9C61-1782E55E2156}"/>
    <cellStyle name="Normal 14 13 3 3 3" xfId="24467" xr:uid="{4E761962-7D30-4D36-9A83-75CAA9E5E00D}"/>
    <cellStyle name="Normal 14 13 3 3 4" xfId="18807" xr:uid="{12CC7239-8398-497D-867C-7C593E226D23}"/>
    <cellStyle name="Normal 14 13 3 3 5" xfId="30128" xr:uid="{C7A5BB37-55D8-4850-B27C-9F971B7E98F4}"/>
    <cellStyle name="Normal 14 13 3 3 6" xfId="36668" xr:uid="{336814C9-8DC4-4683-B96F-A39254F54252}"/>
    <cellStyle name="Normal 14 13 3 4" xfId="13997" xr:uid="{00000000-0005-0000-0000-00008D100000}"/>
    <cellStyle name="Normal 14 13 3 4 2" xfId="26036" xr:uid="{6483ED8D-DA0B-4E58-BB1D-89FB821CBC8A}"/>
    <cellStyle name="Normal 14 13 3 4 3" xfId="20376" xr:uid="{E5D8CEFA-4C21-4D16-A304-FF08EE0D8227}"/>
    <cellStyle name="Normal 14 13 3 4 4" xfId="31416" xr:uid="{67DEBAC9-4EFF-4790-9211-B4DA6DF1A5D5}"/>
    <cellStyle name="Normal 14 13 3 4 5" xfId="36670" xr:uid="{0C19CA2E-3B7C-4099-A4A6-01FE16E3C4D7}"/>
    <cellStyle name="Normal 14 13 3 5" xfId="22905" xr:uid="{A34A8264-C228-4F35-A6DA-E400D55CA01B}"/>
    <cellStyle name="Normal 14 13 3 6" xfId="17245" xr:uid="{6B864FFF-CEED-4FD9-8D94-6FF0826C3614}"/>
    <cellStyle name="Normal 14 13 3 7" xfId="28566" xr:uid="{2F103009-38A3-4EAC-90DB-19D6DA4C25C9}"/>
    <cellStyle name="Normal 14 13 3 8" xfId="36663" xr:uid="{2F841C94-1A16-40DC-A356-44E4D65E5CD4}"/>
    <cellStyle name="Normal 14 13 4" xfId="5642" xr:uid="{00000000-0005-0000-0000-00008E100000}"/>
    <cellStyle name="Normal 14 13 4 2" xfId="36671" xr:uid="{D9918414-71CB-42BC-ACB2-9051D9208357}"/>
    <cellStyle name="Normal 14 13 5" xfId="6555" xr:uid="{00000000-0005-0000-0000-00008F100000}"/>
    <cellStyle name="Normal 14 13 5 2" xfId="14988" xr:uid="{00000000-0005-0000-0000-000090100000}"/>
    <cellStyle name="Normal 14 13 5 2 2" xfId="26882" xr:uid="{1FF8D0AC-1CCC-4DBD-BC25-DDBC589F1805}"/>
    <cellStyle name="Normal 14 13 5 2 3" xfId="21222" xr:uid="{3AD8DD58-E2FC-4C58-A587-B123426EE6B0}"/>
    <cellStyle name="Normal 14 13 5 2 4" xfId="32262" xr:uid="{E2019F5B-8914-428E-B02F-8029F2834C80}"/>
    <cellStyle name="Normal 14 13 5 2 5" xfId="36673" xr:uid="{74E2B5A8-875F-4006-8330-1C8A2702B4F5}"/>
    <cellStyle name="Normal 14 13 5 3" xfId="24049" xr:uid="{CF8BE4EE-4B5F-4DF6-80B7-A31BB6D10724}"/>
    <cellStyle name="Normal 14 13 5 4" xfId="18389" xr:uid="{5532ECC6-9FB8-4D27-8982-B158C508D851}"/>
    <cellStyle name="Normal 14 13 5 5" xfId="29710" xr:uid="{034127B7-E5FC-48A5-8772-2317EAAEB50D}"/>
    <cellStyle name="Normal 14 13 5 6" xfId="36672" xr:uid="{14F634F0-712E-4AC8-B789-102364B3615B}"/>
    <cellStyle name="Normal 14 13 6" xfId="7776" xr:uid="{00000000-0005-0000-0000-000091100000}"/>
    <cellStyle name="Normal 14 13 6 2" xfId="25263" xr:uid="{52B872D4-124A-4F0F-9D15-5F7ADDDEE7E0}"/>
    <cellStyle name="Normal 14 13 6 3" xfId="19603" xr:uid="{489D93C8-5D90-4663-95D5-FAAE5C1D90BB}"/>
    <cellStyle name="Normal 14 13 6 4" xfId="30924" xr:uid="{8B7CCEC9-7CCC-4CA7-8B9D-9DD6A0C4941D}"/>
    <cellStyle name="Normal 14 13 6 5" xfId="36674" xr:uid="{01346E29-4D8F-4CA6-A7EB-045555978BAA}"/>
    <cellStyle name="Normal 14 13 7" xfId="22487" xr:uid="{A8239EFA-8AA4-4603-9346-19B33A474A92}"/>
    <cellStyle name="Normal 14 13 8" xfId="16827" xr:uid="{6CB6AD62-1618-4743-9E20-D0CF5A2F0547}"/>
    <cellStyle name="Normal 14 13 9" xfId="28148" xr:uid="{CC705BCF-21E8-441D-B95A-A6945E93741C}"/>
    <cellStyle name="Normal 14 14" xfId="4120" xr:uid="{00000000-0005-0000-0000-000092100000}"/>
    <cellStyle name="Normal 14 14 10" xfId="36675" xr:uid="{FF1D246D-D520-4A76-B013-945A9674DDF3}"/>
    <cellStyle name="Normal 14 14 2" xfId="4901" xr:uid="{00000000-0005-0000-0000-000093100000}"/>
    <cellStyle name="Normal 14 14 2 2" xfId="5320" xr:uid="{00000000-0005-0000-0000-000094100000}"/>
    <cellStyle name="Normal 14 14 2 2 2" xfId="7183" xr:uid="{00000000-0005-0000-0000-000095100000}"/>
    <cellStyle name="Normal 14 14 2 2 2 2" xfId="15616" xr:uid="{00000000-0005-0000-0000-000096100000}"/>
    <cellStyle name="Normal 14 14 2 2 2 2 2" xfId="27510" xr:uid="{ECD59BC0-319E-4FA1-B03B-4D775E107E3F}"/>
    <cellStyle name="Normal 14 14 2 2 2 2 3" xfId="21850" xr:uid="{C4A092A2-E2BE-47B7-B2AC-941DD12B490F}"/>
    <cellStyle name="Normal 14 14 2 2 2 2 4" xfId="32890" xr:uid="{E4AC44E6-D420-4CC9-AC31-B048D36904BD}"/>
    <cellStyle name="Normal 14 14 2 2 2 2 5" xfId="36679" xr:uid="{40C89E53-8AE2-4A0E-B07F-5B1DD0A25C62}"/>
    <cellStyle name="Normal 14 14 2 2 2 3" xfId="24677" xr:uid="{6B58F4B6-03E8-4294-B6BE-36674E3CCB28}"/>
    <cellStyle name="Normal 14 14 2 2 2 4" xfId="19017" xr:uid="{9D8A2AE4-2193-4239-9D79-F288C424C50D}"/>
    <cellStyle name="Normal 14 14 2 2 2 5" xfId="30338" xr:uid="{169791BE-ED16-4217-9567-1E676723FEF6}"/>
    <cellStyle name="Normal 14 14 2 2 2 6" xfId="36678" xr:uid="{1FA19DD8-203C-42F1-AD5A-3101D56CAB17}"/>
    <cellStyle name="Normal 14 14 2 2 3" xfId="14206" xr:uid="{00000000-0005-0000-0000-000097100000}"/>
    <cellStyle name="Normal 14 14 2 2 3 2" xfId="26245" xr:uid="{5DB3A0BC-093E-481F-9108-54FDB2523B61}"/>
    <cellStyle name="Normal 14 14 2 2 3 3" xfId="20585" xr:uid="{59D9AE61-B1BD-4BF9-9308-92D3BCC46CCD}"/>
    <cellStyle name="Normal 14 14 2 2 3 4" xfId="31625" xr:uid="{2803D2A3-CD4F-4FCB-85D5-A43637116EBC}"/>
    <cellStyle name="Normal 14 14 2 2 3 5" xfId="36680" xr:uid="{717EC2F4-1340-4070-99A7-1905AD6DA456}"/>
    <cellStyle name="Normal 14 14 2 2 4" xfId="23115" xr:uid="{3018C775-9388-470F-960B-A8F9B424943D}"/>
    <cellStyle name="Normal 14 14 2 2 5" xfId="17455" xr:uid="{EBC26FF0-8852-4360-B61C-87D2C5EDFA4F}"/>
    <cellStyle name="Normal 14 14 2 2 6" xfId="28776" xr:uid="{F39D9BBE-BCA3-4924-8068-2A153FAF6FC6}"/>
    <cellStyle name="Normal 14 14 2 2 7" xfId="36677" xr:uid="{2EA4E7AD-DECC-4129-B80D-BE37737CDA0B}"/>
    <cellStyle name="Normal 14 14 2 3" xfId="6022" xr:uid="{00000000-0005-0000-0000-000098100000}"/>
    <cellStyle name="Normal 14 14 2 3 2" xfId="7368" xr:uid="{00000000-0005-0000-0000-000099100000}"/>
    <cellStyle name="Normal 14 14 2 3 2 2" xfId="15801" xr:uid="{00000000-0005-0000-0000-00009A100000}"/>
    <cellStyle name="Normal 14 14 2 3 2 2 2" xfId="27695" xr:uid="{D43B8FF7-EFDD-487D-98B4-B68BC34A063C}"/>
    <cellStyle name="Normal 14 14 2 3 2 2 3" xfId="22035" xr:uid="{521A094A-EB0A-4D70-A38B-BA5F4EB33125}"/>
    <cellStyle name="Normal 14 14 2 3 2 2 4" xfId="33075" xr:uid="{4F8A3A21-BC87-4973-8AD6-DC89D6A9FC07}"/>
    <cellStyle name="Normal 14 14 2 3 2 2 5" xfId="36683" xr:uid="{95A12331-5ACA-44B6-A10F-63D6883BF8E6}"/>
    <cellStyle name="Normal 14 14 2 3 2 3" xfId="24862" xr:uid="{3C3E6044-9D63-479B-8047-20ED84D6295C}"/>
    <cellStyle name="Normal 14 14 2 3 2 4" xfId="19202" xr:uid="{B140B53D-27DA-43A5-964F-B004F8FF1A60}"/>
    <cellStyle name="Normal 14 14 2 3 2 5" xfId="30523" xr:uid="{C173D5DF-8D81-43E0-9CA2-793AE0B81569}"/>
    <cellStyle name="Normal 14 14 2 3 2 6" xfId="36682" xr:uid="{3220DF85-B9DF-49A7-83AA-666B5CD1C899}"/>
    <cellStyle name="Normal 14 14 2 3 3" xfId="14480" xr:uid="{00000000-0005-0000-0000-00009B100000}"/>
    <cellStyle name="Normal 14 14 2 3 3 2" xfId="26439" xr:uid="{69B81468-96EF-4DD0-970E-856E92533DC0}"/>
    <cellStyle name="Normal 14 14 2 3 3 3" xfId="20779" xr:uid="{578240D1-1C9E-44CB-B3C4-5284B6A7993C}"/>
    <cellStyle name="Normal 14 14 2 3 3 4" xfId="31819" xr:uid="{3834C2E9-52D3-43B6-AA4F-B8344B134D9F}"/>
    <cellStyle name="Normal 14 14 2 3 3 5" xfId="36684" xr:uid="{EF63FACA-E457-438F-A9D2-6A55D5BB3CFF}"/>
    <cellStyle name="Normal 14 14 2 3 4" xfId="23606" xr:uid="{DE7D895A-CC7A-4DB2-991F-5F4A8BA907D4}"/>
    <cellStyle name="Normal 14 14 2 3 5" xfId="17946" xr:uid="{9E38C30C-E71A-4732-9E8D-12F4FD2864CC}"/>
    <cellStyle name="Normal 14 14 2 3 6" xfId="29267" xr:uid="{8C62BD3D-8CC4-413A-9ED0-28C5DA50935B}"/>
    <cellStyle name="Normal 14 14 2 3 7" xfId="36681" xr:uid="{10A79FE3-492D-418B-9F2E-8659E921A9DA}"/>
    <cellStyle name="Normal 14 14 2 4" xfId="6765" xr:uid="{00000000-0005-0000-0000-00009C100000}"/>
    <cellStyle name="Normal 14 14 2 4 2" xfId="15198" xr:uid="{00000000-0005-0000-0000-00009D100000}"/>
    <cellStyle name="Normal 14 14 2 4 2 2" xfId="27092" xr:uid="{0BAE0F5C-1945-4E9E-A095-E1BA3A403E24}"/>
    <cellStyle name="Normal 14 14 2 4 2 3" xfId="21432" xr:uid="{6E26D35F-8839-40DE-AA9C-9D9533B486E6}"/>
    <cellStyle name="Normal 14 14 2 4 2 4" xfId="32472" xr:uid="{4997C1EF-CEF3-42E8-9295-BA2BA6C78A5D}"/>
    <cellStyle name="Normal 14 14 2 4 2 5" xfId="36686" xr:uid="{695A1DB4-893D-455F-904A-BAD565F6335D}"/>
    <cellStyle name="Normal 14 14 2 4 3" xfId="24259" xr:uid="{E5D0CA96-4F22-49AD-A93E-26A2079EBD59}"/>
    <cellStyle name="Normal 14 14 2 4 4" xfId="18599" xr:uid="{056A90C6-0344-4EA2-BA47-361D993ED7A0}"/>
    <cellStyle name="Normal 14 14 2 4 5" xfId="29920" xr:uid="{A377E435-59D1-4B30-817D-EA06C1ADA4E6}"/>
    <cellStyle name="Normal 14 14 2 4 6" xfId="36685" xr:uid="{38F38065-26BB-4EBB-85A0-BE9FE149AFC0}"/>
    <cellStyle name="Normal 14 14 2 5" xfId="7779" xr:uid="{00000000-0005-0000-0000-00009E100000}"/>
    <cellStyle name="Normal 14 14 2 5 2" xfId="25266" xr:uid="{7E04467A-C8D5-4AF5-8A64-1871F35EB9D0}"/>
    <cellStyle name="Normal 14 14 2 5 3" xfId="19606" xr:uid="{AE6D940C-C948-456C-9CCA-0610E4B18C2E}"/>
    <cellStyle name="Normal 14 14 2 5 4" xfId="30927" xr:uid="{A177226E-222E-46C0-B3B8-A03C6F64B6C4}"/>
    <cellStyle name="Normal 14 14 2 5 5" xfId="36687" xr:uid="{1D95FC76-CCCB-4D92-B52E-10F7E80F9BBA}"/>
    <cellStyle name="Normal 14 14 2 6" xfId="22697" xr:uid="{0C22C5F7-27D3-4F49-9582-02E91ED5BF08}"/>
    <cellStyle name="Normal 14 14 2 7" xfId="17037" xr:uid="{47F2CAFE-C3C8-42D5-BD4B-066D029F4EED}"/>
    <cellStyle name="Normal 14 14 2 8" xfId="28358" xr:uid="{A4D7CB69-815B-460C-9E85-094693683C25}"/>
    <cellStyle name="Normal 14 14 2 9" xfId="36676" xr:uid="{47438F6F-F01E-48FC-AE5F-FE52F12F42A4}"/>
    <cellStyle name="Normal 14 14 3" xfId="5111" xr:uid="{00000000-0005-0000-0000-00009F100000}"/>
    <cellStyle name="Normal 14 14 3 2" xfId="6021" xr:uid="{00000000-0005-0000-0000-0000A0100000}"/>
    <cellStyle name="Normal 14 14 3 2 2" xfId="7367" xr:uid="{00000000-0005-0000-0000-0000A1100000}"/>
    <cellStyle name="Normal 14 14 3 2 2 2" xfId="15800" xr:uid="{00000000-0005-0000-0000-0000A2100000}"/>
    <cellStyle name="Normal 14 14 3 2 2 2 2" xfId="27694" xr:uid="{A99C6ED7-CAE1-4115-A0F8-67BC70C513E6}"/>
    <cellStyle name="Normal 14 14 3 2 2 2 3" xfId="22034" xr:uid="{95D145F8-19DD-4922-B246-15BD5E096789}"/>
    <cellStyle name="Normal 14 14 3 2 2 2 4" xfId="33074" xr:uid="{AC99CFB6-66F6-42A2-A9D7-3E4492CE0E3D}"/>
    <cellStyle name="Normal 14 14 3 2 2 2 5" xfId="36691" xr:uid="{3A313F76-CA3C-4C3F-A666-AA951CA636BA}"/>
    <cellStyle name="Normal 14 14 3 2 2 3" xfId="24861" xr:uid="{581B539A-618D-40A0-998D-9D6A756E307A}"/>
    <cellStyle name="Normal 14 14 3 2 2 4" xfId="19201" xr:uid="{E82C3F3B-E1FC-4C0E-AD19-AFB43DCC863B}"/>
    <cellStyle name="Normal 14 14 3 2 2 5" xfId="30522" xr:uid="{1509FB74-293F-4E7F-9699-7576C368F0E9}"/>
    <cellStyle name="Normal 14 14 3 2 2 6" xfId="36690" xr:uid="{189D176E-2AED-4EDB-B59D-489B69717C4E}"/>
    <cellStyle name="Normal 14 14 3 2 3" xfId="14479" xr:uid="{00000000-0005-0000-0000-0000A3100000}"/>
    <cellStyle name="Normal 14 14 3 2 3 2" xfId="26438" xr:uid="{3A5A9A5E-9194-42C2-9C7A-994042BD13E3}"/>
    <cellStyle name="Normal 14 14 3 2 3 3" xfId="20778" xr:uid="{014EA456-C89B-4ECC-894A-C5CB020E8054}"/>
    <cellStyle name="Normal 14 14 3 2 3 4" xfId="31818" xr:uid="{6353AD3D-3E39-441C-8AA6-FC7054757B3D}"/>
    <cellStyle name="Normal 14 14 3 2 3 5" xfId="36692" xr:uid="{3DD640A1-4D70-47C5-B5C8-83E69313B457}"/>
    <cellStyle name="Normal 14 14 3 2 4" xfId="23605" xr:uid="{2D5BA941-AA90-49C3-80A5-B46012AEC1F5}"/>
    <cellStyle name="Normal 14 14 3 2 5" xfId="17945" xr:uid="{3AAA6442-9C78-4B4E-8D7D-38AC9D7B1E34}"/>
    <cellStyle name="Normal 14 14 3 2 6" xfId="29266" xr:uid="{E19AD029-E5A1-48BF-918B-6D2374692C4E}"/>
    <cellStyle name="Normal 14 14 3 2 7" xfId="36689" xr:uid="{64E422A2-ADD0-49FE-AE65-42FAFFAF5498}"/>
    <cellStyle name="Normal 14 14 3 3" xfId="6974" xr:uid="{00000000-0005-0000-0000-0000A4100000}"/>
    <cellStyle name="Normal 14 14 3 3 2" xfId="15407" xr:uid="{00000000-0005-0000-0000-0000A5100000}"/>
    <cellStyle name="Normal 14 14 3 3 2 2" xfId="27301" xr:uid="{1A0221F5-EDCD-4EE9-BC8A-79294845C1F9}"/>
    <cellStyle name="Normal 14 14 3 3 2 3" xfId="21641" xr:uid="{31CCDCFA-F5D1-4D52-A6CD-2800EF8279BB}"/>
    <cellStyle name="Normal 14 14 3 3 2 4" xfId="32681" xr:uid="{ED164537-4074-4F8F-B7F4-D0D00FE1B243}"/>
    <cellStyle name="Normal 14 14 3 3 2 5" xfId="36694" xr:uid="{9073959F-9026-402E-A930-6C189B14D743}"/>
    <cellStyle name="Normal 14 14 3 3 3" xfId="24468" xr:uid="{E6589109-44CD-4250-9F47-E900D4332FFA}"/>
    <cellStyle name="Normal 14 14 3 3 4" xfId="18808" xr:uid="{BB481319-7215-42C8-AB64-1D22AF7257A0}"/>
    <cellStyle name="Normal 14 14 3 3 5" xfId="30129" xr:uid="{9460C96C-BB5B-47A4-8846-72FF74580E92}"/>
    <cellStyle name="Normal 14 14 3 3 6" xfId="36693" xr:uid="{A01D3EA9-B4F8-4A00-B217-361AB66DE7B9}"/>
    <cellStyle name="Normal 14 14 3 4" xfId="13998" xr:uid="{00000000-0005-0000-0000-0000A6100000}"/>
    <cellStyle name="Normal 14 14 3 4 2" xfId="26037" xr:uid="{033DED29-9F34-4CED-B55A-7F97079898D7}"/>
    <cellStyle name="Normal 14 14 3 4 3" xfId="20377" xr:uid="{A7DC9B72-E9DB-4395-96BF-800083689B91}"/>
    <cellStyle name="Normal 14 14 3 4 4" xfId="31417" xr:uid="{E67BA6B0-7AF9-4C64-8090-B650F01FDAC0}"/>
    <cellStyle name="Normal 14 14 3 4 5" xfId="36695" xr:uid="{CB2CBF2F-8BBD-4FEB-8662-DF2AC3F1C477}"/>
    <cellStyle name="Normal 14 14 3 5" xfId="22906" xr:uid="{DBBA2EB5-9822-4079-95F6-8329901C762D}"/>
    <cellStyle name="Normal 14 14 3 6" xfId="17246" xr:uid="{5E8CDFAF-7990-4EF9-B8C2-2607259FA44A}"/>
    <cellStyle name="Normal 14 14 3 7" xfId="28567" xr:uid="{EBD468E6-1210-47B8-B63C-47C780C7EDFE}"/>
    <cellStyle name="Normal 14 14 3 8" xfId="36688" xr:uid="{3039BF67-7F2B-4242-9B57-F2B07A06B71A}"/>
    <cellStyle name="Normal 14 14 4" xfId="5643" xr:uid="{00000000-0005-0000-0000-0000A7100000}"/>
    <cellStyle name="Normal 14 14 4 2" xfId="36696" xr:uid="{38BAF1EB-4493-421F-884D-4757CC057638}"/>
    <cellStyle name="Normal 14 14 5" xfId="6556" xr:uid="{00000000-0005-0000-0000-0000A8100000}"/>
    <cellStyle name="Normal 14 14 5 2" xfId="14989" xr:uid="{00000000-0005-0000-0000-0000A9100000}"/>
    <cellStyle name="Normal 14 14 5 2 2" xfId="26883" xr:uid="{DE50B15B-963E-4E9C-ABBE-DB6C8A974EED}"/>
    <cellStyle name="Normal 14 14 5 2 3" xfId="21223" xr:uid="{AE1ABF57-2657-4AB7-880B-1D1524ED4BCE}"/>
    <cellStyle name="Normal 14 14 5 2 4" xfId="32263" xr:uid="{96651F1A-05C4-4D49-8E12-A360001BD584}"/>
    <cellStyle name="Normal 14 14 5 2 5" xfId="36698" xr:uid="{C7AAEE20-B77E-4E54-B470-7D0A9EF036A1}"/>
    <cellStyle name="Normal 14 14 5 3" xfId="24050" xr:uid="{90A9CD44-D1E9-430C-A799-9F878A3BFB47}"/>
    <cellStyle name="Normal 14 14 5 4" xfId="18390" xr:uid="{70588AA4-3DCE-4F11-8F01-49175EC03C68}"/>
    <cellStyle name="Normal 14 14 5 5" xfId="29711" xr:uid="{91B0157E-42BD-44CE-9C39-23CF648D5A1A}"/>
    <cellStyle name="Normal 14 14 5 6" xfId="36697" xr:uid="{B0FF6F7E-5862-414A-AB37-4609BECCD7EF}"/>
    <cellStyle name="Normal 14 14 6" xfId="7778" xr:uid="{00000000-0005-0000-0000-0000AA100000}"/>
    <cellStyle name="Normal 14 14 6 2" xfId="25265" xr:uid="{B0543877-E1ED-43E6-AFD3-1D08C058102B}"/>
    <cellStyle name="Normal 14 14 6 3" xfId="19605" xr:uid="{9C616FE7-90AB-4279-826B-ABF403BA7775}"/>
    <cellStyle name="Normal 14 14 6 4" xfId="30926" xr:uid="{8992E27C-2444-47F5-A2EE-07231CF7DB91}"/>
    <cellStyle name="Normal 14 14 6 5" xfId="36699" xr:uid="{FAFE01EA-8C62-47FD-9247-9292B6BC4CAA}"/>
    <cellStyle name="Normal 14 14 7" xfId="22488" xr:uid="{919706C3-1503-48A3-85B9-5B7E97586195}"/>
    <cellStyle name="Normal 14 14 8" xfId="16828" xr:uid="{02822C02-268B-4405-9690-ABE243E0A57B}"/>
    <cellStyle name="Normal 14 14 9" xfId="28149" xr:uid="{5B77D6D1-742F-475D-B3A1-9D224E2CF773}"/>
    <cellStyle name="Normal 14 15" xfId="4121" xr:uid="{00000000-0005-0000-0000-0000AB100000}"/>
    <cellStyle name="Normal 14 15 10" xfId="36700" xr:uid="{30963445-6004-4321-B4E9-FBC08D69A73F}"/>
    <cellStyle name="Normal 14 15 2" xfId="4902" xr:uid="{00000000-0005-0000-0000-0000AC100000}"/>
    <cellStyle name="Normal 14 15 2 2" xfId="5321" xr:uid="{00000000-0005-0000-0000-0000AD100000}"/>
    <cellStyle name="Normal 14 15 2 2 2" xfId="7184" xr:uid="{00000000-0005-0000-0000-0000AE100000}"/>
    <cellStyle name="Normal 14 15 2 2 2 2" xfId="15617" xr:uid="{00000000-0005-0000-0000-0000AF100000}"/>
    <cellStyle name="Normal 14 15 2 2 2 2 2" xfId="27511" xr:uid="{9D865245-3126-49B8-B925-9287C0F2CAF7}"/>
    <cellStyle name="Normal 14 15 2 2 2 2 3" xfId="21851" xr:uid="{5B8A8AC3-3677-4AB5-BDFF-34821D5F2E71}"/>
    <cellStyle name="Normal 14 15 2 2 2 2 4" xfId="32891" xr:uid="{7C4701EE-97C1-48F1-9E7C-26BDF1C76BA9}"/>
    <cellStyle name="Normal 14 15 2 2 2 2 5" xfId="36704" xr:uid="{3CC30531-50E6-42E1-8073-64B2841FEED0}"/>
    <cellStyle name="Normal 14 15 2 2 2 3" xfId="24678" xr:uid="{8F17DFF7-E20C-4D5E-A178-90E3353DA44A}"/>
    <cellStyle name="Normal 14 15 2 2 2 4" xfId="19018" xr:uid="{9F71DD0C-D7F9-484A-95F1-3D1247C36697}"/>
    <cellStyle name="Normal 14 15 2 2 2 5" xfId="30339" xr:uid="{596EC893-20EB-497D-B4E8-B0E8915B7C43}"/>
    <cellStyle name="Normal 14 15 2 2 2 6" xfId="36703" xr:uid="{D02A97A8-3C20-4093-AE5C-853FE1D4D694}"/>
    <cellStyle name="Normal 14 15 2 2 3" xfId="14207" xr:uid="{00000000-0005-0000-0000-0000B0100000}"/>
    <cellStyle name="Normal 14 15 2 2 3 2" xfId="26246" xr:uid="{07C5A9DF-9E0A-4E59-9B34-DBBFA75AD882}"/>
    <cellStyle name="Normal 14 15 2 2 3 3" xfId="20586" xr:uid="{28864549-0894-4581-9E3A-06DD2D38E263}"/>
    <cellStyle name="Normal 14 15 2 2 3 4" xfId="31626" xr:uid="{A728C072-246D-4EC5-8215-363C4074AEC8}"/>
    <cellStyle name="Normal 14 15 2 2 3 5" xfId="36705" xr:uid="{1CEDFF2A-1300-4E07-AD2B-6CFB7CFA615A}"/>
    <cellStyle name="Normal 14 15 2 2 4" xfId="23116" xr:uid="{1D2E7D04-2285-4E45-AD35-9A53D3F32FC0}"/>
    <cellStyle name="Normal 14 15 2 2 5" xfId="17456" xr:uid="{89330469-2B6A-43DA-B490-AF801571FE5F}"/>
    <cellStyle name="Normal 14 15 2 2 6" xfId="28777" xr:uid="{27444BDB-3413-414B-A9EA-218B9F42AFC7}"/>
    <cellStyle name="Normal 14 15 2 2 7" xfId="36702" xr:uid="{0EE7698F-AFF7-4EBE-93D9-EDBF6DD8C812}"/>
    <cellStyle name="Normal 14 15 2 3" xfId="6024" xr:uid="{00000000-0005-0000-0000-0000B1100000}"/>
    <cellStyle name="Normal 14 15 2 3 2" xfId="7370" xr:uid="{00000000-0005-0000-0000-0000B2100000}"/>
    <cellStyle name="Normal 14 15 2 3 2 2" xfId="15803" xr:uid="{00000000-0005-0000-0000-0000B3100000}"/>
    <cellStyle name="Normal 14 15 2 3 2 2 2" xfId="27697" xr:uid="{E290F474-F24A-4E04-A3A7-73B89988CEBA}"/>
    <cellStyle name="Normal 14 15 2 3 2 2 3" xfId="22037" xr:uid="{2D8D793D-9D78-4C8D-AA9C-4B3F8EA6A933}"/>
    <cellStyle name="Normal 14 15 2 3 2 2 4" xfId="33077" xr:uid="{38073A92-A414-4164-8816-0EA0F7A8F2EA}"/>
    <cellStyle name="Normal 14 15 2 3 2 2 5" xfId="36708" xr:uid="{759EF271-9BEC-4CE8-BA54-52B17A4CD490}"/>
    <cellStyle name="Normal 14 15 2 3 2 3" xfId="24864" xr:uid="{0059221E-4427-40E1-939E-E5ED4035CBA6}"/>
    <cellStyle name="Normal 14 15 2 3 2 4" xfId="19204" xr:uid="{6E8C7C50-56B5-4D0D-A1F7-59ED9AFB6913}"/>
    <cellStyle name="Normal 14 15 2 3 2 5" xfId="30525" xr:uid="{75853937-BA8B-4BE6-942F-26C33B2CC325}"/>
    <cellStyle name="Normal 14 15 2 3 2 6" xfId="36707" xr:uid="{03D192A8-1E97-46A5-B163-3BD68222991B}"/>
    <cellStyle name="Normal 14 15 2 3 3" xfId="14482" xr:uid="{00000000-0005-0000-0000-0000B4100000}"/>
    <cellStyle name="Normal 14 15 2 3 3 2" xfId="26441" xr:uid="{12CD4ED5-1DA0-4A61-A572-28938975FE8A}"/>
    <cellStyle name="Normal 14 15 2 3 3 3" xfId="20781" xr:uid="{1234ADBF-F3CD-40A4-A371-834D973B3EC8}"/>
    <cellStyle name="Normal 14 15 2 3 3 4" xfId="31821" xr:uid="{63EB3962-82CC-4822-9462-932268A5CAA3}"/>
    <cellStyle name="Normal 14 15 2 3 3 5" xfId="36709" xr:uid="{0ED1704A-FA9F-48C3-8024-9743C3E2EF57}"/>
    <cellStyle name="Normal 14 15 2 3 4" xfId="23608" xr:uid="{5EEAD392-1883-4D98-BC3C-CCB9ABB50487}"/>
    <cellStyle name="Normal 14 15 2 3 5" xfId="17948" xr:uid="{0B6217E3-7C54-4F64-99B1-B1AEFEA02621}"/>
    <cellStyle name="Normal 14 15 2 3 6" xfId="29269" xr:uid="{70830B8E-60B5-41BC-B855-980C853C1E77}"/>
    <cellStyle name="Normal 14 15 2 3 7" xfId="36706" xr:uid="{BA7A5B49-9289-413E-A34A-B7F5A1D69A68}"/>
    <cellStyle name="Normal 14 15 2 4" xfId="6766" xr:uid="{00000000-0005-0000-0000-0000B5100000}"/>
    <cellStyle name="Normal 14 15 2 4 2" xfId="15199" xr:uid="{00000000-0005-0000-0000-0000B6100000}"/>
    <cellStyle name="Normal 14 15 2 4 2 2" xfId="27093" xr:uid="{7268134B-FF0B-4784-9617-D77950A296F3}"/>
    <cellStyle name="Normal 14 15 2 4 2 3" xfId="21433" xr:uid="{63A9F476-C914-4533-859F-672318C19B9F}"/>
    <cellStyle name="Normal 14 15 2 4 2 4" xfId="32473" xr:uid="{E0D895D8-5D82-4F45-8655-BE21FB0C9DFA}"/>
    <cellStyle name="Normal 14 15 2 4 2 5" xfId="36711" xr:uid="{097179EE-7A71-4364-9569-A40C19230C48}"/>
    <cellStyle name="Normal 14 15 2 4 3" xfId="24260" xr:uid="{E0635EB0-769C-4CF3-BED9-816CBBC34F78}"/>
    <cellStyle name="Normal 14 15 2 4 4" xfId="18600" xr:uid="{21FA0AC5-06BB-4F9A-90D2-DA67FE3024EB}"/>
    <cellStyle name="Normal 14 15 2 4 5" xfId="29921" xr:uid="{36CF0CF0-F077-44B7-A752-E08A1ABB357A}"/>
    <cellStyle name="Normal 14 15 2 4 6" xfId="36710" xr:uid="{EE5C282D-4DD0-46A2-A587-1A6967EBC967}"/>
    <cellStyle name="Normal 14 15 2 5" xfId="7781" xr:uid="{00000000-0005-0000-0000-0000B7100000}"/>
    <cellStyle name="Normal 14 15 2 5 2" xfId="25268" xr:uid="{B47F9C20-5A5C-4D4E-B352-6AA65BBCADCA}"/>
    <cellStyle name="Normal 14 15 2 5 3" xfId="19608" xr:uid="{41C5AB58-BDEB-4B60-8EE4-6CE0A5B5FED3}"/>
    <cellStyle name="Normal 14 15 2 5 4" xfId="30929" xr:uid="{8C8C0A60-E488-42C9-BDB0-87F7670D85E7}"/>
    <cellStyle name="Normal 14 15 2 5 5" xfId="36712" xr:uid="{DFF9D41D-CA1F-4470-9315-B8516AD775FD}"/>
    <cellStyle name="Normal 14 15 2 6" xfId="22698" xr:uid="{12588296-0B02-44D1-BBC0-DF3B5CB5F77B}"/>
    <cellStyle name="Normal 14 15 2 7" xfId="17038" xr:uid="{ECA2794F-2098-4354-8A20-15F47BADFA7C}"/>
    <cellStyle name="Normal 14 15 2 8" xfId="28359" xr:uid="{00CC31D5-63BF-475A-9068-1616C9760A2B}"/>
    <cellStyle name="Normal 14 15 2 9" xfId="36701" xr:uid="{64DAF566-346E-461E-B9DE-A455F39595A6}"/>
    <cellStyle name="Normal 14 15 3" xfId="5112" xr:uid="{00000000-0005-0000-0000-0000B8100000}"/>
    <cellStyle name="Normal 14 15 3 2" xfId="6023" xr:uid="{00000000-0005-0000-0000-0000B9100000}"/>
    <cellStyle name="Normal 14 15 3 2 2" xfId="7369" xr:uid="{00000000-0005-0000-0000-0000BA100000}"/>
    <cellStyle name="Normal 14 15 3 2 2 2" xfId="15802" xr:uid="{00000000-0005-0000-0000-0000BB100000}"/>
    <cellStyle name="Normal 14 15 3 2 2 2 2" xfId="27696" xr:uid="{41DD3C71-0E68-440A-8830-26B6319E8D4F}"/>
    <cellStyle name="Normal 14 15 3 2 2 2 3" xfId="22036" xr:uid="{31DDDB57-1050-4C21-BA7E-8B8ECC04D978}"/>
    <cellStyle name="Normal 14 15 3 2 2 2 4" xfId="33076" xr:uid="{DDAE8A30-7E10-42A0-B977-75C235AB752E}"/>
    <cellStyle name="Normal 14 15 3 2 2 2 5" xfId="36716" xr:uid="{C2AAE656-ED70-47CA-9AD3-CB4B2D93453E}"/>
    <cellStyle name="Normal 14 15 3 2 2 3" xfId="24863" xr:uid="{45EA3EEB-714C-4FD1-97EF-952EEB5E2C00}"/>
    <cellStyle name="Normal 14 15 3 2 2 4" xfId="19203" xr:uid="{31164FF8-FAE0-47D3-84FD-BA5C1BAC16E4}"/>
    <cellStyle name="Normal 14 15 3 2 2 5" xfId="30524" xr:uid="{7CEA26D4-11AB-4B17-A901-E67DEB65A19A}"/>
    <cellStyle name="Normal 14 15 3 2 2 6" xfId="36715" xr:uid="{140165B4-7C5A-40E8-B001-730119309CC1}"/>
    <cellStyle name="Normal 14 15 3 2 3" xfId="14481" xr:uid="{00000000-0005-0000-0000-0000BC100000}"/>
    <cellStyle name="Normal 14 15 3 2 3 2" xfId="26440" xr:uid="{BC80C383-432E-4D3D-BF41-6EFFEA17E8A9}"/>
    <cellStyle name="Normal 14 15 3 2 3 3" xfId="20780" xr:uid="{54B8A271-333A-4158-B3B6-4EAA6703AC0D}"/>
    <cellStyle name="Normal 14 15 3 2 3 4" xfId="31820" xr:uid="{FDA55AA9-D6C6-4150-B4D1-A3E02BADD0E9}"/>
    <cellStyle name="Normal 14 15 3 2 3 5" xfId="36717" xr:uid="{92743E55-B58E-4B52-BBE9-414622E72AF0}"/>
    <cellStyle name="Normal 14 15 3 2 4" xfId="23607" xr:uid="{447BDE56-3181-4370-914E-A9B4F0335B49}"/>
    <cellStyle name="Normal 14 15 3 2 5" xfId="17947" xr:uid="{6C260377-A56B-4321-947F-78C5A7C691AF}"/>
    <cellStyle name="Normal 14 15 3 2 6" xfId="29268" xr:uid="{1C185925-D163-45D4-80C1-832B843F440F}"/>
    <cellStyle name="Normal 14 15 3 2 7" xfId="36714" xr:uid="{8EE7FB80-7049-42B9-A6E1-F81236FFF86A}"/>
    <cellStyle name="Normal 14 15 3 3" xfId="6975" xr:uid="{00000000-0005-0000-0000-0000BD100000}"/>
    <cellStyle name="Normal 14 15 3 3 2" xfId="15408" xr:uid="{00000000-0005-0000-0000-0000BE100000}"/>
    <cellStyle name="Normal 14 15 3 3 2 2" xfId="27302" xr:uid="{6E482CD3-D7C1-4213-94F4-928C98E21E56}"/>
    <cellStyle name="Normal 14 15 3 3 2 3" xfId="21642" xr:uid="{8D01AF54-6EFC-45FF-8B77-06E9EFB2EF02}"/>
    <cellStyle name="Normal 14 15 3 3 2 4" xfId="32682" xr:uid="{2A37A348-8D77-4C26-96EB-98A0CADF66B6}"/>
    <cellStyle name="Normal 14 15 3 3 2 5" xfId="36719" xr:uid="{9BC3CA9B-9E6E-4DA7-978A-05BE1AA4714E}"/>
    <cellStyle name="Normal 14 15 3 3 3" xfId="24469" xr:uid="{325D95D9-1325-4B27-8B43-D7C31B212CFB}"/>
    <cellStyle name="Normal 14 15 3 3 4" xfId="18809" xr:uid="{599AA646-2207-4269-AB7F-235101DD2641}"/>
    <cellStyle name="Normal 14 15 3 3 5" xfId="30130" xr:uid="{88D235E8-F0F6-4AE6-8DEF-C5388DB4F29B}"/>
    <cellStyle name="Normal 14 15 3 3 6" xfId="36718" xr:uid="{521A96FB-5540-4563-8714-AAAEEACA5ECA}"/>
    <cellStyle name="Normal 14 15 3 4" xfId="13999" xr:uid="{00000000-0005-0000-0000-0000BF100000}"/>
    <cellStyle name="Normal 14 15 3 4 2" xfId="26038" xr:uid="{EBFC822D-E74B-4CAB-A977-4AD7DC114DB2}"/>
    <cellStyle name="Normal 14 15 3 4 3" xfId="20378" xr:uid="{AE12D506-8A89-4EC8-8198-249D7AF85EC4}"/>
    <cellStyle name="Normal 14 15 3 4 4" xfId="31418" xr:uid="{CF735786-66A9-449D-A3B0-2FD3B4693028}"/>
    <cellStyle name="Normal 14 15 3 4 5" xfId="36720" xr:uid="{119C4A72-0102-4F8F-9777-CC7EF28D7884}"/>
    <cellStyle name="Normal 14 15 3 5" xfId="22907" xr:uid="{6A4A8DF2-5E91-47D6-885A-09DFBC56C275}"/>
    <cellStyle name="Normal 14 15 3 6" xfId="17247" xr:uid="{EB6C856F-0144-4AA8-B6B7-F144B3C58F22}"/>
    <cellStyle name="Normal 14 15 3 7" xfId="28568" xr:uid="{060C05DE-6BA3-4955-A704-A9A3270AF092}"/>
    <cellStyle name="Normal 14 15 3 8" xfId="36713" xr:uid="{FA331FF2-5E67-4520-9030-B5FE64FE9017}"/>
    <cellStyle name="Normal 14 15 4" xfId="5644" xr:uid="{00000000-0005-0000-0000-0000C0100000}"/>
    <cellStyle name="Normal 14 15 4 2" xfId="36721" xr:uid="{28BFB487-EAEE-4C9B-8561-87DDB8FBD761}"/>
    <cellStyle name="Normal 14 15 5" xfId="6557" xr:uid="{00000000-0005-0000-0000-0000C1100000}"/>
    <cellStyle name="Normal 14 15 5 2" xfId="14990" xr:uid="{00000000-0005-0000-0000-0000C2100000}"/>
    <cellStyle name="Normal 14 15 5 2 2" xfId="26884" xr:uid="{84C4F5E8-5587-4585-9E7E-E2DEBE7B8A76}"/>
    <cellStyle name="Normal 14 15 5 2 3" xfId="21224" xr:uid="{D6FA78E7-D6BA-4695-839D-FE2819E2FA43}"/>
    <cellStyle name="Normal 14 15 5 2 4" xfId="32264" xr:uid="{20574085-BF6F-4E89-8D40-F9DE9B113BDA}"/>
    <cellStyle name="Normal 14 15 5 2 5" xfId="36723" xr:uid="{657B5F01-BADB-43DE-836E-E6F97777D670}"/>
    <cellStyle name="Normal 14 15 5 3" xfId="24051" xr:uid="{8BD1E409-78E5-4D2B-B272-5E02C242DEF7}"/>
    <cellStyle name="Normal 14 15 5 4" xfId="18391" xr:uid="{BEE40668-CBFC-4CCA-8886-BC236ACB5E3D}"/>
    <cellStyle name="Normal 14 15 5 5" xfId="29712" xr:uid="{B03FFAFE-B308-485B-87FB-CC525D99D206}"/>
    <cellStyle name="Normal 14 15 5 6" xfId="36722" xr:uid="{56580A54-316F-4460-8FB1-EFCAE105C8B2}"/>
    <cellStyle name="Normal 14 15 6" xfId="7780" xr:uid="{00000000-0005-0000-0000-0000C3100000}"/>
    <cellStyle name="Normal 14 15 6 2" xfId="25267" xr:uid="{34F1EE13-FB2A-402E-B24B-1D5665BE2B3C}"/>
    <cellStyle name="Normal 14 15 6 3" xfId="19607" xr:uid="{CB4D7AC2-E267-4B36-88C3-C08F1A03E447}"/>
    <cellStyle name="Normal 14 15 6 4" xfId="30928" xr:uid="{3FC68530-A44D-4907-B1C2-8BA38EE4609D}"/>
    <cellStyle name="Normal 14 15 6 5" xfId="36724" xr:uid="{F7B7B3B2-737D-4757-9CA4-33D74A5BBD5C}"/>
    <cellStyle name="Normal 14 15 7" xfId="22489" xr:uid="{AE8BB11B-D259-4C32-920E-DD35D3C33C8F}"/>
    <cellStyle name="Normal 14 15 8" xfId="16829" xr:uid="{079DA2EE-CB3E-44E8-8F89-1214B0D25BC7}"/>
    <cellStyle name="Normal 14 15 9" xfId="28150" xr:uid="{097AC669-89C6-4A8F-8B0B-8CD0A7008EFF}"/>
    <cellStyle name="Normal 14 16" xfId="4115" xr:uid="{00000000-0005-0000-0000-0000C4100000}"/>
    <cellStyle name="Normal 14 16 2" xfId="36725" xr:uid="{6A31DDF5-CA5A-4CF5-8FD3-8E66D58FC8CD}"/>
    <cellStyle name="Normal 14 17" xfId="4814" xr:uid="{00000000-0005-0000-0000-0000C5100000}"/>
    <cellStyle name="Normal 14 17 2" xfId="5236" xr:uid="{00000000-0005-0000-0000-0000C6100000}"/>
    <cellStyle name="Normal 14 17 2 2" xfId="7099" xr:uid="{00000000-0005-0000-0000-0000C7100000}"/>
    <cellStyle name="Normal 14 17 2 2 2" xfId="15532" xr:uid="{00000000-0005-0000-0000-0000C8100000}"/>
    <cellStyle name="Normal 14 17 2 2 2 2" xfId="27426" xr:uid="{E37CCB87-9061-4BA4-B4D5-ABB29B67421E}"/>
    <cellStyle name="Normal 14 17 2 2 2 3" xfId="21766" xr:uid="{539E1F3A-88AE-48A5-BF60-1942CE9DE769}"/>
    <cellStyle name="Normal 14 17 2 2 2 4" xfId="32806" xr:uid="{5015113E-09EB-4052-AA6D-33E338B5250C}"/>
    <cellStyle name="Normal 14 17 2 2 2 5" xfId="36729" xr:uid="{714035F7-3DFC-4F48-8C8C-26DE67FCAEEA}"/>
    <cellStyle name="Normal 14 17 2 2 3" xfId="24593" xr:uid="{F28FCE14-8F35-4E3A-889A-59EB9878954B}"/>
    <cellStyle name="Normal 14 17 2 2 4" xfId="18933" xr:uid="{AD2FAA45-98DA-4286-ACB5-56DD96E33553}"/>
    <cellStyle name="Normal 14 17 2 2 5" xfId="30254" xr:uid="{173005D4-5C9E-45CE-8F13-52429E9CC39B}"/>
    <cellStyle name="Normal 14 17 2 2 6" xfId="36728" xr:uid="{E4908EB0-BC75-42B7-8B7C-AFA1E4FBF5D1}"/>
    <cellStyle name="Normal 14 17 2 3" xfId="14122" xr:uid="{00000000-0005-0000-0000-0000C9100000}"/>
    <cellStyle name="Normal 14 17 2 3 2" xfId="26161" xr:uid="{4FCD27F5-03FC-4BB4-890E-E3CEBEF0EE85}"/>
    <cellStyle name="Normal 14 17 2 3 3" xfId="20501" xr:uid="{5F6ED25A-F03A-4505-B392-9EA57C35EAED}"/>
    <cellStyle name="Normal 14 17 2 3 4" xfId="31541" xr:uid="{1D0537C5-269C-47C6-9F00-01EE50AF07F0}"/>
    <cellStyle name="Normal 14 17 2 3 5" xfId="36730" xr:uid="{66EB2139-5413-466A-A50E-5AF277BE68C5}"/>
    <cellStyle name="Normal 14 17 2 4" xfId="23031" xr:uid="{309637C8-AAB1-4C58-A522-108A7B19ECE3}"/>
    <cellStyle name="Normal 14 17 2 5" xfId="17371" xr:uid="{1A15D1A3-C9CD-4FFD-936B-1E8AF42F7171}"/>
    <cellStyle name="Normal 14 17 2 6" xfId="28692" xr:uid="{A1B367FB-34F6-4CC1-9652-DE0EF5F431E0}"/>
    <cellStyle name="Normal 14 17 2 7" xfId="36727" xr:uid="{68A0D8D9-7807-48D2-B2C5-F2E86372E1F3}"/>
    <cellStyle name="Normal 14 17 3" xfId="6025" xr:uid="{00000000-0005-0000-0000-0000CA100000}"/>
    <cellStyle name="Normal 14 17 3 2" xfId="7371" xr:uid="{00000000-0005-0000-0000-0000CB100000}"/>
    <cellStyle name="Normal 14 17 3 2 2" xfId="15804" xr:uid="{00000000-0005-0000-0000-0000CC100000}"/>
    <cellStyle name="Normal 14 17 3 2 2 2" xfId="27698" xr:uid="{4F5D016B-BBFD-4681-A219-B97585A1C25A}"/>
    <cellStyle name="Normal 14 17 3 2 2 3" xfId="22038" xr:uid="{A04D95D7-759C-46A2-AF1F-08E5E9C984C7}"/>
    <cellStyle name="Normal 14 17 3 2 2 4" xfId="33078" xr:uid="{3DDB2534-1576-470B-9CA7-1498589A20EA}"/>
    <cellStyle name="Normal 14 17 3 2 2 5" xfId="36733" xr:uid="{FCD53604-6879-4E38-B47C-19FD5C347469}"/>
    <cellStyle name="Normal 14 17 3 2 3" xfId="24865" xr:uid="{9E0CA2D5-A75D-4DCD-A2FD-03A81EE473D5}"/>
    <cellStyle name="Normal 14 17 3 2 4" xfId="19205" xr:uid="{3D73512F-FE52-486C-8F18-AA5E34DBBDE0}"/>
    <cellStyle name="Normal 14 17 3 2 5" xfId="30526" xr:uid="{25B5F813-7381-4780-B62B-C684B9AF5D7E}"/>
    <cellStyle name="Normal 14 17 3 2 6" xfId="36732" xr:uid="{6F93CDC2-1E32-4C3E-A69D-9AB1ADB63AD7}"/>
    <cellStyle name="Normal 14 17 3 3" xfId="14483" xr:uid="{00000000-0005-0000-0000-0000CD100000}"/>
    <cellStyle name="Normal 14 17 3 3 2" xfId="26442" xr:uid="{36B45DEE-E9F6-47C4-A042-75101272111F}"/>
    <cellStyle name="Normal 14 17 3 3 3" xfId="20782" xr:uid="{1F811D5E-8BC3-4B5C-968C-B726CCA402FA}"/>
    <cellStyle name="Normal 14 17 3 3 4" xfId="31822" xr:uid="{2F4BC245-8775-4D14-BACF-DDF9C10107AF}"/>
    <cellStyle name="Normal 14 17 3 3 5" xfId="36734" xr:uid="{056F4B70-6E28-4249-89DE-0A3E1AF2E468}"/>
    <cellStyle name="Normal 14 17 3 4" xfId="23609" xr:uid="{DD9E48AD-2FEA-48A1-988C-57A5502A4C4E}"/>
    <cellStyle name="Normal 14 17 3 5" xfId="17949" xr:uid="{C8983421-F7D4-476F-9D7F-C42B280AD2A7}"/>
    <cellStyle name="Normal 14 17 3 6" xfId="29270" xr:uid="{3B28A9D1-8E03-460F-AD3B-3162630D155C}"/>
    <cellStyle name="Normal 14 17 3 7" xfId="36731" xr:uid="{2C020069-185D-482E-80C5-310297C1920B}"/>
    <cellStyle name="Normal 14 17 4" xfId="6681" xr:uid="{00000000-0005-0000-0000-0000CE100000}"/>
    <cellStyle name="Normal 14 17 4 2" xfId="15114" xr:uid="{00000000-0005-0000-0000-0000CF100000}"/>
    <cellStyle name="Normal 14 17 4 2 2" xfId="27008" xr:uid="{F0C42673-6993-49EC-A847-AC2DB4066892}"/>
    <cellStyle name="Normal 14 17 4 2 3" xfId="21348" xr:uid="{50E1D6CA-B527-4C8F-9B77-2E2AE6D5CC2D}"/>
    <cellStyle name="Normal 14 17 4 2 4" xfId="32388" xr:uid="{10B68AEF-5CF5-4960-9C58-792A2209FF54}"/>
    <cellStyle name="Normal 14 17 4 2 5" xfId="36736" xr:uid="{903C71AA-40AB-410C-9747-A2AE3A5CE93F}"/>
    <cellStyle name="Normal 14 17 4 3" xfId="24175" xr:uid="{787763E2-D173-4716-832E-9B845068EA19}"/>
    <cellStyle name="Normal 14 17 4 4" xfId="18515" xr:uid="{CEBF416F-D615-47A7-B721-9DE90C78A173}"/>
    <cellStyle name="Normal 14 17 4 5" xfId="29836" xr:uid="{B2A7754F-1EBE-42A2-8870-93D97BA7D531}"/>
    <cellStyle name="Normal 14 17 4 6" xfId="36735" xr:uid="{AA4ECE82-1114-4917-A514-2DBC6DF8ACD4}"/>
    <cellStyle name="Normal 14 17 5" xfId="7782" xr:uid="{00000000-0005-0000-0000-0000D0100000}"/>
    <cellStyle name="Normal 14 17 5 2" xfId="25269" xr:uid="{ACB40685-F711-41FE-833C-57054C2758AE}"/>
    <cellStyle name="Normal 14 17 5 3" xfId="19609" xr:uid="{A3401827-1A8B-4FAF-ADE6-D6F9E35AF472}"/>
    <cellStyle name="Normal 14 17 5 4" xfId="30930" xr:uid="{B1E720EB-D1C9-4BB5-AEC4-35A6A1682A43}"/>
    <cellStyle name="Normal 14 17 5 5" xfId="36737" xr:uid="{FE79E77B-7D1C-4D2C-88BA-7A2F26DE537F}"/>
    <cellStyle name="Normal 14 17 6" xfId="22613" xr:uid="{DDA5B73F-E37D-40CF-98BE-B42D99726CE8}"/>
    <cellStyle name="Normal 14 17 7" xfId="16953" xr:uid="{776DE0E0-270A-4068-A4B0-53D825DA3399}"/>
    <cellStyle name="Normal 14 17 8" xfId="28274" xr:uid="{3FE5B171-8D52-4644-8B42-FB9AE0D666FA}"/>
    <cellStyle name="Normal 14 17 9" xfId="36726" xr:uid="{AF218E24-25F7-4D73-8B8C-56B90F630DCF}"/>
    <cellStyle name="Normal 14 18" xfId="5027" xr:uid="{00000000-0005-0000-0000-0000D1100000}"/>
    <cellStyle name="Normal 14 18 2" xfId="6012" xr:uid="{00000000-0005-0000-0000-0000D2100000}"/>
    <cellStyle name="Normal 14 18 2 2" xfId="7358" xr:uid="{00000000-0005-0000-0000-0000D3100000}"/>
    <cellStyle name="Normal 14 18 2 2 2" xfId="15791" xr:uid="{00000000-0005-0000-0000-0000D4100000}"/>
    <cellStyle name="Normal 14 18 2 2 2 2" xfId="27685" xr:uid="{527028F8-02A9-4E95-AB8C-3915FCC6D6F9}"/>
    <cellStyle name="Normal 14 18 2 2 2 3" xfId="22025" xr:uid="{E0E1EC48-3DF5-494A-B80E-0E65F9DF9D6C}"/>
    <cellStyle name="Normal 14 18 2 2 2 4" xfId="33065" xr:uid="{598EDDAF-E459-4816-A9AF-C579DBCABEDB}"/>
    <cellStyle name="Normal 14 18 2 2 2 5" xfId="36741" xr:uid="{DA72FB70-2A91-427A-AB33-CF197E44E8E3}"/>
    <cellStyle name="Normal 14 18 2 2 3" xfId="24852" xr:uid="{504D83A1-6950-46ED-8E3C-5C1A80BBDCD8}"/>
    <cellStyle name="Normal 14 18 2 2 4" xfId="19192" xr:uid="{DD2BC5C7-F047-4A10-B4B5-B57AA3AAD0F2}"/>
    <cellStyle name="Normal 14 18 2 2 5" xfId="30513" xr:uid="{F09257F6-DE1D-4439-BFB0-5AA1A023CFE2}"/>
    <cellStyle name="Normal 14 18 2 2 6" xfId="36740" xr:uid="{AE71E9C7-A2D4-49F2-86F9-4A530DF92EFA}"/>
    <cellStyle name="Normal 14 18 2 3" xfId="14470" xr:uid="{00000000-0005-0000-0000-0000D5100000}"/>
    <cellStyle name="Normal 14 18 2 3 2" xfId="26429" xr:uid="{189007C1-E68D-4C5F-BAE4-F99EC0D9D983}"/>
    <cellStyle name="Normal 14 18 2 3 3" xfId="20769" xr:uid="{D823A00B-330C-450B-9922-51FF0E951424}"/>
    <cellStyle name="Normal 14 18 2 3 4" xfId="31809" xr:uid="{6D3B036B-4178-4163-9456-C5232247C9A2}"/>
    <cellStyle name="Normal 14 18 2 3 5" xfId="36742" xr:uid="{9FD1E6F3-4533-415F-B9DD-DDDA8D2BDD52}"/>
    <cellStyle name="Normal 14 18 2 4" xfId="23596" xr:uid="{1EE9682E-9016-49E0-B16E-ACA13408C212}"/>
    <cellStyle name="Normal 14 18 2 5" xfId="17936" xr:uid="{7CFB3486-20B5-4080-BA54-9F4CF0F04DE6}"/>
    <cellStyle name="Normal 14 18 2 6" xfId="29257" xr:uid="{C559BC21-5958-4713-B22C-BB2375DDA168}"/>
    <cellStyle name="Normal 14 18 2 7" xfId="36739" xr:uid="{61932EDB-C749-4BE0-A2E4-08EE47942EFC}"/>
    <cellStyle name="Normal 14 18 3" xfId="6890" xr:uid="{00000000-0005-0000-0000-0000D6100000}"/>
    <cellStyle name="Normal 14 18 3 2" xfId="15323" xr:uid="{00000000-0005-0000-0000-0000D7100000}"/>
    <cellStyle name="Normal 14 18 3 2 2" xfId="27217" xr:uid="{F1649709-6E03-43D0-9074-7072F6693401}"/>
    <cellStyle name="Normal 14 18 3 2 3" xfId="21557" xr:uid="{094867E1-1560-4337-BF57-2174A1B0EE95}"/>
    <cellStyle name="Normal 14 18 3 2 4" xfId="32597" xr:uid="{F4F2A5AA-989C-4D0B-B0E3-82F916A90FEB}"/>
    <cellStyle name="Normal 14 18 3 2 5" xfId="36744" xr:uid="{C94AAE23-0222-48E0-A452-2A2AA7A2CD5C}"/>
    <cellStyle name="Normal 14 18 3 3" xfId="24384" xr:uid="{8F69D89C-4D81-4EE5-99B3-901B9E25B667}"/>
    <cellStyle name="Normal 14 18 3 4" xfId="18724" xr:uid="{9B386189-DE8E-4C3A-9B9F-791CEB859E78}"/>
    <cellStyle name="Normal 14 18 3 5" xfId="30045" xr:uid="{C3B896D0-5BD5-440B-82B6-21E66C369230}"/>
    <cellStyle name="Normal 14 18 3 6" xfId="36743" xr:uid="{C4A530BD-8423-49A1-A3DF-9EAC347D01B1}"/>
    <cellStyle name="Normal 14 18 4" xfId="13931" xr:uid="{00000000-0005-0000-0000-0000D8100000}"/>
    <cellStyle name="Normal 14 18 4 2" xfId="25972" xr:uid="{7A9B7E59-6EED-45A8-8CD7-6B8EFF8490BB}"/>
    <cellStyle name="Normal 14 18 4 3" xfId="20312" xr:uid="{9E2DA20E-8FB7-44ED-9BB9-0211154F6469}"/>
    <cellStyle name="Normal 14 18 4 4" xfId="31352" xr:uid="{82F786B2-DBD4-4183-822D-B13D5BDCAC27}"/>
    <cellStyle name="Normal 14 18 4 5" xfId="36745" xr:uid="{30332D95-1D01-4BDE-B61C-0533DC316696}"/>
    <cellStyle name="Normal 14 18 5" xfId="22822" xr:uid="{6D83D1B0-822C-4944-9163-0F96781AB59C}"/>
    <cellStyle name="Normal 14 18 6" xfId="17162" xr:uid="{D0A21647-D75D-4BAB-85BC-E2D892BBB633}"/>
    <cellStyle name="Normal 14 18 7" xfId="28483" xr:uid="{FFD5E8C8-B2AC-4D5E-930C-7C6B4764E4E3}"/>
    <cellStyle name="Normal 14 18 8" xfId="36738" xr:uid="{65E6F0B7-BF42-433A-B21E-9894D2645566}"/>
    <cellStyle name="Normal 14 19" xfId="6472" xr:uid="{00000000-0005-0000-0000-0000D9100000}"/>
    <cellStyle name="Normal 14 19 2" xfId="14905" xr:uid="{00000000-0005-0000-0000-0000DA100000}"/>
    <cellStyle name="Normal 14 19 2 2" xfId="26799" xr:uid="{3B0F32F8-A64A-4C61-98FB-930B410F13FA}"/>
    <cellStyle name="Normal 14 19 2 3" xfId="21139" xr:uid="{69EEB665-3E2E-46EB-AA44-B6F90B239526}"/>
    <cellStyle name="Normal 14 19 2 4" xfId="32179" xr:uid="{4B34B562-67C6-4EDF-BC3A-61947F13DE3F}"/>
    <cellStyle name="Normal 14 19 2 5" xfId="36747" xr:uid="{7FEDA867-488B-4ECE-A6AE-50A16BC170BB}"/>
    <cellStyle name="Normal 14 19 3" xfId="23966" xr:uid="{1AE79E7B-0A59-4496-B2A4-FBD70F59EE13}"/>
    <cellStyle name="Normal 14 19 4" xfId="18306" xr:uid="{DE62361C-D7EF-4DBC-9F99-8E5FC0FB9DA4}"/>
    <cellStyle name="Normal 14 19 5" xfId="29627" xr:uid="{A36C5B87-73EF-4178-B2BA-7C7DB53D8DD5}"/>
    <cellStyle name="Normal 14 19 6" xfId="36746" xr:uid="{040C32F9-7E3C-4814-858B-C8B365518C49}"/>
    <cellStyle name="Normal 14 2" xfId="2017" xr:uid="{00000000-0005-0000-0000-0000DB100000}"/>
    <cellStyle name="Normal 14 2 10" xfId="7783" xr:uid="{00000000-0005-0000-0000-0000DC100000}"/>
    <cellStyle name="Normal 14 2 10 2" xfId="25270" xr:uid="{CF18E837-4ED9-4BA7-A823-7F7B32DE7BF7}"/>
    <cellStyle name="Normal 14 2 10 3" xfId="19610" xr:uid="{BB5B7B25-C182-4E90-BBC0-A30EFD776FAB}"/>
    <cellStyle name="Normal 14 2 10 4" xfId="30931" xr:uid="{D578866C-6825-4309-9709-EF695E9C49AC}"/>
    <cellStyle name="Normal 14 2 10 5" xfId="36749" xr:uid="{CD83644C-6C19-4526-8ABF-F81F5473D69F}"/>
    <cellStyle name="Normal 14 2 11" xfId="36750" xr:uid="{B60503AF-3CE5-4B4C-9B12-E3C5B2BA783A}"/>
    <cellStyle name="Normal 14 2 12" xfId="36748" xr:uid="{BB5C8E96-D414-478F-88E0-C2C7504C2F96}"/>
    <cellStyle name="Normal 14 2 13" xfId="49773" xr:uid="{3D7CFDD6-1D0F-43CB-BE02-19827007E5F2}"/>
    <cellStyle name="Normal 14 2 2" xfId="4123" xr:uid="{00000000-0005-0000-0000-0000DD100000}"/>
    <cellStyle name="Normal 14 2 2 2" xfId="36751" xr:uid="{C64C6E53-C025-4717-926D-5B84B6003D28}"/>
    <cellStyle name="Normal 14 2 3" xfId="4124" xr:uid="{00000000-0005-0000-0000-0000DE100000}"/>
    <cellStyle name="Normal 14 2 3 2" xfId="36752" xr:uid="{FFF5DB80-D3F0-4BBD-A0CE-9354E1C301C0}"/>
    <cellStyle name="Normal 14 2 4" xfId="4125" xr:uid="{00000000-0005-0000-0000-0000DF100000}"/>
    <cellStyle name="Normal 14 2 4 2" xfId="36753" xr:uid="{0506D1FE-23EB-4410-A7A4-D9165094B5B6}"/>
    <cellStyle name="Normal 14 2 5" xfId="4126" xr:uid="{00000000-0005-0000-0000-0000E0100000}"/>
    <cellStyle name="Normal 14 2 5 2" xfId="36754" xr:uid="{C4D66D95-6FD2-494D-A781-EF5B0D7FC7D0}"/>
    <cellStyle name="Normal 14 2 6" xfId="4127" xr:uid="{00000000-0005-0000-0000-0000E1100000}"/>
    <cellStyle name="Normal 14 2 6 2" xfId="36755" xr:uid="{7AA24097-1EE9-4060-B665-7DC8D612280C}"/>
    <cellStyle name="Normal 14 2 7" xfId="4128" xr:uid="{00000000-0005-0000-0000-0000E2100000}"/>
    <cellStyle name="Normal 14 2 7 2" xfId="36756" xr:uid="{4931FD67-0D96-4AA1-9A39-6F9EE6132627}"/>
    <cellStyle name="Normal 14 2 8" xfId="4122" xr:uid="{00000000-0005-0000-0000-0000E3100000}"/>
    <cellStyle name="Normal 14 2 8 10" xfId="36757" xr:uid="{61D2E6F3-94B9-415D-9988-1AED5890430F}"/>
    <cellStyle name="Normal 14 2 8 2" xfId="4903" xr:uid="{00000000-0005-0000-0000-0000E4100000}"/>
    <cellStyle name="Normal 14 2 8 2 2" xfId="5322" xr:uid="{00000000-0005-0000-0000-0000E5100000}"/>
    <cellStyle name="Normal 14 2 8 2 2 2" xfId="7185" xr:uid="{00000000-0005-0000-0000-0000E6100000}"/>
    <cellStyle name="Normal 14 2 8 2 2 2 2" xfId="15618" xr:uid="{00000000-0005-0000-0000-0000E7100000}"/>
    <cellStyle name="Normal 14 2 8 2 2 2 2 2" xfId="27512" xr:uid="{CD359EB3-4CEE-414E-9090-FF038ACA9A6E}"/>
    <cellStyle name="Normal 14 2 8 2 2 2 2 3" xfId="21852" xr:uid="{0C4F01B6-47D1-4549-8AF9-7767B5AD29DF}"/>
    <cellStyle name="Normal 14 2 8 2 2 2 2 4" xfId="32892" xr:uid="{B814B22D-96F1-4529-BBD9-1D88AF5627E9}"/>
    <cellStyle name="Normal 14 2 8 2 2 2 2 5" xfId="36761" xr:uid="{44C33BFB-DE37-45D9-9B47-8DA06A8F8D4C}"/>
    <cellStyle name="Normal 14 2 8 2 2 2 3" xfId="24679" xr:uid="{E3E3DA8C-D5B0-444C-BCEE-EBF14C3E95DE}"/>
    <cellStyle name="Normal 14 2 8 2 2 2 4" xfId="19019" xr:uid="{CB213764-52A4-49DD-982D-E8BE5633834A}"/>
    <cellStyle name="Normal 14 2 8 2 2 2 5" xfId="30340" xr:uid="{979929DE-7474-4C55-B881-AF3C23AA65EB}"/>
    <cellStyle name="Normal 14 2 8 2 2 2 6" xfId="36760" xr:uid="{3C6B3B01-0E76-4CE4-9B17-E451F49CA3D6}"/>
    <cellStyle name="Normal 14 2 8 2 2 3" xfId="14208" xr:uid="{00000000-0005-0000-0000-0000E8100000}"/>
    <cellStyle name="Normal 14 2 8 2 2 3 2" xfId="26247" xr:uid="{7F3EDFFB-0B1B-42DC-9C34-5CD396EC9CAC}"/>
    <cellStyle name="Normal 14 2 8 2 2 3 3" xfId="20587" xr:uid="{4531BBA9-4FC3-4955-BFB1-96ECE29AC944}"/>
    <cellStyle name="Normal 14 2 8 2 2 3 4" xfId="31627" xr:uid="{C6942496-596B-423F-AC19-DB8969E7E2F0}"/>
    <cellStyle name="Normal 14 2 8 2 2 3 5" xfId="36762" xr:uid="{057E5C48-FC00-4896-8AB5-44CDB5F11DE1}"/>
    <cellStyle name="Normal 14 2 8 2 2 4" xfId="23117" xr:uid="{E9992CE1-8E3E-4D8F-92EA-6704FB99CFAC}"/>
    <cellStyle name="Normal 14 2 8 2 2 5" xfId="17457" xr:uid="{5841F198-F30B-433D-B3A8-5F5595769708}"/>
    <cellStyle name="Normal 14 2 8 2 2 6" xfId="28778" xr:uid="{CB65E8F2-C600-4C04-BB2F-26E4E7306707}"/>
    <cellStyle name="Normal 14 2 8 2 2 7" xfId="36759" xr:uid="{5168DF86-D1A8-4CCC-A5AC-4B9387E29985}"/>
    <cellStyle name="Normal 14 2 8 2 3" xfId="6027" xr:uid="{00000000-0005-0000-0000-0000E9100000}"/>
    <cellStyle name="Normal 14 2 8 2 3 2" xfId="7373" xr:uid="{00000000-0005-0000-0000-0000EA100000}"/>
    <cellStyle name="Normal 14 2 8 2 3 2 2" xfId="15806" xr:uid="{00000000-0005-0000-0000-0000EB100000}"/>
    <cellStyle name="Normal 14 2 8 2 3 2 2 2" xfId="27700" xr:uid="{A4D48FEE-5224-4015-8976-8C08F51517C5}"/>
    <cellStyle name="Normal 14 2 8 2 3 2 2 3" xfId="22040" xr:uid="{5B91A228-6F5B-4BAE-868B-E2F61FB5F6D3}"/>
    <cellStyle name="Normal 14 2 8 2 3 2 2 4" xfId="33080" xr:uid="{CE1B654D-7C08-42E4-A3E1-E3DF5769E42C}"/>
    <cellStyle name="Normal 14 2 8 2 3 2 2 5" xfId="36765" xr:uid="{37BAB8DE-1902-440F-90F9-A598083FB7BD}"/>
    <cellStyle name="Normal 14 2 8 2 3 2 3" xfId="24867" xr:uid="{5798698C-225B-45B7-BFE9-40B22214F9A5}"/>
    <cellStyle name="Normal 14 2 8 2 3 2 4" xfId="19207" xr:uid="{524E1508-1D56-4162-AAB4-1F0DB49401F6}"/>
    <cellStyle name="Normal 14 2 8 2 3 2 5" xfId="30528" xr:uid="{A0EFA741-D211-43B6-89F2-FB0CA72315E7}"/>
    <cellStyle name="Normal 14 2 8 2 3 2 6" xfId="36764" xr:uid="{CAEAF908-2924-4375-AE8F-50C137290F71}"/>
    <cellStyle name="Normal 14 2 8 2 3 3" xfId="14485" xr:uid="{00000000-0005-0000-0000-0000EC100000}"/>
    <cellStyle name="Normal 14 2 8 2 3 3 2" xfId="26444" xr:uid="{2ED63D5D-7011-4A3D-8B6A-9FCBF6B41695}"/>
    <cellStyle name="Normal 14 2 8 2 3 3 3" xfId="20784" xr:uid="{B4A6D471-1C77-4CFE-94B5-08ADCEB26F9F}"/>
    <cellStyle name="Normal 14 2 8 2 3 3 4" xfId="31824" xr:uid="{AFCEDE72-5390-45CD-93A6-6F8DE1A43F60}"/>
    <cellStyle name="Normal 14 2 8 2 3 3 5" xfId="36766" xr:uid="{65E6BD8A-E0E7-4438-AC11-B3DB73A5184A}"/>
    <cellStyle name="Normal 14 2 8 2 3 4" xfId="23611" xr:uid="{23D52877-C36B-47CB-BA8F-05F97FA0EDF0}"/>
    <cellStyle name="Normal 14 2 8 2 3 5" xfId="17951" xr:uid="{CE2A592B-CEE8-4B73-B910-1391F55C1B99}"/>
    <cellStyle name="Normal 14 2 8 2 3 6" xfId="29272" xr:uid="{ED599F57-6B1C-4328-8DD1-E16FCFB1764F}"/>
    <cellStyle name="Normal 14 2 8 2 3 7" xfId="36763" xr:uid="{99DDC641-196D-4763-B015-BA3B3181377E}"/>
    <cellStyle name="Normal 14 2 8 2 4" xfId="6767" xr:uid="{00000000-0005-0000-0000-0000ED100000}"/>
    <cellStyle name="Normal 14 2 8 2 4 2" xfId="15200" xr:uid="{00000000-0005-0000-0000-0000EE100000}"/>
    <cellStyle name="Normal 14 2 8 2 4 2 2" xfId="27094" xr:uid="{DEA1F5EE-43A0-4DCD-A13F-0BE07CA24643}"/>
    <cellStyle name="Normal 14 2 8 2 4 2 3" xfId="21434" xr:uid="{57448F76-FCFF-4CEC-BCAB-1F5967A882C3}"/>
    <cellStyle name="Normal 14 2 8 2 4 2 4" xfId="32474" xr:uid="{26223FC9-D69F-4448-A686-44AF3611708C}"/>
    <cellStyle name="Normal 14 2 8 2 4 2 5" xfId="36768" xr:uid="{6C728F72-4442-4ED6-B45F-D82C12F405B5}"/>
    <cellStyle name="Normal 14 2 8 2 4 3" xfId="24261" xr:uid="{27C7A743-9B26-47A3-A2AA-4EE7E681359D}"/>
    <cellStyle name="Normal 14 2 8 2 4 4" xfId="18601" xr:uid="{E2F44352-5CC0-40A5-8B04-F356245AA57E}"/>
    <cellStyle name="Normal 14 2 8 2 4 5" xfId="29922" xr:uid="{B00F1FC7-E00A-407D-8A6C-32133C2F2DA7}"/>
    <cellStyle name="Normal 14 2 8 2 4 6" xfId="36767" xr:uid="{C28F283C-EE1C-4FC3-9503-D3B2938DD7BA}"/>
    <cellStyle name="Normal 14 2 8 2 5" xfId="7785" xr:uid="{00000000-0005-0000-0000-0000EF100000}"/>
    <cellStyle name="Normal 14 2 8 2 5 2" xfId="25272" xr:uid="{1447C538-A4A5-43C3-80D3-BAF6131CCE5B}"/>
    <cellStyle name="Normal 14 2 8 2 5 3" xfId="19612" xr:uid="{2534C193-4E98-452E-9A40-D1C1F8A6D18B}"/>
    <cellStyle name="Normal 14 2 8 2 5 4" xfId="30933" xr:uid="{79C4E275-A4A1-4113-950F-72CE1261FBA7}"/>
    <cellStyle name="Normal 14 2 8 2 5 5" xfId="36769" xr:uid="{CD2E25F2-775C-41C2-A7F9-CA30A6AB0AD0}"/>
    <cellStyle name="Normal 14 2 8 2 6" xfId="22699" xr:uid="{8DDED3A3-CE66-45C1-95C5-E9582CFA910F}"/>
    <cellStyle name="Normal 14 2 8 2 7" xfId="17039" xr:uid="{7C845BAA-CFE7-418D-9B8A-9D81A388E44C}"/>
    <cellStyle name="Normal 14 2 8 2 8" xfId="28360" xr:uid="{9521B896-734B-4026-8F7E-A801B9F21010}"/>
    <cellStyle name="Normal 14 2 8 2 9" xfId="36758" xr:uid="{7917DB19-9535-4D9A-9C12-12288CC49C7F}"/>
    <cellStyle name="Normal 14 2 8 3" xfId="5113" xr:uid="{00000000-0005-0000-0000-0000F0100000}"/>
    <cellStyle name="Normal 14 2 8 3 2" xfId="6976" xr:uid="{00000000-0005-0000-0000-0000F1100000}"/>
    <cellStyle name="Normal 14 2 8 3 2 2" xfId="15409" xr:uid="{00000000-0005-0000-0000-0000F2100000}"/>
    <cellStyle name="Normal 14 2 8 3 2 2 2" xfId="27303" xr:uid="{F88F896A-DD4F-4151-AA75-DB8067F7FBD5}"/>
    <cellStyle name="Normal 14 2 8 3 2 2 3" xfId="21643" xr:uid="{1233D46A-86B7-4155-8DAC-BF6880FB8B5A}"/>
    <cellStyle name="Normal 14 2 8 3 2 2 4" xfId="32683" xr:uid="{763D454B-CA6E-40E5-9FD5-E50E32D941C5}"/>
    <cellStyle name="Normal 14 2 8 3 2 2 5" xfId="36772" xr:uid="{D54483E0-7EE3-4BC6-A1FB-84641A8577A9}"/>
    <cellStyle name="Normal 14 2 8 3 2 3" xfId="24470" xr:uid="{3C06A652-1FF7-4BA6-9259-3C721B8D1419}"/>
    <cellStyle name="Normal 14 2 8 3 2 4" xfId="18810" xr:uid="{87DA6734-BC51-4C96-9347-3F1967537DB1}"/>
    <cellStyle name="Normal 14 2 8 3 2 5" xfId="30131" xr:uid="{A7A7CB58-49EE-4DC2-932B-9B809AB49BD2}"/>
    <cellStyle name="Normal 14 2 8 3 2 6" xfId="36771" xr:uid="{2D05A1AF-4E9F-4E6A-898A-5016DF275E89}"/>
    <cellStyle name="Normal 14 2 8 3 3" xfId="14000" xr:uid="{00000000-0005-0000-0000-0000F3100000}"/>
    <cellStyle name="Normal 14 2 8 3 3 2" xfId="26039" xr:uid="{FDCA25C8-6A25-4EB0-B1E5-BF381431F7C7}"/>
    <cellStyle name="Normal 14 2 8 3 3 3" xfId="20379" xr:uid="{8D71B28E-7B36-4941-8583-8F97B179FD72}"/>
    <cellStyle name="Normal 14 2 8 3 3 4" xfId="31419" xr:uid="{8390D0F5-AC89-4C5B-96ED-22DA1B8C3CE6}"/>
    <cellStyle name="Normal 14 2 8 3 3 5" xfId="36773" xr:uid="{D8240A9A-DAC6-41F4-8CC2-78764497D629}"/>
    <cellStyle name="Normal 14 2 8 3 4" xfId="22908" xr:uid="{0B659AEC-E651-4487-8C80-045655F9A58A}"/>
    <cellStyle name="Normal 14 2 8 3 5" xfId="17248" xr:uid="{9AB274D2-257C-4994-9684-6224DDEA440B}"/>
    <cellStyle name="Normal 14 2 8 3 6" xfId="28569" xr:uid="{2A7AD5FD-DBC3-48D0-93C2-4C74100BBE37}"/>
    <cellStyle name="Normal 14 2 8 3 7" xfId="36770" xr:uid="{69D58716-525C-4718-A8A8-AFF3865C9257}"/>
    <cellStyle name="Normal 14 2 8 4" xfId="6026" xr:uid="{00000000-0005-0000-0000-0000F4100000}"/>
    <cellStyle name="Normal 14 2 8 4 2" xfId="7372" xr:uid="{00000000-0005-0000-0000-0000F5100000}"/>
    <cellStyle name="Normal 14 2 8 4 2 2" xfId="15805" xr:uid="{00000000-0005-0000-0000-0000F6100000}"/>
    <cellStyle name="Normal 14 2 8 4 2 2 2" xfId="27699" xr:uid="{5B23C311-8608-4E81-9BD9-CFE16DF36BBF}"/>
    <cellStyle name="Normal 14 2 8 4 2 2 3" xfId="22039" xr:uid="{DB15E9FC-9E97-412B-A68B-9D42DE5BF100}"/>
    <cellStyle name="Normal 14 2 8 4 2 2 4" xfId="33079" xr:uid="{CE4E0ADA-3361-4BDB-9D62-2CCFE85D9549}"/>
    <cellStyle name="Normal 14 2 8 4 2 2 5" xfId="36776" xr:uid="{7FC7FFCF-EC1E-47B2-BDA2-1607716D7F32}"/>
    <cellStyle name="Normal 14 2 8 4 2 3" xfId="24866" xr:uid="{388C1875-1EB5-472F-92E5-9A968F1161CF}"/>
    <cellStyle name="Normal 14 2 8 4 2 4" xfId="19206" xr:uid="{0929BAE4-E3B2-4715-B3F7-EAA5B8CA9DE0}"/>
    <cellStyle name="Normal 14 2 8 4 2 5" xfId="30527" xr:uid="{78F76A35-BDF6-4CE3-BAE2-9DCF41D36960}"/>
    <cellStyle name="Normal 14 2 8 4 2 6" xfId="36775" xr:uid="{FB6785CF-0B66-4EF0-B7E7-754594E66AE7}"/>
    <cellStyle name="Normal 14 2 8 4 3" xfId="14484" xr:uid="{00000000-0005-0000-0000-0000F7100000}"/>
    <cellStyle name="Normal 14 2 8 4 3 2" xfId="26443" xr:uid="{EAF629B1-705D-4F77-83DF-DF284B43EB1E}"/>
    <cellStyle name="Normal 14 2 8 4 3 3" xfId="20783" xr:uid="{50167798-F8A8-4F3E-BA25-10706F79D7C4}"/>
    <cellStyle name="Normal 14 2 8 4 3 4" xfId="31823" xr:uid="{045FD198-2B4B-4B66-9313-C5543B6BD249}"/>
    <cellStyle name="Normal 14 2 8 4 3 5" xfId="36777" xr:uid="{6D73D1AE-BFDE-45AC-B26D-6078579DEDA4}"/>
    <cellStyle name="Normal 14 2 8 4 4" xfId="23610" xr:uid="{90DF8C79-729B-4620-BF89-C055DFEB0D8B}"/>
    <cellStyle name="Normal 14 2 8 4 5" xfId="17950" xr:uid="{CD47C122-CEB4-43B6-9702-0DC27AC7E2C3}"/>
    <cellStyle name="Normal 14 2 8 4 6" xfId="29271" xr:uid="{7E802B89-641F-45DE-BB52-5B77CD592192}"/>
    <cellStyle name="Normal 14 2 8 4 7" xfId="36774" xr:uid="{887A6B55-D8EA-4EF5-AF5A-FADC4880F57F}"/>
    <cellStyle name="Normal 14 2 8 5" xfId="6558" xr:uid="{00000000-0005-0000-0000-0000F8100000}"/>
    <cellStyle name="Normal 14 2 8 5 2" xfId="14991" xr:uid="{00000000-0005-0000-0000-0000F9100000}"/>
    <cellStyle name="Normal 14 2 8 5 2 2" xfId="26885" xr:uid="{9E79931A-FA85-41DE-89B9-15002C9568B8}"/>
    <cellStyle name="Normal 14 2 8 5 2 3" xfId="21225" xr:uid="{95AEA2CD-69A9-4454-8199-3AB870346E88}"/>
    <cellStyle name="Normal 14 2 8 5 2 4" xfId="32265" xr:uid="{16F23555-FE7B-4DFD-9467-597A2A2B505A}"/>
    <cellStyle name="Normal 14 2 8 5 2 5" xfId="36779" xr:uid="{B0FE4251-8F3F-446C-B380-F2A9ADC588B0}"/>
    <cellStyle name="Normal 14 2 8 5 3" xfId="24052" xr:uid="{01006B22-3D0B-4497-92C6-B5D1B7E39D7A}"/>
    <cellStyle name="Normal 14 2 8 5 4" xfId="18392" xr:uid="{BD59627B-FEF3-433F-B163-7B54B6B0FF5C}"/>
    <cellStyle name="Normal 14 2 8 5 5" xfId="29713" xr:uid="{5569BBAC-53FF-43EA-B452-4D5BAAFE3E73}"/>
    <cellStyle name="Normal 14 2 8 5 6" xfId="36778" xr:uid="{C1C412DD-6CAB-4D30-A359-0226BAD8C34B}"/>
    <cellStyle name="Normal 14 2 8 6" xfId="7784" xr:uid="{00000000-0005-0000-0000-0000FA100000}"/>
    <cellStyle name="Normal 14 2 8 6 2" xfId="25271" xr:uid="{5A42908C-5001-4D08-91B1-2ADC2579DBC4}"/>
    <cellStyle name="Normal 14 2 8 6 3" xfId="19611" xr:uid="{31C78E83-D78F-4B25-982A-C68F0E7DBAFD}"/>
    <cellStyle name="Normal 14 2 8 6 4" xfId="30932" xr:uid="{2319A616-1697-4FCB-932D-0FABC4E55301}"/>
    <cellStyle name="Normal 14 2 8 6 5" xfId="36780" xr:uid="{0295F420-B2B2-4FFB-AE64-86F1E66D9777}"/>
    <cellStyle name="Normal 14 2 8 7" xfId="22490" xr:uid="{D539702D-5F7D-41D1-B170-03E9F1D8D48B}"/>
    <cellStyle name="Normal 14 2 8 8" xfId="16830" xr:uid="{16002D39-D078-48A9-9544-507678EA2CA0}"/>
    <cellStyle name="Normal 14 2 8 9" xfId="28151" xr:uid="{FF9CB339-C747-469F-A54A-07575DBC9223}"/>
    <cellStyle name="Normal 14 2 9" xfId="7786" xr:uid="{00000000-0005-0000-0000-0000FB100000}"/>
    <cellStyle name="Normal 14 2 9 2" xfId="36781" xr:uid="{CD1E67FB-FF6D-4EE3-8224-2B4CBBFAD92B}"/>
    <cellStyle name="Normal 14 20" xfId="22404" xr:uid="{2061FC2D-85B5-460C-9267-34D26A4C760C}"/>
    <cellStyle name="Normal 14 21" xfId="16744" xr:uid="{A365D3BB-EB79-4685-AF01-BC2D2DE1E30A}"/>
    <cellStyle name="Normal 14 22" xfId="28065" xr:uid="{E3315B11-2FED-4163-A1C2-1280EE5FB745}"/>
    <cellStyle name="Normal 14 23" xfId="36574" xr:uid="{E4CA02AC-850E-4208-96EE-A5C25721598F}"/>
    <cellStyle name="Normal 14 3" xfId="2016" xr:uid="{00000000-0005-0000-0000-0000FC100000}"/>
    <cellStyle name="Normal 14 3 2" xfId="36782" xr:uid="{F061384F-9948-487D-BA6D-509AA6180299}"/>
    <cellStyle name="Normal 14 4" xfId="4129" xr:uid="{00000000-0005-0000-0000-0000FD100000}"/>
    <cellStyle name="Normal 14 4 10" xfId="36783" xr:uid="{6DBE4C6E-88C7-4AA8-8BFD-FA98D91EE2FE}"/>
    <cellStyle name="Normal 14 4 2" xfId="4904" xr:uid="{00000000-0005-0000-0000-0000FE100000}"/>
    <cellStyle name="Normal 14 4 2 2" xfId="5323" xr:uid="{00000000-0005-0000-0000-0000FF100000}"/>
    <cellStyle name="Normal 14 4 2 2 2" xfId="7186" xr:uid="{00000000-0005-0000-0000-000000110000}"/>
    <cellStyle name="Normal 14 4 2 2 2 2" xfId="15619" xr:uid="{00000000-0005-0000-0000-000001110000}"/>
    <cellStyle name="Normal 14 4 2 2 2 2 2" xfId="27513" xr:uid="{DF8042E3-473C-42FE-A0FA-BBA790CA8655}"/>
    <cellStyle name="Normal 14 4 2 2 2 2 3" xfId="21853" xr:uid="{9C3DBDF6-DFED-4C39-AA58-CE2407EE780C}"/>
    <cellStyle name="Normal 14 4 2 2 2 2 4" xfId="32893" xr:uid="{18273ECD-4832-4FE9-BED2-088E07C494E3}"/>
    <cellStyle name="Normal 14 4 2 2 2 2 5" xfId="36787" xr:uid="{4675AF8D-6FFD-499F-A672-2772FA18BEE7}"/>
    <cellStyle name="Normal 14 4 2 2 2 3" xfId="24680" xr:uid="{E943E731-7DDC-42D9-B900-5EC075FCF7BE}"/>
    <cellStyle name="Normal 14 4 2 2 2 4" xfId="19020" xr:uid="{2CE283FB-6ED8-40C7-98ED-883331BC4C00}"/>
    <cellStyle name="Normal 14 4 2 2 2 5" xfId="30341" xr:uid="{C7D55704-BF3A-41A8-AE78-17E3BD7CDDCE}"/>
    <cellStyle name="Normal 14 4 2 2 2 6" xfId="36786" xr:uid="{F7C883B3-92BF-42BF-8868-80998D34A175}"/>
    <cellStyle name="Normal 14 4 2 2 3" xfId="14209" xr:uid="{00000000-0005-0000-0000-000002110000}"/>
    <cellStyle name="Normal 14 4 2 2 3 2" xfId="26248" xr:uid="{A26319E1-20D5-4B2E-8F8C-586FD434FFE3}"/>
    <cellStyle name="Normal 14 4 2 2 3 3" xfId="20588" xr:uid="{DB0B7502-7380-4B4E-B729-AEB377F937C6}"/>
    <cellStyle name="Normal 14 4 2 2 3 4" xfId="31628" xr:uid="{0F5ED19C-C50D-494F-92C1-A1B0D40751E1}"/>
    <cellStyle name="Normal 14 4 2 2 3 5" xfId="36788" xr:uid="{66A7F7CC-FA6C-4FAB-B008-42E49B358E84}"/>
    <cellStyle name="Normal 14 4 2 2 4" xfId="23118" xr:uid="{17D04C8C-92DA-4433-8D3E-32A3D4F0B82E}"/>
    <cellStyle name="Normal 14 4 2 2 5" xfId="17458" xr:uid="{A2C63D61-77CF-47EF-9795-024913CB0B99}"/>
    <cellStyle name="Normal 14 4 2 2 6" xfId="28779" xr:uid="{4020F8CB-46C5-435F-B2FC-B5A500A1E23B}"/>
    <cellStyle name="Normal 14 4 2 2 7" xfId="36785" xr:uid="{06EFB40B-06F0-4280-AC86-2A4FCE87287C}"/>
    <cellStyle name="Normal 14 4 2 3" xfId="6029" xr:uid="{00000000-0005-0000-0000-000003110000}"/>
    <cellStyle name="Normal 14 4 2 3 2" xfId="7375" xr:uid="{00000000-0005-0000-0000-000004110000}"/>
    <cellStyle name="Normal 14 4 2 3 2 2" xfId="15808" xr:uid="{00000000-0005-0000-0000-000005110000}"/>
    <cellStyle name="Normal 14 4 2 3 2 2 2" xfId="27702" xr:uid="{6857F4EE-7B48-42A4-B291-FC285E2860A2}"/>
    <cellStyle name="Normal 14 4 2 3 2 2 3" xfId="22042" xr:uid="{CD0FB452-CA24-4E72-A195-D780C53AF45B}"/>
    <cellStyle name="Normal 14 4 2 3 2 2 4" xfId="33082" xr:uid="{E14675B1-6A27-4F92-AFFB-BA62F0982FDB}"/>
    <cellStyle name="Normal 14 4 2 3 2 2 5" xfId="36791" xr:uid="{D08F5C7F-BBAA-44A2-85E0-14D1DC8C182B}"/>
    <cellStyle name="Normal 14 4 2 3 2 3" xfId="24869" xr:uid="{2DC2C68C-55BE-4F8D-A9F9-00D8B6F88315}"/>
    <cellStyle name="Normal 14 4 2 3 2 4" xfId="19209" xr:uid="{27677A7B-4207-49F3-AB82-714EA984DB15}"/>
    <cellStyle name="Normal 14 4 2 3 2 5" xfId="30530" xr:uid="{AC511293-A5C4-4152-BCBC-9A233EE8FDF2}"/>
    <cellStyle name="Normal 14 4 2 3 2 6" xfId="36790" xr:uid="{6243A9A1-4DF4-4C18-BC7A-A57400D17D33}"/>
    <cellStyle name="Normal 14 4 2 3 3" xfId="14487" xr:uid="{00000000-0005-0000-0000-000006110000}"/>
    <cellStyle name="Normal 14 4 2 3 3 2" xfId="26446" xr:uid="{3BED69B2-9B3B-41CC-B423-6C350E72B572}"/>
    <cellStyle name="Normal 14 4 2 3 3 3" xfId="20786" xr:uid="{EFEC1989-93A7-419E-A835-20D97F2082B9}"/>
    <cellStyle name="Normal 14 4 2 3 3 4" xfId="31826" xr:uid="{C404D670-FAC7-495A-B1B5-F9535852393A}"/>
    <cellStyle name="Normal 14 4 2 3 3 5" xfId="36792" xr:uid="{A2A67B1C-485C-462C-BB6F-92777F68016E}"/>
    <cellStyle name="Normal 14 4 2 3 4" xfId="23613" xr:uid="{0BEDCB57-21AD-4A38-BDF3-38F0C166B6F9}"/>
    <cellStyle name="Normal 14 4 2 3 5" xfId="17953" xr:uid="{17032BFA-0064-4D29-A83B-A3F8E5BA4DB2}"/>
    <cellStyle name="Normal 14 4 2 3 6" xfId="29274" xr:uid="{85A94A2D-CF7E-4CA6-A9C4-331D31959F0C}"/>
    <cellStyle name="Normal 14 4 2 3 7" xfId="36789" xr:uid="{254356AC-C695-4490-9E74-9BDBAF607E69}"/>
    <cellStyle name="Normal 14 4 2 4" xfId="6768" xr:uid="{00000000-0005-0000-0000-000007110000}"/>
    <cellStyle name="Normal 14 4 2 4 2" xfId="15201" xr:uid="{00000000-0005-0000-0000-000008110000}"/>
    <cellStyle name="Normal 14 4 2 4 2 2" xfId="27095" xr:uid="{1E4079CC-0F00-4BCC-B9E1-520C76FC7865}"/>
    <cellStyle name="Normal 14 4 2 4 2 3" xfId="21435" xr:uid="{259219F6-0001-4F8B-9450-6625874DEF6D}"/>
    <cellStyle name="Normal 14 4 2 4 2 4" xfId="32475" xr:uid="{4CADCFF2-8C72-4BE5-A97F-581CC697074A}"/>
    <cellStyle name="Normal 14 4 2 4 2 5" xfId="36794" xr:uid="{B0799DBB-9562-4983-998E-0448BC3131C7}"/>
    <cellStyle name="Normal 14 4 2 4 3" xfId="24262" xr:uid="{26B18A93-FFD1-4184-8C1F-8F1C4A29C293}"/>
    <cellStyle name="Normal 14 4 2 4 4" xfId="18602" xr:uid="{895923D1-E240-4599-9D8B-8B41BE6FA50A}"/>
    <cellStyle name="Normal 14 4 2 4 5" xfId="29923" xr:uid="{3F027FCB-CE7A-467A-9B77-ED67977EB6F9}"/>
    <cellStyle name="Normal 14 4 2 4 6" xfId="36793" xr:uid="{53F0B684-F1E9-4DC5-87EA-39DFE3D77334}"/>
    <cellStyle name="Normal 14 4 2 5" xfId="7788" xr:uid="{00000000-0005-0000-0000-000009110000}"/>
    <cellStyle name="Normal 14 4 2 5 2" xfId="25274" xr:uid="{1B4C8D09-A8B0-4264-93E9-23C7BA7F183A}"/>
    <cellStyle name="Normal 14 4 2 5 3" xfId="19614" xr:uid="{92F3CAAC-C85E-4B89-94A9-552ACF396803}"/>
    <cellStyle name="Normal 14 4 2 5 4" xfId="30935" xr:uid="{75DEAE24-44BC-4517-8958-39A917A8AB60}"/>
    <cellStyle name="Normal 14 4 2 5 5" xfId="36795" xr:uid="{1287DB92-28CB-428A-8139-176D6DE7893A}"/>
    <cellStyle name="Normal 14 4 2 6" xfId="22700" xr:uid="{565F6FC4-70C7-4B71-800A-D3255296F7B4}"/>
    <cellStyle name="Normal 14 4 2 7" xfId="17040" xr:uid="{54CCCA4F-D290-4B52-BF83-07B7DB386F41}"/>
    <cellStyle name="Normal 14 4 2 8" xfId="28361" xr:uid="{2C153AEB-B816-41DD-8CA2-657EE586412E}"/>
    <cellStyle name="Normal 14 4 2 9" xfId="36784" xr:uid="{ACAF3FD1-2B47-4C50-9B37-05C2F17E93EB}"/>
    <cellStyle name="Normal 14 4 3" xfId="5114" xr:uid="{00000000-0005-0000-0000-00000A110000}"/>
    <cellStyle name="Normal 14 4 3 2" xfId="6028" xr:uid="{00000000-0005-0000-0000-00000B110000}"/>
    <cellStyle name="Normal 14 4 3 2 2" xfId="7374" xr:uid="{00000000-0005-0000-0000-00000C110000}"/>
    <cellStyle name="Normal 14 4 3 2 2 2" xfId="15807" xr:uid="{00000000-0005-0000-0000-00000D110000}"/>
    <cellStyle name="Normal 14 4 3 2 2 2 2" xfId="27701" xr:uid="{712F28EA-EFFC-45E7-87D2-9A010E14AB07}"/>
    <cellStyle name="Normal 14 4 3 2 2 2 3" xfId="22041" xr:uid="{DF71F4AF-43DA-4F89-97C5-5CDB66145485}"/>
    <cellStyle name="Normal 14 4 3 2 2 2 4" xfId="33081" xr:uid="{FE74A164-6CD7-4F7F-8B26-DCF718C81704}"/>
    <cellStyle name="Normal 14 4 3 2 2 2 5" xfId="36799" xr:uid="{0A7E5501-BDC4-4974-803E-94F7E47F0F57}"/>
    <cellStyle name="Normal 14 4 3 2 2 3" xfId="24868" xr:uid="{8A4DED22-C414-4531-834B-8819658A2132}"/>
    <cellStyle name="Normal 14 4 3 2 2 4" xfId="19208" xr:uid="{E3DDDD79-6ED3-4D60-AB07-2948C12B5222}"/>
    <cellStyle name="Normal 14 4 3 2 2 5" xfId="30529" xr:uid="{EA1B504A-2E5E-4C2D-A2A2-70FDF30E1A3B}"/>
    <cellStyle name="Normal 14 4 3 2 2 6" xfId="36798" xr:uid="{407446F4-BF2A-41C8-A28F-D737378F5994}"/>
    <cellStyle name="Normal 14 4 3 2 3" xfId="14486" xr:uid="{00000000-0005-0000-0000-00000E110000}"/>
    <cellStyle name="Normal 14 4 3 2 3 2" xfId="26445" xr:uid="{27CDA997-19A5-452B-811B-A2DE6D7E3720}"/>
    <cellStyle name="Normal 14 4 3 2 3 3" xfId="20785" xr:uid="{55508D2E-0FFF-4446-A8E9-111800AB2154}"/>
    <cellStyle name="Normal 14 4 3 2 3 4" xfId="31825" xr:uid="{D1116B2C-17E7-4391-A2BA-6F2E00DD2A81}"/>
    <cellStyle name="Normal 14 4 3 2 3 5" xfId="36800" xr:uid="{EEAA920B-DCC0-4107-B36E-62E7D1B8F709}"/>
    <cellStyle name="Normal 14 4 3 2 4" xfId="23612" xr:uid="{E6F08EE3-4320-470D-995F-9A5CA49FC6A6}"/>
    <cellStyle name="Normal 14 4 3 2 5" xfId="17952" xr:uid="{D5C8A2C5-DBFA-4099-BBDE-E915D6E07F12}"/>
    <cellStyle name="Normal 14 4 3 2 6" xfId="29273" xr:uid="{B476B483-5C33-4B09-AC7F-4F1AFEC3DEEB}"/>
    <cellStyle name="Normal 14 4 3 2 7" xfId="36797" xr:uid="{31E3E6A5-A8D8-4DB0-860A-24F577EF9466}"/>
    <cellStyle name="Normal 14 4 3 3" xfId="6977" xr:uid="{00000000-0005-0000-0000-00000F110000}"/>
    <cellStyle name="Normal 14 4 3 3 2" xfId="15410" xr:uid="{00000000-0005-0000-0000-000010110000}"/>
    <cellStyle name="Normal 14 4 3 3 2 2" xfId="27304" xr:uid="{5B75B677-9ECA-4861-B45A-8601D29EF77F}"/>
    <cellStyle name="Normal 14 4 3 3 2 3" xfId="21644" xr:uid="{648D1FE4-9453-4998-BB9D-7A132883F90C}"/>
    <cellStyle name="Normal 14 4 3 3 2 4" xfId="32684" xr:uid="{04CDE01A-928B-4A92-A5C7-0FDA5E0745A5}"/>
    <cellStyle name="Normal 14 4 3 3 2 5" xfId="36802" xr:uid="{5851192B-FDD7-48F2-93AD-4AF454B998AD}"/>
    <cellStyle name="Normal 14 4 3 3 3" xfId="24471" xr:uid="{41BA3276-74B0-41D1-9228-327EA1A22AE1}"/>
    <cellStyle name="Normal 14 4 3 3 4" xfId="18811" xr:uid="{ED6F2987-5451-4421-8DBC-4AD48300A123}"/>
    <cellStyle name="Normal 14 4 3 3 5" xfId="30132" xr:uid="{D9117098-C1DF-477E-A33D-62F39CFFFE9C}"/>
    <cellStyle name="Normal 14 4 3 3 6" xfId="36801" xr:uid="{89990342-9EB7-49A5-8671-F77D23F34CAE}"/>
    <cellStyle name="Normal 14 4 3 4" xfId="14001" xr:uid="{00000000-0005-0000-0000-000011110000}"/>
    <cellStyle name="Normal 14 4 3 4 2" xfId="26040" xr:uid="{9C7C230A-0B3F-46DA-BBFC-5903666D09EE}"/>
    <cellStyle name="Normal 14 4 3 4 3" xfId="20380" xr:uid="{063DC884-78E8-40D9-9D77-564FC0FB56F9}"/>
    <cellStyle name="Normal 14 4 3 4 4" xfId="31420" xr:uid="{ABBFF94B-F028-4109-937D-2A018DF7ACBC}"/>
    <cellStyle name="Normal 14 4 3 4 5" xfId="36803" xr:uid="{FB49D0AF-464D-4530-9892-745B4970723F}"/>
    <cellStyle name="Normal 14 4 3 5" xfId="22909" xr:uid="{42949D2A-F549-4289-B130-DC657855D432}"/>
    <cellStyle name="Normal 14 4 3 6" xfId="17249" xr:uid="{7ECFE523-5FBC-4089-8EB7-BDF41DB27E4C}"/>
    <cellStyle name="Normal 14 4 3 7" xfId="28570" xr:uid="{29941C9A-3B06-47C9-9284-96A6AC3807BC}"/>
    <cellStyle name="Normal 14 4 3 8" xfId="36796" xr:uid="{FAD6FF52-0E8B-47C7-96EF-5D9840071E87}"/>
    <cellStyle name="Normal 14 4 4" xfId="5645" xr:uid="{00000000-0005-0000-0000-000012110000}"/>
    <cellStyle name="Normal 14 4 4 2" xfId="36804" xr:uid="{3EF10540-16A8-4612-BDA7-55BDFADCF6A2}"/>
    <cellStyle name="Normal 14 4 5" xfId="6559" xr:uid="{00000000-0005-0000-0000-000013110000}"/>
    <cellStyle name="Normal 14 4 5 2" xfId="14992" xr:uid="{00000000-0005-0000-0000-000014110000}"/>
    <cellStyle name="Normal 14 4 5 2 2" xfId="26886" xr:uid="{B5B0D86C-2A67-4D1C-A329-D751F7261CE1}"/>
    <cellStyle name="Normal 14 4 5 2 3" xfId="21226" xr:uid="{90DBE9BB-4F7E-4017-8381-462856437909}"/>
    <cellStyle name="Normal 14 4 5 2 4" xfId="32266" xr:uid="{2CB85281-212C-4E3E-8BA3-646951A4AF4D}"/>
    <cellStyle name="Normal 14 4 5 2 5" xfId="36806" xr:uid="{CE23E2A0-F00A-49FE-A69A-2E26563F86BC}"/>
    <cellStyle name="Normal 14 4 5 3" xfId="24053" xr:uid="{6D06A45E-E882-4E3E-A98B-9CA066DCFF18}"/>
    <cellStyle name="Normal 14 4 5 4" xfId="18393" xr:uid="{79D522B5-B2A2-45E8-83BE-4540DB3561AA}"/>
    <cellStyle name="Normal 14 4 5 5" xfId="29714" xr:uid="{A339D4E6-0D35-43F3-9B45-045BD597A350}"/>
    <cellStyle name="Normal 14 4 5 6" xfId="36805" xr:uid="{0246614F-8D05-4D86-8F45-1221C38A69BE}"/>
    <cellStyle name="Normal 14 4 6" xfId="7787" xr:uid="{00000000-0005-0000-0000-000015110000}"/>
    <cellStyle name="Normal 14 4 6 2" xfId="25273" xr:uid="{89DC0C2C-F02B-4324-9708-2E204C440EF4}"/>
    <cellStyle name="Normal 14 4 6 3" xfId="19613" xr:uid="{B7FA2993-B3FC-465E-87BD-037AE00F4C62}"/>
    <cellStyle name="Normal 14 4 6 4" xfId="30934" xr:uid="{6D354B90-B930-448E-A469-87E55E1124AE}"/>
    <cellStyle name="Normal 14 4 6 5" xfId="36807" xr:uid="{5C09C6E7-C13D-4E6A-B099-C8C44DF17E0D}"/>
    <cellStyle name="Normal 14 4 7" xfId="22491" xr:uid="{9F7A8865-9876-4C54-8040-39C62CECDEA4}"/>
    <cellStyle name="Normal 14 4 8" xfId="16831" xr:uid="{CF0EA270-57FF-4441-ACAC-9B478FD03DAE}"/>
    <cellStyle name="Normal 14 4 9" xfId="28152" xr:uid="{911C3BB6-EAF7-40BD-8D70-3AE0D778A06A}"/>
    <cellStyle name="Normal 14 5" xfId="4130" xr:uid="{00000000-0005-0000-0000-000016110000}"/>
    <cellStyle name="Normal 14 5 10" xfId="36808" xr:uid="{79FA6A9A-194C-4AD8-82CB-6EE50602F9AD}"/>
    <cellStyle name="Normal 14 5 2" xfId="4905" xr:uid="{00000000-0005-0000-0000-000017110000}"/>
    <cellStyle name="Normal 14 5 2 2" xfId="5324" xr:uid="{00000000-0005-0000-0000-000018110000}"/>
    <cellStyle name="Normal 14 5 2 2 2" xfId="7187" xr:uid="{00000000-0005-0000-0000-000019110000}"/>
    <cellStyle name="Normal 14 5 2 2 2 2" xfId="15620" xr:uid="{00000000-0005-0000-0000-00001A110000}"/>
    <cellStyle name="Normal 14 5 2 2 2 2 2" xfId="27514" xr:uid="{84610BA3-0EA5-4C49-A162-6FF3E2C4F91D}"/>
    <cellStyle name="Normal 14 5 2 2 2 2 3" xfId="21854" xr:uid="{A76E4D79-63FF-4897-B716-76C63FDC3444}"/>
    <cellStyle name="Normal 14 5 2 2 2 2 4" xfId="32894" xr:uid="{8B10B43B-4C5C-4979-93F8-EC4FC67C3AF5}"/>
    <cellStyle name="Normal 14 5 2 2 2 2 5" xfId="36812" xr:uid="{7FDDE57E-47AE-4324-98B2-51B3A55F2DC2}"/>
    <cellStyle name="Normal 14 5 2 2 2 3" xfId="24681" xr:uid="{C1C6E8B2-4251-41F5-848F-59C464EB4CE4}"/>
    <cellStyle name="Normal 14 5 2 2 2 4" xfId="19021" xr:uid="{76087016-079E-46F8-B99D-2C7EC5622971}"/>
    <cellStyle name="Normal 14 5 2 2 2 5" xfId="30342" xr:uid="{C53D32B7-EEBB-4DB4-B784-0DFC49D5A1E0}"/>
    <cellStyle name="Normal 14 5 2 2 2 6" xfId="36811" xr:uid="{49E40E27-8AE1-4775-A141-1650A5282C54}"/>
    <cellStyle name="Normal 14 5 2 2 3" xfId="14210" xr:uid="{00000000-0005-0000-0000-00001B110000}"/>
    <cellStyle name="Normal 14 5 2 2 3 2" xfId="26249" xr:uid="{979F73EE-E12D-4C4C-93D9-8BA43B6A3708}"/>
    <cellStyle name="Normal 14 5 2 2 3 3" xfId="20589" xr:uid="{D3CD3E59-CD81-4557-B3F9-4BF302F3CF3E}"/>
    <cellStyle name="Normal 14 5 2 2 3 4" xfId="31629" xr:uid="{E002457B-2605-4500-BAD4-FA37A60CFE88}"/>
    <cellStyle name="Normal 14 5 2 2 3 5" xfId="36813" xr:uid="{C48782FC-D82D-4E79-889A-C3DC366050D5}"/>
    <cellStyle name="Normal 14 5 2 2 4" xfId="23119" xr:uid="{5CA35418-52E5-4AB4-8F0A-12BCB742B033}"/>
    <cellStyle name="Normal 14 5 2 2 5" xfId="17459" xr:uid="{524A6F86-68C4-4B78-BEA3-A3791070C449}"/>
    <cellStyle name="Normal 14 5 2 2 6" xfId="28780" xr:uid="{AA0F64E9-66C4-46C5-A044-5C46FD6F3929}"/>
    <cellStyle name="Normal 14 5 2 2 7" xfId="36810" xr:uid="{A5701511-A20C-4289-991C-AF7F9A221658}"/>
    <cellStyle name="Normal 14 5 2 3" xfId="6031" xr:uid="{00000000-0005-0000-0000-00001C110000}"/>
    <cellStyle name="Normal 14 5 2 3 2" xfId="7377" xr:uid="{00000000-0005-0000-0000-00001D110000}"/>
    <cellStyle name="Normal 14 5 2 3 2 2" xfId="15810" xr:uid="{00000000-0005-0000-0000-00001E110000}"/>
    <cellStyle name="Normal 14 5 2 3 2 2 2" xfId="27704" xr:uid="{5C9E890C-9BDA-4B30-A92A-95DFB14683D0}"/>
    <cellStyle name="Normal 14 5 2 3 2 2 3" xfId="22044" xr:uid="{A2BB7DB5-399F-433F-9D9F-AC4398E7959C}"/>
    <cellStyle name="Normal 14 5 2 3 2 2 4" xfId="33084" xr:uid="{B10879FA-D2E7-44CF-992D-D76B9A854437}"/>
    <cellStyle name="Normal 14 5 2 3 2 2 5" xfId="36816" xr:uid="{295B1B90-EE4D-40E0-9AB9-F41D08505FE6}"/>
    <cellStyle name="Normal 14 5 2 3 2 3" xfId="24871" xr:uid="{D93D261F-2BDD-4537-AD3F-A8C3C127220C}"/>
    <cellStyle name="Normal 14 5 2 3 2 4" xfId="19211" xr:uid="{5C05BE9E-B199-4275-966C-2D6EF6295CE8}"/>
    <cellStyle name="Normal 14 5 2 3 2 5" xfId="30532" xr:uid="{0D2389CD-04CC-412E-B3F8-7D0093539A48}"/>
    <cellStyle name="Normal 14 5 2 3 2 6" xfId="36815" xr:uid="{C17D4C04-08C7-48CD-9CB3-173BA1A8AE6C}"/>
    <cellStyle name="Normal 14 5 2 3 3" xfId="14489" xr:uid="{00000000-0005-0000-0000-00001F110000}"/>
    <cellStyle name="Normal 14 5 2 3 3 2" xfId="26448" xr:uid="{C10A571B-C209-4C9A-88A7-1F0C2F6A1479}"/>
    <cellStyle name="Normal 14 5 2 3 3 3" xfId="20788" xr:uid="{E8942CA9-D4B5-4A92-A05A-62E74D987363}"/>
    <cellStyle name="Normal 14 5 2 3 3 4" xfId="31828" xr:uid="{9F2FD1FE-E3F2-4932-A602-945D3008421B}"/>
    <cellStyle name="Normal 14 5 2 3 3 5" xfId="36817" xr:uid="{025A46D8-058E-47E9-86C2-4A6E21790A0F}"/>
    <cellStyle name="Normal 14 5 2 3 4" xfId="23615" xr:uid="{F33E699B-E938-438C-8DBD-5F725058266F}"/>
    <cellStyle name="Normal 14 5 2 3 5" xfId="17955" xr:uid="{0DFF8DEC-2348-447A-BB99-ADDAF80DDF51}"/>
    <cellStyle name="Normal 14 5 2 3 6" xfId="29276" xr:uid="{A58F0469-F07A-4700-9F42-89D9455BBB48}"/>
    <cellStyle name="Normal 14 5 2 3 7" xfId="36814" xr:uid="{A350448D-873E-446D-AA8F-7F81516B219F}"/>
    <cellStyle name="Normal 14 5 2 4" xfId="6769" xr:uid="{00000000-0005-0000-0000-000020110000}"/>
    <cellStyle name="Normal 14 5 2 4 2" xfId="15202" xr:uid="{00000000-0005-0000-0000-000021110000}"/>
    <cellStyle name="Normal 14 5 2 4 2 2" xfId="27096" xr:uid="{13DD4197-359B-41F9-B6BA-37C2B8647B57}"/>
    <cellStyle name="Normal 14 5 2 4 2 3" xfId="21436" xr:uid="{6ECC83A5-4B4C-4999-8FE9-F842C19B0922}"/>
    <cellStyle name="Normal 14 5 2 4 2 4" xfId="32476" xr:uid="{E4AC0A9F-E6CF-4B49-9F6C-0123327BB63C}"/>
    <cellStyle name="Normal 14 5 2 4 2 5" xfId="36819" xr:uid="{7FAC75A5-3D5B-431F-A7D6-EACAA01ED81E}"/>
    <cellStyle name="Normal 14 5 2 4 3" xfId="24263" xr:uid="{942A941D-19D8-4AAA-862A-40E20040586B}"/>
    <cellStyle name="Normal 14 5 2 4 4" xfId="18603" xr:uid="{76544014-9138-4CBB-B599-0140ED77383B}"/>
    <cellStyle name="Normal 14 5 2 4 5" xfId="29924" xr:uid="{2608BEF1-6335-464D-8F3A-2399866547CE}"/>
    <cellStyle name="Normal 14 5 2 4 6" xfId="36818" xr:uid="{5AE042D4-9BC8-4DBE-B97A-3C07AD1AB81A}"/>
    <cellStyle name="Normal 14 5 2 5" xfId="7790" xr:uid="{00000000-0005-0000-0000-000022110000}"/>
    <cellStyle name="Normal 14 5 2 5 2" xfId="25276" xr:uid="{0B113314-CD7F-4715-8542-34227F76EDAA}"/>
    <cellStyle name="Normal 14 5 2 5 3" xfId="19616" xr:uid="{38810367-7D16-4EF2-A351-566480450210}"/>
    <cellStyle name="Normal 14 5 2 5 4" xfId="30937" xr:uid="{E63FB63A-5FA2-4FAB-9487-7750E7160A97}"/>
    <cellStyle name="Normal 14 5 2 5 5" xfId="36820" xr:uid="{5A0C63EF-4B46-4269-A1A1-B50D18B39A74}"/>
    <cellStyle name="Normal 14 5 2 6" xfId="22701" xr:uid="{332090E2-439D-4755-A85D-529BF763B51A}"/>
    <cellStyle name="Normal 14 5 2 7" xfId="17041" xr:uid="{DE8935F4-BFB1-447F-8CBD-5F11572F8859}"/>
    <cellStyle name="Normal 14 5 2 8" xfId="28362" xr:uid="{8A1287B0-3522-42E6-8673-7F16C69C6199}"/>
    <cellStyle name="Normal 14 5 2 9" xfId="36809" xr:uid="{A865A25E-16F8-4145-ABDA-F066B36F2A10}"/>
    <cellStyle name="Normal 14 5 3" xfId="5115" xr:uid="{00000000-0005-0000-0000-000023110000}"/>
    <cellStyle name="Normal 14 5 3 2" xfId="6030" xr:uid="{00000000-0005-0000-0000-000024110000}"/>
    <cellStyle name="Normal 14 5 3 2 2" xfId="7376" xr:uid="{00000000-0005-0000-0000-000025110000}"/>
    <cellStyle name="Normal 14 5 3 2 2 2" xfId="15809" xr:uid="{00000000-0005-0000-0000-000026110000}"/>
    <cellStyle name="Normal 14 5 3 2 2 2 2" xfId="27703" xr:uid="{6BE5CE80-2D21-4F7A-818D-912A48FF4E01}"/>
    <cellStyle name="Normal 14 5 3 2 2 2 3" xfId="22043" xr:uid="{2B1658CB-C1D6-4A5A-BBBB-46DD6AABEFB7}"/>
    <cellStyle name="Normal 14 5 3 2 2 2 4" xfId="33083" xr:uid="{E599B2E4-DABA-461A-9E5A-EDA89DE07C0A}"/>
    <cellStyle name="Normal 14 5 3 2 2 2 5" xfId="36824" xr:uid="{5D1CA68D-8A03-4C3E-AB0B-A87E35E00D1F}"/>
    <cellStyle name="Normal 14 5 3 2 2 3" xfId="24870" xr:uid="{3BE5B035-4D76-4A5A-A990-5508C7B8F91B}"/>
    <cellStyle name="Normal 14 5 3 2 2 4" xfId="19210" xr:uid="{2D640A6A-A301-46E8-9009-4C71159B4B70}"/>
    <cellStyle name="Normal 14 5 3 2 2 5" xfId="30531" xr:uid="{1458048D-4093-49F4-AF4C-B2F2C0115660}"/>
    <cellStyle name="Normal 14 5 3 2 2 6" xfId="36823" xr:uid="{0F9A3008-9679-484C-8113-B0DCD807B708}"/>
    <cellStyle name="Normal 14 5 3 2 3" xfId="14488" xr:uid="{00000000-0005-0000-0000-000027110000}"/>
    <cellStyle name="Normal 14 5 3 2 3 2" xfId="26447" xr:uid="{B99EEBF4-D8B5-4B0D-984E-54A41DEBF81F}"/>
    <cellStyle name="Normal 14 5 3 2 3 3" xfId="20787" xr:uid="{3A1ADD9B-CB5B-483A-B851-E706C162FB3D}"/>
    <cellStyle name="Normal 14 5 3 2 3 4" xfId="31827" xr:uid="{C1E8C48A-A7B3-4F2D-81E2-967C7AFCAC5B}"/>
    <cellStyle name="Normal 14 5 3 2 3 5" xfId="36825" xr:uid="{F4F94BD6-23AF-4975-AF98-21EB5FB820D7}"/>
    <cellStyle name="Normal 14 5 3 2 4" xfId="23614" xr:uid="{54DFB890-447A-4E0E-9075-0A963020C7F9}"/>
    <cellStyle name="Normal 14 5 3 2 5" xfId="17954" xr:uid="{4601F18B-D8F9-404E-BB04-A1DBB70FC0E7}"/>
    <cellStyle name="Normal 14 5 3 2 6" xfId="29275" xr:uid="{F33C3778-3F95-49AD-82ED-ACFC0A3ADB2E}"/>
    <cellStyle name="Normal 14 5 3 2 7" xfId="36822" xr:uid="{D9CEA0DD-0EFA-487A-A7B6-F054A64AF119}"/>
    <cellStyle name="Normal 14 5 3 3" xfId="6978" xr:uid="{00000000-0005-0000-0000-000028110000}"/>
    <cellStyle name="Normal 14 5 3 3 2" xfId="15411" xr:uid="{00000000-0005-0000-0000-000029110000}"/>
    <cellStyle name="Normal 14 5 3 3 2 2" xfId="27305" xr:uid="{66D6FF94-6CBA-470B-9E8E-76E4864F3559}"/>
    <cellStyle name="Normal 14 5 3 3 2 3" xfId="21645" xr:uid="{BC5EAB7B-82CB-4247-8DC9-85105C319906}"/>
    <cellStyle name="Normal 14 5 3 3 2 4" xfId="32685" xr:uid="{26AC1063-AA9B-4F8C-8A77-596F4B6C71F0}"/>
    <cellStyle name="Normal 14 5 3 3 2 5" xfId="36827" xr:uid="{A9368203-25DD-4C45-9748-1E3973478C84}"/>
    <cellStyle name="Normal 14 5 3 3 3" xfId="24472" xr:uid="{8792F661-2A81-46A3-B5B6-EDA6305B32AA}"/>
    <cellStyle name="Normal 14 5 3 3 4" xfId="18812" xr:uid="{E9DFBEDD-834C-4614-8FD9-28A862B15E2E}"/>
    <cellStyle name="Normal 14 5 3 3 5" xfId="30133" xr:uid="{C4BDCF37-711C-446C-A76D-B4083431636A}"/>
    <cellStyle name="Normal 14 5 3 3 6" xfId="36826" xr:uid="{006DBCDA-EB85-449F-BB24-74B95318CFF2}"/>
    <cellStyle name="Normal 14 5 3 4" xfId="14002" xr:uid="{00000000-0005-0000-0000-00002A110000}"/>
    <cellStyle name="Normal 14 5 3 4 2" xfId="26041" xr:uid="{BD139B4D-C580-4CE0-94E7-0486AC21D175}"/>
    <cellStyle name="Normal 14 5 3 4 3" xfId="20381" xr:uid="{BD1E84BC-650E-4097-B25E-6BDDD23D8A51}"/>
    <cellStyle name="Normal 14 5 3 4 4" xfId="31421" xr:uid="{E7379821-9622-4797-A0FB-652802DCF099}"/>
    <cellStyle name="Normal 14 5 3 4 5" xfId="36828" xr:uid="{4F356C6A-C611-4633-BF86-8662A718B325}"/>
    <cellStyle name="Normal 14 5 3 5" xfId="22910" xr:uid="{7C1179C6-8CD0-4513-BE68-7090F2A1450E}"/>
    <cellStyle name="Normal 14 5 3 6" xfId="17250" xr:uid="{18D3E513-7817-4E8B-A03F-5B15A0B1FAEB}"/>
    <cellStyle name="Normal 14 5 3 7" xfId="28571" xr:uid="{5CFBD737-D5AB-426C-BFAD-1D78B06DCF59}"/>
    <cellStyle name="Normal 14 5 3 8" xfId="36821" xr:uid="{21E264BD-46BC-4FFB-A2DB-D604BFDC3697}"/>
    <cellStyle name="Normal 14 5 4" xfId="5646" xr:uid="{00000000-0005-0000-0000-00002B110000}"/>
    <cellStyle name="Normal 14 5 4 2" xfId="36829" xr:uid="{D6A367EF-E32D-41A0-9E32-51DBA5EABA1E}"/>
    <cellStyle name="Normal 14 5 5" xfId="6560" xr:uid="{00000000-0005-0000-0000-00002C110000}"/>
    <cellStyle name="Normal 14 5 5 2" xfId="14993" xr:uid="{00000000-0005-0000-0000-00002D110000}"/>
    <cellStyle name="Normal 14 5 5 2 2" xfId="26887" xr:uid="{1576DA79-C04E-4539-96C9-ADCAFA35EC43}"/>
    <cellStyle name="Normal 14 5 5 2 3" xfId="21227" xr:uid="{9E7FA38C-20C2-41F2-81B9-BFD44642645A}"/>
    <cellStyle name="Normal 14 5 5 2 4" xfId="32267" xr:uid="{7112D8B9-BDBF-4D93-8D4D-933A1CD441C8}"/>
    <cellStyle name="Normal 14 5 5 2 5" xfId="36831" xr:uid="{BCE3AC6D-A87C-4C2A-BC26-80E82C2BA1C8}"/>
    <cellStyle name="Normal 14 5 5 3" xfId="24054" xr:uid="{BAD67151-5E43-4CCA-9145-5098F819D57A}"/>
    <cellStyle name="Normal 14 5 5 4" xfId="18394" xr:uid="{C3FFC3DD-035B-4430-B0B6-65A23774E588}"/>
    <cellStyle name="Normal 14 5 5 5" xfId="29715" xr:uid="{101D2A67-4A77-4405-8086-366431C819D2}"/>
    <cellStyle name="Normal 14 5 5 6" xfId="36830" xr:uid="{9EC64107-F2C8-4D2A-9029-E323B7E679F3}"/>
    <cellStyle name="Normal 14 5 6" xfId="7789" xr:uid="{00000000-0005-0000-0000-00002E110000}"/>
    <cellStyle name="Normal 14 5 6 2" xfId="25275" xr:uid="{58085D0E-326E-4638-BF23-1716198186DC}"/>
    <cellStyle name="Normal 14 5 6 3" xfId="19615" xr:uid="{73D3888F-E97D-4184-9E27-22CBC9F538F6}"/>
    <cellStyle name="Normal 14 5 6 4" xfId="30936" xr:uid="{75A5CB89-0FB0-417F-AFB8-F728C6E6FA20}"/>
    <cellStyle name="Normal 14 5 6 5" xfId="36832" xr:uid="{916B6AE2-513F-472E-BDC1-36BA5FD23060}"/>
    <cellStyle name="Normal 14 5 7" xfId="22492" xr:uid="{9E104932-ACDD-46C8-B2C2-F674D04DD8A1}"/>
    <cellStyle name="Normal 14 5 8" xfId="16832" xr:uid="{8DA1D7E6-6314-44BC-9FAE-2AF1CE4A44B6}"/>
    <cellStyle name="Normal 14 5 9" xfId="28153" xr:uid="{DB88D905-D87F-4552-9DEF-0828E0A79153}"/>
    <cellStyle name="Normal 14 6" xfId="4131" xr:uid="{00000000-0005-0000-0000-00002F110000}"/>
    <cellStyle name="Normal 14 6 2" xfId="36833" xr:uid="{5DC71534-49DA-42CD-9CD5-6CB372F3FBB7}"/>
    <cellStyle name="Normal 14 7" xfId="4132" xr:uid="{00000000-0005-0000-0000-000030110000}"/>
    <cellStyle name="Normal 14 7 2" xfId="36834" xr:uid="{4E939C70-B16F-4D43-9AC2-D456A02E0CAA}"/>
    <cellStyle name="Normal 14 8" xfId="4133" xr:uid="{00000000-0005-0000-0000-000031110000}"/>
    <cellStyle name="Normal 14 8 2" xfId="36835" xr:uid="{E18E0E69-5B90-40F1-A4EC-A53128D7991C}"/>
    <cellStyle name="Normal 14 9" xfId="4134" xr:uid="{00000000-0005-0000-0000-000032110000}"/>
    <cellStyle name="Normal 14 9 2" xfId="36836" xr:uid="{429AB06F-5F14-4918-8488-05C04351957A}"/>
    <cellStyle name="Normal 15" xfId="2018" xr:uid="{00000000-0005-0000-0000-000033110000}"/>
    <cellStyle name="Normal 15 2" xfId="2019" xr:uid="{00000000-0005-0000-0000-000034110000}"/>
    <cellStyle name="Normal 15 2 2" xfId="4136" xr:uid="{00000000-0005-0000-0000-000035110000}"/>
    <cellStyle name="Normal 15 2 2 2" xfId="36839" xr:uid="{8F69D103-0403-42F7-A85B-20C75AA3559F}"/>
    <cellStyle name="Normal 15 2 3" xfId="6032" xr:uid="{00000000-0005-0000-0000-000036110000}"/>
    <cellStyle name="Normal 15 2 3 2" xfId="36840" xr:uid="{E5C81BEB-93F5-474E-AD2D-46B91B728703}"/>
    <cellStyle name="Normal 15 2 4" xfId="36841" xr:uid="{637D6C05-8068-43D1-AD0F-C5F416C956C4}"/>
    <cellStyle name="Normal 15 2 5" xfId="36838" xr:uid="{505A9BCA-7E95-44D2-8A68-ECCBA4023A85}"/>
    <cellStyle name="Normal 15 2 6" xfId="49774" xr:uid="{F60EB2E4-FB27-4837-9A27-247ECB42BF00}"/>
    <cellStyle name="Normal 15 3" xfId="4137" xr:uid="{00000000-0005-0000-0000-000037110000}"/>
    <cellStyle name="Normal 15 3 2" xfId="36842" xr:uid="{3308E9BA-87C0-4F76-BF5E-6B8ECB7B8E93}"/>
    <cellStyle name="Normal 15 4" xfId="4138" xr:uid="{00000000-0005-0000-0000-000038110000}"/>
    <cellStyle name="Normal 15 4 2" xfId="36843" xr:uid="{DBAE93F6-E9DB-4ECA-BE02-F465A35DD4A9}"/>
    <cellStyle name="Normal 15 5" xfId="4139" xr:uid="{00000000-0005-0000-0000-000039110000}"/>
    <cellStyle name="Normal 15 5 2" xfId="36844" xr:uid="{4D65290B-342C-4548-B914-8A5D13623412}"/>
    <cellStyle name="Normal 15 6" xfId="4140" xr:uid="{00000000-0005-0000-0000-00003A110000}"/>
    <cellStyle name="Normal 15 6 2" xfId="36845" xr:uid="{B90D5EAA-64A8-442E-B567-E0518A11B13C}"/>
    <cellStyle name="Normal 15 7" xfId="4135" xr:uid="{00000000-0005-0000-0000-00003B110000}"/>
    <cellStyle name="Normal 15 7 2" xfId="36846" xr:uid="{10042FE8-3E4C-40AB-8452-91B2E0FE01D2}"/>
    <cellStyle name="Normal 15 8" xfId="36837" xr:uid="{AC511D31-BC97-4E48-89D8-8276F99D3864}"/>
    <cellStyle name="Normal 16" xfId="2020" xr:uid="{00000000-0005-0000-0000-00003C110000}"/>
    <cellStyle name="Normal 16 2" xfId="2021" xr:uid="{00000000-0005-0000-0000-00003D110000}"/>
    <cellStyle name="Normal 16 2 2" xfId="4142" xr:uid="{00000000-0005-0000-0000-00003E110000}"/>
    <cellStyle name="Normal 16 2 2 2" xfId="36849" xr:uid="{BDDE1D6C-DA13-4193-A419-90566CAA49DF}"/>
    <cellStyle name="Normal 16 2 3" xfId="6033" xr:uid="{00000000-0005-0000-0000-00003F110000}"/>
    <cellStyle name="Normal 16 2 3 2" xfId="36850" xr:uid="{D91C0326-B344-4AD1-B4E9-284350E5A021}"/>
    <cellStyle name="Normal 16 2 4" xfId="36851" xr:uid="{1EAF944C-3672-4378-92B2-3872B5D6A0BB}"/>
    <cellStyle name="Normal 16 2 5" xfId="36848" xr:uid="{F9C4E371-3EB3-41F4-BAB8-4E78A747B734}"/>
    <cellStyle name="Normal 16 2 6" xfId="49775" xr:uid="{EFFF9AFF-53E1-4ADB-9FE6-3798ACA13D75}"/>
    <cellStyle name="Normal 16 3" xfId="4143" xr:uid="{00000000-0005-0000-0000-000040110000}"/>
    <cellStyle name="Normal 16 3 2" xfId="36852" xr:uid="{BDDA0FA1-A1DB-4BDF-BDC2-F8E12C310EBD}"/>
    <cellStyle name="Normal 16 4" xfId="4144" xr:uid="{00000000-0005-0000-0000-000041110000}"/>
    <cellStyle name="Normal 16 4 2" xfId="36853" xr:uid="{1DF54EB5-98AF-4297-A39D-F1D0F3CF962C}"/>
    <cellStyle name="Normal 16 5" xfId="4145" xr:uid="{00000000-0005-0000-0000-000042110000}"/>
    <cellStyle name="Normal 16 5 2" xfId="36854" xr:uid="{ED56E2A7-D0DD-49BD-AE0F-32A2729BBCAC}"/>
    <cellStyle name="Normal 16 6" xfId="4146" xr:uid="{00000000-0005-0000-0000-000043110000}"/>
    <cellStyle name="Normal 16 6 2" xfId="36855" xr:uid="{FCEB213F-2794-4FC3-A2BF-18E7FCACE756}"/>
    <cellStyle name="Normal 16 7" xfId="4141" xr:uid="{00000000-0005-0000-0000-000044110000}"/>
    <cellStyle name="Normal 16 7 10" xfId="36856" xr:uid="{5C0FA923-E76A-4DAA-A85E-2CD299D8F615}"/>
    <cellStyle name="Normal 16 7 2" xfId="4906" xr:uid="{00000000-0005-0000-0000-000045110000}"/>
    <cellStyle name="Normal 16 7 2 2" xfId="5325" xr:uid="{00000000-0005-0000-0000-000046110000}"/>
    <cellStyle name="Normal 16 7 2 2 2" xfId="7188" xr:uid="{00000000-0005-0000-0000-000047110000}"/>
    <cellStyle name="Normal 16 7 2 2 2 2" xfId="15621" xr:uid="{00000000-0005-0000-0000-000048110000}"/>
    <cellStyle name="Normal 16 7 2 2 2 2 2" xfId="27515" xr:uid="{CEA95252-E1BD-4D70-9035-10A78F74A2F3}"/>
    <cellStyle name="Normal 16 7 2 2 2 2 3" xfId="21855" xr:uid="{E31D0987-0404-44D3-B6D1-62501E3A2C5C}"/>
    <cellStyle name="Normal 16 7 2 2 2 2 4" xfId="32895" xr:uid="{313D8C95-15C8-402E-988E-A80306DF5E4A}"/>
    <cellStyle name="Normal 16 7 2 2 2 2 5" xfId="36860" xr:uid="{921009A4-4FAD-447C-8F1A-2636F26B7090}"/>
    <cellStyle name="Normal 16 7 2 2 2 3" xfId="24682" xr:uid="{44256D8F-E882-4718-8D8D-3784154B002E}"/>
    <cellStyle name="Normal 16 7 2 2 2 4" xfId="19022" xr:uid="{C57D27F2-5A71-4244-9A96-3ADE3BDF3062}"/>
    <cellStyle name="Normal 16 7 2 2 2 5" xfId="30343" xr:uid="{AF515E1C-AFBB-46DE-A9C2-CD093AD255AF}"/>
    <cellStyle name="Normal 16 7 2 2 2 6" xfId="36859" xr:uid="{AA207B27-2255-41EA-8227-C74D578715AB}"/>
    <cellStyle name="Normal 16 7 2 2 3" xfId="14211" xr:uid="{00000000-0005-0000-0000-000049110000}"/>
    <cellStyle name="Normal 16 7 2 2 3 2" xfId="26250" xr:uid="{B9D57EDD-1AB1-4447-9D44-34B48AF57A11}"/>
    <cellStyle name="Normal 16 7 2 2 3 3" xfId="20590" xr:uid="{9B59CAAD-3E5E-4923-A5F4-ABEA838AF8F5}"/>
    <cellStyle name="Normal 16 7 2 2 3 4" xfId="31630" xr:uid="{DDDB910D-D136-4494-82EB-E6F609231160}"/>
    <cellStyle name="Normal 16 7 2 2 3 5" xfId="36861" xr:uid="{577B26E4-F72F-4C14-A499-FC48B83C308E}"/>
    <cellStyle name="Normal 16 7 2 2 4" xfId="23120" xr:uid="{ECFD17E0-A97D-406A-9018-149893966C22}"/>
    <cellStyle name="Normal 16 7 2 2 5" xfId="17460" xr:uid="{26246725-5989-4245-A8C4-7DB6BF0F3FE9}"/>
    <cellStyle name="Normal 16 7 2 2 6" xfId="28781" xr:uid="{46D7C086-D940-4146-B0DB-3E93AB607A8B}"/>
    <cellStyle name="Normal 16 7 2 2 7" xfId="36858" xr:uid="{95E2636B-C18A-435B-B8E6-3D7E0089CDE4}"/>
    <cellStyle name="Normal 16 7 2 3" xfId="6035" xr:uid="{00000000-0005-0000-0000-00004A110000}"/>
    <cellStyle name="Normal 16 7 2 3 2" xfId="7379" xr:uid="{00000000-0005-0000-0000-00004B110000}"/>
    <cellStyle name="Normal 16 7 2 3 2 2" xfId="15812" xr:uid="{00000000-0005-0000-0000-00004C110000}"/>
    <cellStyle name="Normal 16 7 2 3 2 2 2" xfId="27706" xr:uid="{171A8A08-CC35-4EBF-B45A-A8C1C26E0932}"/>
    <cellStyle name="Normal 16 7 2 3 2 2 3" xfId="22046" xr:uid="{C47F2C39-752F-46D7-8F0E-7966555E49FA}"/>
    <cellStyle name="Normal 16 7 2 3 2 2 4" xfId="33086" xr:uid="{E46F83F6-7177-4A6A-A03D-AA90451F805E}"/>
    <cellStyle name="Normal 16 7 2 3 2 2 5" xfId="36864" xr:uid="{09C1497E-ADF9-4CC7-8A18-D57DB6A2D8C5}"/>
    <cellStyle name="Normal 16 7 2 3 2 3" xfId="24873" xr:uid="{95B55012-7189-4E1A-A4F8-132597DE829D}"/>
    <cellStyle name="Normal 16 7 2 3 2 4" xfId="19213" xr:uid="{D6C96603-1B1F-4756-93ED-551DDDB3DC4A}"/>
    <cellStyle name="Normal 16 7 2 3 2 5" xfId="30534" xr:uid="{3ED61EBD-372C-4819-B763-4B08A64A19C7}"/>
    <cellStyle name="Normal 16 7 2 3 2 6" xfId="36863" xr:uid="{2E8B18BE-F056-4897-9119-42C50D53BE44}"/>
    <cellStyle name="Normal 16 7 2 3 3" xfId="14491" xr:uid="{00000000-0005-0000-0000-00004D110000}"/>
    <cellStyle name="Normal 16 7 2 3 3 2" xfId="26450" xr:uid="{B133A907-42A9-4BA7-879C-2F00E986B7F2}"/>
    <cellStyle name="Normal 16 7 2 3 3 3" xfId="20790" xr:uid="{42C9201E-63B6-4962-BF94-EEA31B0E1BE5}"/>
    <cellStyle name="Normal 16 7 2 3 3 4" xfId="31830" xr:uid="{1CDBA25C-8C2C-4DC2-823E-CE413F8C374A}"/>
    <cellStyle name="Normal 16 7 2 3 3 5" xfId="36865" xr:uid="{84B7CCEC-E46E-4ADF-B855-2F30DBAC00D7}"/>
    <cellStyle name="Normal 16 7 2 3 4" xfId="23617" xr:uid="{17D7E63B-EED5-4810-8F67-4618454373C3}"/>
    <cellStyle name="Normal 16 7 2 3 5" xfId="17957" xr:uid="{55CF3F0C-4FDA-485F-874F-1763E8D09594}"/>
    <cellStyle name="Normal 16 7 2 3 6" xfId="29278" xr:uid="{88A285BF-3AAE-4AEE-A659-9181D3C2C1B9}"/>
    <cellStyle name="Normal 16 7 2 3 7" xfId="36862" xr:uid="{3BE7A94D-2D20-4C0A-86B6-51ABD47511DA}"/>
    <cellStyle name="Normal 16 7 2 4" xfId="6770" xr:uid="{00000000-0005-0000-0000-00004E110000}"/>
    <cellStyle name="Normal 16 7 2 4 2" xfId="15203" xr:uid="{00000000-0005-0000-0000-00004F110000}"/>
    <cellStyle name="Normal 16 7 2 4 2 2" xfId="27097" xr:uid="{5E32E06B-D5F9-49E9-A1C2-846AC9430A92}"/>
    <cellStyle name="Normal 16 7 2 4 2 3" xfId="21437" xr:uid="{685BEF3D-6F21-4CAF-980D-321142D768F9}"/>
    <cellStyle name="Normal 16 7 2 4 2 4" xfId="32477" xr:uid="{229FC4AF-A057-46FC-904F-709F3A6CAEA1}"/>
    <cellStyle name="Normal 16 7 2 4 2 5" xfId="36867" xr:uid="{AC82B34B-7738-4630-92CD-DFD31F61E85D}"/>
    <cellStyle name="Normal 16 7 2 4 3" xfId="24264" xr:uid="{4A69D324-6568-42CE-8A85-A983665995C9}"/>
    <cellStyle name="Normal 16 7 2 4 4" xfId="18604" xr:uid="{74B057D7-0B35-49BA-96C2-EA2C76D37631}"/>
    <cellStyle name="Normal 16 7 2 4 5" xfId="29925" xr:uid="{188EC47B-573C-4343-8F0B-885865BE1335}"/>
    <cellStyle name="Normal 16 7 2 4 6" xfId="36866" xr:uid="{90CD62A0-F4D0-42E7-A1F1-B7C5E1CD524F}"/>
    <cellStyle name="Normal 16 7 2 5" xfId="7793" xr:uid="{00000000-0005-0000-0000-000050110000}"/>
    <cellStyle name="Normal 16 7 2 5 2" xfId="25279" xr:uid="{F95E5824-14AE-40EC-A794-7688210894F7}"/>
    <cellStyle name="Normal 16 7 2 5 3" xfId="19619" xr:uid="{59494B32-953F-4528-88A3-ED296E3C68E4}"/>
    <cellStyle name="Normal 16 7 2 5 4" xfId="30940" xr:uid="{B2525122-3223-44D0-B41F-BB32FFE2689B}"/>
    <cellStyle name="Normal 16 7 2 5 5" xfId="36868" xr:uid="{62D2C9E2-EF6B-41B6-8FBE-415347A677D9}"/>
    <cellStyle name="Normal 16 7 2 6" xfId="22702" xr:uid="{14FB457E-EDE4-4B53-A747-9917BD65BAA5}"/>
    <cellStyle name="Normal 16 7 2 7" xfId="17042" xr:uid="{2B823CA0-058A-45A8-80DC-DF333338006C}"/>
    <cellStyle name="Normal 16 7 2 8" xfId="28363" xr:uid="{60ADAFC0-DFD0-4101-82D4-B954BC863AA4}"/>
    <cellStyle name="Normal 16 7 2 9" xfId="36857" xr:uid="{5F720204-D37E-4D3B-AB72-78762405F3FE}"/>
    <cellStyle name="Normal 16 7 3" xfId="5116" xr:uid="{00000000-0005-0000-0000-000051110000}"/>
    <cellStyle name="Normal 16 7 3 2" xfId="6979" xr:uid="{00000000-0005-0000-0000-000052110000}"/>
    <cellStyle name="Normal 16 7 3 2 2" xfId="15412" xr:uid="{00000000-0005-0000-0000-000053110000}"/>
    <cellStyle name="Normal 16 7 3 2 2 2" xfId="27306" xr:uid="{0D73D02E-3E4E-481E-83EB-1D1C6168F6C7}"/>
    <cellStyle name="Normal 16 7 3 2 2 3" xfId="21646" xr:uid="{C1EF4158-B8E2-4E75-987E-AAE7A6E39146}"/>
    <cellStyle name="Normal 16 7 3 2 2 4" xfId="32686" xr:uid="{E9FB7D60-33FC-49CF-B311-17BC229865EC}"/>
    <cellStyle name="Normal 16 7 3 2 2 5" xfId="36871" xr:uid="{735154EC-B9D1-44AB-B68A-864D8C889031}"/>
    <cellStyle name="Normal 16 7 3 2 3" xfId="24473" xr:uid="{AE130D7A-2FD0-406F-928E-99FE4F331B16}"/>
    <cellStyle name="Normal 16 7 3 2 4" xfId="18813" xr:uid="{4DEC6A05-7610-4D0B-B0F9-450539C307D4}"/>
    <cellStyle name="Normal 16 7 3 2 5" xfId="30134" xr:uid="{E4F0F055-1D16-4B81-B0D7-91071D6766EB}"/>
    <cellStyle name="Normal 16 7 3 2 6" xfId="36870" xr:uid="{A57F88E5-224B-4C2B-84CF-5F07EFF66145}"/>
    <cellStyle name="Normal 16 7 3 3" xfId="14003" xr:uid="{00000000-0005-0000-0000-000054110000}"/>
    <cellStyle name="Normal 16 7 3 3 2" xfId="26042" xr:uid="{886E642F-678B-45F9-8877-AC6A30CE7F85}"/>
    <cellStyle name="Normal 16 7 3 3 3" xfId="20382" xr:uid="{5F23DA56-31D4-43E6-91F4-5D3C74A67F05}"/>
    <cellStyle name="Normal 16 7 3 3 4" xfId="31422" xr:uid="{E04E69B2-E308-4A97-8974-BD8BDB300009}"/>
    <cellStyle name="Normal 16 7 3 3 5" xfId="36872" xr:uid="{09772F6F-5172-41A5-9B95-5C347242FFA2}"/>
    <cellStyle name="Normal 16 7 3 4" xfId="22911" xr:uid="{D4EF3517-4710-4CDA-B00B-9C8C38E87962}"/>
    <cellStyle name="Normal 16 7 3 5" xfId="17251" xr:uid="{BF6ABAD0-7CD0-411D-A54A-6178A7111B43}"/>
    <cellStyle name="Normal 16 7 3 6" xfId="28572" xr:uid="{6C915D0F-BC8C-4043-B2C0-8AAA5785A719}"/>
    <cellStyle name="Normal 16 7 3 7" xfId="36869" xr:uid="{6F82F0EE-0D83-4B94-9617-A56377BF3815}"/>
    <cellStyle name="Normal 16 7 4" xfId="6034" xr:uid="{00000000-0005-0000-0000-000055110000}"/>
    <cellStyle name="Normal 16 7 4 2" xfId="7378" xr:uid="{00000000-0005-0000-0000-000056110000}"/>
    <cellStyle name="Normal 16 7 4 2 2" xfId="15811" xr:uid="{00000000-0005-0000-0000-000057110000}"/>
    <cellStyle name="Normal 16 7 4 2 2 2" xfId="27705" xr:uid="{2EA703A3-54D2-4F03-82F4-691151642E9A}"/>
    <cellStyle name="Normal 16 7 4 2 2 3" xfId="22045" xr:uid="{405E4766-9E79-4839-B387-BD5D3B7EE997}"/>
    <cellStyle name="Normal 16 7 4 2 2 4" xfId="33085" xr:uid="{20EB67ED-0BE6-4F77-847E-91B8090712E2}"/>
    <cellStyle name="Normal 16 7 4 2 2 5" xfId="36875" xr:uid="{5196B8DB-41DB-4496-A069-C9E62A806D2E}"/>
    <cellStyle name="Normal 16 7 4 2 3" xfId="24872" xr:uid="{CBA3BC41-034C-46DF-B630-BF4FDE85ED3C}"/>
    <cellStyle name="Normal 16 7 4 2 4" xfId="19212" xr:uid="{B84EFF50-555F-4E72-A7E6-ED4C6459C72B}"/>
    <cellStyle name="Normal 16 7 4 2 5" xfId="30533" xr:uid="{D68E709A-1095-4707-BAAB-DE951F7791DB}"/>
    <cellStyle name="Normal 16 7 4 2 6" xfId="36874" xr:uid="{9E9953EA-D12F-4081-A5A1-46E55A0F75CE}"/>
    <cellStyle name="Normal 16 7 4 3" xfId="14490" xr:uid="{00000000-0005-0000-0000-000058110000}"/>
    <cellStyle name="Normal 16 7 4 3 2" xfId="26449" xr:uid="{6F76CA4F-33FF-4EC4-BA70-92146D5E223B}"/>
    <cellStyle name="Normal 16 7 4 3 3" xfId="20789" xr:uid="{BB414DED-6D97-40FD-A980-04AA26398336}"/>
    <cellStyle name="Normal 16 7 4 3 4" xfId="31829" xr:uid="{A240779B-4DB7-47D0-A7E3-65001352A9D5}"/>
    <cellStyle name="Normal 16 7 4 3 5" xfId="36876" xr:uid="{AB1B830E-59F4-4929-984A-AE8286AB39C1}"/>
    <cellStyle name="Normal 16 7 4 4" xfId="23616" xr:uid="{362C563E-74B5-47BA-9632-884E48B74866}"/>
    <cellStyle name="Normal 16 7 4 5" xfId="17956" xr:uid="{3841A9E3-E27C-462C-B8A5-F160FEB66916}"/>
    <cellStyle name="Normal 16 7 4 6" xfId="29277" xr:uid="{126851F3-68F5-40B9-B65D-C9C83204D47C}"/>
    <cellStyle name="Normal 16 7 4 7" xfId="36873" xr:uid="{02A65857-6189-450E-8A77-B717A922E289}"/>
    <cellStyle name="Normal 16 7 5" xfId="6561" xr:uid="{00000000-0005-0000-0000-000059110000}"/>
    <cellStyle name="Normal 16 7 5 2" xfId="14994" xr:uid="{00000000-0005-0000-0000-00005A110000}"/>
    <cellStyle name="Normal 16 7 5 2 2" xfId="26888" xr:uid="{E9C351BF-CD35-47FF-A191-C39FBEC9BAA7}"/>
    <cellStyle name="Normal 16 7 5 2 3" xfId="21228" xr:uid="{6CB78730-4F2B-48DD-B0EB-C644E17E50CE}"/>
    <cellStyle name="Normal 16 7 5 2 4" xfId="32268" xr:uid="{D4613CCD-CA64-4D6D-A2CD-D3065D57DF4F}"/>
    <cellStyle name="Normal 16 7 5 2 5" xfId="36878" xr:uid="{A234AD8E-CCEA-401B-9E4A-CC5C8C26C33E}"/>
    <cellStyle name="Normal 16 7 5 3" xfId="24055" xr:uid="{348E43C4-C54F-4B1C-8C12-BBE863D17F4D}"/>
    <cellStyle name="Normal 16 7 5 4" xfId="18395" xr:uid="{52499AF0-03DD-4B94-B0FE-A6D54E056090}"/>
    <cellStyle name="Normal 16 7 5 5" xfId="29716" xr:uid="{386A6B71-D477-4AC2-A184-B5F07ED6D875}"/>
    <cellStyle name="Normal 16 7 5 6" xfId="36877" xr:uid="{9FE4F281-7B3E-44E7-89EE-083EA194F15B}"/>
    <cellStyle name="Normal 16 7 6" xfId="7792" xr:uid="{00000000-0005-0000-0000-00005B110000}"/>
    <cellStyle name="Normal 16 7 6 2" xfId="25278" xr:uid="{6DB57B0B-C7B5-480F-AA0F-FB5DC70A3D3C}"/>
    <cellStyle name="Normal 16 7 6 3" xfId="19618" xr:uid="{59D6ACD1-7CFA-438F-9BD8-25F105745160}"/>
    <cellStyle name="Normal 16 7 6 4" xfId="30939" xr:uid="{EA7AA5CB-8F20-41AA-AC73-92CD26455DF7}"/>
    <cellStyle name="Normal 16 7 6 5" xfId="36879" xr:uid="{793B4B50-8C2B-4B91-8DB1-E417E4FCD910}"/>
    <cellStyle name="Normal 16 7 7" xfId="22493" xr:uid="{250B5341-0366-4C9C-A2A2-9734A5D54BAC}"/>
    <cellStyle name="Normal 16 7 8" xfId="16833" xr:uid="{F81D43F5-B1FB-4415-8BE8-C9BEA4F7CCC2}"/>
    <cellStyle name="Normal 16 7 9" xfId="28154" xr:uid="{9DEA27A3-742E-438C-BAFE-ED361A24B446}"/>
    <cellStyle name="Normal 16 8" xfId="7791" xr:uid="{00000000-0005-0000-0000-00005C110000}"/>
    <cellStyle name="Normal 16 8 2" xfId="25277" xr:uid="{D09B9D49-8699-40B3-B22D-FC68B3E08F18}"/>
    <cellStyle name="Normal 16 8 3" xfId="19617" xr:uid="{F4A7A0F1-0D76-49A1-9A99-7DD19D8226C4}"/>
    <cellStyle name="Normal 16 8 4" xfId="30938" xr:uid="{49270CAB-78EA-46AA-B8F9-2FD79BB3104E}"/>
    <cellStyle name="Normal 16 8 5" xfId="36880" xr:uid="{DB4A8361-6BD4-4CD3-B726-B17F2E116871}"/>
    <cellStyle name="Normal 16 9" xfId="36847" xr:uid="{20815D1D-A6E1-48E3-9021-6C942F0BF7F6}"/>
    <cellStyle name="Normal 17" xfId="2022" xr:uid="{00000000-0005-0000-0000-00005D110000}"/>
    <cellStyle name="Normal 17 10" xfId="4148" xr:uid="{00000000-0005-0000-0000-00005E110000}"/>
    <cellStyle name="Normal 17 10 2" xfId="36882" xr:uid="{96EE18D2-B6F5-4AC4-896F-5B675003D867}"/>
    <cellStyle name="Normal 17 11" xfId="4149" xr:uid="{00000000-0005-0000-0000-00005F110000}"/>
    <cellStyle name="Normal 17 11 2" xfId="36883" xr:uid="{1A11DB9B-0742-4A4F-97CB-3B55F22F4229}"/>
    <cellStyle name="Normal 17 12" xfId="4150" xr:uid="{00000000-0005-0000-0000-000060110000}"/>
    <cellStyle name="Normal 17 12 2" xfId="36884" xr:uid="{5981E9AB-519A-42EF-B64C-15D1F179F1D5}"/>
    <cellStyle name="Normal 17 13" xfId="4151" xr:uid="{00000000-0005-0000-0000-000061110000}"/>
    <cellStyle name="Normal 17 13 2" xfId="36885" xr:uid="{1A5E1BBB-FE12-4D77-84B2-A17277C021B9}"/>
    <cellStyle name="Normal 17 14" xfId="4147" xr:uid="{00000000-0005-0000-0000-000062110000}"/>
    <cellStyle name="Normal 17 14 10" xfId="36886" xr:uid="{E3111F20-4CBC-4F2D-B598-6B4B4A2606E7}"/>
    <cellStyle name="Normal 17 14 2" xfId="4907" xr:uid="{00000000-0005-0000-0000-000063110000}"/>
    <cellStyle name="Normal 17 14 2 2" xfId="5326" xr:uid="{00000000-0005-0000-0000-000064110000}"/>
    <cellStyle name="Normal 17 14 2 2 2" xfId="7189" xr:uid="{00000000-0005-0000-0000-000065110000}"/>
    <cellStyle name="Normal 17 14 2 2 2 2" xfId="15622" xr:uid="{00000000-0005-0000-0000-000066110000}"/>
    <cellStyle name="Normal 17 14 2 2 2 2 2" xfId="27516" xr:uid="{939F5EAD-EEC5-437B-BC33-DD24D805B7F5}"/>
    <cellStyle name="Normal 17 14 2 2 2 2 3" xfId="21856" xr:uid="{AECDD48A-F526-479F-BEE0-5E04F2A19600}"/>
    <cellStyle name="Normal 17 14 2 2 2 2 4" xfId="32896" xr:uid="{3DF0507B-8084-43EE-A6BC-E770CB571105}"/>
    <cellStyle name="Normal 17 14 2 2 2 2 5" xfId="36890" xr:uid="{81DA9997-3F80-4488-A45B-83B7A538C7BC}"/>
    <cellStyle name="Normal 17 14 2 2 2 3" xfId="24683" xr:uid="{4DE6F7D4-0103-4F69-8BAB-30234B996DE0}"/>
    <cellStyle name="Normal 17 14 2 2 2 4" xfId="19023" xr:uid="{6FC72F4C-8AA0-458D-8E3E-E6B0317215B8}"/>
    <cellStyle name="Normal 17 14 2 2 2 5" xfId="30344" xr:uid="{FC842344-EFF4-4591-A904-B1B1D040E78A}"/>
    <cellStyle name="Normal 17 14 2 2 2 6" xfId="36889" xr:uid="{BD3930AB-E8C0-4FAD-996A-F162A0C4AC91}"/>
    <cellStyle name="Normal 17 14 2 2 3" xfId="14212" xr:uid="{00000000-0005-0000-0000-000067110000}"/>
    <cellStyle name="Normal 17 14 2 2 3 2" xfId="26251" xr:uid="{70D01F26-64BD-45A6-9027-3FDDDAFD376A}"/>
    <cellStyle name="Normal 17 14 2 2 3 3" xfId="20591" xr:uid="{2E5A592E-EF05-420A-9073-E4A9A12C505D}"/>
    <cellStyle name="Normal 17 14 2 2 3 4" xfId="31631" xr:uid="{4C1E51EE-691A-43BF-949D-AA3E97FDF6E1}"/>
    <cellStyle name="Normal 17 14 2 2 3 5" xfId="36891" xr:uid="{5EBFE748-0DB1-4BE7-A64F-4AD15BECAF6B}"/>
    <cellStyle name="Normal 17 14 2 2 4" xfId="23121" xr:uid="{492DD59A-8961-4083-A34F-3CD92A84F1B9}"/>
    <cellStyle name="Normal 17 14 2 2 5" xfId="17461" xr:uid="{00A1D7A7-94B4-4153-95C8-0C7EEBB6A835}"/>
    <cellStyle name="Normal 17 14 2 2 6" xfId="28782" xr:uid="{32C2A6BA-3E50-40DE-9E9B-FD7688EBBA5F}"/>
    <cellStyle name="Normal 17 14 2 2 7" xfId="36888" xr:uid="{C869DE12-C3AC-4BD4-9DC8-BC5545FAA200}"/>
    <cellStyle name="Normal 17 14 2 3" xfId="6037" xr:uid="{00000000-0005-0000-0000-000068110000}"/>
    <cellStyle name="Normal 17 14 2 3 2" xfId="7381" xr:uid="{00000000-0005-0000-0000-000069110000}"/>
    <cellStyle name="Normal 17 14 2 3 2 2" xfId="15814" xr:uid="{00000000-0005-0000-0000-00006A110000}"/>
    <cellStyle name="Normal 17 14 2 3 2 2 2" xfId="27708" xr:uid="{590A177B-1E4B-4438-A710-555BBADC0B9D}"/>
    <cellStyle name="Normal 17 14 2 3 2 2 3" xfId="22048" xr:uid="{AD53723C-B6D2-4976-B951-86CC5AB5D20B}"/>
    <cellStyle name="Normal 17 14 2 3 2 2 4" xfId="33088" xr:uid="{A759770A-F6ED-4758-9F77-719C79389707}"/>
    <cellStyle name="Normal 17 14 2 3 2 2 5" xfId="36894" xr:uid="{47AA4125-A9C0-4418-931B-0417E71EDD91}"/>
    <cellStyle name="Normal 17 14 2 3 2 3" xfId="24875" xr:uid="{838EE613-F821-4F69-BC74-7B1A16A41CAC}"/>
    <cellStyle name="Normal 17 14 2 3 2 4" xfId="19215" xr:uid="{0B1B069C-5C24-4916-A367-60B4C340044C}"/>
    <cellStyle name="Normal 17 14 2 3 2 5" xfId="30536" xr:uid="{0557854A-47C8-4229-AE6B-93A8C320A52D}"/>
    <cellStyle name="Normal 17 14 2 3 2 6" xfId="36893" xr:uid="{183766A0-BA9F-47C6-9509-E665CCD0EEBD}"/>
    <cellStyle name="Normal 17 14 2 3 3" xfId="14493" xr:uid="{00000000-0005-0000-0000-00006B110000}"/>
    <cellStyle name="Normal 17 14 2 3 3 2" xfId="26452" xr:uid="{7ACB98BA-39FE-491B-9F96-D3534BF78FB5}"/>
    <cellStyle name="Normal 17 14 2 3 3 3" xfId="20792" xr:uid="{1C97E6EC-A364-40E4-9BEF-7BE7AED41946}"/>
    <cellStyle name="Normal 17 14 2 3 3 4" xfId="31832" xr:uid="{2E470176-F37B-4AEC-9F54-F53F91339747}"/>
    <cellStyle name="Normal 17 14 2 3 3 5" xfId="36895" xr:uid="{726E2AD0-CC59-40EB-8511-68A221B0FE19}"/>
    <cellStyle name="Normal 17 14 2 3 4" xfId="23619" xr:uid="{DD75F9B3-9A7D-41D2-AC6F-9D0002B0A634}"/>
    <cellStyle name="Normal 17 14 2 3 5" xfId="17959" xr:uid="{872277DA-D164-405E-82E5-102AF1A14A34}"/>
    <cellStyle name="Normal 17 14 2 3 6" xfId="29280" xr:uid="{B48C1CFB-DBB9-46DF-B3D1-4B8D382799D0}"/>
    <cellStyle name="Normal 17 14 2 3 7" xfId="36892" xr:uid="{4FBA9DF3-378C-4A7E-8EFC-04CA5119EDE1}"/>
    <cellStyle name="Normal 17 14 2 4" xfId="6771" xr:uid="{00000000-0005-0000-0000-00006C110000}"/>
    <cellStyle name="Normal 17 14 2 4 2" xfId="15204" xr:uid="{00000000-0005-0000-0000-00006D110000}"/>
    <cellStyle name="Normal 17 14 2 4 2 2" xfId="27098" xr:uid="{DAEF99F4-C790-4A40-947C-FF2473EF1DA5}"/>
    <cellStyle name="Normal 17 14 2 4 2 3" xfId="21438" xr:uid="{56AAA716-AF4C-4E70-B460-E06A48134548}"/>
    <cellStyle name="Normal 17 14 2 4 2 4" xfId="32478" xr:uid="{A8FA9BC2-D3E0-4B52-AEAC-C520970DDAB3}"/>
    <cellStyle name="Normal 17 14 2 4 2 5" xfId="36897" xr:uid="{6420AB93-BA1E-4482-9606-2E35048C67D2}"/>
    <cellStyle name="Normal 17 14 2 4 3" xfId="24265" xr:uid="{46451801-C5EF-4822-92A5-08DA3B715C33}"/>
    <cellStyle name="Normal 17 14 2 4 4" xfId="18605" xr:uid="{ED2C59D7-D2E0-4739-9B99-894C0BE971DF}"/>
    <cellStyle name="Normal 17 14 2 4 5" xfId="29926" xr:uid="{66249DCD-9D13-4AD7-8153-5390B4F284D4}"/>
    <cellStyle name="Normal 17 14 2 4 6" xfId="36896" xr:uid="{C44A5492-1512-4F94-B867-560B1D421C77}"/>
    <cellStyle name="Normal 17 14 2 5" xfId="7796" xr:uid="{00000000-0005-0000-0000-00006E110000}"/>
    <cellStyle name="Normal 17 14 2 5 2" xfId="25282" xr:uid="{96029AC3-3CF5-439A-8825-B2E001F7376D}"/>
    <cellStyle name="Normal 17 14 2 5 3" xfId="19622" xr:uid="{C0023B63-7DDE-4F9B-AE32-FC4D65014396}"/>
    <cellStyle name="Normal 17 14 2 5 4" xfId="30943" xr:uid="{0C442016-F984-43C6-974B-4A1517D8F578}"/>
    <cellStyle name="Normal 17 14 2 5 5" xfId="36898" xr:uid="{403AD949-AFDB-40A0-9049-B62F6621DEBA}"/>
    <cellStyle name="Normal 17 14 2 6" xfId="22703" xr:uid="{3ED2EA28-EEFD-4AEC-840F-99CED18EC2B2}"/>
    <cellStyle name="Normal 17 14 2 7" xfId="17043" xr:uid="{DF7E64D9-A5BF-4FF1-AC96-962A610690E6}"/>
    <cellStyle name="Normal 17 14 2 8" xfId="28364" xr:uid="{5EA4615F-55F2-4A36-A2CF-961F38FCDA22}"/>
    <cellStyle name="Normal 17 14 2 9" xfId="36887" xr:uid="{B6715595-F2D4-4883-8531-DD4D54740161}"/>
    <cellStyle name="Normal 17 14 3" xfId="5117" xr:uid="{00000000-0005-0000-0000-00006F110000}"/>
    <cellStyle name="Normal 17 14 3 2" xfId="6980" xr:uid="{00000000-0005-0000-0000-000070110000}"/>
    <cellStyle name="Normal 17 14 3 2 2" xfId="15413" xr:uid="{00000000-0005-0000-0000-000071110000}"/>
    <cellStyle name="Normal 17 14 3 2 2 2" xfId="27307" xr:uid="{222B7A24-6232-484E-9AD0-BE430B4E4DD3}"/>
    <cellStyle name="Normal 17 14 3 2 2 3" xfId="21647" xr:uid="{590DF3B0-D9B8-4180-A271-AD28749D23CA}"/>
    <cellStyle name="Normal 17 14 3 2 2 4" xfId="32687" xr:uid="{54068A91-F830-4784-818F-3DA3FB91B207}"/>
    <cellStyle name="Normal 17 14 3 2 2 5" xfId="36901" xr:uid="{2E51AA81-608F-4822-B269-B83C170344C6}"/>
    <cellStyle name="Normal 17 14 3 2 3" xfId="24474" xr:uid="{3694E9D5-CEB4-4320-A0D3-8B414BE7000C}"/>
    <cellStyle name="Normal 17 14 3 2 4" xfId="18814" xr:uid="{0BF16144-698D-4E24-9920-31534FA95A91}"/>
    <cellStyle name="Normal 17 14 3 2 5" xfId="30135" xr:uid="{B6C3ADE8-14DE-4AD6-A82A-301E1A42221F}"/>
    <cellStyle name="Normal 17 14 3 2 6" xfId="36900" xr:uid="{CECFDC38-5936-400E-AD79-74DB3F5C5C8D}"/>
    <cellStyle name="Normal 17 14 3 3" xfId="14004" xr:uid="{00000000-0005-0000-0000-000072110000}"/>
    <cellStyle name="Normal 17 14 3 3 2" xfId="26043" xr:uid="{68E0AB3C-DD9C-4FD1-BC45-C780F4B7D7C3}"/>
    <cellStyle name="Normal 17 14 3 3 3" xfId="20383" xr:uid="{6D3FE84D-5816-4A3D-834D-F1E96D1D464C}"/>
    <cellStyle name="Normal 17 14 3 3 4" xfId="31423" xr:uid="{95F471BB-F298-407F-BE73-C2BE49E7B4CC}"/>
    <cellStyle name="Normal 17 14 3 3 5" xfId="36902" xr:uid="{47BFA717-46C8-4E16-9C91-54AF77030DF2}"/>
    <cellStyle name="Normal 17 14 3 4" xfId="22912" xr:uid="{1F9D21AB-6CC2-4067-B11F-ED1E15939778}"/>
    <cellStyle name="Normal 17 14 3 5" xfId="17252" xr:uid="{033EFC58-BBD3-4ED2-B102-E3455918F90E}"/>
    <cellStyle name="Normal 17 14 3 6" xfId="28573" xr:uid="{98D9A293-B1BD-4036-A3F1-AC2034B54045}"/>
    <cellStyle name="Normal 17 14 3 7" xfId="36899" xr:uid="{D6517ED9-ADEF-42FC-AA34-B07836A087C4}"/>
    <cellStyle name="Normal 17 14 4" xfId="6036" xr:uid="{00000000-0005-0000-0000-000073110000}"/>
    <cellStyle name="Normal 17 14 4 2" xfId="7380" xr:uid="{00000000-0005-0000-0000-000074110000}"/>
    <cellStyle name="Normal 17 14 4 2 2" xfId="15813" xr:uid="{00000000-0005-0000-0000-000075110000}"/>
    <cellStyle name="Normal 17 14 4 2 2 2" xfId="27707" xr:uid="{E8729E4D-F0FA-4C0F-86EE-FC4087BAEE9A}"/>
    <cellStyle name="Normal 17 14 4 2 2 3" xfId="22047" xr:uid="{17966295-3424-4300-B425-3CFB706195A5}"/>
    <cellStyle name="Normal 17 14 4 2 2 4" xfId="33087" xr:uid="{A1ED8FAF-587F-4248-96DC-FE108D39F991}"/>
    <cellStyle name="Normal 17 14 4 2 2 5" xfId="36905" xr:uid="{DD050860-E24A-4FDE-86C0-FD2A28330DAC}"/>
    <cellStyle name="Normal 17 14 4 2 3" xfId="24874" xr:uid="{427A9219-0BB4-4FE6-94D1-330E62E7CC7F}"/>
    <cellStyle name="Normal 17 14 4 2 4" xfId="19214" xr:uid="{7AAC0E4A-0677-4F16-86CF-31B3040AE13D}"/>
    <cellStyle name="Normal 17 14 4 2 5" xfId="30535" xr:uid="{0418838E-8594-4A1B-AE23-307D86F57C47}"/>
    <cellStyle name="Normal 17 14 4 2 6" xfId="36904" xr:uid="{3D1B533D-D311-452B-8167-504CDC31BCEB}"/>
    <cellStyle name="Normal 17 14 4 3" xfId="14492" xr:uid="{00000000-0005-0000-0000-000076110000}"/>
    <cellStyle name="Normal 17 14 4 3 2" xfId="26451" xr:uid="{61993FC2-7350-4359-B768-2224EC6F00E5}"/>
    <cellStyle name="Normal 17 14 4 3 3" xfId="20791" xr:uid="{EAFBA935-F0BA-4856-8FFB-599E8890B539}"/>
    <cellStyle name="Normal 17 14 4 3 4" xfId="31831" xr:uid="{4A6F363F-A3A8-424E-B747-27F1B0118DF6}"/>
    <cellStyle name="Normal 17 14 4 3 5" xfId="36906" xr:uid="{43673E38-0C69-434B-BBBE-224601BC3C61}"/>
    <cellStyle name="Normal 17 14 4 4" xfId="23618" xr:uid="{9D31740D-5701-42CB-B606-1E4C5896EA8E}"/>
    <cellStyle name="Normal 17 14 4 5" xfId="17958" xr:uid="{3A16AAF5-1BDE-4FD8-91C4-073954AA97B2}"/>
    <cellStyle name="Normal 17 14 4 6" xfId="29279" xr:uid="{14E2F0F8-8BA3-4E49-89E6-3C5831E8D845}"/>
    <cellStyle name="Normal 17 14 4 7" xfId="36903" xr:uid="{E854014B-5C25-4653-A16B-BFE757AEF59D}"/>
    <cellStyle name="Normal 17 14 5" xfId="6562" xr:uid="{00000000-0005-0000-0000-000077110000}"/>
    <cellStyle name="Normal 17 14 5 2" xfId="14995" xr:uid="{00000000-0005-0000-0000-000078110000}"/>
    <cellStyle name="Normal 17 14 5 2 2" xfId="26889" xr:uid="{1D479824-067A-4782-8ECD-7FFD984B7A0C}"/>
    <cellStyle name="Normal 17 14 5 2 3" xfId="21229" xr:uid="{C2032DEB-21B0-46D8-838D-8F1CE5536300}"/>
    <cellStyle name="Normal 17 14 5 2 4" xfId="32269" xr:uid="{BF02B5A4-5E2E-4243-B66C-04F692E966ED}"/>
    <cellStyle name="Normal 17 14 5 2 5" xfId="36908" xr:uid="{3F016268-A41B-4F21-BA5D-326A144446AD}"/>
    <cellStyle name="Normal 17 14 5 3" xfId="24056" xr:uid="{BE5DEE3A-C840-484B-9FE6-459D9B394BBD}"/>
    <cellStyle name="Normal 17 14 5 4" xfId="18396" xr:uid="{7CA4DFE8-063D-4105-AEAB-C7053939F357}"/>
    <cellStyle name="Normal 17 14 5 5" xfId="29717" xr:uid="{99D7D3D8-62BF-49D3-A19B-0B823D07BAD4}"/>
    <cellStyle name="Normal 17 14 5 6" xfId="36907" xr:uid="{4789D02D-8A0B-4898-9DF9-0402F1A7B6CE}"/>
    <cellStyle name="Normal 17 14 6" xfId="7795" xr:uid="{00000000-0005-0000-0000-000079110000}"/>
    <cellStyle name="Normal 17 14 6 2" xfId="25281" xr:uid="{3043BB43-D7E8-4B6B-A4D0-188BF46F0A65}"/>
    <cellStyle name="Normal 17 14 6 3" xfId="19621" xr:uid="{BFC9194B-281A-444C-A540-06C1FE603BF4}"/>
    <cellStyle name="Normal 17 14 6 4" xfId="30942" xr:uid="{978EFA9F-C72D-4784-B7D8-BC781A20C0DC}"/>
    <cellStyle name="Normal 17 14 6 5" xfId="36909" xr:uid="{7DDC99F5-BFF0-4E4E-BE91-D4BEAB52B17E}"/>
    <cellStyle name="Normal 17 14 7" xfId="22494" xr:uid="{0E439B75-A7A3-46CC-A1C2-2ADE3B1E539B}"/>
    <cellStyle name="Normal 17 14 8" xfId="16834" xr:uid="{DAD8535F-5D5E-4E60-B917-FA9521BC4816}"/>
    <cellStyle name="Normal 17 14 9" xfId="28155" xr:uid="{EBF16CE2-238D-4F46-BADE-10540A217863}"/>
    <cellStyle name="Normal 17 15" xfId="7794" xr:uid="{00000000-0005-0000-0000-00007A110000}"/>
    <cellStyle name="Normal 17 15 2" xfId="25280" xr:uid="{39010CC6-EFDC-480B-89A5-70A45F950DB1}"/>
    <cellStyle name="Normal 17 15 3" xfId="19620" xr:uid="{A47176F8-B1AC-4470-AEA9-7A2EE7B61C21}"/>
    <cellStyle name="Normal 17 15 4" xfId="30941" xr:uid="{F1148CBC-25FD-4159-8921-5709F9DCD177}"/>
    <cellStyle name="Normal 17 15 5" xfId="36910" xr:uid="{6F64EFDC-FECE-447A-9F57-100296902AB0}"/>
    <cellStyle name="Normal 17 16" xfId="36881" xr:uid="{5BBDCBF1-9E5F-4A8E-820A-DB61F02BCF24}"/>
    <cellStyle name="Normal 17 2" xfId="2023" xr:uid="{00000000-0005-0000-0000-00007B110000}"/>
    <cellStyle name="Normal 17 2 2" xfId="4152" xr:uid="{00000000-0005-0000-0000-00007C110000}"/>
    <cellStyle name="Normal 17 2 2 2" xfId="36912" xr:uid="{870E4C49-C8FD-42B5-ACBD-E176C0FAF8F5}"/>
    <cellStyle name="Normal 17 2 3" xfId="6038" xr:uid="{00000000-0005-0000-0000-00007D110000}"/>
    <cellStyle name="Normal 17 2 3 2" xfId="36913" xr:uid="{53747769-2367-4FA6-BFE4-12815ED8E0DA}"/>
    <cellStyle name="Normal 17 2 4" xfId="36914" xr:uid="{A66C8108-1F96-4212-AA06-C364C84A0C6A}"/>
    <cellStyle name="Normal 17 2 5" xfId="36911" xr:uid="{4DC37297-DB85-40E2-A0B4-D7994E5B211E}"/>
    <cellStyle name="Normal 17 2 6" xfId="49776" xr:uid="{B8AB514C-3563-46A0-8428-835B52EC2CB9}"/>
    <cellStyle name="Normal 17 3" xfId="4153" xr:uid="{00000000-0005-0000-0000-00007E110000}"/>
    <cellStyle name="Normal 17 3 2" xfId="36915" xr:uid="{487DE0DB-CAB6-4868-AF88-EA4A001DE99D}"/>
    <cellStyle name="Normal 17 4" xfId="4154" xr:uid="{00000000-0005-0000-0000-00007F110000}"/>
    <cellStyle name="Normal 17 4 2" xfId="36916" xr:uid="{2779AC7B-835B-4B19-A4BB-9C2D1E4BFD7F}"/>
    <cellStyle name="Normal 17 5" xfId="4155" xr:uid="{00000000-0005-0000-0000-000080110000}"/>
    <cellStyle name="Normal 17 5 2" xfId="36917" xr:uid="{C1EF8058-AE30-4604-A1A7-025B15BF0D62}"/>
    <cellStyle name="Normal 17 6" xfId="4156" xr:uid="{00000000-0005-0000-0000-000081110000}"/>
    <cellStyle name="Normal 17 6 2" xfId="36918" xr:uid="{7E890C5C-8FEE-46F2-B6E0-07D67A54DAC0}"/>
    <cellStyle name="Normal 17 7" xfId="4157" xr:uid="{00000000-0005-0000-0000-000082110000}"/>
    <cellStyle name="Normal 17 7 2" xfId="36919" xr:uid="{E6ACF19D-4A87-4A0F-8E33-067D46BE7FE3}"/>
    <cellStyle name="Normal 17 8" xfId="4158" xr:uid="{00000000-0005-0000-0000-000083110000}"/>
    <cellStyle name="Normal 17 8 2" xfId="36920" xr:uid="{0172A4C1-6DCC-49A9-BCD0-CCE86BB748D7}"/>
    <cellStyle name="Normal 17 9" xfId="4159" xr:uid="{00000000-0005-0000-0000-000084110000}"/>
    <cellStyle name="Normal 17 9 2" xfId="36921" xr:uid="{D09B0138-7309-4353-9631-94142A8D0EC9}"/>
    <cellStyle name="Normal 18" xfId="2024" xr:uid="{00000000-0005-0000-0000-000085110000}"/>
    <cellStyle name="Normal 18 2" xfId="2025" xr:uid="{00000000-0005-0000-0000-000086110000}"/>
    <cellStyle name="Normal 18 2 2" xfId="36924" xr:uid="{1153CE4B-DEBA-4162-9B6C-FF2B6F4AD896}"/>
    <cellStyle name="Normal 18 2 3" xfId="36923" xr:uid="{0CC1B336-AAF9-481D-9C51-9A8FDD0AE64A}"/>
    <cellStyle name="Normal 18 2 4" xfId="49777" xr:uid="{4C599CBB-A69B-4A40-9BCD-A61B7314964F}"/>
    <cellStyle name="Normal 18 3" xfId="4160" xr:uid="{00000000-0005-0000-0000-000087110000}"/>
    <cellStyle name="Normal 18 3 10" xfId="36925" xr:uid="{C6A491CB-F307-47AA-9DE9-8F1ACCA9431F}"/>
    <cellStyle name="Normal 18 3 2" xfId="4908" xr:uid="{00000000-0005-0000-0000-000088110000}"/>
    <cellStyle name="Normal 18 3 2 2" xfId="5327" xr:uid="{00000000-0005-0000-0000-000089110000}"/>
    <cellStyle name="Normal 18 3 2 2 2" xfId="7190" xr:uid="{00000000-0005-0000-0000-00008A110000}"/>
    <cellStyle name="Normal 18 3 2 2 2 2" xfId="15623" xr:uid="{00000000-0005-0000-0000-00008B110000}"/>
    <cellStyle name="Normal 18 3 2 2 2 2 2" xfId="27517" xr:uid="{37F4F2FE-C943-405C-9ED2-F1353C345F16}"/>
    <cellStyle name="Normal 18 3 2 2 2 2 3" xfId="21857" xr:uid="{5FBFCC47-5E95-41FB-A697-F63EEE4C57DE}"/>
    <cellStyle name="Normal 18 3 2 2 2 2 4" xfId="32897" xr:uid="{A5F6F65D-6BE9-4C16-A84A-A59683730D32}"/>
    <cellStyle name="Normal 18 3 2 2 2 2 5" xfId="36929" xr:uid="{88A649BE-EA1E-4435-9563-758F3B03F35A}"/>
    <cellStyle name="Normal 18 3 2 2 2 3" xfId="24684" xr:uid="{E3C6DD70-023B-426B-8E79-92C681910BCA}"/>
    <cellStyle name="Normal 18 3 2 2 2 4" xfId="19024" xr:uid="{03A1DA6B-B8A0-4660-BA33-EBAF2BFDB734}"/>
    <cellStyle name="Normal 18 3 2 2 2 5" xfId="30345" xr:uid="{9BA15635-B39D-4FEF-AF0F-1A5796E2AD27}"/>
    <cellStyle name="Normal 18 3 2 2 2 6" xfId="36928" xr:uid="{8027D024-7035-4452-B529-C37F43D05BC0}"/>
    <cellStyle name="Normal 18 3 2 2 3" xfId="14213" xr:uid="{00000000-0005-0000-0000-00008C110000}"/>
    <cellStyle name="Normal 18 3 2 2 3 2" xfId="26252" xr:uid="{7E1D59FF-F9E5-4614-A513-2E84ACC714CE}"/>
    <cellStyle name="Normal 18 3 2 2 3 3" xfId="20592" xr:uid="{AC7BE274-B8B8-489C-BFE0-BCF025A8FCE5}"/>
    <cellStyle name="Normal 18 3 2 2 3 4" xfId="31632" xr:uid="{997B225F-0B72-4ADE-A2C9-AD619587B2F5}"/>
    <cellStyle name="Normal 18 3 2 2 3 5" xfId="36930" xr:uid="{AF356460-812E-48E3-AC83-1B612C77A2F8}"/>
    <cellStyle name="Normal 18 3 2 2 4" xfId="23122" xr:uid="{64764DD6-A90D-4D08-BBED-36397EA3AC34}"/>
    <cellStyle name="Normal 18 3 2 2 5" xfId="17462" xr:uid="{1034A401-77ED-47E6-875D-FF8DE6391BEB}"/>
    <cellStyle name="Normal 18 3 2 2 6" xfId="28783" xr:uid="{ACD9026C-C451-4D31-AB6E-34972EA82F22}"/>
    <cellStyle name="Normal 18 3 2 2 7" xfId="36927" xr:uid="{FC75981A-D798-46FB-842C-13B0F0B0ED9C}"/>
    <cellStyle name="Normal 18 3 2 3" xfId="6041" xr:uid="{00000000-0005-0000-0000-00008D110000}"/>
    <cellStyle name="Normal 18 3 2 3 2" xfId="7383" xr:uid="{00000000-0005-0000-0000-00008E110000}"/>
    <cellStyle name="Normal 18 3 2 3 2 2" xfId="15816" xr:uid="{00000000-0005-0000-0000-00008F110000}"/>
    <cellStyle name="Normal 18 3 2 3 2 2 2" xfId="27710" xr:uid="{C9056A02-8715-4D0A-A40A-015A69506C26}"/>
    <cellStyle name="Normal 18 3 2 3 2 2 3" xfId="22050" xr:uid="{C0125C88-C7D4-415F-B054-DE2FA5CF62A5}"/>
    <cellStyle name="Normal 18 3 2 3 2 2 4" xfId="33090" xr:uid="{F22E9D0C-2652-478C-AA33-D7F735BF2311}"/>
    <cellStyle name="Normal 18 3 2 3 2 2 5" xfId="36933" xr:uid="{CFBAC280-469E-4220-AB96-E2AC41C1DA44}"/>
    <cellStyle name="Normal 18 3 2 3 2 3" xfId="24877" xr:uid="{6AE60209-64A6-445E-AC23-07CC0F9589F0}"/>
    <cellStyle name="Normal 18 3 2 3 2 4" xfId="19217" xr:uid="{69CC3000-AD72-4D05-9617-1B54279AC9F9}"/>
    <cellStyle name="Normal 18 3 2 3 2 5" xfId="30538" xr:uid="{862BD626-397B-40B6-92D7-E098D577BC43}"/>
    <cellStyle name="Normal 18 3 2 3 2 6" xfId="36932" xr:uid="{BA1995C3-EDC3-4D3C-943F-43D7E3422A88}"/>
    <cellStyle name="Normal 18 3 2 3 3" xfId="14496" xr:uid="{00000000-0005-0000-0000-000090110000}"/>
    <cellStyle name="Normal 18 3 2 3 3 2" xfId="26454" xr:uid="{FBED8FD2-881C-465F-8637-8980DBC833F5}"/>
    <cellStyle name="Normal 18 3 2 3 3 3" xfId="20794" xr:uid="{516109DE-F6AF-4402-BB28-80CA17697551}"/>
    <cellStyle name="Normal 18 3 2 3 3 4" xfId="31834" xr:uid="{2065E951-2BA2-49D5-8322-2091EE56F6A2}"/>
    <cellStyle name="Normal 18 3 2 3 3 5" xfId="36934" xr:uid="{0D7E7FDF-5156-4746-94BF-D36591924667}"/>
    <cellStyle name="Normal 18 3 2 3 4" xfId="23621" xr:uid="{D6451774-32A0-4C58-81C1-837DA52EC37B}"/>
    <cellStyle name="Normal 18 3 2 3 5" xfId="17961" xr:uid="{2F03D279-C0DF-4743-AA69-9DC904241373}"/>
    <cellStyle name="Normal 18 3 2 3 6" xfId="29282" xr:uid="{1895A750-B018-4028-B1E5-CC4894C68C14}"/>
    <cellStyle name="Normal 18 3 2 3 7" xfId="36931" xr:uid="{09FE55D0-5E40-46A8-8B2F-0C618A9155BB}"/>
    <cellStyle name="Normal 18 3 2 4" xfId="6772" xr:uid="{00000000-0005-0000-0000-000091110000}"/>
    <cellStyle name="Normal 18 3 2 4 2" xfId="15205" xr:uid="{00000000-0005-0000-0000-000092110000}"/>
    <cellStyle name="Normal 18 3 2 4 2 2" xfId="27099" xr:uid="{8B9F2E4E-1C6E-4179-952E-E4496A58AA5E}"/>
    <cellStyle name="Normal 18 3 2 4 2 3" xfId="21439" xr:uid="{10A38791-6453-4252-BCCA-8071725D4551}"/>
    <cellStyle name="Normal 18 3 2 4 2 4" xfId="32479" xr:uid="{67C88FC8-E83B-449F-AB09-6F92C14BEB08}"/>
    <cellStyle name="Normal 18 3 2 4 2 5" xfId="36936" xr:uid="{77A128BE-ABF1-4445-87C5-2F2E8A240A2D}"/>
    <cellStyle name="Normal 18 3 2 4 3" xfId="24266" xr:uid="{C0D31F02-B182-433C-8433-B940C3D6C702}"/>
    <cellStyle name="Normal 18 3 2 4 4" xfId="18606" xr:uid="{874CA4CD-7768-4958-813B-D15663AC2B1A}"/>
    <cellStyle name="Normal 18 3 2 4 5" xfId="29927" xr:uid="{72F4FF80-19AD-43E1-962A-9B3FD4ECF92F}"/>
    <cellStyle name="Normal 18 3 2 4 6" xfId="36935" xr:uid="{926A3059-48F4-43A9-9285-C381DE3DAC4B}"/>
    <cellStyle name="Normal 18 3 2 5" xfId="7799" xr:uid="{00000000-0005-0000-0000-000093110000}"/>
    <cellStyle name="Normal 18 3 2 5 2" xfId="25285" xr:uid="{07890001-E03E-4869-A227-D76557FE2836}"/>
    <cellStyle name="Normal 18 3 2 5 3" xfId="19625" xr:uid="{7E52E7C5-1851-4A74-A4AE-D4C6F95A51AB}"/>
    <cellStyle name="Normal 18 3 2 5 4" xfId="30946" xr:uid="{01FC2B57-2A8A-4557-9749-5669FE47C84B}"/>
    <cellStyle name="Normal 18 3 2 5 5" xfId="36937" xr:uid="{831EEB2D-5B2B-45A7-B895-7704751E8F1C}"/>
    <cellStyle name="Normal 18 3 2 6" xfId="22704" xr:uid="{4999DCF6-4ED9-4C34-9E2E-3B4D18DB1611}"/>
    <cellStyle name="Normal 18 3 2 7" xfId="17044" xr:uid="{106429B7-4518-4192-9989-74F56F2B30C6}"/>
    <cellStyle name="Normal 18 3 2 8" xfId="28365" xr:uid="{733C9555-0F59-4191-B076-BEA9C622F951}"/>
    <cellStyle name="Normal 18 3 2 9" xfId="36926" xr:uid="{DD47FF92-7C53-4B0F-838A-8082269EF8EC}"/>
    <cellStyle name="Normal 18 3 3" xfId="5118" xr:uid="{00000000-0005-0000-0000-000094110000}"/>
    <cellStyle name="Normal 18 3 3 2" xfId="6981" xr:uid="{00000000-0005-0000-0000-000095110000}"/>
    <cellStyle name="Normal 18 3 3 2 2" xfId="15414" xr:uid="{00000000-0005-0000-0000-000096110000}"/>
    <cellStyle name="Normal 18 3 3 2 2 2" xfId="27308" xr:uid="{7994C9CF-5278-46AB-B169-855E6D9146ED}"/>
    <cellStyle name="Normal 18 3 3 2 2 3" xfId="21648" xr:uid="{1EE8A01B-CF2E-409C-B307-CCBB09C1F409}"/>
    <cellStyle name="Normal 18 3 3 2 2 4" xfId="32688" xr:uid="{D462D6FD-6D8D-4A68-8D36-B436E9FF907C}"/>
    <cellStyle name="Normal 18 3 3 2 2 5" xfId="36940" xr:uid="{2E92C12D-9D30-4CFA-9DD3-EF172C1FDD63}"/>
    <cellStyle name="Normal 18 3 3 2 3" xfId="24475" xr:uid="{BAF421AA-E6AF-4A7A-B208-063AA61BF066}"/>
    <cellStyle name="Normal 18 3 3 2 4" xfId="18815" xr:uid="{4EE76EA7-8B50-472D-B486-2429A7229211}"/>
    <cellStyle name="Normal 18 3 3 2 5" xfId="30136" xr:uid="{3C7768E9-3AE6-4955-A2EF-C298BF6249BC}"/>
    <cellStyle name="Normal 18 3 3 2 6" xfId="36939" xr:uid="{5690DE38-BED4-416D-9F47-8329ECABBAC5}"/>
    <cellStyle name="Normal 18 3 3 3" xfId="14005" xr:uid="{00000000-0005-0000-0000-000097110000}"/>
    <cellStyle name="Normal 18 3 3 3 2" xfId="26044" xr:uid="{126BA9C3-A152-40E6-8570-6A50032FB613}"/>
    <cellStyle name="Normal 18 3 3 3 3" xfId="20384" xr:uid="{73578B9F-B5A4-4360-870D-980D826DB04B}"/>
    <cellStyle name="Normal 18 3 3 3 4" xfId="31424" xr:uid="{022E5916-3967-4C1D-9DC2-23941FDA0E65}"/>
    <cellStyle name="Normal 18 3 3 3 5" xfId="36941" xr:uid="{8ED7C6F9-F182-4EF8-BF21-FE2B0308116D}"/>
    <cellStyle name="Normal 18 3 3 4" xfId="22913" xr:uid="{74F9E820-7845-4842-9CE6-50152B479E72}"/>
    <cellStyle name="Normal 18 3 3 5" xfId="17253" xr:uid="{E611C907-1AFA-497B-A521-BDE7E0FFEC52}"/>
    <cellStyle name="Normal 18 3 3 6" xfId="28574" xr:uid="{C8B90C45-5E11-4265-B7B3-1675238F2BBA}"/>
    <cellStyle name="Normal 18 3 3 7" xfId="36938" xr:uid="{D1D2E9C0-F4E7-4DD6-A928-D26251B168FD}"/>
    <cellStyle name="Normal 18 3 4" xfId="6040" xr:uid="{00000000-0005-0000-0000-000098110000}"/>
    <cellStyle name="Normal 18 3 4 2" xfId="7382" xr:uid="{00000000-0005-0000-0000-000099110000}"/>
    <cellStyle name="Normal 18 3 4 2 2" xfId="15815" xr:uid="{00000000-0005-0000-0000-00009A110000}"/>
    <cellStyle name="Normal 18 3 4 2 2 2" xfId="27709" xr:uid="{2C0A0F8C-9DDF-4C35-BE66-1510F32F84DB}"/>
    <cellStyle name="Normal 18 3 4 2 2 3" xfId="22049" xr:uid="{2129E9E9-A65C-4A28-825B-E25EF8801587}"/>
    <cellStyle name="Normal 18 3 4 2 2 4" xfId="33089" xr:uid="{5D00DA67-8B73-48BF-8105-DDB4FD343FF2}"/>
    <cellStyle name="Normal 18 3 4 2 2 5" xfId="36944" xr:uid="{19D100A7-DEBB-4FFD-9611-90E3FBC926C0}"/>
    <cellStyle name="Normal 18 3 4 2 3" xfId="24876" xr:uid="{B02EA078-790A-4838-8467-8CF673AAA117}"/>
    <cellStyle name="Normal 18 3 4 2 4" xfId="19216" xr:uid="{D027EB6D-6630-462D-AD21-79A6F412D0B5}"/>
    <cellStyle name="Normal 18 3 4 2 5" xfId="30537" xr:uid="{CF0C4197-7609-4D20-9D33-E2D4739BCC83}"/>
    <cellStyle name="Normal 18 3 4 2 6" xfId="36943" xr:uid="{E5E7505A-437E-48D4-8CC0-F2F455E93E45}"/>
    <cellStyle name="Normal 18 3 4 3" xfId="14495" xr:uid="{00000000-0005-0000-0000-00009B110000}"/>
    <cellStyle name="Normal 18 3 4 3 2" xfId="26453" xr:uid="{FEB26108-C530-4491-930A-580A2029B41D}"/>
    <cellStyle name="Normal 18 3 4 3 3" xfId="20793" xr:uid="{0B62E750-FF9C-4E61-887A-F7D760EC2D34}"/>
    <cellStyle name="Normal 18 3 4 3 4" xfId="31833" xr:uid="{71C913F3-BDF4-46EF-BE07-00041DABE4F4}"/>
    <cellStyle name="Normal 18 3 4 3 5" xfId="36945" xr:uid="{7F145F25-BCCB-4280-889B-ECD3E9CEFAB5}"/>
    <cellStyle name="Normal 18 3 4 4" xfId="23620" xr:uid="{AFC3E030-D115-4823-A6DC-3B3F7A74158D}"/>
    <cellStyle name="Normal 18 3 4 5" xfId="17960" xr:uid="{2CECAD31-B759-48E0-BA61-816DA965EE01}"/>
    <cellStyle name="Normal 18 3 4 6" xfId="29281" xr:uid="{24581E3E-80A2-470D-BAB9-7972A0336DF1}"/>
    <cellStyle name="Normal 18 3 4 7" xfId="36942" xr:uid="{E7CEA6F5-0689-4D66-8F49-FD6D74F793FC}"/>
    <cellStyle name="Normal 18 3 5" xfId="6563" xr:uid="{00000000-0005-0000-0000-00009C110000}"/>
    <cellStyle name="Normal 18 3 5 2" xfId="14996" xr:uid="{00000000-0005-0000-0000-00009D110000}"/>
    <cellStyle name="Normal 18 3 5 2 2" xfId="26890" xr:uid="{CBF623E8-B0F6-44E0-B80E-F7FA930BB28B}"/>
    <cellStyle name="Normal 18 3 5 2 3" xfId="21230" xr:uid="{423C3F9D-7938-4BA3-8F6C-6035372AD130}"/>
    <cellStyle name="Normal 18 3 5 2 4" xfId="32270" xr:uid="{D3718130-399F-41A8-A0E4-CD49B30EB188}"/>
    <cellStyle name="Normal 18 3 5 2 5" xfId="36947" xr:uid="{A95F0EB1-2162-4BD5-9D28-ED01A76F72D7}"/>
    <cellStyle name="Normal 18 3 5 3" xfId="24057" xr:uid="{185C1254-5A92-445F-BDAC-30C1CC623F6A}"/>
    <cellStyle name="Normal 18 3 5 4" xfId="18397" xr:uid="{CCA4E41D-F779-472E-9238-80F21E3901B6}"/>
    <cellStyle name="Normal 18 3 5 5" xfId="29718" xr:uid="{39B6AFBF-16A5-4A9E-A1A8-4756226F38B2}"/>
    <cellStyle name="Normal 18 3 5 6" xfId="36946" xr:uid="{21485A9C-5245-4CCA-BD6B-243C8812D61F}"/>
    <cellStyle name="Normal 18 3 6" xfId="7798" xr:uid="{00000000-0005-0000-0000-00009E110000}"/>
    <cellStyle name="Normal 18 3 6 2" xfId="25284" xr:uid="{F052361C-097F-48CC-83E3-0473D4E5313C}"/>
    <cellStyle name="Normal 18 3 6 3" xfId="19624" xr:uid="{66AD1A51-7404-4366-A14D-C07DA283751B}"/>
    <cellStyle name="Normal 18 3 6 4" xfId="30945" xr:uid="{154E6731-EABF-4A3B-B604-519EA1C4F2BB}"/>
    <cellStyle name="Normal 18 3 6 5" xfId="36948" xr:uid="{0165E070-DD70-407B-A428-D576F69D9268}"/>
    <cellStyle name="Normal 18 3 7" xfId="22495" xr:uid="{AD884F24-C83C-4303-B21F-E1BBFE2EF6C7}"/>
    <cellStyle name="Normal 18 3 7 2" xfId="36949" xr:uid="{F429D7D8-B1B8-47EB-BF5A-DB6D8C977B82}"/>
    <cellStyle name="Normal 18 3 8" xfId="16835" xr:uid="{7A8F2609-0B81-4F65-9351-FF66F56D0AC4}"/>
    <cellStyle name="Normal 18 3 9" xfId="28156" xr:uid="{277509DB-6C4A-450D-83F6-6573A258FD04}"/>
    <cellStyle name="Normal 18 4" xfId="6039" xr:uid="{00000000-0005-0000-0000-00009F110000}"/>
    <cellStyle name="Normal 18 4 2" xfId="36950" xr:uid="{BC57C13A-D571-43D2-8590-E8C556EFCBFA}"/>
    <cellStyle name="Normal 18 5" xfId="7797" xr:uid="{00000000-0005-0000-0000-0000A0110000}"/>
    <cellStyle name="Normal 18 5 2" xfId="25283" xr:uid="{26CA9A6C-7FEB-43D8-A893-2A8607A4D8A9}"/>
    <cellStyle name="Normal 18 5 3" xfId="19623" xr:uid="{193F13BF-125F-4299-8771-FD07A13922AA}"/>
    <cellStyle name="Normal 18 5 4" xfId="30944" xr:uid="{B07F23EE-CAFD-4FEE-AFD1-E86E269CFBBE}"/>
    <cellStyle name="Normal 18 5 5" xfId="36951" xr:uid="{8B23F1AA-896D-4BE2-8023-3B97B473E990}"/>
    <cellStyle name="Normal 18 6" xfId="36922" xr:uid="{91635151-FA71-4C78-BA17-29503B37A6B1}"/>
    <cellStyle name="Normal 19" xfId="2026" xr:uid="{00000000-0005-0000-0000-0000A1110000}"/>
    <cellStyle name="Normal 19 2" xfId="9652" xr:uid="{00000000-0005-0000-0000-0000A2110000}"/>
    <cellStyle name="Normal 19 2 2" xfId="36953" xr:uid="{DA933015-F546-4A49-A85A-02B74041671B}"/>
    <cellStyle name="Normal 19 3" xfId="36952" xr:uid="{F72715D1-4C21-4713-B0F3-CF6AAB9F05C1}"/>
    <cellStyle name="Normal 2" xfId="4" xr:uid="{00000000-0005-0000-0000-0000A3110000}"/>
    <cellStyle name="Normal 2 10" xfId="265" xr:uid="{00000000-0005-0000-0000-0000A4110000}"/>
    <cellStyle name="Normal 2 10 2" xfId="2028" xr:uid="{00000000-0005-0000-0000-0000A5110000}"/>
    <cellStyle name="Normal 2 10 2 2" xfId="36956" xr:uid="{EE65E596-C0C9-4C05-863D-5055353E5FAA}"/>
    <cellStyle name="Normal 2 10 3" xfId="4811" xr:uid="{00000000-0005-0000-0000-0000A6110000}"/>
    <cellStyle name="Normal 2 10 3 2" xfId="5233" xr:uid="{00000000-0005-0000-0000-0000A7110000}"/>
    <cellStyle name="Normal 2 10 3 2 2" xfId="7096" xr:uid="{00000000-0005-0000-0000-0000A8110000}"/>
    <cellStyle name="Normal 2 10 3 2 2 2" xfId="15529" xr:uid="{00000000-0005-0000-0000-0000A9110000}"/>
    <cellStyle name="Normal 2 10 3 2 2 2 2" xfId="27423" xr:uid="{F65D8409-4FDC-4753-8133-14AD52CB0F2E}"/>
    <cellStyle name="Normal 2 10 3 2 2 2 3" xfId="21763" xr:uid="{4B973192-D557-4F14-8DF6-63D0CF281A55}"/>
    <cellStyle name="Normal 2 10 3 2 2 2 4" xfId="32803" xr:uid="{718F9721-273B-4972-98A1-21BA0342C148}"/>
    <cellStyle name="Normal 2 10 3 2 2 2 5" xfId="36960" xr:uid="{3A7297E2-4B5D-4D99-81C7-F42214298699}"/>
    <cellStyle name="Normal 2 10 3 2 2 3" xfId="24590" xr:uid="{B2DDB361-9A52-4AEC-9614-FBFB8F67D503}"/>
    <cellStyle name="Normal 2 10 3 2 2 4" xfId="18930" xr:uid="{CAB621D6-304A-4419-8104-B42CE29F3B7E}"/>
    <cellStyle name="Normal 2 10 3 2 2 5" xfId="30251" xr:uid="{EA5261DC-ADA4-43EA-A1B8-DD3EEF5734BA}"/>
    <cellStyle name="Normal 2 10 3 2 2 6" xfId="36959" xr:uid="{DF5EF964-7289-4290-80FA-29EB83E87440}"/>
    <cellStyle name="Normal 2 10 3 2 3" xfId="14119" xr:uid="{00000000-0005-0000-0000-0000AA110000}"/>
    <cellStyle name="Normal 2 10 3 2 3 2" xfId="26158" xr:uid="{3468ED2D-B9A7-4337-A112-6B216C883DC7}"/>
    <cellStyle name="Normal 2 10 3 2 3 3" xfId="20498" xr:uid="{A7F33380-1D68-4957-A906-FA74B838B84D}"/>
    <cellStyle name="Normal 2 10 3 2 3 4" xfId="31538" xr:uid="{6CF6B7BC-9195-4692-B65B-91F176C98B7A}"/>
    <cellStyle name="Normal 2 10 3 2 3 5" xfId="36961" xr:uid="{791C5AFC-A3C1-4118-BB09-640A97ED02C3}"/>
    <cellStyle name="Normal 2 10 3 2 4" xfId="23028" xr:uid="{7E4DD2B5-5467-40AE-84D7-49DFCE0A9B70}"/>
    <cellStyle name="Normal 2 10 3 2 5" xfId="17368" xr:uid="{355ED110-7B7F-4BF3-A926-4495FDAB776C}"/>
    <cellStyle name="Normal 2 10 3 2 6" xfId="28689" xr:uid="{96C0CF88-C837-4871-B052-55186E0F9475}"/>
    <cellStyle name="Normal 2 10 3 2 7" xfId="36958" xr:uid="{A2183E57-2B39-47DE-871F-50D181971D41}"/>
    <cellStyle name="Normal 2 10 3 3" xfId="6043" xr:uid="{00000000-0005-0000-0000-0000AB110000}"/>
    <cellStyle name="Normal 2 10 3 3 2" xfId="7385" xr:uid="{00000000-0005-0000-0000-0000AC110000}"/>
    <cellStyle name="Normal 2 10 3 3 2 2" xfId="15818" xr:uid="{00000000-0005-0000-0000-0000AD110000}"/>
    <cellStyle name="Normal 2 10 3 3 2 2 2" xfId="27712" xr:uid="{A5E31065-A696-45C2-9A92-DEA32D1AA518}"/>
    <cellStyle name="Normal 2 10 3 3 2 2 3" xfId="22052" xr:uid="{C9075CF4-A95A-468D-B1BF-714950BF4DDD}"/>
    <cellStyle name="Normal 2 10 3 3 2 2 4" xfId="33092" xr:uid="{722EA3EA-25DF-4598-8562-CBE1A07D7D65}"/>
    <cellStyle name="Normal 2 10 3 3 2 2 5" xfId="36964" xr:uid="{E73F67BB-AC02-49CA-9D89-6B9CFC1AE860}"/>
    <cellStyle name="Normal 2 10 3 3 2 3" xfId="24879" xr:uid="{3FAB2C9D-0637-4475-A7EE-6092F2E4C54C}"/>
    <cellStyle name="Normal 2 10 3 3 2 4" xfId="19219" xr:uid="{C123DB79-F4D1-49D1-8CE9-313488CC49C7}"/>
    <cellStyle name="Normal 2 10 3 3 2 5" xfId="30540" xr:uid="{C2F332C6-C21E-438D-8CE9-966ED3F762EE}"/>
    <cellStyle name="Normal 2 10 3 3 2 6" xfId="36963" xr:uid="{DDF15F79-4BFD-4703-B7E7-6208563A3E90}"/>
    <cellStyle name="Normal 2 10 3 3 3" xfId="14498" xr:uid="{00000000-0005-0000-0000-0000AE110000}"/>
    <cellStyle name="Normal 2 10 3 3 3 2" xfId="26456" xr:uid="{CB994180-136C-4A1B-AF93-8DA8BB2A227F}"/>
    <cellStyle name="Normal 2 10 3 3 3 3" xfId="20796" xr:uid="{821B4EAB-3F7E-4A46-B0A4-362964B622F8}"/>
    <cellStyle name="Normal 2 10 3 3 3 4" xfId="31836" xr:uid="{7BE53467-0452-4504-A6C2-C45B3EA61361}"/>
    <cellStyle name="Normal 2 10 3 3 3 5" xfId="36965" xr:uid="{6D5D484B-154C-4738-8F4E-3C6830BC7CDA}"/>
    <cellStyle name="Normal 2 10 3 3 4" xfId="23623" xr:uid="{84E776F4-E037-45CE-B730-27D0063BFE9B}"/>
    <cellStyle name="Normal 2 10 3 3 5" xfId="17963" xr:uid="{4DB71DA7-9FE5-4891-A70A-441B1A8DDCEC}"/>
    <cellStyle name="Normal 2 10 3 3 6" xfId="29284" xr:uid="{F662B26F-3663-47CF-9899-91772D0F2527}"/>
    <cellStyle name="Normal 2 10 3 3 7" xfId="36962" xr:uid="{2504510A-5755-4FE5-A2D9-F1FC530C94C8}"/>
    <cellStyle name="Normal 2 10 3 4" xfId="6678" xr:uid="{00000000-0005-0000-0000-0000AF110000}"/>
    <cellStyle name="Normal 2 10 3 4 2" xfId="15111" xr:uid="{00000000-0005-0000-0000-0000B0110000}"/>
    <cellStyle name="Normal 2 10 3 4 2 2" xfId="27005" xr:uid="{A455DA55-0668-459B-988A-DE920B32A078}"/>
    <cellStyle name="Normal 2 10 3 4 2 3" xfId="21345" xr:uid="{BBA56A89-5B6A-4FBD-863A-99F89570BE20}"/>
    <cellStyle name="Normal 2 10 3 4 2 4" xfId="32385" xr:uid="{1025630E-60CC-4EBC-AE46-88FFEDCF7C69}"/>
    <cellStyle name="Normal 2 10 3 4 2 5" xfId="36967" xr:uid="{76910FDA-CB18-4AC0-AACE-2CA034E191BF}"/>
    <cellStyle name="Normal 2 10 3 4 3" xfId="24172" xr:uid="{E311BA18-E196-427C-860A-51B8875C030D}"/>
    <cellStyle name="Normal 2 10 3 4 4" xfId="18512" xr:uid="{8B633ED4-9E1F-4AC9-B535-2304FCD8DC2C}"/>
    <cellStyle name="Normal 2 10 3 4 5" xfId="29833" xr:uid="{8D71F61C-C0AC-441C-BF18-0C9265B3AAED}"/>
    <cellStyle name="Normal 2 10 3 4 6" xfId="36966" xr:uid="{3AAB3612-6459-4918-BFAF-DE1778EEA9E9}"/>
    <cellStyle name="Normal 2 10 3 5" xfId="7800" xr:uid="{00000000-0005-0000-0000-0000B1110000}"/>
    <cellStyle name="Normal 2 10 3 5 2" xfId="25286" xr:uid="{F528FEE9-865B-47FC-9BBA-623B6E2EDDF3}"/>
    <cellStyle name="Normal 2 10 3 5 3" xfId="19626" xr:uid="{7612EBF8-34F0-4AC2-BFE7-E658C71B59D1}"/>
    <cellStyle name="Normal 2 10 3 5 4" xfId="30947" xr:uid="{B9BB90AA-D888-4B17-B01F-8A2F7AA27B11}"/>
    <cellStyle name="Normal 2 10 3 5 5" xfId="36968" xr:uid="{1E19BD47-31DB-4CBE-BBBA-C08BF33EE15F}"/>
    <cellStyle name="Normal 2 10 3 6" xfId="22610" xr:uid="{B8A7C172-99AC-4DE6-96C1-20E65BC0A71B}"/>
    <cellStyle name="Normal 2 10 3 7" xfId="16950" xr:uid="{7BF6042A-8023-4739-8EE0-0140CE115151}"/>
    <cellStyle name="Normal 2 10 3 8" xfId="28271" xr:uid="{83191B47-38E2-44BF-B23C-8957335C756A}"/>
    <cellStyle name="Normal 2 10 3 9" xfId="36957" xr:uid="{E7711449-6640-4083-B402-9561A94FC735}"/>
    <cellStyle name="Normal 2 10 4" xfId="5024" xr:uid="{00000000-0005-0000-0000-0000B2110000}"/>
    <cellStyle name="Normal 2 10 4 2" xfId="6042" xr:uid="{00000000-0005-0000-0000-0000B3110000}"/>
    <cellStyle name="Normal 2 10 4 2 2" xfId="7384" xr:uid="{00000000-0005-0000-0000-0000B4110000}"/>
    <cellStyle name="Normal 2 10 4 2 2 2" xfId="15817" xr:uid="{00000000-0005-0000-0000-0000B5110000}"/>
    <cellStyle name="Normal 2 10 4 2 2 2 2" xfId="27711" xr:uid="{90CF469D-3492-4C2C-BC79-8BADB901A842}"/>
    <cellStyle name="Normal 2 10 4 2 2 2 3" xfId="22051" xr:uid="{40F98F5B-2EBF-474E-B58F-87C07AB9429F}"/>
    <cellStyle name="Normal 2 10 4 2 2 2 4" xfId="33091" xr:uid="{765C228C-4483-4BA6-8839-2873E5683663}"/>
    <cellStyle name="Normal 2 10 4 2 2 2 5" xfId="36972" xr:uid="{FB1BD935-F75B-46F7-8993-76D3C09CF34E}"/>
    <cellStyle name="Normal 2 10 4 2 2 3" xfId="24878" xr:uid="{113EC1B3-2A6D-475D-8CBD-F4826D06494E}"/>
    <cellStyle name="Normal 2 10 4 2 2 4" xfId="19218" xr:uid="{0D1E79F2-FEE4-4F52-94A8-09423DCFEBE6}"/>
    <cellStyle name="Normal 2 10 4 2 2 5" xfId="30539" xr:uid="{769DB011-561E-4081-A138-16382203B55D}"/>
    <cellStyle name="Normal 2 10 4 2 2 6" xfId="36971" xr:uid="{A984E476-A41B-4958-8AFB-EEA4325B1840}"/>
    <cellStyle name="Normal 2 10 4 2 3" xfId="14497" xr:uid="{00000000-0005-0000-0000-0000B6110000}"/>
    <cellStyle name="Normal 2 10 4 2 3 2" xfId="26455" xr:uid="{BF3C3AA3-2855-4307-B753-89DE8050F4A5}"/>
    <cellStyle name="Normal 2 10 4 2 3 3" xfId="20795" xr:uid="{1965B44D-8858-434B-9668-CD5F108A04EC}"/>
    <cellStyle name="Normal 2 10 4 2 3 4" xfId="31835" xr:uid="{A2FBDA8E-7972-4EC7-BBB0-353C4AD3554A}"/>
    <cellStyle name="Normal 2 10 4 2 3 5" xfId="36973" xr:uid="{D6632242-559D-4546-B8BF-0E0C58B8A56A}"/>
    <cellStyle name="Normal 2 10 4 2 4" xfId="23622" xr:uid="{2AA0232A-A210-4AC4-8128-09161C371E1A}"/>
    <cellStyle name="Normal 2 10 4 2 5" xfId="17962" xr:uid="{6D360C74-0B08-4EF1-8489-EC6B99AEC0C2}"/>
    <cellStyle name="Normal 2 10 4 2 6" xfId="29283" xr:uid="{0513188C-A412-415E-97A2-69164787AFFE}"/>
    <cellStyle name="Normal 2 10 4 2 7" xfId="36970" xr:uid="{C5BE3034-0557-4BC9-8EBC-6CCF1480A9BF}"/>
    <cellStyle name="Normal 2 10 4 3" xfId="6887" xr:uid="{00000000-0005-0000-0000-0000B7110000}"/>
    <cellStyle name="Normal 2 10 4 3 2" xfId="15320" xr:uid="{00000000-0005-0000-0000-0000B8110000}"/>
    <cellStyle name="Normal 2 10 4 3 2 2" xfId="27214" xr:uid="{3DD9E2E6-78C0-4FB7-9F7F-011E60599CA6}"/>
    <cellStyle name="Normal 2 10 4 3 2 3" xfId="21554" xr:uid="{A2673EB5-57A9-4D74-882B-3828DAEFA808}"/>
    <cellStyle name="Normal 2 10 4 3 2 4" xfId="32594" xr:uid="{DD0E6DE1-8FA8-4431-B412-DB1CC12F0B5C}"/>
    <cellStyle name="Normal 2 10 4 3 2 5" xfId="36975" xr:uid="{F14E2FC8-731A-4922-A8CE-FFF9D8C48394}"/>
    <cellStyle name="Normal 2 10 4 3 3" xfId="24381" xr:uid="{BC056751-9F0F-42E4-827C-1E36DEF4DCF7}"/>
    <cellStyle name="Normal 2 10 4 3 4" xfId="18721" xr:uid="{5549415D-B9DF-4134-8928-F11C1B5E708B}"/>
    <cellStyle name="Normal 2 10 4 3 5" xfId="30042" xr:uid="{29E72A2C-167C-41E0-B900-672ADE9A146E}"/>
    <cellStyle name="Normal 2 10 4 3 6" xfId="36974" xr:uid="{A651DAD6-FCE3-46BD-8862-C0933C036532}"/>
    <cellStyle name="Normal 2 10 4 4" xfId="7801" xr:uid="{00000000-0005-0000-0000-0000B9110000}"/>
    <cellStyle name="Normal 2 10 4 4 2" xfId="25287" xr:uid="{2CC24545-F276-419D-A645-B51734F87C1B}"/>
    <cellStyle name="Normal 2 10 4 4 3" xfId="19627" xr:uid="{E4D214B2-9044-47FA-A951-C2EF7B5D07A0}"/>
    <cellStyle name="Normal 2 10 4 4 4" xfId="30948" xr:uid="{02AAD14C-31D0-4187-8815-1D28C35F0310}"/>
    <cellStyle name="Normal 2 10 4 4 5" xfId="36976" xr:uid="{E2E8D129-60A2-43E1-B87F-45843E4B8320}"/>
    <cellStyle name="Normal 2 10 4 5" xfId="22819" xr:uid="{E38BEEFC-1DDF-4581-BC8F-5E110D754E8D}"/>
    <cellStyle name="Normal 2 10 4 6" xfId="17159" xr:uid="{4BDBAAA5-57D8-4DB2-AD83-3C110165B3C7}"/>
    <cellStyle name="Normal 2 10 4 7" xfId="28480" xr:uid="{2989C4E0-77C3-4683-939A-065E7E93BE6C}"/>
    <cellStyle name="Normal 2 10 4 8" xfId="36969" xr:uid="{23E3EBB8-EE0D-4327-81F7-D94C60857EF8}"/>
    <cellStyle name="Normal 2 10 5" xfId="6469" xr:uid="{00000000-0005-0000-0000-0000BA110000}"/>
    <cellStyle name="Normal 2 10 5 2" xfId="14902" xr:uid="{00000000-0005-0000-0000-0000BB110000}"/>
    <cellStyle name="Normal 2 10 5 2 2" xfId="26796" xr:uid="{11C50285-96E3-43F3-B87B-E50D189A3CD9}"/>
    <cellStyle name="Normal 2 10 5 2 3" xfId="21136" xr:uid="{2CF115E2-7012-4065-BE07-AA13988155D7}"/>
    <cellStyle name="Normal 2 10 5 2 4" xfId="32176" xr:uid="{BAA451A6-832E-43BC-9649-0FF296643628}"/>
    <cellStyle name="Normal 2 10 5 2 5" xfId="36978" xr:uid="{1708909C-C224-4483-A9B8-16A7AEDCCBB2}"/>
    <cellStyle name="Normal 2 10 5 3" xfId="23963" xr:uid="{3A7EDCAF-89B6-4C81-AFFE-EB39E85FDB4E}"/>
    <cellStyle name="Normal 2 10 5 4" xfId="18303" xr:uid="{7A13981F-5BBA-4B00-B913-6D4A9C96E4EB}"/>
    <cellStyle name="Normal 2 10 5 5" xfId="29624" xr:uid="{0F0536D8-29C6-4931-A733-BDECB658DA71}"/>
    <cellStyle name="Normal 2 10 5 6" xfId="36977" xr:uid="{2EF82241-E40F-4EBB-A6A0-3B09BFD9327C}"/>
    <cellStyle name="Normal 2 10 6" xfId="22401" xr:uid="{EE54022E-746A-4254-BAA0-6453A75CBEC5}"/>
    <cellStyle name="Normal 2 10 6 2" xfId="36979" xr:uid="{ECFDD0C4-7466-4104-815B-60FF4D8B15E5}"/>
    <cellStyle name="Normal 2 10 7" xfId="16741" xr:uid="{4E05A1D8-DF64-48E8-A5A6-4BF13DE1204B}"/>
    <cellStyle name="Normal 2 10 8" xfId="28062" xr:uid="{D913B310-7ACB-483F-BECB-E912F00BFDDE}"/>
    <cellStyle name="Normal 2 10 9" xfId="36955" xr:uid="{7C11E6E2-6E3C-45F3-A874-49D559D73011}"/>
    <cellStyle name="Normal 2 11" xfId="2029" xr:uid="{00000000-0005-0000-0000-0000BC110000}"/>
    <cellStyle name="Normal 2 11 2" xfId="36981" xr:uid="{72487E10-03BA-40D5-B16F-FB30791E806A}"/>
    <cellStyle name="Normal 2 11 2 2" xfId="49778" xr:uid="{5FBA6185-3D21-4C17-B2D9-CE4C6F44609F}"/>
    <cellStyle name="Normal 2 11 3" xfId="36982" xr:uid="{804E7B8F-3A59-406B-9345-A133BD31DC2A}"/>
    <cellStyle name="Normal 2 11 3 2" xfId="49779" xr:uid="{C78C67E0-FFC2-4610-854F-ACD019A0BF06}"/>
    <cellStyle name="Normal 2 11 4" xfId="36980" xr:uid="{20919170-8368-4B4E-9437-DA775AD19A35}"/>
    <cellStyle name="Normal 2 12" xfId="2030" xr:uid="{00000000-0005-0000-0000-0000BD110000}"/>
    <cellStyle name="Normal 2 12 2" xfId="36983" xr:uid="{962B247A-E906-4E4D-B97F-4F5DB8BAEB69}"/>
    <cellStyle name="Normal 2 13" xfId="2031" xr:uid="{00000000-0005-0000-0000-0000BE110000}"/>
    <cellStyle name="Normal 2 13 2" xfId="36984" xr:uid="{AC9BEB7B-F8F0-412A-A142-B551B6725687}"/>
    <cellStyle name="Normal 2 14" xfId="2032" xr:uid="{00000000-0005-0000-0000-0000BF110000}"/>
    <cellStyle name="Normal 2 14 2" xfId="36985" xr:uid="{B51FDA39-F0E2-4389-BAC3-E9AFCF8E0103}"/>
    <cellStyle name="Normal 2 15" xfId="2033" xr:uid="{00000000-0005-0000-0000-0000C0110000}"/>
    <cellStyle name="Normal 2 15 2" xfId="36986" xr:uid="{4F5BDF52-C873-46E4-B9C4-9BE2B56C8631}"/>
    <cellStyle name="Normal 2 16" xfId="2034" xr:uid="{00000000-0005-0000-0000-0000C1110000}"/>
    <cellStyle name="Normal 2 16 2" xfId="36987" xr:uid="{67FE2B47-E800-472B-ABF7-99EDEC54685A}"/>
    <cellStyle name="Normal 2 17" xfId="2035" xr:uid="{00000000-0005-0000-0000-0000C2110000}"/>
    <cellStyle name="Normal 2 17 2" xfId="36988" xr:uid="{15D268FF-237F-4763-A068-9FB04B38A1B0}"/>
    <cellStyle name="Normal 2 18" xfId="2036" xr:uid="{00000000-0005-0000-0000-0000C3110000}"/>
    <cellStyle name="Normal 2 18 2" xfId="4161" xr:uid="{00000000-0005-0000-0000-0000C4110000}"/>
    <cellStyle name="Normal 2 18 2 10" xfId="36990" xr:uid="{38CC2539-B4F9-4CB6-9AAD-90B1799B288C}"/>
    <cellStyle name="Normal 2 18 2 2" xfId="4909" xr:uid="{00000000-0005-0000-0000-0000C5110000}"/>
    <cellStyle name="Normal 2 18 2 2 2" xfId="5328" xr:uid="{00000000-0005-0000-0000-0000C6110000}"/>
    <cellStyle name="Normal 2 18 2 2 2 2" xfId="7191" xr:uid="{00000000-0005-0000-0000-0000C7110000}"/>
    <cellStyle name="Normal 2 18 2 2 2 2 2" xfId="15624" xr:uid="{00000000-0005-0000-0000-0000C8110000}"/>
    <cellStyle name="Normal 2 18 2 2 2 2 2 2" xfId="27518" xr:uid="{6C3FB7FD-24F9-4B89-B24B-3D6F78AA94A9}"/>
    <cellStyle name="Normal 2 18 2 2 2 2 2 3" xfId="21858" xr:uid="{BD7076AE-D060-4003-B152-66E4201C8C3E}"/>
    <cellStyle name="Normal 2 18 2 2 2 2 2 4" xfId="32898" xr:uid="{ED9DA7DA-2B7B-4566-B17E-09CE1B53153E}"/>
    <cellStyle name="Normal 2 18 2 2 2 2 2 5" xfId="36994" xr:uid="{63D701C9-8DF5-40D7-BF6C-382BBED9515C}"/>
    <cellStyle name="Normal 2 18 2 2 2 2 3" xfId="24685" xr:uid="{5E968C1D-287A-4269-952B-A5A7298972D6}"/>
    <cellStyle name="Normal 2 18 2 2 2 2 4" xfId="19025" xr:uid="{EB0BF00B-6EA2-42A1-BFCA-5AE12FBC5F89}"/>
    <cellStyle name="Normal 2 18 2 2 2 2 5" xfId="30346" xr:uid="{0E452672-4E14-41DB-ADA9-51269483FFBC}"/>
    <cellStyle name="Normal 2 18 2 2 2 2 6" xfId="36993" xr:uid="{88481E04-5DFC-460F-90E0-52657BFC3AAB}"/>
    <cellStyle name="Normal 2 18 2 2 2 3" xfId="14214" xr:uid="{00000000-0005-0000-0000-0000C9110000}"/>
    <cellStyle name="Normal 2 18 2 2 2 3 2" xfId="26253" xr:uid="{EAB46BEE-EBBE-489D-BD09-B448EF1C6839}"/>
    <cellStyle name="Normal 2 18 2 2 2 3 3" xfId="20593" xr:uid="{F2687A52-3BA9-4B7A-8242-CB4CD3E3EAC9}"/>
    <cellStyle name="Normal 2 18 2 2 2 3 4" xfId="31633" xr:uid="{D8ED0E52-D0C8-4FAF-8B31-2E7DE1626891}"/>
    <cellStyle name="Normal 2 18 2 2 2 3 5" xfId="36995" xr:uid="{265D5FF7-C56E-4B34-8904-4C111427BE22}"/>
    <cellStyle name="Normal 2 18 2 2 2 4" xfId="23123" xr:uid="{B50C4470-4DE8-4665-AD58-8009E5732B78}"/>
    <cellStyle name="Normal 2 18 2 2 2 5" xfId="17463" xr:uid="{1ECCC9DE-303A-4FC4-B079-9B0483985EB4}"/>
    <cellStyle name="Normal 2 18 2 2 2 6" xfId="28784" xr:uid="{3C77DFD9-5EA5-4C75-B037-3E00EE739092}"/>
    <cellStyle name="Normal 2 18 2 2 2 7" xfId="36992" xr:uid="{26AD9470-E37E-40CE-90B4-CEAAAF587787}"/>
    <cellStyle name="Normal 2 18 2 2 3" xfId="6045" xr:uid="{00000000-0005-0000-0000-0000CA110000}"/>
    <cellStyle name="Normal 2 18 2 2 3 2" xfId="7387" xr:uid="{00000000-0005-0000-0000-0000CB110000}"/>
    <cellStyle name="Normal 2 18 2 2 3 2 2" xfId="15820" xr:uid="{00000000-0005-0000-0000-0000CC110000}"/>
    <cellStyle name="Normal 2 18 2 2 3 2 2 2" xfId="27714" xr:uid="{2260610D-B895-4B89-86FA-1D522B2BBF4D}"/>
    <cellStyle name="Normal 2 18 2 2 3 2 2 3" xfId="22054" xr:uid="{22CF3668-491D-4026-A7B2-0C1716FEF1C7}"/>
    <cellStyle name="Normal 2 18 2 2 3 2 2 4" xfId="33094" xr:uid="{DAF63E80-29E9-40AE-913E-9C5F85C4E6D3}"/>
    <cellStyle name="Normal 2 18 2 2 3 2 2 5" xfId="36998" xr:uid="{F622CDB1-DB2B-48A3-B2CD-B769A34C7FDF}"/>
    <cellStyle name="Normal 2 18 2 2 3 2 3" xfId="24881" xr:uid="{7715BC01-C962-4B5A-8D06-BF15ECFF05D5}"/>
    <cellStyle name="Normal 2 18 2 2 3 2 4" xfId="19221" xr:uid="{DA7517F6-9C7C-46D4-A25C-30E9B83246C9}"/>
    <cellStyle name="Normal 2 18 2 2 3 2 5" xfId="30542" xr:uid="{AFE7B108-FE57-40FA-A8B2-CC79E29462AA}"/>
    <cellStyle name="Normal 2 18 2 2 3 2 6" xfId="36997" xr:uid="{FECB675C-8FB9-4315-ACAF-CBFDA7769D18}"/>
    <cellStyle name="Normal 2 18 2 2 3 3" xfId="14500" xr:uid="{00000000-0005-0000-0000-0000CD110000}"/>
    <cellStyle name="Normal 2 18 2 2 3 3 2" xfId="26458" xr:uid="{40FA6DF4-883C-4631-8902-3B0FA9BE5DAE}"/>
    <cellStyle name="Normal 2 18 2 2 3 3 3" xfId="20798" xr:uid="{FDFD5CFC-FF8C-461B-A7EA-02B42F4A2D39}"/>
    <cellStyle name="Normal 2 18 2 2 3 3 4" xfId="31838" xr:uid="{6D96D610-D1E6-4E8D-BB2B-FC4881A1E88F}"/>
    <cellStyle name="Normal 2 18 2 2 3 3 5" xfId="36999" xr:uid="{8AA8A18E-4B14-450D-A18D-D713D42F917A}"/>
    <cellStyle name="Normal 2 18 2 2 3 4" xfId="23625" xr:uid="{A5D0F133-8FD3-49A1-AC1D-806549AEA35D}"/>
    <cellStyle name="Normal 2 18 2 2 3 5" xfId="17965" xr:uid="{0F9EAA52-63AF-4853-9C58-904FB6489864}"/>
    <cellStyle name="Normal 2 18 2 2 3 6" xfId="29286" xr:uid="{3360D99D-5C95-4DB3-8DFD-9699038A2097}"/>
    <cellStyle name="Normal 2 18 2 2 3 7" xfId="36996" xr:uid="{90F2B187-525B-4B01-A1D2-1D3D43B0CA90}"/>
    <cellStyle name="Normal 2 18 2 2 4" xfId="6773" xr:uid="{00000000-0005-0000-0000-0000CE110000}"/>
    <cellStyle name="Normal 2 18 2 2 4 2" xfId="15206" xr:uid="{00000000-0005-0000-0000-0000CF110000}"/>
    <cellStyle name="Normal 2 18 2 2 4 2 2" xfId="27100" xr:uid="{48F54942-5CA4-4857-8668-BA24CF60E181}"/>
    <cellStyle name="Normal 2 18 2 2 4 2 3" xfId="21440" xr:uid="{16AF2681-B080-445A-85AB-70F44C195CEE}"/>
    <cellStyle name="Normal 2 18 2 2 4 2 4" xfId="32480" xr:uid="{9C32DB3E-F905-45F0-829C-4340B12FE779}"/>
    <cellStyle name="Normal 2 18 2 2 4 2 5" xfId="37001" xr:uid="{D5EFCBCD-76D0-43C5-A73B-724812053B66}"/>
    <cellStyle name="Normal 2 18 2 2 4 3" xfId="24267" xr:uid="{3EF45D85-512E-4ED9-892D-4C2CDCDD02BC}"/>
    <cellStyle name="Normal 2 18 2 2 4 4" xfId="18607" xr:uid="{482D8D5C-835C-449D-AB70-1768C85E19E1}"/>
    <cellStyle name="Normal 2 18 2 2 4 5" xfId="29928" xr:uid="{F1D8B63E-FFD7-42EA-9821-E97BEE3FA8B1}"/>
    <cellStyle name="Normal 2 18 2 2 4 6" xfId="37000" xr:uid="{1F436ED7-5A63-46AB-AC54-687427C1B807}"/>
    <cellStyle name="Normal 2 18 2 2 5" xfId="7804" xr:uid="{00000000-0005-0000-0000-0000D0110000}"/>
    <cellStyle name="Normal 2 18 2 2 5 2" xfId="25290" xr:uid="{7049687B-FC54-4BF2-B7B7-97D0D1CB9C12}"/>
    <cellStyle name="Normal 2 18 2 2 5 3" xfId="19630" xr:uid="{950FB78E-9889-47D4-97FF-65FB22021123}"/>
    <cellStyle name="Normal 2 18 2 2 5 4" xfId="30951" xr:uid="{6E72ACB0-5180-47F1-AE41-9E183483B7CB}"/>
    <cellStyle name="Normal 2 18 2 2 5 5" xfId="37002" xr:uid="{20A624D3-5548-47E0-B96D-833F4C91291A}"/>
    <cellStyle name="Normal 2 18 2 2 6" xfId="22705" xr:uid="{B78C7C8B-9D38-41B8-B282-6E628D84844C}"/>
    <cellStyle name="Normal 2 18 2 2 7" xfId="17045" xr:uid="{947A2AB9-ADBD-4FF9-8F06-09C9203BE2C9}"/>
    <cellStyle name="Normal 2 18 2 2 8" xfId="28366" xr:uid="{B75D5A8E-FFFA-462D-A45F-A4AC63AA7391}"/>
    <cellStyle name="Normal 2 18 2 2 9" xfId="36991" xr:uid="{933A2F59-9CF9-4CC6-AB24-E956F48557F7}"/>
    <cellStyle name="Normal 2 18 2 3" xfId="5119" xr:uid="{00000000-0005-0000-0000-0000D1110000}"/>
    <cellStyle name="Normal 2 18 2 3 2" xfId="6982" xr:uid="{00000000-0005-0000-0000-0000D2110000}"/>
    <cellStyle name="Normal 2 18 2 3 2 2" xfId="15415" xr:uid="{00000000-0005-0000-0000-0000D3110000}"/>
    <cellStyle name="Normal 2 18 2 3 2 2 2" xfId="27309" xr:uid="{BEB53DEE-1AB2-4AFF-9006-6DDE92DC95D3}"/>
    <cellStyle name="Normal 2 18 2 3 2 2 3" xfId="21649" xr:uid="{6A224AFD-2426-4378-A469-3E88876D0FF4}"/>
    <cellStyle name="Normal 2 18 2 3 2 2 4" xfId="32689" xr:uid="{7BFA6FCC-69EB-4A4F-874D-16634A18FDDC}"/>
    <cellStyle name="Normal 2 18 2 3 2 2 5" xfId="37005" xr:uid="{F3713E54-33B6-4DF5-819C-97308E5F50D9}"/>
    <cellStyle name="Normal 2 18 2 3 2 3" xfId="24476" xr:uid="{BBD38361-8CD5-49D6-9B38-3184F0876657}"/>
    <cellStyle name="Normal 2 18 2 3 2 4" xfId="18816" xr:uid="{404FFB3D-1201-413D-B39A-3170C41ECA67}"/>
    <cellStyle name="Normal 2 18 2 3 2 5" xfId="30137" xr:uid="{E636627B-516B-4033-94E0-D6C5676E9112}"/>
    <cellStyle name="Normal 2 18 2 3 2 6" xfId="37004" xr:uid="{2FEE606B-8B45-4EC2-8364-A3BA6C9CCC9B}"/>
    <cellStyle name="Normal 2 18 2 3 3" xfId="14006" xr:uid="{00000000-0005-0000-0000-0000D4110000}"/>
    <cellStyle name="Normal 2 18 2 3 3 2" xfId="26045" xr:uid="{FA205655-A115-43DC-A952-35913D82446F}"/>
    <cellStyle name="Normal 2 18 2 3 3 3" xfId="20385" xr:uid="{AAE8D0CF-704A-4E63-A45A-DDCA64F46E1D}"/>
    <cellStyle name="Normal 2 18 2 3 3 4" xfId="31425" xr:uid="{D5A220D5-41E9-463B-9C35-A4BE9A0EDAE1}"/>
    <cellStyle name="Normal 2 18 2 3 3 5" xfId="37006" xr:uid="{D9273079-F967-403E-96F6-6443D19CB196}"/>
    <cellStyle name="Normal 2 18 2 3 4" xfId="22914" xr:uid="{8A7B2CA6-C1B8-4C15-B51D-DBF12B4B5985}"/>
    <cellStyle name="Normal 2 18 2 3 5" xfId="17254" xr:uid="{2F13F1AF-9F30-47D8-827B-6AF3791D5A40}"/>
    <cellStyle name="Normal 2 18 2 3 6" xfId="28575" xr:uid="{487A4B3C-2356-42AD-A506-C7B737198E8C}"/>
    <cellStyle name="Normal 2 18 2 3 7" xfId="37003" xr:uid="{ABD1C44B-A13E-4101-B3ED-2E0285258E79}"/>
    <cellStyle name="Normal 2 18 2 4" xfId="6044" xr:uid="{00000000-0005-0000-0000-0000D5110000}"/>
    <cellStyle name="Normal 2 18 2 4 2" xfId="7386" xr:uid="{00000000-0005-0000-0000-0000D6110000}"/>
    <cellStyle name="Normal 2 18 2 4 2 2" xfId="15819" xr:uid="{00000000-0005-0000-0000-0000D7110000}"/>
    <cellStyle name="Normal 2 18 2 4 2 2 2" xfId="27713" xr:uid="{18072896-08C1-44DD-9C58-C2AC4F938997}"/>
    <cellStyle name="Normal 2 18 2 4 2 2 3" xfId="22053" xr:uid="{B9C5337A-0F12-49CB-9583-5C2BB9EB119B}"/>
    <cellStyle name="Normal 2 18 2 4 2 2 4" xfId="33093" xr:uid="{7C07913C-C08F-48ED-ADEF-248FC2B9C8E7}"/>
    <cellStyle name="Normal 2 18 2 4 2 2 5" xfId="37009" xr:uid="{C9A52B4D-99CD-4401-B424-BC164B7452D0}"/>
    <cellStyle name="Normal 2 18 2 4 2 3" xfId="24880" xr:uid="{C68415B7-B3D7-4B6D-AA01-EEA10C4DD456}"/>
    <cellStyle name="Normal 2 18 2 4 2 4" xfId="19220" xr:uid="{80005F51-C6C4-48EC-8E8C-C76BFEA42670}"/>
    <cellStyle name="Normal 2 18 2 4 2 5" xfId="30541" xr:uid="{48AC3A7F-9536-4B9C-A6CA-A02D2B847D81}"/>
    <cellStyle name="Normal 2 18 2 4 2 6" xfId="37008" xr:uid="{E7168BC9-C97F-4C29-8E78-8D4936F142EE}"/>
    <cellStyle name="Normal 2 18 2 4 3" xfId="14499" xr:uid="{00000000-0005-0000-0000-0000D8110000}"/>
    <cellStyle name="Normal 2 18 2 4 3 2" xfId="26457" xr:uid="{635D4FB6-50E9-4049-BA77-3BB33BB41EA7}"/>
    <cellStyle name="Normal 2 18 2 4 3 3" xfId="20797" xr:uid="{9B357D28-1F42-40E5-9527-B25D2FF3CB8B}"/>
    <cellStyle name="Normal 2 18 2 4 3 4" xfId="31837" xr:uid="{A55951A3-9ED6-4D3A-AE42-D3984E2D7C1A}"/>
    <cellStyle name="Normal 2 18 2 4 3 5" xfId="37010" xr:uid="{93B1BD75-8D0F-430A-9952-8D99989109B8}"/>
    <cellStyle name="Normal 2 18 2 4 4" xfId="23624" xr:uid="{544B1704-3529-4876-A160-4C83B05BF1EC}"/>
    <cellStyle name="Normal 2 18 2 4 5" xfId="17964" xr:uid="{CC390ECE-D594-4BF8-B91F-66EAFB455994}"/>
    <cellStyle name="Normal 2 18 2 4 6" xfId="29285" xr:uid="{F9B9F5B8-B21C-4398-86F2-A35D8C3E94E0}"/>
    <cellStyle name="Normal 2 18 2 4 7" xfId="37007" xr:uid="{79C65D73-6402-44FF-B36C-7BF41DBA78D2}"/>
    <cellStyle name="Normal 2 18 2 5" xfId="6564" xr:uid="{00000000-0005-0000-0000-0000D9110000}"/>
    <cellStyle name="Normal 2 18 2 5 2" xfId="14997" xr:uid="{00000000-0005-0000-0000-0000DA110000}"/>
    <cellStyle name="Normal 2 18 2 5 2 2" xfId="26891" xr:uid="{EAEA2FEE-5B28-48FB-97A1-F751434AFF32}"/>
    <cellStyle name="Normal 2 18 2 5 2 3" xfId="21231" xr:uid="{572A9910-5B20-4580-B5C0-89E575F08E3A}"/>
    <cellStyle name="Normal 2 18 2 5 2 4" xfId="32271" xr:uid="{AF24DD88-8BD7-4E7F-983D-2FA294077AE6}"/>
    <cellStyle name="Normal 2 18 2 5 2 5" xfId="37012" xr:uid="{5EE14CD3-447A-4FBE-809B-E395796454E7}"/>
    <cellStyle name="Normal 2 18 2 5 3" xfId="24058" xr:uid="{465FA48D-5F58-4990-BACE-86D6C6B3E01C}"/>
    <cellStyle name="Normal 2 18 2 5 4" xfId="18398" xr:uid="{91BCA3AB-A930-40EB-9EA7-A3528B3D1AF0}"/>
    <cellStyle name="Normal 2 18 2 5 5" xfId="29719" xr:uid="{124FAAA8-8E59-4731-94D2-B71524B7204D}"/>
    <cellStyle name="Normal 2 18 2 5 6" xfId="37011" xr:uid="{61B823CB-63E0-4F9F-82CC-352E58F2F734}"/>
    <cellStyle name="Normal 2 18 2 6" xfId="7803" xr:uid="{00000000-0005-0000-0000-0000DB110000}"/>
    <cellStyle name="Normal 2 18 2 6 2" xfId="25289" xr:uid="{784574F1-A2C1-4051-8737-7FBC23A7C1BB}"/>
    <cellStyle name="Normal 2 18 2 6 3" xfId="19629" xr:uid="{B121A88E-B0B6-4A61-ABED-17B47D4FF91C}"/>
    <cellStyle name="Normal 2 18 2 6 4" xfId="30950" xr:uid="{79DE664D-1A8E-4E45-9F99-63B56201AAF7}"/>
    <cellStyle name="Normal 2 18 2 6 5" xfId="37013" xr:uid="{754E4A69-B274-4F28-A0E9-D3D9950570A5}"/>
    <cellStyle name="Normal 2 18 2 7" xfId="22496" xr:uid="{C8A0110E-B618-4294-A27D-55A2B59A19EB}"/>
    <cellStyle name="Normal 2 18 2 8" xfId="16836" xr:uid="{C1EBD88B-A0C6-4A99-8762-BAC8B2B2459F}"/>
    <cellStyle name="Normal 2 18 2 9" xfId="28157" xr:uid="{51BB3ED0-1546-4578-8322-D125DF33C24F}"/>
    <cellStyle name="Normal 2 18 3" xfId="7805" xr:uid="{00000000-0005-0000-0000-0000DC110000}"/>
    <cellStyle name="Normal 2 18 3 2" xfId="9653" xr:uid="{00000000-0005-0000-0000-0000DD110000}"/>
    <cellStyle name="Normal 2 18 3 2 2" xfId="37015" xr:uid="{A7C4EF02-ADE0-41AC-9157-9C8D10F6B6ED}"/>
    <cellStyle name="Normal 2 18 3 3" xfId="37014" xr:uid="{94C76C41-40BB-420A-85AB-E6C8B0A4F665}"/>
    <cellStyle name="Normal 2 18 4" xfId="7802" xr:uid="{00000000-0005-0000-0000-0000DE110000}"/>
    <cellStyle name="Normal 2 18 4 2" xfId="25288" xr:uid="{1504560D-5E1F-4FA3-B94E-5688456DF7C9}"/>
    <cellStyle name="Normal 2 18 4 3" xfId="19628" xr:uid="{A777DF4A-A212-4C60-AC2E-CAE40E5EE3A7}"/>
    <cellStyle name="Normal 2 18 4 4" xfId="30949" xr:uid="{BCCC09B9-5E6E-43FF-83A3-454BFFBAC61B}"/>
    <cellStyle name="Normal 2 18 4 5" xfId="37016" xr:uid="{7A6FFD0B-120C-4E61-9F98-C8ED54D078F8}"/>
    <cellStyle name="Normal 2 18 5" xfId="36989" xr:uid="{DBED967C-48D3-494C-A5F3-3CAB26D2DB19}"/>
    <cellStyle name="Normal 2 19" xfId="2037" xr:uid="{00000000-0005-0000-0000-0000DF110000}"/>
    <cellStyle name="Normal 2 19 2" xfId="9654" xr:uid="{00000000-0005-0000-0000-0000E0110000}"/>
    <cellStyle name="Normal 2 19 2 2" xfId="37018" xr:uid="{9DE9BAEF-9264-4E39-A238-EB7061DDAB22}"/>
    <cellStyle name="Normal 2 19 3" xfId="37017" xr:uid="{361FD223-BA3A-4F20-81F7-6CD23EBB7942}"/>
    <cellStyle name="Normal 2 2" xfId="135" xr:uid="{00000000-0005-0000-0000-0000E1110000}"/>
    <cellStyle name="Normal 2 2 10" xfId="4163" xr:uid="{00000000-0005-0000-0000-0000E2110000}"/>
    <cellStyle name="Normal 2 2 10 10" xfId="37020" xr:uid="{90B1AC0A-A14E-4E1A-83D2-A550F42B3341}"/>
    <cellStyle name="Normal 2 2 10 2" xfId="4911" xr:uid="{00000000-0005-0000-0000-0000E3110000}"/>
    <cellStyle name="Normal 2 2 10 2 2" xfId="5330" xr:uid="{00000000-0005-0000-0000-0000E4110000}"/>
    <cellStyle name="Normal 2 2 10 2 2 2" xfId="7193" xr:uid="{00000000-0005-0000-0000-0000E5110000}"/>
    <cellStyle name="Normal 2 2 10 2 2 2 2" xfId="15626" xr:uid="{00000000-0005-0000-0000-0000E6110000}"/>
    <cellStyle name="Normal 2 2 10 2 2 2 2 2" xfId="27520" xr:uid="{BBFC80EB-E2BF-4591-95C4-FD96C79A2938}"/>
    <cellStyle name="Normal 2 2 10 2 2 2 2 3" xfId="21860" xr:uid="{95A564D7-8CD4-461F-B93B-9E280B882E13}"/>
    <cellStyle name="Normal 2 2 10 2 2 2 2 4" xfId="32900" xr:uid="{78D34C9D-A0F2-4A0D-8010-8010C3BC7BB1}"/>
    <cellStyle name="Normal 2 2 10 2 2 2 2 5" xfId="37024" xr:uid="{F2F33BC2-E704-4AEA-926B-596FB3EA72AE}"/>
    <cellStyle name="Normal 2 2 10 2 2 2 3" xfId="24687" xr:uid="{77D73965-4F5F-4E59-9AEF-52626BD5EA52}"/>
    <cellStyle name="Normal 2 2 10 2 2 2 4" xfId="19027" xr:uid="{F48D818E-2BC8-479C-B004-FE16A7C88FE8}"/>
    <cellStyle name="Normal 2 2 10 2 2 2 5" xfId="30348" xr:uid="{EC135E86-750C-4A29-9F17-B696C8741A40}"/>
    <cellStyle name="Normal 2 2 10 2 2 2 6" xfId="37023" xr:uid="{0FC7882B-32BC-488B-B6FC-06CDF6E3DA9B}"/>
    <cellStyle name="Normal 2 2 10 2 2 3" xfId="14216" xr:uid="{00000000-0005-0000-0000-0000E7110000}"/>
    <cellStyle name="Normal 2 2 10 2 2 3 2" xfId="26255" xr:uid="{8F4AA83C-763A-40D6-9404-3465605F1917}"/>
    <cellStyle name="Normal 2 2 10 2 2 3 3" xfId="20595" xr:uid="{680FEC6A-D715-4F16-83AD-4D065B508B64}"/>
    <cellStyle name="Normal 2 2 10 2 2 3 4" xfId="31635" xr:uid="{A89A58CC-4249-4E9A-8EF4-BA231F371720}"/>
    <cellStyle name="Normal 2 2 10 2 2 3 5" xfId="37025" xr:uid="{E58A6057-AB96-430C-BA7A-6C433ECF2419}"/>
    <cellStyle name="Normal 2 2 10 2 2 4" xfId="23125" xr:uid="{2809C3CB-6359-4154-BDB7-B47AFE2E993F}"/>
    <cellStyle name="Normal 2 2 10 2 2 5" xfId="17465" xr:uid="{D4E4D71E-9600-4CC3-9D34-1BBDBF9E7F45}"/>
    <cellStyle name="Normal 2 2 10 2 2 6" xfId="28786" xr:uid="{0A383B1E-4F20-4324-9AE6-4F8D6ACFE6F6}"/>
    <cellStyle name="Normal 2 2 10 2 2 7" xfId="37022" xr:uid="{340BC0E5-C81C-4E08-851A-BF10F411C3C8}"/>
    <cellStyle name="Normal 2 2 10 2 3" xfId="6047" xr:uid="{00000000-0005-0000-0000-0000E8110000}"/>
    <cellStyle name="Normal 2 2 10 2 3 2" xfId="7389" xr:uid="{00000000-0005-0000-0000-0000E9110000}"/>
    <cellStyle name="Normal 2 2 10 2 3 2 2" xfId="15822" xr:uid="{00000000-0005-0000-0000-0000EA110000}"/>
    <cellStyle name="Normal 2 2 10 2 3 2 2 2" xfId="27716" xr:uid="{A780BA89-381E-45A3-84DC-BADA6F06F9FC}"/>
    <cellStyle name="Normal 2 2 10 2 3 2 2 3" xfId="22056" xr:uid="{4411885B-2D95-4A3A-B9BC-FCF7499DE70D}"/>
    <cellStyle name="Normal 2 2 10 2 3 2 2 4" xfId="33096" xr:uid="{5D69D2F4-BAC6-4707-9AF2-37F3F7E4BAC8}"/>
    <cellStyle name="Normal 2 2 10 2 3 2 2 5" xfId="37028" xr:uid="{907B3FFE-F25C-4712-9BF8-C59040978F86}"/>
    <cellStyle name="Normal 2 2 10 2 3 2 3" xfId="24883" xr:uid="{27EF597E-48E8-4C20-9035-372AA1674EC1}"/>
    <cellStyle name="Normal 2 2 10 2 3 2 4" xfId="19223" xr:uid="{18C50773-CEE0-4576-8595-960FED030749}"/>
    <cellStyle name="Normal 2 2 10 2 3 2 5" xfId="30544" xr:uid="{97597BB7-ECD8-493E-8B9D-D284EC2B2B89}"/>
    <cellStyle name="Normal 2 2 10 2 3 2 6" xfId="37027" xr:uid="{960460A6-B80F-4273-87BA-158DC6600520}"/>
    <cellStyle name="Normal 2 2 10 2 3 3" xfId="14502" xr:uid="{00000000-0005-0000-0000-0000EB110000}"/>
    <cellStyle name="Normal 2 2 10 2 3 3 2" xfId="26460" xr:uid="{492CB211-F80C-4006-8891-080D76A47E90}"/>
    <cellStyle name="Normal 2 2 10 2 3 3 3" xfId="20800" xr:uid="{0C207E26-2EAF-4C71-94FB-D6060AAE610A}"/>
    <cellStyle name="Normal 2 2 10 2 3 3 4" xfId="31840" xr:uid="{71AD80B0-CB9B-40D6-9AC1-BF5DF7C117AE}"/>
    <cellStyle name="Normal 2 2 10 2 3 3 5" xfId="37029" xr:uid="{2134A027-D139-4E95-8A6D-4F9EFF247EA8}"/>
    <cellStyle name="Normal 2 2 10 2 3 4" xfId="23627" xr:uid="{B418AFDD-CBFF-430C-8528-4478367AD2C8}"/>
    <cellStyle name="Normal 2 2 10 2 3 5" xfId="17967" xr:uid="{E90227C0-E522-4155-94BA-EBEB7CE8E327}"/>
    <cellStyle name="Normal 2 2 10 2 3 6" xfId="29288" xr:uid="{633834F5-D3D3-4EA8-9302-FB9E7A0A48A9}"/>
    <cellStyle name="Normal 2 2 10 2 3 7" xfId="37026" xr:uid="{DF6CAE8B-127D-49E3-AF81-EADBBB448AB5}"/>
    <cellStyle name="Normal 2 2 10 2 4" xfId="6775" xr:uid="{00000000-0005-0000-0000-0000EC110000}"/>
    <cellStyle name="Normal 2 2 10 2 4 2" xfId="15208" xr:uid="{00000000-0005-0000-0000-0000ED110000}"/>
    <cellStyle name="Normal 2 2 10 2 4 2 2" xfId="27102" xr:uid="{5EC95677-12DD-4E59-B733-24EE8874D3CD}"/>
    <cellStyle name="Normal 2 2 10 2 4 2 3" xfId="21442" xr:uid="{68A82649-283F-406D-A7E2-40772C279715}"/>
    <cellStyle name="Normal 2 2 10 2 4 2 4" xfId="32482" xr:uid="{4FE19B87-11C2-42C6-93CC-31A06F11A6F4}"/>
    <cellStyle name="Normal 2 2 10 2 4 2 5" xfId="37031" xr:uid="{EB94E460-18DB-448A-A267-508DE22FFD17}"/>
    <cellStyle name="Normal 2 2 10 2 4 3" xfId="24269" xr:uid="{27C67502-E984-4AF9-BFDD-728AF75F9A9B}"/>
    <cellStyle name="Normal 2 2 10 2 4 4" xfId="18609" xr:uid="{69568532-3FBB-449D-B13D-B10A162FF546}"/>
    <cellStyle name="Normal 2 2 10 2 4 5" xfId="29930" xr:uid="{E16A1889-9C87-40BE-B2B3-8B644713DDD9}"/>
    <cellStyle name="Normal 2 2 10 2 4 6" xfId="37030" xr:uid="{E8FEACA8-4182-40D2-AA7D-4FBA775E8EC2}"/>
    <cellStyle name="Normal 2 2 10 2 5" xfId="7808" xr:uid="{00000000-0005-0000-0000-0000EE110000}"/>
    <cellStyle name="Normal 2 2 10 2 5 2" xfId="25293" xr:uid="{6746CDB7-81F1-486C-B724-0945F8E9C377}"/>
    <cellStyle name="Normal 2 2 10 2 5 3" xfId="19633" xr:uid="{C9F5C677-BEA9-45B4-871B-6A1CC242E51F}"/>
    <cellStyle name="Normal 2 2 10 2 5 4" xfId="30954" xr:uid="{60746EC7-9616-4579-96ED-5C2A3BD18075}"/>
    <cellStyle name="Normal 2 2 10 2 5 5" xfId="37032" xr:uid="{12E1C230-7768-4284-8DD5-093266D19E26}"/>
    <cellStyle name="Normal 2 2 10 2 6" xfId="22707" xr:uid="{60F4DDC9-D6C7-4F3B-BD70-5904B3E38A34}"/>
    <cellStyle name="Normal 2 2 10 2 7" xfId="17047" xr:uid="{48EC8652-B9E3-4339-BB10-5C1F5F92FB50}"/>
    <cellStyle name="Normal 2 2 10 2 8" xfId="28368" xr:uid="{1046A773-4CD5-4F53-8F5C-F46C2CDB0CE1}"/>
    <cellStyle name="Normal 2 2 10 2 9" xfId="37021" xr:uid="{CB028EBA-B64F-4346-9223-0ED025C51539}"/>
    <cellStyle name="Normal 2 2 10 3" xfId="5121" xr:uid="{00000000-0005-0000-0000-0000EF110000}"/>
    <cellStyle name="Normal 2 2 10 3 2" xfId="6046" xr:uid="{00000000-0005-0000-0000-0000F0110000}"/>
    <cellStyle name="Normal 2 2 10 3 2 2" xfId="7388" xr:uid="{00000000-0005-0000-0000-0000F1110000}"/>
    <cellStyle name="Normal 2 2 10 3 2 2 2" xfId="15821" xr:uid="{00000000-0005-0000-0000-0000F2110000}"/>
    <cellStyle name="Normal 2 2 10 3 2 2 2 2" xfId="27715" xr:uid="{20020E33-B50D-4800-99C1-2676C1B2E423}"/>
    <cellStyle name="Normal 2 2 10 3 2 2 2 3" xfId="22055" xr:uid="{8FD8B725-FEAE-4CB6-8CD8-EDCD2C8CD0E7}"/>
    <cellStyle name="Normal 2 2 10 3 2 2 2 4" xfId="33095" xr:uid="{42744C5A-45AE-46A2-8866-07B9FDE01F79}"/>
    <cellStyle name="Normal 2 2 10 3 2 2 2 5" xfId="37036" xr:uid="{4E29C800-BB51-40AA-B779-D68418EABB1E}"/>
    <cellStyle name="Normal 2 2 10 3 2 2 3" xfId="24882" xr:uid="{7389F913-03C9-42AF-8879-141BB4E4C860}"/>
    <cellStyle name="Normal 2 2 10 3 2 2 4" xfId="19222" xr:uid="{2DBA5650-560A-4393-B18A-457C938E9535}"/>
    <cellStyle name="Normal 2 2 10 3 2 2 5" xfId="30543" xr:uid="{2CF030B1-5DCD-47E9-9B0B-2B75844407FB}"/>
    <cellStyle name="Normal 2 2 10 3 2 2 6" xfId="37035" xr:uid="{4AE05A02-6C08-47B3-BB52-2AFDAC541840}"/>
    <cellStyle name="Normal 2 2 10 3 2 3" xfId="14501" xr:uid="{00000000-0005-0000-0000-0000F3110000}"/>
    <cellStyle name="Normal 2 2 10 3 2 3 2" xfId="26459" xr:uid="{C77B1591-53F0-4528-9976-C8439FFB9A7D}"/>
    <cellStyle name="Normal 2 2 10 3 2 3 3" xfId="20799" xr:uid="{C243B8A6-8121-4F66-BC6B-1DE3291A55E2}"/>
    <cellStyle name="Normal 2 2 10 3 2 3 4" xfId="31839" xr:uid="{BFFB13E5-BDBC-4B5A-A7A0-F6974C06C548}"/>
    <cellStyle name="Normal 2 2 10 3 2 3 5" xfId="37037" xr:uid="{B421F879-255A-44E4-9198-DF6416794745}"/>
    <cellStyle name="Normal 2 2 10 3 2 4" xfId="23626" xr:uid="{14E35036-86CB-463F-AEF1-55D7188DC3FE}"/>
    <cellStyle name="Normal 2 2 10 3 2 5" xfId="17966" xr:uid="{ADA68B22-45A4-4DAB-8421-41D5CC8E4AFF}"/>
    <cellStyle name="Normal 2 2 10 3 2 6" xfId="29287" xr:uid="{9D089970-5E1E-4D35-8E20-6B7DF4CBF262}"/>
    <cellStyle name="Normal 2 2 10 3 2 7" xfId="37034" xr:uid="{1F688242-BD7F-4C44-BC7C-FBB418EABCB6}"/>
    <cellStyle name="Normal 2 2 10 3 3" xfId="6984" xr:uid="{00000000-0005-0000-0000-0000F4110000}"/>
    <cellStyle name="Normal 2 2 10 3 3 2" xfId="15417" xr:uid="{00000000-0005-0000-0000-0000F5110000}"/>
    <cellStyle name="Normal 2 2 10 3 3 2 2" xfId="27311" xr:uid="{388962E7-37D7-4FE3-A51F-CB60F878B7E0}"/>
    <cellStyle name="Normal 2 2 10 3 3 2 3" xfId="21651" xr:uid="{7C12C8C2-E860-4626-A930-918BF84BA56F}"/>
    <cellStyle name="Normal 2 2 10 3 3 2 4" xfId="32691" xr:uid="{F57EF56A-BC41-40B3-9173-0492679788C0}"/>
    <cellStyle name="Normal 2 2 10 3 3 2 5" xfId="37039" xr:uid="{616BB81C-D63F-4814-8B41-A63C0D672A66}"/>
    <cellStyle name="Normal 2 2 10 3 3 3" xfId="24478" xr:uid="{1D4EFAD8-9829-4ADD-8CCF-8DB60C1B67DF}"/>
    <cellStyle name="Normal 2 2 10 3 3 4" xfId="18818" xr:uid="{833ACDE4-33B2-4931-A999-4E2C25F6E97D}"/>
    <cellStyle name="Normal 2 2 10 3 3 5" xfId="30139" xr:uid="{CDFCF23A-7953-4233-9119-D4468E2BA725}"/>
    <cellStyle name="Normal 2 2 10 3 3 6" xfId="37038" xr:uid="{06DF76B9-A34C-4A10-AA9C-4E528794A129}"/>
    <cellStyle name="Normal 2 2 10 3 4" xfId="14008" xr:uid="{00000000-0005-0000-0000-0000F6110000}"/>
    <cellStyle name="Normal 2 2 10 3 4 2" xfId="26047" xr:uid="{9CBF0507-48A9-4886-A927-E605A1F1F1D5}"/>
    <cellStyle name="Normal 2 2 10 3 4 3" xfId="20387" xr:uid="{9D677293-97CA-489B-8DFE-8CC8FFBF0325}"/>
    <cellStyle name="Normal 2 2 10 3 4 4" xfId="31427" xr:uid="{E42CD12E-EF0E-4671-AA54-66498F8ECF21}"/>
    <cellStyle name="Normal 2 2 10 3 4 5" xfId="37040" xr:uid="{03E0769C-5AE0-4696-B44F-BADCC00A613A}"/>
    <cellStyle name="Normal 2 2 10 3 5" xfId="22916" xr:uid="{E79488E1-42BD-4463-A390-0BB72AA9F8A8}"/>
    <cellStyle name="Normal 2 2 10 3 6" xfId="17256" xr:uid="{CECE9360-7696-4A2C-B1C9-BC9AF5E53E42}"/>
    <cellStyle name="Normal 2 2 10 3 7" xfId="28577" xr:uid="{84A2F207-97DA-4AE2-A012-CE00EE42F229}"/>
    <cellStyle name="Normal 2 2 10 3 8" xfId="37033" xr:uid="{CF4225B5-B0F1-438D-9AAE-4847DC51F48F}"/>
    <cellStyle name="Normal 2 2 10 4" xfId="5648" xr:uid="{00000000-0005-0000-0000-0000F7110000}"/>
    <cellStyle name="Normal 2 2 10 4 2" xfId="37041" xr:uid="{3A763286-8847-44C9-B8F4-23605BCE2F55}"/>
    <cellStyle name="Normal 2 2 10 5" xfId="6566" xr:uid="{00000000-0005-0000-0000-0000F8110000}"/>
    <cellStyle name="Normal 2 2 10 5 2" xfId="14999" xr:uid="{00000000-0005-0000-0000-0000F9110000}"/>
    <cellStyle name="Normal 2 2 10 5 2 2" xfId="26893" xr:uid="{1AE19E2A-7B9D-4296-BBB7-E8BCEAEC21D2}"/>
    <cellStyle name="Normal 2 2 10 5 2 3" xfId="21233" xr:uid="{1B35C4A3-5182-4B65-BAE3-B816B46C442C}"/>
    <cellStyle name="Normal 2 2 10 5 2 4" xfId="32273" xr:uid="{29425ADE-67DC-4AF1-ADC1-803BCC272D5E}"/>
    <cellStyle name="Normal 2 2 10 5 2 5" xfId="37043" xr:uid="{D2EFD93B-BA7D-43DB-83D0-3CB1788FF747}"/>
    <cellStyle name="Normal 2 2 10 5 3" xfId="24060" xr:uid="{5D1FC45C-F1D8-4DB6-8474-944E55EE5774}"/>
    <cellStyle name="Normal 2 2 10 5 4" xfId="18400" xr:uid="{D2A92E1A-D3A3-49B8-8B56-E2DE315F1639}"/>
    <cellStyle name="Normal 2 2 10 5 5" xfId="29721" xr:uid="{CC6AE079-0CD7-40E7-B065-819633D80845}"/>
    <cellStyle name="Normal 2 2 10 5 6" xfId="37042" xr:uid="{57534A03-ADD4-443C-9EA9-E1EC4B6D4B6F}"/>
    <cellStyle name="Normal 2 2 10 6" xfId="7807" xr:uid="{00000000-0005-0000-0000-0000FA110000}"/>
    <cellStyle name="Normal 2 2 10 6 2" xfId="25292" xr:uid="{8A43520D-EDC6-433C-8269-879AF02A5ABB}"/>
    <cellStyle name="Normal 2 2 10 6 3" xfId="19632" xr:uid="{F0AA9BF0-537C-4526-AFF1-E4942B8E5B01}"/>
    <cellStyle name="Normal 2 2 10 6 4" xfId="30953" xr:uid="{A3DDE4D5-1B8D-4BF6-9984-669F7ED65CCE}"/>
    <cellStyle name="Normal 2 2 10 6 5" xfId="37044" xr:uid="{9812217D-AC5A-4E84-A877-220E42BDADC6}"/>
    <cellStyle name="Normal 2 2 10 7" xfId="22498" xr:uid="{7A132A02-B8F0-403D-A3A8-00E4186FD471}"/>
    <cellStyle name="Normal 2 2 10 8" xfId="16838" xr:uid="{903FBD7C-396B-46A6-9E27-DD09BD75C81E}"/>
    <cellStyle name="Normal 2 2 10 9" xfId="28159" xr:uid="{BDA83B4C-B92F-482D-9964-D351B2C78650}"/>
    <cellStyle name="Normal 2 2 11" xfId="4164" xr:uid="{00000000-0005-0000-0000-0000FB110000}"/>
    <cellStyle name="Normal 2 2 11 10" xfId="37045" xr:uid="{6DFC160E-7DA4-4695-B606-3A9818A411CB}"/>
    <cellStyle name="Normal 2 2 11 2" xfId="4912" xr:uid="{00000000-0005-0000-0000-0000FC110000}"/>
    <cellStyle name="Normal 2 2 11 2 2" xfId="5331" xr:uid="{00000000-0005-0000-0000-0000FD110000}"/>
    <cellStyle name="Normal 2 2 11 2 2 2" xfId="7194" xr:uid="{00000000-0005-0000-0000-0000FE110000}"/>
    <cellStyle name="Normal 2 2 11 2 2 2 2" xfId="15627" xr:uid="{00000000-0005-0000-0000-0000FF110000}"/>
    <cellStyle name="Normal 2 2 11 2 2 2 2 2" xfId="27521" xr:uid="{D7C1494F-D639-4C3A-9395-11399ED91414}"/>
    <cellStyle name="Normal 2 2 11 2 2 2 2 3" xfId="21861" xr:uid="{29C307FF-67C8-4721-BEBE-46F9823A330E}"/>
    <cellStyle name="Normal 2 2 11 2 2 2 2 4" xfId="32901" xr:uid="{B1A43BD2-8D85-4699-8F97-5B2F782AC50C}"/>
    <cellStyle name="Normal 2 2 11 2 2 2 2 5" xfId="37049" xr:uid="{C9D8A44D-902B-4DB7-805D-D8C15DE8FE92}"/>
    <cellStyle name="Normal 2 2 11 2 2 2 3" xfId="24688" xr:uid="{B4D89357-5622-4A7E-8211-C04BDF79361D}"/>
    <cellStyle name="Normal 2 2 11 2 2 2 4" xfId="19028" xr:uid="{E3C4BE19-C16F-4ED1-BF92-C96A30837EDD}"/>
    <cellStyle name="Normal 2 2 11 2 2 2 5" xfId="30349" xr:uid="{51E8A70B-5193-47E6-AAE9-31C0DC52FE1D}"/>
    <cellStyle name="Normal 2 2 11 2 2 2 6" xfId="37048" xr:uid="{519C7D87-DEAA-4CA8-823F-58CC6549C77D}"/>
    <cellStyle name="Normal 2 2 11 2 2 3" xfId="14217" xr:uid="{00000000-0005-0000-0000-000000120000}"/>
    <cellStyle name="Normal 2 2 11 2 2 3 2" xfId="26256" xr:uid="{4B9E2F45-6505-48A9-8803-56A438FE3B78}"/>
    <cellStyle name="Normal 2 2 11 2 2 3 3" xfId="20596" xr:uid="{F7B7E0A1-4589-4053-85FE-AB0376A9F64C}"/>
    <cellStyle name="Normal 2 2 11 2 2 3 4" xfId="31636" xr:uid="{FCE5BA4C-99A0-4334-9E9B-CC12BEDD4CE0}"/>
    <cellStyle name="Normal 2 2 11 2 2 3 5" xfId="37050" xr:uid="{B5660BB0-1690-4E11-8E4F-1832513F2157}"/>
    <cellStyle name="Normal 2 2 11 2 2 4" xfId="23126" xr:uid="{C64AE439-C6A9-412A-AFFE-4F14040A6DDF}"/>
    <cellStyle name="Normal 2 2 11 2 2 5" xfId="17466" xr:uid="{11906C9B-F34B-47FD-8300-076E87CFA859}"/>
    <cellStyle name="Normal 2 2 11 2 2 6" xfId="28787" xr:uid="{A2856272-227D-408A-A7ED-844ADB791084}"/>
    <cellStyle name="Normal 2 2 11 2 2 7" xfId="37047" xr:uid="{1AE29CC1-E235-43BE-A43C-053C04E561F8}"/>
    <cellStyle name="Normal 2 2 11 2 3" xfId="6049" xr:uid="{00000000-0005-0000-0000-000001120000}"/>
    <cellStyle name="Normal 2 2 11 2 3 2" xfId="7391" xr:uid="{00000000-0005-0000-0000-000002120000}"/>
    <cellStyle name="Normal 2 2 11 2 3 2 2" xfId="15824" xr:uid="{00000000-0005-0000-0000-000003120000}"/>
    <cellStyle name="Normal 2 2 11 2 3 2 2 2" xfId="27718" xr:uid="{6F762DCF-B2E8-4F48-B5C8-A2518FC51477}"/>
    <cellStyle name="Normal 2 2 11 2 3 2 2 3" xfId="22058" xr:uid="{5712297B-CDEC-46BF-9B59-91A201636BB5}"/>
    <cellStyle name="Normal 2 2 11 2 3 2 2 4" xfId="33098" xr:uid="{64A9984E-5590-497A-B4F1-AE206324216C}"/>
    <cellStyle name="Normal 2 2 11 2 3 2 2 5" xfId="37053" xr:uid="{1A1DAE5D-8107-4257-9136-6231564DEA2E}"/>
    <cellStyle name="Normal 2 2 11 2 3 2 3" xfId="24885" xr:uid="{0A8CA465-03BC-4770-9948-F2A14AB151D7}"/>
    <cellStyle name="Normal 2 2 11 2 3 2 4" xfId="19225" xr:uid="{FBF82845-DACA-4996-BD55-0B56F50330BC}"/>
    <cellStyle name="Normal 2 2 11 2 3 2 5" xfId="30546" xr:uid="{6722F1C0-6833-4E70-937A-D629132ABA16}"/>
    <cellStyle name="Normal 2 2 11 2 3 2 6" xfId="37052" xr:uid="{2AB701B8-A3C1-4E60-AD26-06E13565E2BA}"/>
    <cellStyle name="Normal 2 2 11 2 3 3" xfId="14504" xr:uid="{00000000-0005-0000-0000-000004120000}"/>
    <cellStyle name="Normal 2 2 11 2 3 3 2" xfId="26462" xr:uid="{3B1C430B-5093-44B3-AA78-903D0D32A329}"/>
    <cellStyle name="Normal 2 2 11 2 3 3 3" xfId="20802" xr:uid="{4F5E8642-B5A2-486D-9BFA-3534C276EDF3}"/>
    <cellStyle name="Normal 2 2 11 2 3 3 4" xfId="31842" xr:uid="{C1ADC4FB-543A-4B0A-B3E9-B671B1C2C6E9}"/>
    <cellStyle name="Normal 2 2 11 2 3 3 5" xfId="37054" xr:uid="{9F709A93-CCF5-45E1-A39F-13959F30F00C}"/>
    <cellStyle name="Normal 2 2 11 2 3 4" xfId="23629" xr:uid="{9213B610-FE63-471A-92FB-1075F694E510}"/>
    <cellStyle name="Normal 2 2 11 2 3 5" xfId="17969" xr:uid="{BE5C6ABA-356A-47AC-A6C2-A83B2A57D413}"/>
    <cellStyle name="Normal 2 2 11 2 3 6" xfId="29290" xr:uid="{6E547CCB-51E9-4B3C-BCE1-43EB84549CAC}"/>
    <cellStyle name="Normal 2 2 11 2 3 7" xfId="37051" xr:uid="{4E86C588-625B-45AD-A0E8-5F45F6C7D9A3}"/>
    <cellStyle name="Normal 2 2 11 2 4" xfId="6776" xr:uid="{00000000-0005-0000-0000-000005120000}"/>
    <cellStyle name="Normal 2 2 11 2 4 2" xfId="15209" xr:uid="{00000000-0005-0000-0000-000006120000}"/>
    <cellStyle name="Normal 2 2 11 2 4 2 2" xfId="27103" xr:uid="{34FD45F9-0714-4B5D-9228-97B87F142B21}"/>
    <cellStyle name="Normal 2 2 11 2 4 2 3" xfId="21443" xr:uid="{0F432D31-211A-4A7D-B842-1EC1D82C323E}"/>
    <cellStyle name="Normal 2 2 11 2 4 2 4" xfId="32483" xr:uid="{55DFAB7F-8E0F-4169-8595-B2CA683FE323}"/>
    <cellStyle name="Normal 2 2 11 2 4 2 5" xfId="37056" xr:uid="{A06777A3-27D8-49A5-8287-DF895DB24C91}"/>
    <cellStyle name="Normal 2 2 11 2 4 3" xfId="24270" xr:uid="{FBD2E169-F65B-4F29-9FCC-91FC50231252}"/>
    <cellStyle name="Normal 2 2 11 2 4 4" xfId="18610" xr:uid="{3A149C54-60BD-4593-84BE-A249D4BA8004}"/>
    <cellStyle name="Normal 2 2 11 2 4 5" xfId="29931" xr:uid="{6B009D31-2FDE-40BE-9F45-552DBB867844}"/>
    <cellStyle name="Normal 2 2 11 2 4 6" xfId="37055" xr:uid="{FC8FF44D-2890-49AD-9FE0-14599FCAB486}"/>
    <cellStyle name="Normal 2 2 11 2 5" xfId="7810" xr:uid="{00000000-0005-0000-0000-000007120000}"/>
    <cellStyle name="Normal 2 2 11 2 5 2" xfId="25295" xr:uid="{C09B16A2-FB12-49D7-8E72-E34A75FF3A42}"/>
    <cellStyle name="Normal 2 2 11 2 5 3" xfId="19635" xr:uid="{25CA9BEC-0D0E-4194-A49B-18F48CA2785A}"/>
    <cellStyle name="Normal 2 2 11 2 5 4" xfId="30956" xr:uid="{56FA3B88-68B4-4875-9FE5-380F0E607AD4}"/>
    <cellStyle name="Normal 2 2 11 2 5 5" xfId="37057" xr:uid="{27B17CD4-C841-4C80-80BB-941E0D58D1AB}"/>
    <cellStyle name="Normal 2 2 11 2 6" xfId="22708" xr:uid="{7381A0C6-2125-41D3-B99D-616C68321A3F}"/>
    <cellStyle name="Normal 2 2 11 2 7" xfId="17048" xr:uid="{C819F557-1E58-4071-B3E6-AA954193E51D}"/>
    <cellStyle name="Normal 2 2 11 2 8" xfId="28369" xr:uid="{FD559FCC-F3D4-4F70-B94C-6616F122FF71}"/>
    <cellStyle name="Normal 2 2 11 2 9" xfId="37046" xr:uid="{AED8EF7D-C9A3-4F59-A462-493AB85EF8C1}"/>
    <cellStyle name="Normal 2 2 11 3" xfId="5122" xr:uid="{00000000-0005-0000-0000-000008120000}"/>
    <cellStyle name="Normal 2 2 11 3 2" xfId="6048" xr:uid="{00000000-0005-0000-0000-000009120000}"/>
    <cellStyle name="Normal 2 2 11 3 2 2" xfId="7390" xr:uid="{00000000-0005-0000-0000-00000A120000}"/>
    <cellStyle name="Normal 2 2 11 3 2 2 2" xfId="15823" xr:uid="{00000000-0005-0000-0000-00000B120000}"/>
    <cellStyle name="Normal 2 2 11 3 2 2 2 2" xfId="27717" xr:uid="{9346F8B9-9311-44C9-94BD-B36FAC9D9F39}"/>
    <cellStyle name="Normal 2 2 11 3 2 2 2 3" xfId="22057" xr:uid="{A121554E-63B1-4A94-8B88-8FF78BAE744D}"/>
    <cellStyle name="Normal 2 2 11 3 2 2 2 4" xfId="33097" xr:uid="{C9031E3E-B4C7-488D-BDD7-B87926A5585B}"/>
    <cellStyle name="Normal 2 2 11 3 2 2 2 5" xfId="37061" xr:uid="{5E61F430-F941-4C39-ABCA-6DCB4E2C1829}"/>
    <cellStyle name="Normal 2 2 11 3 2 2 3" xfId="24884" xr:uid="{89A7002C-E9F5-4F00-ABD9-BB4979C36C13}"/>
    <cellStyle name="Normal 2 2 11 3 2 2 4" xfId="19224" xr:uid="{D0924186-0E93-461F-BB2A-4E8D58444FAE}"/>
    <cellStyle name="Normal 2 2 11 3 2 2 5" xfId="30545" xr:uid="{174521E0-2EBD-4F2B-9DFA-E93098AEF5C4}"/>
    <cellStyle name="Normal 2 2 11 3 2 2 6" xfId="37060" xr:uid="{3F096B69-C1ED-4D45-935A-013E079E93AB}"/>
    <cellStyle name="Normal 2 2 11 3 2 3" xfId="14503" xr:uid="{00000000-0005-0000-0000-00000C120000}"/>
    <cellStyle name="Normal 2 2 11 3 2 3 2" xfId="26461" xr:uid="{9AC7914B-A7EA-4A4F-85EB-94D891F9FFB0}"/>
    <cellStyle name="Normal 2 2 11 3 2 3 3" xfId="20801" xr:uid="{1EDC70E7-B690-4B7F-B6A4-91FA52B930A7}"/>
    <cellStyle name="Normal 2 2 11 3 2 3 4" xfId="31841" xr:uid="{FC73123A-392A-4714-979A-AB69EA4C4CC9}"/>
    <cellStyle name="Normal 2 2 11 3 2 3 5" xfId="37062" xr:uid="{1A58FF5E-25F1-4CF2-975A-287519D0F0E4}"/>
    <cellStyle name="Normal 2 2 11 3 2 4" xfId="23628" xr:uid="{EFEDCDC4-B367-43A9-ABB8-FB77E1BA6D2C}"/>
    <cellStyle name="Normal 2 2 11 3 2 5" xfId="17968" xr:uid="{F337BDF9-4B24-4206-8E71-F6F528D148C3}"/>
    <cellStyle name="Normal 2 2 11 3 2 6" xfId="29289" xr:uid="{A2DADF1C-5C55-4C51-9999-D6D0E3499D64}"/>
    <cellStyle name="Normal 2 2 11 3 2 7" xfId="37059" xr:uid="{6AEB464C-A973-416B-BFFF-A9EBE4A1D25D}"/>
    <cellStyle name="Normal 2 2 11 3 3" xfId="6985" xr:uid="{00000000-0005-0000-0000-00000D120000}"/>
    <cellStyle name="Normal 2 2 11 3 3 2" xfId="15418" xr:uid="{00000000-0005-0000-0000-00000E120000}"/>
    <cellStyle name="Normal 2 2 11 3 3 2 2" xfId="27312" xr:uid="{B0EC62C1-D921-4E59-AA06-53396D1853DD}"/>
    <cellStyle name="Normal 2 2 11 3 3 2 3" xfId="21652" xr:uid="{090B14E4-DC6D-4FCE-8A18-7E162781008A}"/>
    <cellStyle name="Normal 2 2 11 3 3 2 4" xfId="32692" xr:uid="{17C19A2D-B7D3-4774-8409-28457755A912}"/>
    <cellStyle name="Normal 2 2 11 3 3 2 5" xfId="37064" xr:uid="{8EE0D711-A5B7-455F-BDEF-6CD28B5D0D6E}"/>
    <cellStyle name="Normal 2 2 11 3 3 3" xfId="24479" xr:uid="{F2B6686D-4B02-4743-B09B-0A6FCEEB03CE}"/>
    <cellStyle name="Normal 2 2 11 3 3 4" xfId="18819" xr:uid="{2FFB3CA5-BFCA-439A-A66A-B7C17B9566D9}"/>
    <cellStyle name="Normal 2 2 11 3 3 5" xfId="30140" xr:uid="{B3683A5C-D477-422C-AEF8-4E720CE20FEE}"/>
    <cellStyle name="Normal 2 2 11 3 3 6" xfId="37063" xr:uid="{AA5FB037-D68C-4C95-A972-7D319E221423}"/>
    <cellStyle name="Normal 2 2 11 3 4" xfId="14009" xr:uid="{00000000-0005-0000-0000-00000F120000}"/>
    <cellStyle name="Normal 2 2 11 3 4 2" xfId="26048" xr:uid="{A2A1A7CC-C7C8-4CE1-96FB-94E0AE883128}"/>
    <cellStyle name="Normal 2 2 11 3 4 3" xfId="20388" xr:uid="{23411DC5-FC7D-424A-BE10-B4934E702BF7}"/>
    <cellStyle name="Normal 2 2 11 3 4 4" xfId="31428" xr:uid="{487268ED-A529-4DFD-BC37-ECB5B239F183}"/>
    <cellStyle name="Normal 2 2 11 3 4 5" xfId="37065" xr:uid="{68F890F2-D161-4384-9EE1-36F666824FB5}"/>
    <cellStyle name="Normal 2 2 11 3 5" xfId="22917" xr:uid="{5FF28D07-3069-47CE-ABE3-5846BF9CC8AB}"/>
    <cellStyle name="Normal 2 2 11 3 6" xfId="17257" xr:uid="{C0A57E6E-393F-4D72-A9EC-A18964F194D5}"/>
    <cellStyle name="Normal 2 2 11 3 7" xfId="28578" xr:uid="{EB13BED5-59AD-415C-BB64-A4F9F5F4E11B}"/>
    <cellStyle name="Normal 2 2 11 3 8" xfId="37058" xr:uid="{9361CD66-EB2E-4BBC-ABFB-05383D369B47}"/>
    <cellStyle name="Normal 2 2 11 4" xfId="5649" xr:uid="{00000000-0005-0000-0000-000010120000}"/>
    <cellStyle name="Normal 2 2 11 4 2" xfId="37066" xr:uid="{1A0885B7-984C-453A-9D9A-EB1B1AD49184}"/>
    <cellStyle name="Normal 2 2 11 5" xfId="6567" xr:uid="{00000000-0005-0000-0000-000011120000}"/>
    <cellStyle name="Normal 2 2 11 5 2" xfId="15000" xr:uid="{00000000-0005-0000-0000-000012120000}"/>
    <cellStyle name="Normal 2 2 11 5 2 2" xfId="26894" xr:uid="{91F32A32-2D81-4C11-8CFF-7CFAFD3033A9}"/>
    <cellStyle name="Normal 2 2 11 5 2 3" xfId="21234" xr:uid="{46581B37-74CF-4E8B-8D9C-F05EACE13D8C}"/>
    <cellStyle name="Normal 2 2 11 5 2 4" xfId="32274" xr:uid="{94F6009C-F942-4AE5-888A-8774B43C8DED}"/>
    <cellStyle name="Normal 2 2 11 5 2 5" xfId="37068" xr:uid="{66E6747E-DF2B-48B3-B100-574B24BE6F48}"/>
    <cellStyle name="Normal 2 2 11 5 3" xfId="24061" xr:uid="{EBF2099B-AFBD-47E8-95A6-8D68ADC32F0B}"/>
    <cellStyle name="Normal 2 2 11 5 4" xfId="18401" xr:uid="{68AB17ED-D468-4010-936A-357A1572AFCA}"/>
    <cellStyle name="Normal 2 2 11 5 5" xfId="29722" xr:uid="{67A06024-E15E-448E-B89F-2A556958D11B}"/>
    <cellStyle name="Normal 2 2 11 5 6" xfId="37067" xr:uid="{9F81FED1-44B4-4A0C-91D5-7AA1C1A9FDB3}"/>
    <cellStyle name="Normal 2 2 11 6" xfId="7809" xr:uid="{00000000-0005-0000-0000-000013120000}"/>
    <cellStyle name="Normal 2 2 11 6 2" xfId="25294" xr:uid="{B371989C-5BBE-4B73-8BE9-F78E92957449}"/>
    <cellStyle name="Normal 2 2 11 6 3" xfId="19634" xr:uid="{02B98B35-C4DC-47A7-BC56-0983ADEBE890}"/>
    <cellStyle name="Normal 2 2 11 6 4" xfId="30955" xr:uid="{11908961-A430-4B80-8861-50F6913B3B4E}"/>
    <cellStyle name="Normal 2 2 11 6 5" xfId="37069" xr:uid="{86AFDAFF-EF4C-458C-9A0D-0F8A75F44691}"/>
    <cellStyle name="Normal 2 2 11 7" xfId="22499" xr:uid="{72E3F1BA-F9F9-459A-977C-98CBE4028B2C}"/>
    <cellStyle name="Normal 2 2 11 8" xfId="16839" xr:uid="{F14F661F-D7A7-477C-ACDC-71013C685A70}"/>
    <cellStyle name="Normal 2 2 11 9" xfId="28160" xr:uid="{E281C0C8-FB52-4503-9BFC-A0B56D05BCC5}"/>
    <cellStyle name="Normal 2 2 12" xfId="4165" xr:uid="{00000000-0005-0000-0000-000014120000}"/>
    <cellStyle name="Normal 2 2 12 10" xfId="37070" xr:uid="{D6333DF0-35AF-452F-BABF-BFB63DD015D5}"/>
    <cellStyle name="Normal 2 2 12 2" xfId="4913" xr:uid="{00000000-0005-0000-0000-000015120000}"/>
    <cellStyle name="Normal 2 2 12 2 2" xfId="5332" xr:uid="{00000000-0005-0000-0000-000016120000}"/>
    <cellStyle name="Normal 2 2 12 2 2 2" xfId="7195" xr:uid="{00000000-0005-0000-0000-000017120000}"/>
    <cellStyle name="Normal 2 2 12 2 2 2 2" xfId="15628" xr:uid="{00000000-0005-0000-0000-000018120000}"/>
    <cellStyle name="Normal 2 2 12 2 2 2 2 2" xfId="27522" xr:uid="{FBF40480-58FE-421F-8317-257A9ABF83CB}"/>
    <cellStyle name="Normal 2 2 12 2 2 2 2 3" xfId="21862" xr:uid="{F7DA0E9F-7DF4-463B-A08C-959FBCB699FB}"/>
    <cellStyle name="Normal 2 2 12 2 2 2 2 4" xfId="32902" xr:uid="{843B8FAC-5BE0-46EB-A9E9-0BFB6339A771}"/>
    <cellStyle name="Normal 2 2 12 2 2 2 2 5" xfId="37074" xr:uid="{A43C5AB2-0B40-4740-852A-0B37B8F58835}"/>
    <cellStyle name="Normal 2 2 12 2 2 2 3" xfId="24689" xr:uid="{ABE862C4-73F7-4EF9-B17B-CBC116F4EAB9}"/>
    <cellStyle name="Normal 2 2 12 2 2 2 4" xfId="19029" xr:uid="{01063A48-98FB-4CD7-B867-D0DAD642CFC0}"/>
    <cellStyle name="Normal 2 2 12 2 2 2 5" xfId="30350" xr:uid="{970CD220-D4F9-401E-A5E0-A6653DF6967D}"/>
    <cellStyle name="Normal 2 2 12 2 2 2 6" xfId="37073" xr:uid="{8DEB8EE9-DD17-49A9-B240-43D62B89CEE6}"/>
    <cellStyle name="Normal 2 2 12 2 2 3" xfId="14218" xr:uid="{00000000-0005-0000-0000-000019120000}"/>
    <cellStyle name="Normal 2 2 12 2 2 3 2" xfId="26257" xr:uid="{A4C905B0-4DC1-4EB7-B062-66605ABA12BC}"/>
    <cellStyle name="Normal 2 2 12 2 2 3 3" xfId="20597" xr:uid="{54D78CBB-4955-4357-9CCF-D7B5C5FEC9A2}"/>
    <cellStyle name="Normal 2 2 12 2 2 3 4" xfId="31637" xr:uid="{E743F59C-6EB1-41B5-B744-256990422E5A}"/>
    <cellStyle name="Normal 2 2 12 2 2 3 5" xfId="37075" xr:uid="{1A6EFC79-3170-47EB-A42E-5CF15F47D936}"/>
    <cellStyle name="Normal 2 2 12 2 2 4" xfId="23127" xr:uid="{3E2E2EC5-09CD-4E17-BC1A-DBFEFE30233D}"/>
    <cellStyle name="Normal 2 2 12 2 2 5" xfId="17467" xr:uid="{ECF0EA90-432A-4F75-A660-72A896005B0D}"/>
    <cellStyle name="Normal 2 2 12 2 2 6" xfId="28788" xr:uid="{B838CDD5-EE91-4F69-B21E-7048550FAFA9}"/>
    <cellStyle name="Normal 2 2 12 2 2 7" xfId="37072" xr:uid="{47CA2910-670C-4D16-B609-E31CB25BE009}"/>
    <cellStyle name="Normal 2 2 12 2 3" xfId="6051" xr:uid="{00000000-0005-0000-0000-00001A120000}"/>
    <cellStyle name="Normal 2 2 12 2 3 2" xfId="7393" xr:uid="{00000000-0005-0000-0000-00001B120000}"/>
    <cellStyle name="Normal 2 2 12 2 3 2 2" xfId="15826" xr:uid="{00000000-0005-0000-0000-00001C120000}"/>
    <cellStyle name="Normal 2 2 12 2 3 2 2 2" xfId="27720" xr:uid="{E21793EF-CD31-4EAC-AC2D-8CF39BE2A228}"/>
    <cellStyle name="Normal 2 2 12 2 3 2 2 3" xfId="22060" xr:uid="{45600CC5-D0B6-406D-86EC-8AB56E0661C3}"/>
    <cellStyle name="Normal 2 2 12 2 3 2 2 4" xfId="33100" xr:uid="{F92B6011-296C-404C-BE7E-9DA5E36AD309}"/>
    <cellStyle name="Normal 2 2 12 2 3 2 2 5" xfId="37078" xr:uid="{D3930CCE-C260-4A72-84BA-352A617CD51E}"/>
    <cellStyle name="Normal 2 2 12 2 3 2 3" xfId="24887" xr:uid="{55E6BBA6-6E05-49DC-B2FE-A64BB9284B91}"/>
    <cellStyle name="Normal 2 2 12 2 3 2 4" xfId="19227" xr:uid="{775F8100-0EFE-45B5-A2D2-B06829EE9DDA}"/>
    <cellStyle name="Normal 2 2 12 2 3 2 5" xfId="30548" xr:uid="{5437DAFF-0646-416E-A9D7-F46DAE4C6BC5}"/>
    <cellStyle name="Normal 2 2 12 2 3 2 6" xfId="37077" xr:uid="{FB70B0A7-3938-48D3-AB32-9FA1B92D366F}"/>
    <cellStyle name="Normal 2 2 12 2 3 3" xfId="14506" xr:uid="{00000000-0005-0000-0000-00001D120000}"/>
    <cellStyle name="Normal 2 2 12 2 3 3 2" xfId="26464" xr:uid="{FDB231A3-8285-497F-A329-E835F3BB2B41}"/>
    <cellStyle name="Normal 2 2 12 2 3 3 3" xfId="20804" xr:uid="{8AA8D7D1-C4F8-4884-AA55-93F83983F2BD}"/>
    <cellStyle name="Normal 2 2 12 2 3 3 4" xfId="31844" xr:uid="{F4015619-98A0-46EE-991E-692087D44E73}"/>
    <cellStyle name="Normal 2 2 12 2 3 3 5" xfId="37079" xr:uid="{02A399A6-EBE6-499E-A529-EA1220EA10FB}"/>
    <cellStyle name="Normal 2 2 12 2 3 4" xfId="23631" xr:uid="{B9CC6039-5F1D-4FB1-9949-02592F346CB9}"/>
    <cellStyle name="Normal 2 2 12 2 3 5" xfId="17971" xr:uid="{EF00D779-427B-41AF-BCAE-F46D83C6C3C4}"/>
    <cellStyle name="Normal 2 2 12 2 3 6" xfId="29292" xr:uid="{B3D04C3E-7EF8-432E-8F38-B3DBA9330B01}"/>
    <cellStyle name="Normal 2 2 12 2 3 7" xfId="37076" xr:uid="{F5CCBDD3-43FD-4706-8A2A-9FF1ACB95B17}"/>
    <cellStyle name="Normal 2 2 12 2 4" xfId="6777" xr:uid="{00000000-0005-0000-0000-00001E120000}"/>
    <cellStyle name="Normal 2 2 12 2 4 2" xfId="15210" xr:uid="{00000000-0005-0000-0000-00001F120000}"/>
    <cellStyle name="Normal 2 2 12 2 4 2 2" xfId="27104" xr:uid="{159E9A0D-6DD2-470B-A8E4-C37132BB6BE0}"/>
    <cellStyle name="Normal 2 2 12 2 4 2 3" xfId="21444" xr:uid="{B84DA885-9DC2-48B3-B2D3-017B4F27DE7E}"/>
    <cellStyle name="Normal 2 2 12 2 4 2 4" xfId="32484" xr:uid="{D086A9CA-4DEE-4565-83CC-228E338E103E}"/>
    <cellStyle name="Normal 2 2 12 2 4 2 5" xfId="37081" xr:uid="{6958F2B8-31C8-4AA6-9F04-0D33F2683779}"/>
    <cellStyle name="Normal 2 2 12 2 4 3" xfId="24271" xr:uid="{6021D379-1679-410D-A81E-AA002DF5EED0}"/>
    <cellStyle name="Normal 2 2 12 2 4 4" xfId="18611" xr:uid="{35F4694E-9101-421A-8E5F-5288996B09D6}"/>
    <cellStyle name="Normal 2 2 12 2 4 5" xfId="29932" xr:uid="{A5B3F1F5-C884-4F6F-A4DA-48C40341A2D1}"/>
    <cellStyle name="Normal 2 2 12 2 4 6" xfId="37080" xr:uid="{FE894503-3727-40A1-9533-6A016305482D}"/>
    <cellStyle name="Normal 2 2 12 2 5" xfId="7812" xr:uid="{00000000-0005-0000-0000-000020120000}"/>
    <cellStyle name="Normal 2 2 12 2 5 2" xfId="25297" xr:uid="{5B1F596B-F2A5-40EB-B302-E5B7DCE86618}"/>
    <cellStyle name="Normal 2 2 12 2 5 3" xfId="19637" xr:uid="{71F6A7C6-0D45-4F7A-B4CE-A2042C3832ED}"/>
    <cellStyle name="Normal 2 2 12 2 5 4" xfId="30958" xr:uid="{120CE696-9E04-4245-AC9E-A0B3023DA72C}"/>
    <cellStyle name="Normal 2 2 12 2 5 5" xfId="37082" xr:uid="{D1A37CC3-380C-430D-A8E3-86C7B81B775A}"/>
    <cellStyle name="Normal 2 2 12 2 6" xfId="22709" xr:uid="{CC9C14A4-0453-48FE-8B33-8F1E02A6F9F0}"/>
    <cellStyle name="Normal 2 2 12 2 7" xfId="17049" xr:uid="{A3C14DFF-6877-4621-AB76-D2228F084F2A}"/>
    <cellStyle name="Normal 2 2 12 2 8" xfId="28370" xr:uid="{5EC0C77B-B314-4643-A466-3F6FEC8E6C28}"/>
    <cellStyle name="Normal 2 2 12 2 9" xfId="37071" xr:uid="{0F6A56AC-B74D-47B5-9475-C6A1710C95FB}"/>
    <cellStyle name="Normal 2 2 12 3" xfId="5123" xr:uid="{00000000-0005-0000-0000-000021120000}"/>
    <cellStyle name="Normal 2 2 12 3 2" xfId="6050" xr:uid="{00000000-0005-0000-0000-000022120000}"/>
    <cellStyle name="Normal 2 2 12 3 2 2" xfId="7392" xr:uid="{00000000-0005-0000-0000-000023120000}"/>
    <cellStyle name="Normal 2 2 12 3 2 2 2" xfId="15825" xr:uid="{00000000-0005-0000-0000-000024120000}"/>
    <cellStyle name="Normal 2 2 12 3 2 2 2 2" xfId="27719" xr:uid="{650CD85E-55F1-4264-8186-9C6EFE41FDD3}"/>
    <cellStyle name="Normal 2 2 12 3 2 2 2 3" xfId="22059" xr:uid="{3DB9E880-0354-48BC-B441-007F3888F72C}"/>
    <cellStyle name="Normal 2 2 12 3 2 2 2 4" xfId="33099" xr:uid="{6A35362A-AE2C-4883-A1FE-179BA2AC8ABE}"/>
    <cellStyle name="Normal 2 2 12 3 2 2 2 5" xfId="37086" xr:uid="{913180A4-7D1C-488C-89A8-B559A80AAE40}"/>
    <cellStyle name="Normal 2 2 12 3 2 2 3" xfId="24886" xr:uid="{958392A0-873F-4048-91CA-9C7977856FF3}"/>
    <cellStyle name="Normal 2 2 12 3 2 2 4" xfId="19226" xr:uid="{3C23C52C-7DEC-4BCA-9A7E-3FA9122E7ADB}"/>
    <cellStyle name="Normal 2 2 12 3 2 2 5" xfId="30547" xr:uid="{2AAC382F-32C1-4629-8D94-A71BD55BA3F3}"/>
    <cellStyle name="Normal 2 2 12 3 2 2 6" xfId="37085" xr:uid="{0F681B5A-B945-4D45-93A3-400F5EF33BA6}"/>
    <cellStyle name="Normal 2 2 12 3 2 3" xfId="14505" xr:uid="{00000000-0005-0000-0000-000025120000}"/>
    <cellStyle name="Normal 2 2 12 3 2 3 2" xfId="26463" xr:uid="{EF85F1A9-5BFE-40D6-9A80-5AA366A4E242}"/>
    <cellStyle name="Normal 2 2 12 3 2 3 3" xfId="20803" xr:uid="{3090C2CD-F982-4F73-BB8A-4A0ABE4D0E0C}"/>
    <cellStyle name="Normal 2 2 12 3 2 3 4" xfId="31843" xr:uid="{8AD67749-565C-471F-86A5-D1B4FBEAE370}"/>
    <cellStyle name="Normal 2 2 12 3 2 3 5" xfId="37087" xr:uid="{527DB8C4-6723-4C23-B1D3-494C319AB424}"/>
    <cellStyle name="Normal 2 2 12 3 2 4" xfId="23630" xr:uid="{808976F5-3213-4F31-AC01-2802243CE210}"/>
    <cellStyle name="Normal 2 2 12 3 2 5" xfId="17970" xr:uid="{646386D3-7578-4ECF-A317-DA7815941D79}"/>
    <cellStyle name="Normal 2 2 12 3 2 6" xfId="29291" xr:uid="{2B1B1ECF-133D-40A6-B158-19D0BF0804BF}"/>
    <cellStyle name="Normal 2 2 12 3 2 7" xfId="37084" xr:uid="{A2BCE6F1-E7C7-4E42-AAA3-DC7CFCE040E7}"/>
    <cellStyle name="Normal 2 2 12 3 3" xfId="6986" xr:uid="{00000000-0005-0000-0000-000026120000}"/>
    <cellStyle name="Normal 2 2 12 3 3 2" xfId="15419" xr:uid="{00000000-0005-0000-0000-000027120000}"/>
    <cellStyle name="Normal 2 2 12 3 3 2 2" xfId="27313" xr:uid="{EFA511E8-CCD0-484D-941D-F0F34EF957CF}"/>
    <cellStyle name="Normal 2 2 12 3 3 2 3" xfId="21653" xr:uid="{5ACF798E-8308-49A0-B045-8453F8D8EE91}"/>
    <cellStyle name="Normal 2 2 12 3 3 2 4" xfId="32693" xr:uid="{14D8CE87-4FCB-4342-92B7-C5148994FAAE}"/>
    <cellStyle name="Normal 2 2 12 3 3 2 5" xfId="37089" xr:uid="{93FBD155-F26E-4B34-A963-D56ED362F780}"/>
    <cellStyle name="Normal 2 2 12 3 3 3" xfId="24480" xr:uid="{05EB37F6-C12E-40DD-B8B1-79AFA703DE24}"/>
    <cellStyle name="Normal 2 2 12 3 3 4" xfId="18820" xr:uid="{DB6B6A3D-F442-4DC0-B001-145DAA7D2908}"/>
    <cellStyle name="Normal 2 2 12 3 3 5" xfId="30141" xr:uid="{07B3931B-25CA-4839-B6D4-54F4429863A7}"/>
    <cellStyle name="Normal 2 2 12 3 3 6" xfId="37088" xr:uid="{3D714438-3D8E-446E-BCC1-4008E91B3272}"/>
    <cellStyle name="Normal 2 2 12 3 4" xfId="14010" xr:uid="{00000000-0005-0000-0000-000028120000}"/>
    <cellStyle name="Normal 2 2 12 3 4 2" xfId="26049" xr:uid="{5750A766-2B76-4DF0-84AE-C22C1FBDDF28}"/>
    <cellStyle name="Normal 2 2 12 3 4 3" xfId="20389" xr:uid="{A35EA27E-2DEB-4F88-8662-3F34799BC864}"/>
    <cellStyle name="Normal 2 2 12 3 4 4" xfId="31429" xr:uid="{6055BBE2-341C-4B91-B01C-14A66B73F953}"/>
    <cellStyle name="Normal 2 2 12 3 4 5" xfId="37090" xr:uid="{B1C11A69-E603-4D87-B72A-DC6863181877}"/>
    <cellStyle name="Normal 2 2 12 3 5" xfId="22918" xr:uid="{866BF524-5B28-4BB9-B5FD-01A31CB1058A}"/>
    <cellStyle name="Normal 2 2 12 3 6" xfId="17258" xr:uid="{AEAE0B30-8211-4FF0-9CAE-65E9E0CD4397}"/>
    <cellStyle name="Normal 2 2 12 3 7" xfId="28579" xr:uid="{B99AB4F2-3E24-4417-BA45-4A9C537D22FE}"/>
    <cellStyle name="Normal 2 2 12 3 8" xfId="37083" xr:uid="{2231E7BE-4877-488B-9196-12C70953DFBB}"/>
    <cellStyle name="Normal 2 2 12 4" xfId="5650" xr:uid="{00000000-0005-0000-0000-000029120000}"/>
    <cellStyle name="Normal 2 2 12 4 2" xfId="37091" xr:uid="{169E34B1-CEB1-420F-9CEE-7F9D4E9B0DD6}"/>
    <cellStyle name="Normal 2 2 12 5" xfId="6568" xr:uid="{00000000-0005-0000-0000-00002A120000}"/>
    <cellStyle name="Normal 2 2 12 5 2" xfId="15001" xr:uid="{00000000-0005-0000-0000-00002B120000}"/>
    <cellStyle name="Normal 2 2 12 5 2 2" xfId="26895" xr:uid="{4F53FE58-5216-438B-920D-4CF528CFA5A1}"/>
    <cellStyle name="Normal 2 2 12 5 2 3" xfId="21235" xr:uid="{A3B53CF4-4D3D-461B-9183-C73178A3CE30}"/>
    <cellStyle name="Normal 2 2 12 5 2 4" xfId="32275" xr:uid="{D93FF144-1EAC-4A14-8450-BECC818B7A94}"/>
    <cellStyle name="Normal 2 2 12 5 2 5" xfId="37093" xr:uid="{5C0B9761-7BA3-4187-930F-7D43B51159E6}"/>
    <cellStyle name="Normal 2 2 12 5 3" xfId="24062" xr:uid="{ED0178E6-6CFF-4523-A5A7-86FE0794095D}"/>
    <cellStyle name="Normal 2 2 12 5 4" xfId="18402" xr:uid="{1D7B5686-573C-4141-BCAC-6ABAB466568D}"/>
    <cellStyle name="Normal 2 2 12 5 5" xfId="29723" xr:uid="{A6CD2113-9A45-44D2-9081-7B09783618C4}"/>
    <cellStyle name="Normal 2 2 12 5 6" xfId="37092" xr:uid="{D1AF9329-FCDB-46A8-95B2-B1D5253C2F1C}"/>
    <cellStyle name="Normal 2 2 12 6" xfId="7811" xr:uid="{00000000-0005-0000-0000-00002C120000}"/>
    <cellStyle name="Normal 2 2 12 6 2" xfId="25296" xr:uid="{89598B13-ACDC-4B32-B16C-B8BC94C1EEEE}"/>
    <cellStyle name="Normal 2 2 12 6 3" xfId="19636" xr:uid="{ED7D39E0-7E75-43B4-BF43-B68660FD1CBC}"/>
    <cellStyle name="Normal 2 2 12 6 4" xfId="30957" xr:uid="{30B713B1-BE5A-425F-8209-EDDA68DA87B9}"/>
    <cellStyle name="Normal 2 2 12 6 5" xfId="37094" xr:uid="{08C50CEF-C9FE-4CA6-A673-41CCB4AB51C0}"/>
    <cellStyle name="Normal 2 2 12 7" xfId="22500" xr:uid="{60D7DD92-B803-42AD-A78F-755F1098CE7E}"/>
    <cellStyle name="Normal 2 2 12 8" xfId="16840" xr:uid="{A5F253B8-6120-43BB-A236-1FD847C11C7D}"/>
    <cellStyle name="Normal 2 2 12 9" xfId="28161" xr:uid="{967C3633-BC57-4829-A8FC-C56FFAE0AEB6}"/>
    <cellStyle name="Normal 2 2 13" xfId="4166" xr:uid="{00000000-0005-0000-0000-00002D120000}"/>
    <cellStyle name="Normal 2 2 13 10" xfId="37095" xr:uid="{6CBD938C-90FE-4A0B-9BE4-8F218CD0A802}"/>
    <cellStyle name="Normal 2 2 13 2" xfId="4914" xr:uid="{00000000-0005-0000-0000-00002E120000}"/>
    <cellStyle name="Normal 2 2 13 2 2" xfId="5333" xr:uid="{00000000-0005-0000-0000-00002F120000}"/>
    <cellStyle name="Normal 2 2 13 2 2 2" xfId="7196" xr:uid="{00000000-0005-0000-0000-000030120000}"/>
    <cellStyle name="Normal 2 2 13 2 2 2 2" xfId="15629" xr:uid="{00000000-0005-0000-0000-000031120000}"/>
    <cellStyle name="Normal 2 2 13 2 2 2 2 2" xfId="27523" xr:uid="{78496588-BAC6-4DCA-B80A-0D3F8CC25282}"/>
    <cellStyle name="Normal 2 2 13 2 2 2 2 3" xfId="21863" xr:uid="{BE610193-ED66-4F86-8D4A-C69076C40904}"/>
    <cellStyle name="Normal 2 2 13 2 2 2 2 4" xfId="32903" xr:uid="{AAD1BE4C-68A3-4D3A-9571-A705B758A8B4}"/>
    <cellStyle name="Normal 2 2 13 2 2 2 2 5" xfId="37099" xr:uid="{2F159953-6F62-4498-9862-E816120A9CCA}"/>
    <cellStyle name="Normal 2 2 13 2 2 2 3" xfId="24690" xr:uid="{C68D53DE-837C-4F22-A20A-CBA98C829D46}"/>
    <cellStyle name="Normal 2 2 13 2 2 2 4" xfId="19030" xr:uid="{D59212F2-25FB-4020-A368-2D395134F295}"/>
    <cellStyle name="Normal 2 2 13 2 2 2 5" xfId="30351" xr:uid="{0BFC23CA-4238-407E-871F-8CEF9FB360A7}"/>
    <cellStyle name="Normal 2 2 13 2 2 2 6" xfId="37098" xr:uid="{A656BEF0-1D3F-4AFD-A8BE-B63BAC8A50FA}"/>
    <cellStyle name="Normal 2 2 13 2 2 3" xfId="14219" xr:uid="{00000000-0005-0000-0000-000032120000}"/>
    <cellStyle name="Normal 2 2 13 2 2 3 2" xfId="26258" xr:uid="{04108D8A-7032-4E96-B85E-CDAA55A5587F}"/>
    <cellStyle name="Normal 2 2 13 2 2 3 3" xfId="20598" xr:uid="{7A874100-E1B5-4E98-A467-6DF6F6C31FDD}"/>
    <cellStyle name="Normal 2 2 13 2 2 3 4" xfId="31638" xr:uid="{3685B8C4-481A-447C-86CF-0087B594145B}"/>
    <cellStyle name="Normal 2 2 13 2 2 3 5" xfId="37100" xr:uid="{92CE2A37-4D4E-451E-B9F0-C6E56CE5ECC0}"/>
    <cellStyle name="Normal 2 2 13 2 2 4" xfId="23128" xr:uid="{0A55289F-2715-4175-818B-C8C77F0A4588}"/>
    <cellStyle name="Normal 2 2 13 2 2 5" xfId="17468" xr:uid="{8BC2355F-2D54-4AA6-A1B2-DF9BF4B976A7}"/>
    <cellStyle name="Normal 2 2 13 2 2 6" xfId="28789" xr:uid="{CEB01381-56E3-4F49-A190-9546879DEFF0}"/>
    <cellStyle name="Normal 2 2 13 2 2 7" xfId="37097" xr:uid="{15DA3830-3AA7-4765-9C23-E2D2B33564D9}"/>
    <cellStyle name="Normal 2 2 13 2 3" xfId="6053" xr:uid="{00000000-0005-0000-0000-000033120000}"/>
    <cellStyle name="Normal 2 2 13 2 3 2" xfId="7395" xr:uid="{00000000-0005-0000-0000-000034120000}"/>
    <cellStyle name="Normal 2 2 13 2 3 2 2" xfId="15828" xr:uid="{00000000-0005-0000-0000-000035120000}"/>
    <cellStyle name="Normal 2 2 13 2 3 2 2 2" xfId="27722" xr:uid="{5BA8A9AC-E452-45AF-B6AB-F8168D061069}"/>
    <cellStyle name="Normal 2 2 13 2 3 2 2 3" xfId="22062" xr:uid="{54AC95B3-54EA-40E9-9C3E-39E2869A9A9A}"/>
    <cellStyle name="Normal 2 2 13 2 3 2 2 4" xfId="33102" xr:uid="{4803AF27-E6BB-4A35-B941-E5725FEFF39F}"/>
    <cellStyle name="Normal 2 2 13 2 3 2 2 5" xfId="37103" xr:uid="{DE77A617-055F-4A7C-86BB-1B1EF2F13EA7}"/>
    <cellStyle name="Normal 2 2 13 2 3 2 3" xfId="24889" xr:uid="{41DD16BF-0ADB-4717-8DA5-AAC492C0077C}"/>
    <cellStyle name="Normal 2 2 13 2 3 2 4" xfId="19229" xr:uid="{2BADBFA4-5E6B-4A7D-9824-EE985E9DE6A1}"/>
    <cellStyle name="Normal 2 2 13 2 3 2 5" xfId="30550" xr:uid="{C358ABA5-52C4-4B38-B304-5ECAB8BC0419}"/>
    <cellStyle name="Normal 2 2 13 2 3 2 6" xfId="37102" xr:uid="{25844116-944D-4ED4-A8D8-9CFE541B319D}"/>
    <cellStyle name="Normal 2 2 13 2 3 3" xfId="14508" xr:uid="{00000000-0005-0000-0000-000036120000}"/>
    <cellStyle name="Normal 2 2 13 2 3 3 2" xfId="26466" xr:uid="{44405558-7A15-4930-BFF8-2A37952DEE0B}"/>
    <cellStyle name="Normal 2 2 13 2 3 3 3" xfId="20806" xr:uid="{6E16A75C-D417-4D20-A3D4-91236AAF0E6B}"/>
    <cellStyle name="Normal 2 2 13 2 3 3 4" xfId="31846" xr:uid="{38B79EAB-6E1C-4F63-B20E-7E2A0E3E28A6}"/>
    <cellStyle name="Normal 2 2 13 2 3 3 5" xfId="37104" xr:uid="{3F9618BD-0D08-4D85-82E8-CED7DF5D5D59}"/>
    <cellStyle name="Normal 2 2 13 2 3 4" xfId="23633" xr:uid="{5AB705FC-2AE1-4D6A-8173-06DC6BE0D4AD}"/>
    <cellStyle name="Normal 2 2 13 2 3 5" xfId="17973" xr:uid="{F28230B6-63FD-4E96-BDF3-3200B0563B84}"/>
    <cellStyle name="Normal 2 2 13 2 3 6" xfId="29294" xr:uid="{260B0D6A-8A53-4E6A-BB0E-AD3627EA5E41}"/>
    <cellStyle name="Normal 2 2 13 2 3 7" xfId="37101" xr:uid="{EBA3B4C1-6F87-484D-A502-1FC64EB69D8C}"/>
    <cellStyle name="Normal 2 2 13 2 4" xfId="6778" xr:uid="{00000000-0005-0000-0000-000037120000}"/>
    <cellStyle name="Normal 2 2 13 2 4 2" xfId="15211" xr:uid="{00000000-0005-0000-0000-000038120000}"/>
    <cellStyle name="Normal 2 2 13 2 4 2 2" xfId="27105" xr:uid="{9AD7B1B3-05EC-4DFC-87F6-3CADAF7191E2}"/>
    <cellStyle name="Normal 2 2 13 2 4 2 3" xfId="21445" xr:uid="{CF85322B-6822-4FD3-A9A1-3A613AE40238}"/>
    <cellStyle name="Normal 2 2 13 2 4 2 4" xfId="32485" xr:uid="{D40EA770-A96E-4637-9121-745107F66EFC}"/>
    <cellStyle name="Normal 2 2 13 2 4 2 5" xfId="37106" xr:uid="{1A0936DF-98A9-4C9E-ABC6-8E88F169126A}"/>
    <cellStyle name="Normal 2 2 13 2 4 3" xfId="24272" xr:uid="{F75381EC-4919-45A1-A296-F372D6143C10}"/>
    <cellStyle name="Normal 2 2 13 2 4 4" xfId="18612" xr:uid="{0D6BD173-FDE7-43A4-9AC9-5CB375636ADF}"/>
    <cellStyle name="Normal 2 2 13 2 4 5" xfId="29933" xr:uid="{EFF48DA4-B35C-4AD8-B0EA-A4DEB9E4DBEB}"/>
    <cellStyle name="Normal 2 2 13 2 4 6" xfId="37105" xr:uid="{009E3F79-41C8-4B9F-9129-991596E50ABB}"/>
    <cellStyle name="Normal 2 2 13 2 5" xfId="7814" xr:uid="{00000000-0005-0000-0000-000039120000}"/>
    <cellStyle name="Normal 2 2 13 2 5 2" xfId="25299" xr:uid="{0013AFB7-1496-4A95-9967-AE45B9ED53A8}"/>
    <cellStyle name="Normal 2 2 13 2 5 3" xfId="19639" xr:uid="{0E645CD7-95C3-4600-8CA7-D5C252CF425E}"/>
    <cellStyle name="Normal 2 2 13 2 5 4" xfId="30960" xr:uid="{D60A9504-F161-4D00-853D-65E4FAB57B21}"/>
    <cellStyle name="Normal 2 2 13 2 5 5" xfId="37107" xr:uid="{F3C05A8C-B4C8-44C6-9FB7-D38714CF32B3}"/>
    <cellStyle name="Normal 2 2 13 2 6" xfId="22710" xr:uid="{63FEE671-8B39-4024-85A8-D2E71ABDD2BC}"/>
    <cellStyle name="Normal 2 2 13 2 7" xfId="17050" xr:uid="{43D8A2B5-6503-4BD2-A58C-301DED0EA9C3}"/>
    <cellStyle name="Normal 2 2 13 2 8" xfId="28371" xr:uid="{C7F297DA-2DD7-44C8-99CF-DA95CEF20C78}"/>
    <cellStyle name="Normal 2 2 13 2 9" xfId="37096" xr:uid="{B4AC04B7-2338-4F98-8CE9-CFAAFA9BB7C2}"/>
    <cellStyle name="Normal 2 2 13 3" xfId="5124" xr:uid="{00000000-0005-0000-0000-00003A120000}"/>
    <cellStyle name="Normal 2 2 13 3 2" xfId="6052" xr:uid="{00000000-0005-0000-0000-00003B120000}"/>
    <cellStyle name="Normal 2 2 13 3 2 2" xfId="7394" xr:uid="{00000000-0005-0000-0000-00003C120000}"/>
    <cellStyle name="Normal 2 2 13 3 2 2 2" xfId="15827" xr:uid="{00000000-0005-0000-0000-00003D120000}"/>
    <cellStyle name="Normal 2 2 13 3 2 2 2 2" xfId="27721" xr:uid="{A4218F7D-EDB4-4199-AB80-076ED2D65F9A}"/>
    <cellStyle name="Normal 2 2 13 3 2 2 2 3" xfId="22061" xr:uid="{2B9D58DF-9FBF-44B6-918D-00234815B79E}"/>
    <cellStyle name="Normal 2 2 13 3 2 2 2 4" xfId="33101" xr:uid="{1D15F941-18C6-4C6F-A87D-83D72A90EB1C}"/>
    <cellStyle name="Normal 2 2 13 3 2 2 2 5" xfId="37111" xr:uid="{E15A6A98-8CB0-4A0A-8890-FD9906CFF5CF}"/>
    <cellStyle name="Normal 2 2 13 3 2 2 3" xfId="24888" xr:uid="{20DA9666-280D-4716-A1A6-ED468636CFD2}"/>
    <cellStyle name="Normal 2 2 13 3 2 2 4" xfId="19228" xr:uid="{3F175DB3-AF02-43E8-ABFA-298E6BE16E50}"/>
    <cellStyle name="Normal 2 2 13 3 2 2 5" xfId="30549" xr:uid="{97B01037-EBF9-4435-A0A8-2FD409D21228}"/>
    <cellStyle name="Normal 2 2 13 3 2 2 6" xfId="37110" xr:uid="{C61F0C1D-6577-4FC6-BB03-35C741A724FA}"/>
    <cellStyle name="Normal 2 2 13 3 2 3" xfId="14507" xr:uid="{00000000-0005-0000-0000-00003E120000}"/>
    <cellStyle name="Normal 2 2 13 3 2 3 2" xfId="26465" xr:uid="{771EC56B-CFAC-4E81-BF05-0CF3F180A7CA}"/>
    <cellStyle name="Normal 2 2 13 3 2 3 3" xfId="20805" xr:uid="{0AD5BA7A-29EE-46E6-B8BE-6A4888BA4973}"/>
    <cellStyle name="Normal 2 2 13 3 2 3 4" xfId="31845" xr:uid="{8DFA643D-F204-400A-BAE5-AB6F8FD6B7B3}"/>
    <cellStyle name="Normal 2 2 13 3 2 3 5" xfId="37112" xr:uid="{4039066A-0AC1-435A-B583-0912046772D1}"/>
    <cellStyle name="Normal 2 2 13 3 2 4" xfId="23632" xr:uid="{6AC478E9-3C5E-461A-BA0C-D4D1A22A24F7}"/>
    <cellStyle name="Normal 2 2 13 3 2 5" xfId="17972" xr:uid="{D8EB4BC6-32BB-4E50-8433-EAE24984C5F1}"/>
    <cellStyle name="Normal 2 2 13 3 2 6" xfId="29293" xr:uid="{8E583DA3-3604-4E7F-B590-D05F344832FD}"/>
    <cellStyle name="Normal 2 2 13 3 2 7" xfId="37109" xr:uid="{E0DA49D6-0309-400C-A606-A20CCBB93CA9}"/>
    <cellStyle name="Normal 2 2 13 3 3" xfId="6987" xr:uid="{00000000-0005-0000-0000-00003F120000}"/>
    <cellStyle name="Normal 2 2 13 3 3 2" xfId="15420" xr:uid="{00000000-0005-0000-0000-000040120000}"/>
    <cellStyle name="Normal 2 2 13 3 3 2 2" xfId="27314" xr:uid="{1EBFE7E2-D870-46ED-B2F6-D04D560E53BE}"/>
    <cellStyle name="Normal 2 2 13 3 3 2 3" xfId="21654" xr:uid="{167F864F-7C53-42F7-9368-D8F9181E98BB}"/>
    <cellStyle name="Normal 2 2 13 3 3 2 4" xfId="32694" xr:uid="{F665E709-C4B2-47D9-9F1A-6556D7193F68}"/>
    <cellStyle name="Normal 2 2 13 3 3 2 5" xfId="37114" xr:uid="{A925EF0E-3DD6-46B7-A497-1DE159028500}"/>
    <cellStyle name="Normal 2 2 13 3 3 3" xfId="24481" xr:uid="{1200CE82-B7CA-4C01-B908-B4999D9711AA}"/>
    <cellStyle name="Normal 2 2 13 3 3 4" xfId="18821" xr:uid="{7F6921E7-F56A-4504-999B-A31BA150163D}"/>
    <cellStyle name="Normal 2 2 13 3 3 5" xfId="30142" xr:uid="{8D282E53-0925-43C0-8C14-EF097F6879DE}"/>
    <cellStyle name="Normal 2 2 13 3 3 6" xfId="37113" xr:uid="{2AF95FA5-3F10-49DA-9537-C47B69DB7FA0}"/>
    <cellStyle name="Normal 2 2 13 3 4" xfId="14011" xr:uid="{00000000-0005-0000-0000-000041120000}"/>
    <cellStyle name="Normal 2 2 13 3 4 2" xfId="26050" xr:uid="{A2482CF4-A989-4B08-9BB7-12A3A41685EF}"/>
    <cellStyle name="Normal 2 2 13 3 4 3" xfId="20390" xr:uid="{0CA12DB6-BEEA-4621-BD52-C867CB9C674D}"/>
    <cellStyle name="Normal 2 2 13 3 4 4" xfId="31430" xr:uid="{949BD2EC-55B0-4715-A252-BCCB33A687AF}"/>
    <cellStyle name="Normal 2 2 13 3 4 5" xfId="37115" xr:uid="{7519CD73-A50D-4741-82A0-C06ABBDDDBF6}"/>
    <cellStyle name="Normal 2 2 13 3 5" xfId="22919" xr:uid="{1531281C-F311-4567-965A-141D0CBFDACE}"/>
    <cellStyle name="Normal 2 2 13 3 6" xfId="17259" xr:uid="{76387FB3-FA17-48C4-9E0B-928056263540}"/>
    <cellStyle name="Normal 2 2 13 3 7" xfId="28580" xr:uid="{8154FCAE-0E63-40F1-AE1C-82802A143290}"/>
    <cellStyle name="Normal 2 2 13 3 8" xfId="37108" xr:uid="{99476D9E-973C-440B-95AA-5C78F46404C0}"/>
    <cellStyle name="Normal 2 2 13 4" xfId="5651" xr:uid="{00000000-0005-0000-0000-000042120000}"/>
    <cellStyle name="Normal 2 2 13 4 2" xfId="37116" xr:uid="{5F4F4B62-BB65-4DA4-AE1D-6693EA102A13}"/>
    <cellStyle name="Normal 2 2 13 5" xfId="6569" xr:uid="{00000000-0005-0000-0000-000043120000}"/>
    <cellStyle name="Normal 2 2 13 5 2" xfId="15002" xr:uid="{00000000-0005-0000-0000-000044120000}"/>
    <cellStyle name="Normal 2 2 13 5 2 2" xfId="26896" xr:uid="{29E13BA0-91BB-4459-B31A-97D890AE120D}"/>
    <cellStyle name="Normal 2 2 13 5 2 3" xfId="21236" xr:uid="{2B2FB68B-34E3-4EA4-8D27-354C5D41A289}"/>
    <cellStyle name="Normal 2 2 13 5 2 4" xfId="32276" xr:uid="{DDC138F0-9459-4D6A-81A6-7CCA0A552C26}"/>
    <cellStyle name="Normal 2 2 13 5 2 5" xfId="37118" xr:uid="{EBB5EF43-8F27-45D9-B49C-286240968222}"/>
    <cellStyle name="Normal 2 2 13 5 3" xfId="24063" xr:uid="{EDBC94E0-BE4B-4DC7-8413-78FE5A9766C6}"/>
    <cellStyle name="Normal 2 2 13 5 4" xfId="18403" xr:uid="{5ACBC579-9830-457D-8E4D-6E966F0A109D}"/>
    <cellStyle name="Normal 2 2 13 5 5" xfId="29724" xr:uid="{2C02C812-341F-4A98-9B2A-8068F93E245C}"/>
    <cellStyle name="Normal 2 2 13 5 6" xfId="37117" xr:uid="{814D6F72-C1E3-4279-8C3D-F0DC8542A5D6}"/>
    <cellStyle name="Normal 2 2 13 6" xfId="7813" xr:uid="{00000000-0005-0000-0000-000045120000}"/>
    <cellStyle name="Normal 2 2 13 6 2" xfId="25298" xr:uid="{49699D15-44F5-42A6-B07B-BFA4EDF358D7}"/>
    <cellStyle name="Normal 2 2 13 6 3" xfId="19638" xr:uid="{E06CAC08-7DCC-429E-AB2B-5F27B95F7E1E}"/>
    <cellStyle name="Normal 2 2 13 6 4" xfId="30959" xr:uid="{23ECCB11-43DB-4B70-BA67-CB7DBEC3D82F}"/>
    <cellStyle name="Normal 2 2 13 6 5" xfId="37119" xr:uid="{FC1CE4F0-5D4E-4C0C-BD96-5C65BA4278BF}"/>
    <cellStyle name="Normal 2 2 13 7" xfId="22501" xr:uid="{C8E23AED-B250-4812-92C7-19F01F3DF224}"/>
    <cellStyle name="Normal 2 2 13 8" xfId="16841" xr:uid="{65B975F4-BBCE-40C8-8208-30D40F8FBF1D}"/>
    <cellStyle name="Normal 2 2 13 9" xfId="28162" xr:uid="{C4FB5114-2969-403B-8E4C-253C0546198C}"/>
    <cellStyle name="Normal 2 2 14" xfId="4167" xr:uid="{00000000-0005-0000-0000-000046120000}"/>
    <cellStyle name="Normal 2 2 14 2" xfId="6054" xr:uid="{00000000-0005-0000-0000-000047120000}"/>
    <cellStyle name="Normal 2 2 14 2 2" xfId="37121" xr:uid="{719280E1-6FE3-4D02-ABF3-008F11609833}"/>
    <cellStyle name="Normal 2 2 14 3" xfId="5652" xr:uid="{00000000-0005-0000-0000-000048120000}"/>
    <cellStyle name="Normal 2 2 14 3 2" xfId="7291" xr:uid="{00000000-0005-0000-0000-000049120000}"/>
    <cellStyle name="Normal 2 2 14 3 2 2" xfId="15724" xr:uid="{00000000-0005-0000-0000-00004A120000}"/>
    <cellStyle name="Normal 2 2 14 3 2 2 2" xfId="27618" xr:uid="{5E1B8D06-5C75-48EF-9113-1038A2005BFE}"/>
    <cellStyle name="Normal 2 2 14 3 2 2 3" xfId="21958" xr:uid="{030EFA3F-79DF-4AF1-9233-992EC1B52353}"/>
    <cellStyle name="Normal 2 2 14 3 2 2 4" xfId="32998" xr:uid="{231DC350-D62F-4CEC-8B62-B2F9EED05328}"/>
    <cellStyle name="Normal 2 2 14 3 2 2 5" xfId="37124" xr:uid="{571A2315-10D4-4E15-8701-501B93200635}"/>
    <cellStyle name="Normal 2 2 14 3 2 3" xfId="24785" xr:uid="{5C5721EE-98C8-4446-A483-94A4B07B0F74}"/>
    <cellStyle name="Normal 2 2 14 3 2 4" xfId="19125" xr:uid="{B31CACD3-80CE-414C-A2E2-4F3A1AD7BB4B}"/>
    <cellStyle name="Normal 2 2 14 3 2 5" xfId="30446" xr:uid="{82D31E5E-3691-4DBB-A4A2-C551182C956D}"/>
    <cellStyle name="Normal 2 2 14 3 2 6" xfId="37123" xr:uid="{D433950A-0D9F-4523-AC49-8D80A68AED28}"/>
    <cellStyle name="Normal 2 2 14 3 3" xfId="14347" xr:uid="{00000000-0005-0000-0000-00004B120000}"/>
    <cellStyle name="Normal 2 2 14 3 3 2" xfId="26355" xr:uid="{A2F0E187-EF4D-4212-AC8F-AED9AE6E83BA}"/>
    <cellStyle name="Normal 2 2 14 3 3 3" xfId="20695" xr:uid="{38EAAEAB-C865-464B-A23A-462F3F350C41}"/>
    <cellStyle name="Normal 2 2 14 3 3 4" xfId="31735" xr:uid="{DF049594-F31F-46EC-AADC-5E947D127E63}"/>
    <cellStyle name="Normal 2 2 14 3 3 5" xfId="37125" xr:uid="{1A1507C2-9317-451F-954A-C745BEF27D88}"/>
    <cellStyle name="Normal 2 2 14 3 4" xfId="23417" xr:uid="{895C93D4-1CF8-40A8-96E6-3761B7CE9BC8}"/>
    <cellStyle name="Normal 2 2 14 3 5" xfId="17757" xr:uid="{1992D07A-8E24-45C5-B134-8A5242C29F7A}"/>
    <cellStyle name="Normal 2 2 14 3 6" xfId="29078" xr:uid="{F157CB5A-C97F-4B64-9499-76797F996368}"/>
    <cellStyle name="Normal 2 2 14 3 7" xfId="37122" xr:uid="{1328E6AD-1409-4210-931E-A915A78A2D27}"/>
    <cellStyle name="Normal 2 2 14 4" xfId="37120" xr:uid="{4B1FF6B8-3C0E-469D-B75B-05751F310B39}"/>
    <cellStyle name="Normal 2 2 15" xfId="4162" xr:uid="{00000000-0005-0000-0000-00004C120000}"/>
    <cellStyle name="Normal 2 2 15 10" xfId="37126" xr:uid="{2783B515-508A-4926-AD9C-6DFDBB2CE249}"/>
    <cellStyle name="Normal 2 2 15 2" xfId="4910" xr:uid="{00000000-0005-0000-0000-00004D120000}"/>
    <cellStyle name="Normal 2 2 15 2 2" xfId="5329" xr:uid="{00000000-0005-0000-0000-00004E120000}"/>
    <cellStyle name="Normal 2 2 15 2 2 2" xfId="7192" xr:uid="{00000000-0005-0000-0000-00004F120000}"/>
    <cellStyle name="Normal 2 2 15 2 2 2 2" xfId="15625" xr:uid="{00000000-0005-0000-0000-000050120000}"/>
    <cellStyle name="Normal 2 2 15 2 2 2 2 2" xfId="27519" xr:uid="{B394E356-09FC-4A4A-9524-414398BFC115}"/>
    <cellStyle name="Normal 2 2 15 2 2 2 2 3" xfId="21859" xr:uid="{48BE541C-C6AD-47A6-A20D-6932975A7212}"/>
    <cellStyle name="Normal 2 2 15 2 2 2 2 4" xfId="32899" xr:uid="{1C715CA6-4F15-41A4-B7E4-E14D926E8A90}"/>
    <cellStyle name="Normal 2 2 15 2 2 2 2 5" xfId="37130" xr:uid="{2CCDCDC0-8D60-4EFD-8976-327AB4B8135E}"/>
    <cellStyle name="Normal 2 2 15 2 2 2 3" xfId="24686" xr:uid="{50DFA3D5-E485-4FD5-998B-D7EA71C12E8D}"/>
    <cellStyle name="Normal 2 2 15 2 2 2 4" xfId="19026" xr:uid="{21B99D8C-57DA-4BE9-8DAE-43925B0CE866}"/>
    <cellStyle name="Normal 2 2 15 2 2 2 5" xfId="30347" xr:uid="{89542D10-314A-4810-8231-2B07392E820E}"/>
    <cellStyle name="Normal 2 2 15 2 2 2 6" xfId="37129" xr:uid="{BF23CF29-0FD1-428E-9257-98AE8E3E2F90}"/>
    <cellStyle name="Normal 2 2 15 2 2 3" xfId="14215" xr:uid="{00000000-0005-0000-0000-000051120000}"/>
    <cellStyle name="Normal 2 2 15 2 2 3 2" xfId="26254" xr:uid="{B11FCEC9-6A0B-4549-B287-455A8C9939DE}"/>
    <cellStyle name="Normal 2 2 15 2 2 3 3" xfId="20594" xr:uid="{F6126CB3-C98E-4D59-BA77-773DE82B09BC}"/>
    <cellStyle name="Normal 2 2 15 2 2 3 4" xfId="31634" xr:uid="{CED6B577-457B-4A22-BD5E-320C7DACA817}"/>
    <cellStyle name="Normal 2 2 15 2 2 3 5" xfId="37131" xr:uid="{0859AFD8-D253-4D42-94CE-6FD8BC07E0BB}"/>
    <cellStyle name="Normal 2 2 15 2 2 4" xfId="23124" xr:uid="{6950A467-8AF5-441E-AA2B-D83165F116F8}"/>
    <cellStyle name="Normal 2 2 15 2 2 5" xfId="17464" xr:uid="{E41FB639-7A7A-4024-9184-D822001310E3}"/>
    <cellStyle name="Normal 2 2 15 2 2 6" xfId="28785" xr:uid="{FEC6D804-411D-4671-A391-7DC1351365F0}"/>
    <cellStyle name="Normal 2 2 15 2 2 7" xfId="37128" xr:uid="{BA1BA04A-C696-46D2-8141-8C8DCA52791B}"/>
    <cellStyle name="Normal 2 2 15 2 3" xfId="6056" xr:uid="{00000000-0005-0000-0000-000052120000}"/>
    <cellStyle name="Normal 2 2 15 2 3 2" xfId="7397" xr:uid="{00000000-0005-0000-0000-000053120000}"/>
    <cellStyle name="Normal 2 2 15 2 3 2 2" xfId="15830" xr:uid="{00000000-0005-0000-0000-000054120000}"/>
    <cellStyle name="Normal 2 2 15 2 3 2 2 2" xfId="27724" xr:uid="{46084849-2E6A-4A40-A873-F97A4FF2A819}"/>
    <cellStyle name="Normal 2 2 15 2 3 2 2 3" xfId="22064" xr:uid="{1C102151-3E21-400E-A9A4-F731D5498CB2}"/>
    <cellStyle name="Normal 2 2 15 2 3 2 2 4" xfId="33104" xr:uid="{FC1D84D5-CA26-408B-8C3D-5B552886AD00}"/>
    <cellStyle name="Normal 2 2 15 2 3 2 2 5" xfId="37134" xr:uid="{D8D3E755-CD9B-4E68-864F-E6A769A6AC57}"/>
    <cellStyle name="Normal 2 2 15 2 3 2 3" xfId="24891" xr:uid="{B80664E8-7151-460F-B91F-ABA3280A911A}"/>
    <cellStyle name="Normal 2 2 15 2 3 2 4" xfId="19231" xr:uid="{806FF3FF-8E64-4DC6-B8C0-8BD20DC9A9DD}"/>
    <cellStyle name="Normal 2 2 15 2 3 2 5" xfId="30552" xr:uid="{8C78E1A8-021D-4DAC-A2B1-5F71D9621CD6}"/>
    <cellStyle name="Normal 2 2 15 2 3 2 6" xfId="37133" xr:uid="{27576D70-11E0-4EF2-8EE5-28BE4292ACC8}"/>
    <cellStyle name="Normal 2 2 15 2 3 3" xfId="14510" xr:uid="{00000000-0005-0000-0000-000055120000}"/>
    <cellStyle name="Normal 2 2 15 2 3 3 2" xfId="26468" xr:uid="{6517DA14-F64B-428F-9685-2E92CBB84E80}"/>
    <cellStyle name="Normal 2 2 15 2 3 3 3" xfId="20808" xr:uid="{736249ED-4A11-4417-9FA3-A845C1EEE9DC}"/>
    <cellStyle name="Normal 2 2 15 2 3 3 4" xfId="31848" xr:uid="{B6FC9CA5-E760-459F-A449-BF62285B1E01}"/>
    <cellStyle name="Normal 2 2 15 2 3 3 5" xfId="37135" xr:uid="{20DA6167-9044-42AE-90C3-5E0617A62AF1}"/>
    <cellStyle name="Normal 2 2 15 2 3 4" xfId="23635" xr:uid="{82977165-6CEA-471E-9371-BF9B91397A38}"/>
    <cellStyle name="Normal 2 2 15 2 3 5" xfId="17975" xr:uid="{CAD49A80-583B-4C7C-8A85-98917B7838B7}"/>
    <cellStyle name="Normal 2 2 15 2 3 6" xfId="29296" xr:uid="{96866B28-2437-4AF2-BFE5-2ADD8AAE7A0A}"/>
    <cellStyle name="Normal 2 2 15 2 3 7" xfId="37132" xr:uid="{F27EBC9F-0D88-4A34-9AB9-D42AF73804F0}"/>
    <cellStyle name="Normal 2 2 15 2 4" xfId="6774" xr:uid="{00000000-0005-0000-0000-000056120000}"/>
    <cellStyle name="Normal 2 2 15 2 4 2" xfId="15207" xr:uid="{00000000-0005-0000-0000-000057120000}"/>
    <cellStyle name="Normal 2 2 15 2 4 2 2" xfId="27101" xr:uid="{6CF4EC43-A001-4101-8A47-41F195BC03EE}"/>
    <cellStyle name="Normal 2 2 15 2 4 2 3" xfId="21441" xr:uid="{B0514627-16D8-4E5A-8051-5CED20CE30AA}"/>
    <cellStyle name="Normal 2 2 15 2 4 2 4" xfId="32481" xr:uid="{6F81E961-D192-41AB-B0C0-9B582C47EE28}"/>
    <cellStyle name="Normal 2 2 15 2 4 2 5" xfId="37137" xr:uid="{C81763A1-3726-4B9D-909F-63173B142767}"/>
    <cellStyle name="Normal 2 2 15 2 4 3" xfId="24268" xr:uid="{5E80F1FA-7529-48D3-AC01-56DFA3A2B722}"/>
    <cellStyle name="Normal 2 2 15 2 4 4" xfId="18608" xr:uid="{99E2950F-DFBF-4963-B46B-08C4C08F6C4E}"/>
    <cellStyle name="Normal 2 2 15 2 4 5" xfId="29929" xr:uid="{99F209C3-F7AA-4462-9F89-CBD5CA13095A}"/>
    <cellStyle name="Normal 2 2 15 2 4 6" xfId="37136" xr:uid="{71284C4C-798D-4767-BA0A-99E856ABAE8E}"/>
    <cellStyle name="Normal 2 2 15 2 5" xfId="7816" xr:uid="{00000000-0005-0000-0000-000058120000}"/>
    <cellStyle name="Normal 2 2 15 2 5 2" xfId="25301" xr:uid="{611CC008-3331-4449-BA32-879A4CBF5FFC}"/>
    <cellStyle name="Normal 2 2 15 2 5 3" xfId="19641" xr:uid="{BE3654FD-641E-48AE-B30F-E2ED98756DFD}"/>
    <cellStyle name="Normal 2 2 15 2 5 4" xfId="30962" xr:uid="{FA5CFB18-BCED-4EF2-9EAF-3447CA848981}"/>
    <cellStyle name="Normal 2 2 15 2 5 5" xfId="37138" xr:uid="{5CA0D8AA-8992-4567-A5F0-2D6A0723E4D6}"/>
    <cellStyle name="Normal 2 2 15 2 6" xfId="22706" xr:uid="{2D8A037C-AD44-458F-A3CF-03311CB5B1D9}"/>
    <cellStyle name="Normal 2 2 15 2 7" xfId="17046" xr:uid="{9DF26FF1-E40F-4F39-BB41-AA392A0FFF27}"/>
    <cellStyle name="Normal 2 2 15 2 8" xfId="28367" xr:uid="{15C46C03-1B8E-44F6-AF68-E672BAB7C829}"/>
    <cellStyle name="Normal 2 2 15 2 9" xfId="37127" xr:uid="{50EB1238-341F-4A4A-A26E-280CFA493EFE}"/>
    <cellStyle name="Normal 2 2 15 3" xfId="5120" xr:uid="{00000000-0005-0000-0000-000059120000}"/>
    <cellStyle name="Normal 2 2 15 3 2" xfId="6983" xr:uid="{00000000-0005-0000-0000-00005A120000}"/>
    <cellStyle name="Normal 2 2 15 3 2 2" xfId="15416" xr:uid="{00000000-0005-0000-0000-00005B120000}"/>
    <cellStyle name="Normal 2 2 15 3 2 2 2" xfId="27310" xr:uid="{798F1DCD-DA1F-47CF-8900-82B6EF72028A}"/>
    <cellStyle name="Normal 2 2 15 3 2 2 3" xfId="21650" xr:uid="{8AF8BEF2-8A48-493F-B268-0B324C32A44C}"/>
    <cellStyle name="Normal 2 2 15 3 2 2 4" xfId="32690" xr:uid="{4D3F8FFB-C028-4E0A-A466-0E26AB1E6E30}"/>
    <cellStyle name="Normal 2 2 15 3 2 2 5" xfId="37141" xr:uid="{6EEFF888-6C0F-4BCD-90C5-B5E2345F771E}"/>
    <cellStyle name="Normal 2 2 15 3 2 3" xfId="24477" xr:uid="{EED10CCE-4E8C-40B7-B4EA-7D20EDD0046F}"/>
    <cellStyle name="Normal 2 2 15 3 2 4" xfId="18817" xr:uid="{62FFD969-AB8F-4EBF-AD4A-F7CEF0BB4E17}"/>
    <cellStyle name="Normal 2 2 15 3 2 5" xfId="30138" xr:uid="{863EFC1F-6FDE-47DB-85B9-825C3B17A61A}"/>
    <cellStyle name="Normal 2 2 15 3 2 6" xfId="37140" xr:uid="{A6F5D679-804B-41BC-81F5-E5BD35A3314A}"/>
    <cellStyle name="Normal 2 2 15 3 3" xfId="14007" xr:uid="{00000000-0005-0000-0000-00005C120000}"/>
    <cellStyle name="Normal 2 2 15 3 3 2" xfId="26046" xr:uid="{AF2FA986-602B-4A41-ADBB-79D5AEEB7F77}"/>
    <cellStyle name="Normal 2 2 15 3 3 3" xfId="20386" xr:uid="{F90CD1A6-BB86-451C-80F2-64B5B92F0107}"/>
    <cellStyle name="Normal 2 2 15 3 3 4" xfId="31426" xr:uid="{C04A691E-47B0-484E-BFA7-5A0EB2FE7F6D}"/>
    <cellStyle name="Normal 2 2 15 3 3 5" xfId="37142" xr:uid="{D0143E33-9941-421F-A931-EDC20B007C6F}"/>
    <cellStyle name="Normal 2 2 15 3 4" xfId="22915" xr:uid="{243CFDC8-8332-4BA4-A950-26B18832E603}"/>
    <cellStyle name="Normal 2 2 15 3 5" xfId="17255" xr:uid="{0E121912-7694-421A-80B9-F0905501E155}"/>
    <cellStyle name="Normal 2 2 15 3 6" xfId="28576" xr:uid="{B800F2E5-EB51-4A96-AE47-2BF7923DF3E1}"/>
    <cellStyle name="Normal 2 2 15 3 7" xfId="37139" xr:uid="{5EDE6DAF-FD6E-44A9-A7B0-578B3C94F66C}"/>
    <cellStyle name="Normal 2 2 15 4" xfId="6055" xr:uid="{00000000-0005-0000-0000-00005D120000}"/>
    <cellStyle name="Normal 2 2 15 4 2" xfId="7396" xr:uid="{00000000-0005-0000-0000-00005E120000}"/>
    <cellStyle name="Normal 2 2 15 4 2 2" xfId="15829" xr:uid="{00000000-0005-0000-0000-00005F120000}"/>
    <cellStyle name="Normal 2 2 15 4 2 2 2" xfId="27723" xr:uid="{458FED2F-1A03-4F5A-9827-D5568C24F3F2}"/>
    <cellStyle name="Normal 2 2 15 4 2 2 3" xfId="22063" xr:uid="{5CA765ED-168E-4A04-B564-3E47476D585D}"/>
    <cellStyle name="Normal 2 2 15 4 2 2 4" xfId="33103" xr:uid="{6AAEE8EE-8E82-489E-B0CF-C04DB944A429}"/>
    <cellStyle name="Normal 2 2 15 4 2 2 5" xfId="37145" xr:uid="{180A53AC-D246-40B3-A21B-3A350F5A074C}"/>
    <cellStyle name="Normal 2 2 15 4 2 3" xfId="24890" xr:uid="{15C96E6B-B1A6-43E9-B81D-35C075357835}"/>
    <cellStyle name="Normal 2 2 15 4 2 4" xfId="19230" xr:uid="{5A5CC982-F48B-422D-AFF7-D8A419EE5C49}"/>
    <cellStyle name="Normal 2 2 15 4 2 5" xfId="30551" xr:uid="{29F5D93F-2525-4471-A456-0B1FE052D363}"/>
    <cellStyle name="Normal 2 2 15 4 2 6" xfId="37144" xr:uid="{E083415A-4A58-423D-9D8D-E701568BD5FE}"/>
    <cellStyle name="Normal 2 2 15 4 3" xfId="14509" xr:uid="{00000000-0005-0000-0000-000060120000}"/>
    <cellStyle name="Normal 2 2 15 4 3 2" xfId="26467" xr:uid="{AC8F7CBB-8243-4280-83D9-4BD5C47CB441}"/>
    <cellStyle name="Normal 2 2 15 4 3 3" xfId="20807" xr:uid="{E8565EB0-D68F-40B2-B0F6-237DB4236301}"/>
    <cellStyle name="Normal 2 2 15 4 3 4" xfId="31847" xr:uid="{8AF21F7D-5D41-4DD7-8828-0230D9996A5C}"/>
    <cellStyle name="Normal 2 2 15 4 3 5" xfId="37146" xr:uid="{C2EEBD18-5A1F-4D81-8BE4-15667AA6F3F3}"/>
    <cellStyle name="Normal 2 2 15 4 4" xfId="23634" xr:uid="{33A30BB6-5EEF-4823-8C75-1AB37B6E33E1}"/>
    <cellStyle name="Normal 2 2 15 4 5" xfId="17974" xr:uid="{5644A118-5684-47A0-A978-CE3B33E36C50}"/>
    <cellStyle name="Normal 2 2 15 4 6" xfId="29295" xr:uid="{18DCEDE2-B9F5-43BD-9A82-AE8522656B60}"/>
    <cellStyle name="Normal 2 2 15 4 7" xfId="37143" xr:uid="{D63464E2-0C1A-4C12-AA9C-5BF205BC0F4B}"/>
    <cellStyle name="Normal 2 2 15 5" xfId="6565" xr:uid="{00000000-0005-0000-0000-000061120000}"/>
    <cellStyle name="Normal 2 2 15 5 2" xfId="14998" xr:uid="{00000000-0005-0000-0000-000062120000}"/>
    <cellStyle name="Normal 2 2 15 5 2 2" xfId="26892" xr:uid="{D130FF37-14CA-4EC5-AA3E-D181A4B127C2}"/>
    <cellStyle name="Normal 2 2 15 5 2 3" xfId="21232" xr:uid="{A1EFF7FA-543F-48E1-A1E1-E2A84835CB4A}"/>
    <cellStyle name="Normal 2 2 15 5 2 4" xfId="32272" xr:uid="{65969094-4B03-47FB-9234-95AFE6959362}"/>
    <cellStyle name="Normal 2 2 15 5 2 5" xfId="37148" xr:uid="{95FC26F9-71C6-463F-9ACC-CE952CD264FA}"/>
    <cellStyle name="Normal 2 2 15 5 3" xfId="24059" xr:uid="{E34A6E04-4D7C-46B9-9E78-F9DE3125D20D}"/>
    <cellStyle name="Normal 2 2 15 5 4" xfId="18399" xr:uid="{0D90A5F5-49E3-4AA5-8195-DC1DBE342001}"/>
    <cellStyle name="Normal 2 2 15 5 5" xfId="29720" xr:uid="{98A69622-19AE-492D-9565-F27F7774EF04}"/>
    <cellStyle name="Normal 2 2 15 5 6" xfId="37147" xr:uid="{79106E0A-CDB2-43DA-BCEB-769143144B6A}"/>
    <cellStyle name="Normal 2 2 15 6" xfId="7815" xr:uid="{00000000-0005-0000-0000-000063120000}"/>
    <cellStyle name="Normal 2 2 15 6 2" xfId="25300" xr:uid="{C3BDE6A6-6E42-4F20-90F8-3C4ADFB374C4}"/>
    <cellStyle name="Normal 2 2 15 6 3" xfId="19640" xr:uid="{3AD7F0AA-F4A7-45A1-A218-D336B3439433}"/>
    <cellStyle name="Normal 2 2 15 6 4" xfId="30961" xr:uid="{B70B2466-88ED-4BA3-B841-EB17022BC2A5}"/>
    <cellStyle name="Normal 2 2 15 6 5" xfId="37149" xr:uid="{6953EF9C-3B2C-4C6A-BB70-4CA56F3CC74C}"/>
    <cellStyle name="Normal 2 2 15 7" xfId="22497" xr:uid="{AD2B1392-C207-4E38-ABE3-966030B5836D}"/>
    <cellStyle name="Normal 2 2 15 8" xfId="16837" xr:uid="{7ABAFA35-452F-472B-B9B3-80F714CCAF39}"/>
    <cellStyle name="Normal 2 2 15 9" xfId="28158" xr:uid="{A2BCAAA6-4497-4B15-8233-2AA94FCB2672}"/>
    <cellStyle name="Normal 2 2 16" xfId="7806" xr:uid="{00000000-0005-0000-0000-000064120000}"/>
    <cellStyle name="Normal 2 2 16 2" xfId="25291" xr:uid="{C871EEA0-76C0-4F24-9A8C-382D3E36452E}"/>
    <cellStyle name="Normal 2 2 16 3" xfId="19631" xr:uid="{2C26D9B4-C735-4C27-983D-0B8D91697222}"/>
    <cellStyle name="Normal 2 2 16 4" xfId="30952" xr:uid="{E617CF7F-34CE-4CFE-BCEB-8CFA4E93B1F0}"/>
    <cellStyle name="Normal 2 2 16 5" xfId="37150" xr:uid="{7AFEB9A8-4C82-47F4-BFD9-F235F8EC3F99}"/>
    <cellStyle name="Normal 2 2 17" xfId="37019" xr:uid="{BB574342-8BAE-41CC-BD6E-641E3355A729}"/>
    <cellStyle name="Normal 2 2 2" xfId="136" xr:uid="{00000000-0005-0000-0000-000065120000}"/>
    <cellStyle name="Normal 2 2 2 2" xfId="137" xr:uid="{00000000-0005-0000-0000-000066120000}"/>
    <cellStyle name="Normal 2 2 2 2 2" xfId="2039" xr:uid="{00000000-0005-0000-0000-000067120000}"/>
    <cellStyle name="Normal 2 2 2 2 2 2" xfId="37153" xr:uid="{3C1682F5-2307-4E1A-A482-7EA328B12754}"/>
    <cellStyle name="Normal 2 2 2 2 3" xfId="37154" xr:uid="{BEA9CA6D-B6A9-4C08-99B9-77EC25CA5430}"/>
    <cellStyle name="Normal 2 2 2 2 4" xfId="37152" xr:uid="{57048C06-85F7-41B2-84BE-F91BBD1A91B6}"/>
    <cellStyle name="Normal 2 2 2 3" xfId="2040" xr:uid="{00000000-0005-0000-0000-000068120000}"/>
    <cellStyle name="Normal 2 2 2 3 2" xfId="9655" xr:uid="{00000000-0005-0000-0000-000069120000}"/>
    <cellStyle name="Normal 2 2 2 3 2 2" xfId="25639" xr:uid="{4DF45FD4-2BA3-4397-AEF8-9238FFAB533D}"/>
    <cellStyle name="Normal 2 2 2 3 2 3" xfId="19979" xr:uid="{6A3B4224-64F2-48E7-A54B-E69784408DC1}"/>
    <cellStyle name="Normal 2 2 2 3 2 4" xfId="31289" xr:uid="{A6FE37E6-8445-4EF0-89FD-A277E3961461}"/>
    <cellStyle name="Normal 2 2 2 3 2 5" xfId="37156" xr:uid="{827C9BA5-57E0-44BF-908C-47B59BE3C7F2}"/>
    <cellStyle name="Normal 2 2 2 3 3" xfId="37155" xr:uid="{66446065-548F-48DD-830D-9E02456D2B9C}"/>
    <cellStyle name="Normal 2 2 2 4" xfId="2041" xr:uid="{00000000-0005-0000-0000-00006A120000}"/>
    <cellStyle name="Normal 2 2 2 4 2" xfId="37157" xr:uid="{EAFB8971-55B2-4874-A748-B74E89F831D7}"/>
    <cellStyle name="Normal 2 2 2 5" xfId="2038" xr:uid="{00000000-0005-0000-0000-00006B120000}"/>
    <cellStyle name="Normal 2 2 2 5 10" xfId="37158" xr:uid="{D35E7C2E-E3EC-4DDD-88A8-7FE1E8CA8B5D}"/>
    <cellStyle name="Normal 2 2 2 5 2" xfId="4845" xr:uid="{00000000-0005-0000-0000-00006C120000}"/>
    <cellStyle name="Normal 2 2 2 5 2 2" xfId="5264" xr:uid="{00000000-0005-0000-0000-00006D120000}"/>
    <cellStyle name="Normal 2 2 2 5 2 2 2" xfId="7127" xr:uid="{00000000-0005-0000-0000-00006E120000}"/>
    <cellStyle name="Normal 2 2 2 5 2 2 2 2" xfId="15560" xr:uid="{00000000-0005-0000-0000-00006F120000}"/>
    <cellStyle name="Normal 2 2 2 5 2 2 2 2 2" xfId="27454" xr:uid="{5DDF1B9B-1B4F-4096-8293-71FCE42C113E}"/>
    <cellStyle name="Normal 2 2 2 5 2 2 2 2 3" xfId="21794" xr:uid="{4BEBE849-1455-4532-A5A0-9258C31B429D}"/>
    <cellStyle name="Normal 2 2 2 5 2 2 2 2 4" xfId="32834" xr:uid="{C79540D0-3360-4B32-A863-992EF349493D}"/>
    <cellStyle name="Normal 2 2 2 5 2 2 2 2 5" xfId="37162" xr:uid="{0E1A679B-0627-45DA-A304-AC5278111423}"/>
    <cellStyle name="Normal 2 2 2 5 2 2 2 3" xfId="24621" xr:uid="{FF82F73C-2E1F-4F39-A551-609BAADF56E7}"/>
    <cellStyle name="Normal 2 2 2 5 2 2 2 4" xfId="18961" xr:uid="{7A7D644C-8DA5-4DAC-86B1-3120FD3DE2EF}"/>
    <cellStyle name="Normal 2 2 2 5 2 2 2 5" xfId="30282" xr:uid="{B90EEF87-7248-4647-989C-953B11A51F5D}"/>
    <cellStyle name="Normal 2 2 2 5 2 2 2 6" xfId="37161" xr:uid="{3CDC8FD7-B7F1-4B36-96EA-F088598F0A5C}"/>
    <cellStyle name="Normal 2 2 2 5 2 2 3" xfId="14150" xr:uid="{00000000-0005-0000-0000-000070120000}"/>
    <cellStyle name="Normal 2 2 2 5 2 2 3 2" xfId="26189" xr:uid="{ABA51D73-C117-4E01-B616-FD7E2B36D604}"/>
    <cellStyle name="Normal 2 2 2 5 2 2 3 3" xfId="20529" xr:uid="{052A6BCE-FCEB-4794-A1B8-BE31BD778A50}"/>
    <cellStyle name="Normal 2 2 2 5 2 2 3 4" xfId="31569" xr:uid="{61D4DBCC-5A4C-4A22-810A-7B7365D73C3F}"/>
    <cellStyle name="Normal 2 2 2 5 2 2 3 5" xfId="37163" xr:uid="{4BE644E3-4F0E-4F71-B0DC-6E055781B89E}"/>
    <cellStyle name="Normal 2 2 2 5 2 2 4" xfId="23059" xr:uid="{C1AAC75C-BFFE-4C4B-B5FC-4501D63C747D}"/>
    <cellStyle name="Normal 2 2 2 5 2 2 5" xfId="17399" xr:uid="{9FE5CE0E-ED38-4E87-8417-A1C29C815E9A}"/>
    <cellStyle name="Normal 2 2 2 5 2 2 6" xfId="28720" xr:uid="{69CFF425-AE00-4E0F-994B-AFF82992D4B3}"/>
    <cellStyle name="Normal 2 2 2 5 2 2 7" xfId="37160" xr:uid="{57C53551-0AFB-4128-AC22-133AD8E80E63}"/>
    <cellStyle name="Normal 2 2 2 5 2 3" xfId="6058" xr:uid="{00000000-0005-0000-0000-000071120000}"/>
    <cellStyle name="Normal 2 2 2 5 2 3 2" xfId="7399" xr:uid="{00000000-0005-0000-0000-000072120000}"/>
    <cellStyle name="Normal 2 2 2 5 2 3 2 2" xfId="15832" xr:uid="{00000000-0005-0000-0000-000073120000}"/>
    <cellStyle name="Normal 2 2 2 5 2 3 2 2 2" xfId="27726" xr:uid="{6F08B67C-EBE7-42F5-8D25-A23FC4102D5F}"/>
    <cellStyle name="Normal 2 2 2 5 2 3 2 2 3" xfId="22066" xr:uid="{200D0285-59A5-4342-A935-86DC60BA1AB8}"/>
    <cellStyle name="Normal 2 2 2 5 2 3 2 2 4" xfId="33106" xr:uid="{D9E61D0E-C45B-436F-AADE-B96C44B847E9}"/>
    <cellStyle name="Normal 2 2 2 5 2 3 2 2 5" xfId="37166" xr:uid="{7FD36DED-25D9-448B-AFA1-EA3B63AB8651}"/>
    <cellStyle name="Normal 2 2 2 5 2 3 2 3" xfId="24893" xr:uid="{F2AC2CBB-6A2B-45AA-B37C-9A4AB3C4C1D1}"/>
    <cellStyle name="Normal 2 2 2 5 2 3 2 4" xfId="19233" xr:uid="{5914BBAD-2FBA-481F-95D2-BA289ECBE667}"/>
    <cellStyle name="Normal 2 2 2 5 2 3 2 5" xfId="30554" xr:uid="{62EA11D9-3644-492F-995D-FBEE25E08AB6}"/>
    <cellStyle name="Normal 2 2 2 5 2 3 2 6" xfId="37165" xr:uid="{D746EFEF-9184-4D16-9AE8-12BE42C8ADDF}"/>
    <cellStyle name="Normal 2 2 2 5 2 3 3" xfId="14512" xr:uid="{00000000-0005-0000-0000-000074120000}"/>
    <cellStyle name="Normal 2 2 2 5 2 3 3 2" xfId="26470" xr:uid="{6D2F3BE9-0812-416A-BF9D-02596C786D1D}"/>
    <cellStyle name="Normal 2 2 2 5 2 3 3 3" xfId="20810" xr:uid="{65E1FCAA-886A-4E98-8E19-2F190D95D398}"/>
    <cellStyle name="Normal 2 2 2 5 2 3 3 4" xfId="31850" xr:uid="{2BF952A0-7E2A-45E3-B1ED-8E61DD767519}"/>
    <cellStyle name="Normal 2 2 2 5 2 3 3 5" xfId="37167" xr:uid="{B82DF813-82CC-418C-A3A2-BDD6F9733EE1}"/>
    <cellStyle name="Normal 2 2 2 5 2 3 4" xfId="23637" xr:uid="{982E1CE0-E23A-4F5D-AF92-62366176EAA6}"/>
    <cellStyle name="Normal 2 2 2 5 2 3 5" xfId="17977" xr:uid="{7F65B616-012F-4D18-BB85-21393081F636}"/>
    <cellStyle name="Normal 2 2 2 5 2 3 6" xfId="29298" xr:uid="{F319DE6F-9FE3-49AF-84C3-48D6B7113B05}"/>
    <cellStyle name="Normal 2 2 2 5 2 3 7" xfId="37164" xr:uid="{358440D1-3A84-4A03-8275-58A3AD1BAB78}"/>
    <cellStyle name="Normal 2 2 2 5 2 4" xfId="6709" xr:uid="{00000000-0005-0000-0000-000075120000}"/>
    <cellStyle name="Normal 2 2 2 5 2 4 2" xfId="15142" xr:uid="{00000000-0005-0000-0000-000076120000}"/>
    <cellStyle name="Normal 2 2 2 5 2 4 2 2" xfId="27036" xr:uid="{346E4E55-126C-4E5A-AD3F-937A054E17A2}"/>
    <cellStyle name="Normal 2 2 2 5 2 4 2 3" xfId="21376" xr:uid="{D6CDF960-1E51-40AB-AD5B-20D4D464EAE4}"/>
    <cellStyle name="Normal 2 2 2 5 2 4 2 4" xfId="32416" xr:uid="{C0B7D037-40F4-40A5-AB6C-03748808AB52}"/>
    <cellStyle name="Normal 2 2 2 5 2 4 2 5" xfId="37169" xr:uid="{A85453A8-8348-4702-AA12-0E00A3B4FCC1}"/>
    <cellStyle name="Normal 2 2 2 5 2 4 3" xfId="24203" xr:uid="{99608E8D-5A34-4AF3-BB87-38404C4EA1E9}"/>
    <cellStyle name="Normal 2 2 2 5 2 4 4" xfId="18543" xr:uid="{FA7312E4-7692-4082-BEA0-4623F39EFDF0}"/>
    <cellStyle name="Normal 2 2 2 5 2 4 5" xfId="29864" xr:uid="{09CA442B-A2DE-4C14-B322-C06FDEC012FF}"/>
    <cellStyle name="Normal 2 2 2 5 2 4 6" xfId="37168" xr:uid="{B507B7CB-7FD4-4B96-BCFF-AAE847FE01ED}"/>
    <cellStyle name="Normal 2 2 2 5 2 5" xfId="7819" xr:uid="{00000000-0005-0000-0000-000077120000}"/>
    <cellStyle name="Normal 2 2 2 5 2 5 2" xfId="25304" xr:uid="{33E4E40E-F7B6-4B64-BBD2-A03A3044E3C1}"/>
    <cellStyle name="Normal 2 2 2 5 2 5 3" xfId="19644" xr:uid="{C6C52AE6-2481-4FB2-AAA2-52BB2140B261}"/>
    <cellStyle name="Normal 2 2 2 5 2 5 4" xfId="30965" xr:uid="{FFB08F80-F666-4BB4-9DC6-A45C3589AC4A}"/>
    <cellStyle name="Normal 2 2 2 5 2 5 5" xfId="37170" xr:uid="{D836B973-D8B6-4E37-AA55-E667E6C4C2BF}"/>
    <cellStyle name="Normal 2 2 2 5 2 6" xfId="22641" xr:uid="{C59652D4-31CE-49ED-9697-6E51C481C3C2}"/>
    <cellStyle name="Normal 2 2 2 5 2 7" xfId="16981" xr:uid="{34EA2566-1361-449C-815F-A743C8CCB6CC}"/>
    <cellStyle name="Normal 2 2 2 5 2 8" xfId="28302" xr:uid="{F00FE1FC-D968-4A86-867C-704D3E6E8C6A}"/>
    <cellStyle name="Normal 2 2 2 5 2 9" xfId="37159" xr:uid="{EF2A5ACB-E87A-4474-8986-D46DAD607702}"/>
    <cellStyle name="Normal 2 2 2 5 3" xfId="5055" xr:uid="{00000000-0005-0000-0000-000078120000}"/>
    <cellStyle name="Normal 2 2 2 5 3 2" xfId="6918" xr:uid="{00000000-0005-0000-0000-000079120000}"/>
    <cellStyle name="Normal 2 2 2 5 3 2 2" xfId="15351" xr:uid="{00000000-0005-0000-0000-00007A120000}"/>
    <cellStyle name="Normal 2 2 2 5 3 2 2 2" xfId="27245" xr:uid="{A10336AB-812D-444F-8D79-F803A2FAF4ED}"/>
    <cellStyle name="Normal 2 2 2 5 3 2 2 3" xfId="21585" xr:uid="{37296A1A-0D0D-4E1C-B381-3E22E590765E}"/>
    <cellStyle name="Normal 2 2 2 5 3 2 2 4" xfId="32625" xr:uid="{BDB36A42-6354-4473-8E72-E71B9544E1CC}"/>
    <cellStyle name="Normal 2 2 2 5 3 2 2 5" xfId="37173" xr:uid="{4D795E8E-3C01-44E4-8BEC-0383F1709769}"/>
    <cellStyle name="Normal 2 2 2 5 3 2 3" xfId="24412" xr:uid="{727726F3-42E0-4670-B93D-4C6FAE0AFC75}"/>
    <cellStyle name="Normal 2 2 2 5 3 2 4" xfId="18752" xr:uid="{998E6CF0-73D2-457F-B8B3-45BE7C2A328B}"/>
    <cellStyle name="Normal 2 2 2 5 3 2 5" xfId="30073" xr:uid="{46D87DED-57D6-4197-B33E-CD03418C316E}"/>
    <cellStyle name="Normal 2 2 2 5 3 2 6" xfId="37172" xr:uid="{2E752366-6B6B-4B5B-B62B-949F62BA1382}"/>
    <cellStyle name="Normal 2 2 2 5 3 3" xfId="13950" xr:uid="{00000000-0005-0000-0000-00007B120000}"/>
    <cellStyle name="Normal 2 2 2 5 3 3 2" xfId="25991" xr:uid="{6452F99D-41DA-4622-B656-C33B24AAE328}"/>
    <cellStyle name="Normal 2 2 2 5 3 3 3" xfId="20331" xr:uid="{09FDFFBE-A6FD-4CB9-A102-8FC4C7C6DEA5}"/>
    <cellStyle name="Normal 2 2 2 5 3 3 4" xfId="31371" xr:uid="{803700B1-CE43-4BAE-9F20-270E1D3C528C}"/>
    <cellStyle name="Normal 2 2 2 5 3 3 5" xfId="37174" xr:uid="{11394657-E9F4-4B21-B7DF-41453AE43BD8}"/>
    <cellStyle name="Normal 2 2 2 5 3 4" xfId="22850" xr:uid="{26F580D1-FB08-4D2C-B9D1-C3FC0FE6D205}"/>
    <cellStyle name="Normal 2 2 2 5 3 5" xfId="17190" xr:uid="{4E2BFDFC-D08C-4103-8E3F-1547DBB1D15C}"/>
    <cellStyle name="Normal 2 2 2 5 3 6" xfId="28511" xr:uid="{D210E39D-ACCB-4D33-8F98-2CCFB301EBF1}"/>
    <cellStyle name="Normal 2 2 2 5 3 7" xfId="37171" xr:uid="{791A08BA-915D-4BCD-B227-4E3009064D9D}"/>
    <cellStyle name="Normal 2 2 2 5 4" xfId="6057" xr:uid="{00000000-0005-0000-0000-00007C120000}"/>
    <cellStyle name="Normal 2 2 2 5 4 2" xfId="7398" xr:uid="{00000000-0005-0000-0000-00007D120000}"/>
    <cellStyle name="Normal 2 2 2 5 4 2 2" xfId="15831" xr:uid="{00000000-0005-0000-0000-00007E120000}"/>
    <cellStyle name="Normal 2 2 2 5 4 2 2 2" xfId="27725" xr:uid="{2A7BC60B-229B-4DA2-B48E-960802BD4BEE}"/>
    <cellStyle name="Normal 2 2 2 5 4 2 2 3" xfId="22065" xr:uid="{189D7DD1-7F7B-43DB-B94D-E50869FAEBA2}"/>
    <cellStyle name="Normal 2 2 2 5 4 2 2 4" xfId="33105" xr:uid="{23597534-4961-45B7-B563-E88CDEA9BE34}"/>
    <cellStyle name="Normal 2 2 2 5 4 2 2 5" xfId="37177" xr:uid="{C84F0AC8-E4C7-4C4A-ACAA-C61B9359E463}"/>
    <cellStyle name="Normal 2 2 2 5 4 2 3" xfId="24892" xr:uid="{27CEC388-D9C9-4F7D-9B03-1C608C4CFEB3}"/>
    <cellStyle name="Normal 2 2 2 5 4 2 4" xfId="19232" xr:uid="{334F31D7-130F-4F8A-B4C8-2672F7E57F95}"/>
    <cellStyle name="Normal 2 2 2 5 4 2 5" xfId="30553" xr:uid="{1A4041F2-7DD2-4D44-9B68-015E274D90D6}"/>
    <cellStyle name="Normal 2 2 2 5 4 2 6" xfId="37176" xr:uid="{9E5F0983-89EF-4A65-9057-2EB517B5A6EF}"/>
    <cellStyle name="Normal 2 2 2 5 4 3" xfId="14511" xr:uid="{00000000-0005-0000-0000-00007F120000}"/>
    <cellStyle name="Normal 2 2 2 5 4 3 2" xfId="26469" xr:uid="{4B8EE8DC-5ECF-45D8-90B9-071E93B9A574}"/>
    <cellStyle name="Normal 2 2 2 5 4 3 3" xfId="20809" xr:uid="{CDDC137A-6380-4D7A-A0B1-2234FEA08FAB}"/>
    <cellStyle name="Normal 2 2 2 5 4 3 4" xfId="31849" xr:uid="{8B40FAEF-59DA-45BC-B751-AB65BAFA90A1}"/>
    <cellStyle name="Normal 2 2 2 5 4 3 5" xfId="37178" xr:uid="{5CBDB8D2-CE0C-4563-BF1D-C2064C098D3C}"/>
    <cellStyle name="Normal 2 2 2 5 4 4" xfId="23636" xr:uid="{58554BA9-E689-4C89-83A2-593278438219}"/>
    <cellStyle name="Normal 2 2 2 5 4 5" xfId="17976" xr:uid="{97E0E3D6-037B-4923-A93A-8845FF7775DC}"/>
    <cellStyle name="Normal 2 2 2 5 4 6" xfId="29297" xr:uid="{92CA94DD-C0B1-49C5-99B9-9C84C2CD3F19}"/>
    <cellStyle name="Normal 2 2 2 5 4 7" xfId="37175" xr:uid="{08348D39-9BC1-471A-BF47-96854BD8F4D5}"/>
    <cellStyle name="Normal 2 2 2 5 5" xfId="6500" xr:uid="{00000000-0005-0000-0000-000080120000}"/>
    <cellStyle name="Normal 2 2 2 5 5 2" xfId="14933" xr:uid="{00000000-0005-0000-0000-000081120000}"/>
    <cellStyle name="Normal 2 2 2 5 5 2 2" xfId="26827" xr:uid="{7E27C4E6-05F5-4188-B1F8-3902F71A6C46}"/>
    <cellStyle name="Normal 2 2 2 5 5 2 3" xfId="21167" xr:uid="{75DDDC14-B8DF-4BE1-ACC0-875A87C72B79}"/>
    <cellStyle name="Normal 2 2 2 5 5 2 4" xfId="32207" xr:uid="{52429BD3-CF3D-4A0D-A9CE-625D5087BCF4}"/>
    <cellStyle name="Normal 2 2 2 5 5 2 5" xfId="37180" xr:uid="{E9A3EAC4-272C-4A15-8BEA-DD44382A21CE}"/>
    <cellStyle name="Normal 2 2 2 5 5 3" xfId="23994" xr:uid="{7CD9965A-85C8-41A6-86F2-2C4178C16FFD}"/>
    <cellStyle name="Normal 2 2 2 5 5 4" xfId="18334" xr:uid="{91193D91-FEE2-47EC-A26C-FC0B0D4872C5}"/>
    <cellStyle name="Normal 2 2 2 5 5 5" xfId="29655" xr:uid="{24CF8CE7-6FF7-4A54-ACB0-6809F2C139E1}"/>
    <cellStyle name="Normal 2 2 2 5 5 6" xfId="37179" xr:uid="{CC360B99-7F5C-4C8C-8DD5-635C35230694}"/>
    <cellStyle name="Normal 2 2 2 5 6" xfId="7818" xr:uid="{00000000-0005-0000-0000-000082120000}"/>
    <cellStyle name="Normal 2 2 2 5 6 2" xfId="25303" xr:uid="{4BF8D7B2-E46E-45D8-9017-7961D44C09A6}"/>
    <cellStyle name="Normal 2 2 2 5 6 3" xfId="19643" xr:uid="{FA147D18-C3F8-48FE-9A04-25B4EAD95426}"/>
    <cellStyle name="Normal 2 2 2 5 6 4" xfId="30964" xr:uid="{921B513D-EFFA-48DC-8680-355B03565E3C}"/>
    <cellStyle name="Normal 2 2 2 5 6 5" xfId="37181" xr:uid="{A850B133-4D74-4257-AF4C-C90565B904A5}"/>
    <cellStyle name="Normal 2 2 2 5 7" xfId="22432" xr:uid="{40120784-AB15-48A3-9858-8B1BC594BF3A}"/>
    <cellStyle name="Normal 2 2 2 5 8" xfId="16772" xr:uid="{C22BA031-A99A-40F3-9758-FB1529604054}"/>
    <cellStyle name="Normal 2 2 2 5 9" xfId="28093" xr:uid="{8BD85EDB-6681-4639-9C29-5E9EAF55ACC6}"/>
    <cellStyle name="Normal 2 2 2 6" xfId="4168" xr:uid="{00000000-0005-0000-0000-000083120000}"/>
    <cellStyle name="Normal 2 2 2 6 10" xfId="37182" xr:uid="{6C7F2DDE-0D03-46C7-868B-71390071C491}"/>
    <cellStyle name="Normal 2 2 2 6 2" xfId="4915" xr:uid="{00000000-0005-0000-0000-000084120000}"/>
    <cellStyle name="Normal 2 2 2 6 2 2" xfId="5334" xr:uid="{00000000-0005-0000-0000-000085120000}"/>
    <cellStyle name="Normal 2 2 2 6 2 2 2" xfId="7197" xr:uid="{00000000-0005-0000-0000-000086120000}"/>
    <cellStyle name="Normal 2 2 2 6 2 2 2 2" xfId="15630" xr:uid="{00000000-0005-0000-0000-000087120000}"/>
    <cellStyle name="Normal 2 2 2 6 2 2 2 2 2" xfId="27524" xr:uid="{249FD08D-D1C3-4998-B93B-AA601C558F73}"/>
    <cellStyle name="Normal 2 2 2 6 2 2 2 2 3" xfId="21864" xr:uid="{014CE3FE-DEB6-4AD1-B409-181C269F3A18}"/>
    <cellStyle name="Normal 2 2 2 6 2 2 2 2 4" xfId="32904" xr:uid="{F57DE732-11BD-4409-9B86-2B095D512DCB}"/>
    <cellStyle name="Normal 2 2 2 6 2 2 2 2 5" xfId="37186" xr:uid="{AC5A26D1-A4CD-4392-917F-1F2F93B82368}"/>
    <cellStyle name="Normal 2 2 2 6 2 2 2 3" xfId="24691" xr:uid="{4DC63047-235A-4BD3-860C-137A4AA3BA12}"/>
    <cellStyle name="Normal 2 2 2 6 2 2 2 4" xfId="19031" xr:uid="{E31FBF46-2ED3-47A3-A0E3-E847806FF14A}"/>
    <cellStyle name="Normal 2 2 2 6 2 2 2 5" xfId="30352" xr:uid="{6ECE24E2-572F-4896-90E5-5B13F68ABC68}"/>
    <cellStyle name="Normal 2 2 2 6 2 2 2 6" xfId="37185" xr:uid="{893773A8-4532-4884-80FF-1F3D99E5AAB8}"/>
    <cellStyle name="Normal 2 2 2 6 2 2 3" xfId="14220" xr:uid="{00000000-0005-0000-0000-000088120000}"/>
    <cellStyle name="Normal 2 2 2 6 2 2 3 2" xfId="26259" xr:uid="{23490164-2D5D-40DE-AA13-8D6F5293424C}"/>
    <cellStyle name="Normal 2 2 2 6 2 2 3 3" xfId="20599" xr:uid="{162CBA81-E072-400A-BFA1-227FCC9A0C49}"/>
    <cellStyle name="Normal 2 2 2 6 2 2 3 4" xfId="31639" xr:uid="{946D10E0-C0BD-4550-9DEA-4D549112D187}"/>
    <cellStyle name="Normal 2 2 2 6 2 2 3 5" xfId="37187" xr:uid="{32BB5587-D95A-4F75-AA82-5478C3DF18D5}"/>
    <cellStyle name="Normal 2 2 2 6 2 2 4" xfId="23129" xr:uid="{FEC714E2-73D3-411F-B7CB-1D6DF012D818}"/>
    <cellStyle name="Normal 2 2 2 6 2 2 5" xfId="17469" xr:uid="{153337EA-1B17-4EB1-89F3-440B815B1ADD}"/>
    <cellStyle name="Normal 2 2 2 6 2 2 6" xfId="28790" xr:uid="{61A50D6B-C742-4637-85C5-AF33C87AAC92}"/>
    <cellStyle name="Normal 2 2 2 6 2 2 7" xfId="37184" xr:uid="{5A67BD2F-EAB3-4D03-BB36-0C2A4459139A}"/>
    <cellStyle name="Normal 2 2 2 6 2 3" xfId="6060" xr:uid="{00000000-0005-0000-0000-000089120000}"/>
    <cellStyle name="Normal 2 2 2 6 2 3 2" xfId="7401" xr:uid="{00000000-0005-0000-0000-00008A120000}"/>
    <cellStyle name="Normal 2 2 2 6 2 3 2 2" xfId="15834" xr:uid="{00000000-0005-0000-0000-00008B120000}"/>
    <cellStyle name="Normal 2 2 2 6 2 3 2 2 2" xfId="27728" xr:uid="{80AD2A8F-66C5-46B4-A4EC-4AFAB1389742}"/>
    <cellStyle name="Normal 2 2 2 6 2 3 2 2 3" xfId="22068" xr:uid="{D5789548-9E3F-465E-9550-1F151B80C99C}"/>
    <cellStyle name="Normal 2 2 2 6 2 3 2 2 4" xfId="33108" xr:uid="{887F4F4F-4C44-4947-B872-84D60EABD99A}"/>
    <cellStyle name="Normal 2 2 2 6 2 3 2 2 5" xfId="37190" xr:uid="{39759053-4786-4967-A744-D0E57D486080}"/>
    <cellStyle name="Normal 2 2 2 6 2 3 2 3" xfId="24895" xr:uid="{C003A165-92AA-457F-A485-20B9786C8BF9}"/>
    <cellStyle name="Normal 2 2 2 6 2 3 2 4" xfId="19235" xr:uid="{9FDCC54C-5E40-4FA2-9225-9A845954A757}"/>
    <cellStyle name="Normal 2 2 2 6 2 3 2 5" xfId="30556" xr:uid="{F8191F14-8FE6-4BE2-92CD-D4DF0A8AEA69}"/>
    <cellStyle name="Normal 2 2 2 6 2 3 2 6" xfId="37189" xr:uid="{A2052261-4BCA-4060-9E70-6EAE66B20431}"/>
    <cellStyle name="Normal 2 2 2 6 2 3 3" xfId="14514" xr:uid="{00000000-0005-0000-0000-00008C120000}"/>
    <cellStyle name="Normal 2 2 2 6 2 3 3 2" xfId="26472" xr:uid="{A862537D-7532-49E6-8C91-2F495D98FBFF}"/>
    <cellStyle name="Normal 2 2 2 6 2 3 3 3" xfId="20812" xr:uid="{988EB242-D0F6-4910-AED7-E9F160862847}"/>
    <cellStyle name="Normal 2 2 2 6 2 3 3 4" xfId="31852" xr:uid="{B68376E6-1BA3-4744-9216-A84BD68A6D44}"/>
    <cellStyle name="Normal 2 2 2 6 2 3 3 5" xfId="37191" xr:uid="{AB16F348-A8DF-4930-9B98-440B0F1CDE1B}"/>
    <cellStyle name="Normal 2 2 2 6 2 3 4" xfId="23639" xr:uid="{801FB2D9-7A7C-4502-96F8-D577C0B83874}"/>
    <cellStyle name="Normal 2 2 2 6 2 3 5" xfId="17979" xr:uid="{7E67AFFA-0922-4B7D-82C9-452D51894881}"/>
    <cellStyle name="Normal 2 2 2 6 2 3 6" xfId="29300" xr:uid="{946987B5-DA61-44FA-BD44-FC280564F3B1}"/>
    <cellStyle name="Normal 2 2 2 6 2 3 7" xfId="37188" xr:uid="{0553C659-E4C8-421F-844C-F537372DD6CB}"/>
    <cellStyle name="Normal 2 2 2 6 2 4" xfId="6779" xr:uid="{00000000-0005-0000-0000-00008D120000}"/>
    <cellStyle name="Normal 2 2 2 6 2 4 2" xfId="15212" xr:uid="{00000000-0005-0000-0000-00008E120000}"/>
    <cellStyle name="Normal 2 2 2 6 2 4 2 2" xfId="27106" xr:uid="{4D865B7F-EF81-43E5-9380-B3D16D541220}"/>
    <cellStyle name="Normal 2 2 2 6 2 4 2 3" xfId="21446" xr:uid="{9699B319-E2D0-4D71-BEC0-41F4B4BE95DF}"/>
    <cellStyle name="Normal 2 2 2 6 2 4 2 4" xfId="32486" xr:uid="{8B82A65A-40C4-4B41-A481-A465FFAC0666}"/>
    <cellStyle name="Normal 2 2 2 6 2 4 2 5" xfId="37193" xr:uid="{8E73169A-415F-4B12-9AED-F7E934C9D542}"/>
    <cellStyle name="Normal 2 2 2 6 2 4 3" xfId="24273" xr:uid="{2BBA039A-FB63-4D27-A40A-2731DA894247}"/>
    <cellStyle name="Normal 2 2 2 6 2 4 4" xfId="18613" xr:uid="{0C90C86B-4A10-4BAA-8042-645CAD69339E}"/>
    <cellStyle name="Normal 2 2 2 6 2 4 5" xfId="29934" xr:uid="{49A54BD9-83B0-4CC1-B7E9-8C80560866AD}"/>
    <cellStyle name="Normal 2 2 2 6 2 4 6" xfId="37192" xr:uid="{E144680D-AAFE-43F4-A42E-E3C459331FDC}"/>
    <cellStyle name="Normal 2 2 2 6 2 5" xfId="7821" xr:uid="{00000000-0005-0000-0000-00008F120000}"/>
    <cellStyle name="Normal 2 2 2 6 2 5 2" xfId="25306" xr:uid="{80F2F6C7-976E-41B5-9367-2EBBABF4A3D7}"/>
    <cellStyle name="Normal 2 2 2 6 2 5 3" xfId="19646" xr:uid="{BEEEDDC8-4668-44D9-BD0D-6BB92FE7E52B}"/>
    <cellStyle name="Normal 2 2 2 6 2 5 4" xfId="30967" xr:uid="{5B725724-6466-460C-9AFF-64F0FDBEDFC1}"/>
    <cellStyle name="Normal 2 2 2 6 2 5 5" xfId="37194" xr:uid="{291E1B88-4779-4150-9F9A-8BB89B18F2A8}"/>
    <cellStyle name="Normal 2 2 2 6 2 6" xfId="22711" xr:uid="{74B4034C-D054-47B4-B191-DE1FBBB77323}"/>
    <cellStyle name="Normal 2 2 2 6 2 7" xfId="17051" xr:uid="{1F11E5F2-29D6-4DBD-878E-D6C4FBD35B3C}"/>
    <cellStyle name="Normal 2 2 2 6 2 8" xfId="28372" xr:uid="{5C562E9A-3160-4768-9BE5-0784166D95F5}"/>
    <cellStyle name="Normal 2 2 2 6 2 9" xfId="37183" xr:uid="{BE34CF46-BC05-4618-830D-F27F5BCBB714}"/>
    <cellStyle name="Normal 2 2 2 6 3" xfId="5125" xr:uid="{00000000-0005-0000-0000-000090120000}"/>
    <cellStyle name="Normal 2 2 2 6 3 2" xfId="6988" xr:uid="{00000000-0005-0000-0000-000091120000}"/>
    <cellStyle name="Normal 2 2 2 6 3 2 2" xfId="15421" xr:uid="{00000000-0005-0000-0000-000092120000}"/>
    <cellStyle name="Normal 2 2 2 6 3 2 2 2" xfId="27315" xr:uid="{435A2FE3-9785-47B1-BE43-4C61A46E810C}"/>
    <cellStyle name="Normal 2 2 2 6 3 2 2 3" xfId="21655" xr:uid="{1FDBD9D8-A7D3-4EA9-B383-EC1414E6C5E7}"/>
    <cellStyle name="Normal 2 2 2 6 3 2 2 4" xfId="32695" xr:uid="{9285726C-2619-4430-85CD-E2BF2024062A}"/>
    <cellStyle name="Normal 2 2 2 6 3 2 2 5" xfId="37197" xr:uid="{87917E82-2BF1-4FD2-8E26-A9D3D3A35DDE}"/>
    <cellStyle name="Normal 2 2 2 6 3 2 3" xfId="24482" xr:uid="{1EAE319B-336B-41A1-A30C-869E05D6F1A4}"/>
    <cellStyle name="Normal 2 2 2 6 3 2 4" xfId="18822" xr:uid="{27564BCD-2D9E-404E-8112-7AA325CF50AC}"/>
    <cellStyle name="Normal 2 2 2 6 3 2 5" xfId="30143" xr:uid="{109EEF0B-4592-41E1-BE1D-7075A73BA51E}"/>
    <cellStyle name="Normal 2 2 2 6 3 2 6" xfId="37196" xr:uid="{BB2A0DDF-F575-42C4-B55B-8AEE4E971F0E}"/>
    <cellStyle name="Normal 2 2 2 6 3 3" xfId="14012" xr:uid="{00000000-0005-0000-0000-000093120000}"/>
    <cellStyle name="Normal 2 2 2 6 3 3 2" xfId="26051" xr:uid="{130EA32E-81E7-49EE-9DFD-1E9D58798919}"/>
    <cellStyle name="Normal 2 2 2 6 3 3 3" xfId="20391" xr:uid="{0C5B5D0F-7CA5-431D-8B0A-8CE3CCF6F0AB}"/>
    <cellStyle name="Normal 2 2 2 6 3 3 4" xfId="31431" xr:uid="{758E5D80-86EB-449D-BCD5-010A311173B0}"/>
    <cellStyle name="Normal 2 2 2 6 3 3 5" xfId="37198" xr:uid="{A5E483AD-9D03-44DF-A8AC-47BD64A18C63}"/>
    <cellStyle name="Normal 2 2 2 6 3 4" xfId="22920" xr:uid="{691330A9-06DE-4AD8-A9CF-94E1EE4DCEC1}"/>
    <cellStyle name="Normal 2 2 2 6 3 5" xfId="17260" xr:uid="{027656F3-6B64-483D-89FF-AAAD9BB45C71}"/>
    <cellStyle name="Normal 2 2 2 6 3 6" xfId="28581" xr:uid="{7EAA4E0D-ADE7-4965-AE54-110658C7A90E}"/>
    <cellStyle name="Normal 2 2 2 6 3 7" xfId="37195" xr:uid="{5A888274-0DC8-4253-9C6F-7DD6A567BA45}"/>
    <cellStyle name="Normal 2 2 2 6 4" xfId="6059" xr:uid="{00000000-0005-0000-0000-000094120000}"/>
    <cellStyle name="Normal 2 2 2 6 4 2" xfId="7400" xr:uid="{00000000-0005-0000-0000-000095120000}"/>
    <cellStyle name="Normal 2 2 2 6 4 2 2" xfId="15833" xr:uid="{00000000-0005-0000-0000-000096120000}"/>
    <cellStyle name="Normal 2 2 2 6 4 2 2 2" xfId="27727" xr:uid="{9B4BD3A6-7775-4AA7-BE8B-62073C623699}"/>
    <cellStyle name="Normal 2 2 2 6 4 2 2 3" xfId="22067" xr:uid="{17934343-7642-4A62-BB40-045C9A62988F}"/>
    <cellStyle name="Normal 2 2 2 6 4 2 2 4" xfId="33107" xr:uid="{29840C13-41DD-44A3-AA8F-8BCDF7BDC418}"/>
    <cellStyle name="Normal 2 2 2 6 4 2 2 5" xfId="37201" xr:uid="{2DBE4327-3FEF-4B4F-8671-6874A777C49E}"/>
    <cellStyle name="Normal 2 2 2 6 4 2 3" xfId="24894" xr:uid="{67E9DC1B-D330-4746-8FEA-AD9CCB8F6EC0}"/>
    <cellStyle name="Normal 2 2 2 6 4 2 4" xfId="19234" xr:uid="{F36E5F0B-6FF3-4DA2-858A-FA08F9BF40C0}"/>
    <cellStyle name="Normal 2 2 2 6 4 2 5" xfId="30555" xr:uid="{DC5CD366-5ED3-4A5D-A084-8E16BB263D14}"/>
    <cellStyle name="Normal 2 2 2 6 4 2 6" xfId="37200" xr:uid="{A76FE787-F9E1-46F5-9061-D1DF19B50C0E}"/>
    <cellStyle name="Normal 2 2 2 6 4 3" xfId="14513" xr:uid="{00000000-0005-0000-0000-000097120000}"/>
    <cellStyle name="Normal 2 2 2 6 4 3 2" xfId="26471" xr:uid="{F52CA526-1BB2-4589-802A-12AAF3FFC3B4}"/>
    <cellStyle name="Normal 2 2 2 6 4 3 3" xfId="20811" xr:uid="{FC53B5C0-164B-41CD-8557-D9AC7513ADED}"/>
    <cellStyle name="Normal 2 2 2 6 4 3 4" xfId="31851" xr:uid="{F7590063-7FCD-4256-A8A9-6FE9C19C94B3}"/>
    <cellStyle name="Normal 2 2 2 6 4 3 5" xfId="37202" xr:uid="{A838FC22-38FB-4AED-9769-54A3BA8C561B}"/>
    <cellStyle name="Normal 2 2 2 6 4 4" xfId="23638" xr:uid="{2FFA38F1-0619-44A3-A6D9-E2DF471943FB}"/>
    <cellStyle name="Normal 2 2 2 6 4 5" xfId="17978" xr:uid="{40EC6766-A0BA-4E27-B8F8-A37DD73623BE}"/>
    <cellStyle name="Normal 2 2 2 6 4 6" xfId="29299" xr:uid="{C11B494D-78C5-4438-B152-2B6A24F8AD0E}"/>
    <cellStyle name="Normal 2 2 2 6 4 7" xfId="37199" xr:uid="{05ED1A70-C9E9-4C59-A6A8-AA99F2AD585B}"/>
    <cellStyle name="Normal 2 2 2 6 5" xfId="6570" xr:uid="{00000000-0005-0000-0000-000098120000}"/>
    <cellStyle name="Normal 2 2 2 6 5 2" xfId="15003" xr:uid="{00000000-0005-0000-0000-000099120000}"/>
    <cellStyle name="Normal 2 2 2 6 5 2 2" xfId="26897" xr:uid="{F42EF3D8-42B5-4F74-ADAC-D03AEA97DBFF}"/>
    <cellStyle name="Normal 2 2 2 6 5 2 3" xfId="21237" xr:uid="{82F17969-79A6-4531-B271-1216E6BC010C}"/>
    <cellStyle name="Normal 2 2 2 6 5 2 4" xfId="32277" xr:uid="{AAE7328D-3818-4877-8111-4D976C7836B6}"/>
    <cellStyle name="Normal 2 2 2 6 5 2 5" xfId="37204" xr:uid="{9D0A75B1-FCFA-4A27-8045-C65B68808E5E}"/>
    <cellStyle name="Normal 2 2 2 6 5 3" xfId="24064" xr:uid="{46B0A515-8642-4B85-8E5A-544FE5F008D9}"/>
    <cellStyle name="Normal 2 2 2 6 5 4" xfId="18404" xr:uid="{10E1D86E-8BAE-4E3E-BD72-8D4BC978FFDA}"/>
    <cellStyle name="Normal 2 2 2 6 5 5" xfId="29725" xr:uid="{0AA178E4-FE90-4AF3-B525-FCBD50759CD1}"/>
    <cellStyle name="Normal 2 2 2 6 5 6" xfId="37203" xr:uid="{EE2F2A5E-9C4B-4909-BB23-D821C3E8A587}"/>
    <cellStyle name="Normal 2 2 2 6 6" xfId="7820" xr:uid="{00000000-0005-0000-0000-00009A120000}"/>
    <cellStyle name="Normal 2 2 2 6 6 2" xfId="25305" xr:uid="{1268ACDF-0B7A-44AB-85BA-1677CB411EF1}"/>
    <cellStyle name="Normal 2 2 2 6 6 3" xfId="19645" xr:uid="{CEA23478-9B59-4105-9C07-BF6825079DFE}"/>
    <cellStyle name="Normal 2 2 2 6 6 4" xfId="30966" xr:uid="{592615FF-028A-4BD0-9034-711F10559ADA}"/>
    <cellStyle name="Normal 2 2 2 6 6 5" xfId="37205" xr:uid="{EC22D546-63A7-423F-B4B8-3F1927E26082}"/>
    <cellStyle name="Normal 2 2 2 6 7" xfId="22502" xr:uid="{20FA1EE0-1735-46C0-81EB-317703DC88B5}"/>
    <cellStyle name="Normal 2 2 2 6 8" xfId="16842" xr:uid="{89757AC5-421C-4060-A892-D2A86E7513BA}"/>
    <cellStyle name="Normal 2 2 2 6 9" xfId="28163" xr:uid="{151523F1-7C4C-4380-9106-CB11AC490F10}"/>
    <cellStyle name="Normal 2 2 2 7" xfId="5782" xr:uid="{00000000-0005-0000-0000-00009B120000}"/>
    <cellStyle name="Normal 2 2 2 7 2" xfId="37206" xr:uid="{F7F5142A-E00D-4593-B0EC-AEF35A4D58D3}"/>
    <cellStyle name="Normal 2 2 2 8" xfId="7817" xr:uid="{00000000-0005-0000-0000-00009C120000}"/>
    <cellStyle name="Normal 2 2 2 8 2" xfId="25302" xr:uid="{BF37C1E0-FF12-4118-84C6-91D2A5862DC5}"/>
    <cellStyle name="Normal 2 2 2 8 3" xfId="19642" xr:uid="{E37A97B6-2B7D-4E7E-8E5C-8AC06B95698F}"/>
    <cellStyle name="Normal 2 2 2 8 4" xfId="30963" xr:uid="{1FBFE9A5-2A33-4CC7-835C-0A954E2D5446}"/>
    <cellStyle name="Normal 2 2 2 8 5" xfId="37207" xr:uid="{26340322-CAFA-4083-9596-02F363E536D7}"/>
    <cellStyle name="Normal 2 2 2 9" xfId="37151" xr:uid="{D8B7847D-DE31-46C7-B5A8-809219998952}"/>
    <cellStyle name="Normal 2 2 3" xfId="138" xr:uid="{00000000-0005-0000-0000-00009D120000}"/>
    <cellStyle name="Normal 2 2 3 2" xfId="4169" xr:uid="{00000000-0005-0000-0000-00009E120000}"/>
    <cellStyle name="Normal 2 2 3 2 10" xfId="37209" xr:uid="{4A9EF47C-A136-40BD-8ADB-F9C857F525B7}"/>
    <cellStyle name="Normal 2 2 3 2 2" xfId="4916" xr:uid="{00000000-0005-0000-0000-00009F120000}"/>
    <cellStyle name="Normal 2 2 3 2 2 2" xfId="5335" xr:uid="{00000000-0005-0000-0000-0000A0120000}"/>
    <cellStyle name="Normal 2 2 3 2 2 2 2" xfId="7198" xr:uid="{00000000-0005-0000-0000-0000A1120000}"/>
    <cellStyle name="Normal 2 2 3 2 2 2 2 2" xfId="15631" xr:uid="{00000000-0005-0000-0000-0000A2120000}"/>
    <cellStyle name="Normal 2 2 3 2 2 2 2 2 2" xfId="27525" xr:uid="{7C3BB976-3ACA-4498-BEEB-5AA2A760077D}"/>
    <cellStyle name="Normal 2 2 3 2 2 2 2 2 3" xfId="21865" xr:uid="{0CA6E71D-2EE4-49F7-A280-610774EBE464}"/>
    <cellStyle name="Normal 2 2 3 2 2 2 2 2 4" xfId="32905" xr:uid="{BB116369-5EEA-45BE-A5F3-CC5A3ACCC2F1}"/>
    <cellStyle name="Normal 2 2 3 2 2 2 2 2 5" xfId="37213" xr:uid="{D2EA6259-D106-4626-BF39-AF6BD22415C4}"/>
    <cellStyle name="Normal 2 2 3 2 2 2 2 3" xfId="24692" xr:uid="{CDCB268B-5A5C-412C-8951-018390A1B455}"/>
    <cellStyle name="Normal 2 2 3 2 2 2 2 4" xfId="19032" xr:uid="{5FDBE32C-36A7-4C4A-9B4A-D3CD564ADE2E}"/>
    <cellStyle name="Normal 2 2 3 2 2 2 2 5" xfId="30353" xr:uid="{B560D7A3-3BDA-4510-AD3A-EBBAABD4DDF5}"/>
    <cellStyle name="Normal 2 2 3 2 2 2 2 6" xfId="37212" xr:uid="{06D1C2D4-31C6-461C-A979-A4A4141D2E34}"/>
    <cellStyle name="Normal 2 2 3 2 2 2 3" xfId="14221" xr:uid="{00000000-0005-0000-0000-0000A3120000}"/>
    <cellStyle name="Normal 2 2 3 2 2 2 3 2" xfId="26260" xr:uid="{9291DE2A-574A-4D9C-96EA-86293E8CBA42}"/>
    <cellStyle name="Normal 2 2 3 2 2 2 3 3" xfId="20600" xr:uid="{522DF5F3-5D41-4B57-B354-34E761F36846}"/>
    <cellStyle name="Normal 2 2 3 2 2 2 3 4" xfId="31640" xr:uid="{FCCAF344-64CB-4406-AB40-F6D149B9D5E9}"/>
    <cellStyle name="Normal 2 2 3 2 2 2 3 5" xfId="37214" xr:uid="{9AEEE26E-CE20-4402-9B94-95FF31E7C869}"/>
    <cellStyle name="Normal 2 2 3 2 2 2 4" xfId="23130" xr:uid="{C1424BE8-4483-4AB3-A03B-B5C7C5F16511}"/>
    <cellStyle name="Normal 2 2 3 2 2 2 5" xfId="17470" xr:uid="{69F9C149-0980-4783-8600-CB2A421B4861}"/>
    <cellStyle name="Normal 2 2 3 2 2 2 6" xfId="28791" xr:uid="{CBCA9901-F675-47CB-A617-959BCC0AD4D2}"/>
    <cellStyle name="Normal 2 2 3 2 2 2 7" xfId="37211" xr:uid="{3953E77B-FE59-4CFA-AE5F-7F9501506806}"/>
    <cellStyle name="Normal 2 2 3 2 2 3" xfId="6062" xr:uid="{00000000-0005-0000-0000-0000A4120000}"/>
    <cellStyle name="Normal 2 2 3 2 2 3 2" xfId="7403" xr:uid="{00000000-0005-0000-0000-0000A5120000}"/>
    <cellStyle name="Normal 2 2 3 2 2 3 2 2" xfId="15836" xr:uid="{00000000-0005-0000-0000-0000A6120000}"/>
    <cellStyle name="Normal 2 2 3 2 2 3 2 2 2" xfId="27730" xr:uid="{869418E9-47A1-4BDD-B2A1-E797E5075CE2}"/>
    <cellStyle name="Normal 2 2 3 2 2 3 2 2 3" xfId="22070" xr:uid="{6E330F05-C6E2-4A3D-A0E2-99E26838E842}"/>
    <cellStyle name="Normal 2 2 3 2 2 3 2 2 4" xfId="33110" xr:uid="{9145A56B-8173-4CE7-8FC6-32AC4BAD6DC6}"/>
    <cellStyle name="Normal 2 2 3 2 2 3 2 2 5" xfId="37217" xr:uid="{BC3A7226-4614-482D-8588-5DE7481B5B74}"/>
    <cellStyle name="Normal 2 2 3 2 2 3 2 3" xfId="24897" xr:uid="{C425A695-53A2-410C-BC1B-120B6706F0F7}"/>
    <cellStyle name="Normal 2 2 3 2 2 3 2 4" xfId="19237" xr:uid="{EC3B8CE6-D127-4C1E-B957-047C54B43345}"/>
    <cellStyle name="Normal 2 2 3 2 2 3 2 5" xfId="30558" xr:uid="{C1F14CDD-4FE6-4DCE-B0F4-048D62FA8CC1}"/>
    <cellStyle name="Normal 2 2 3 2 2 3 2 6" xfId="37216" xr:uid="{37E3BC80-A353-46C0-B198-1424F84ADABE}"/>
    <cellStyle name="Normal 2 2 3 2 2 3 3" xfId="14516" xr:uid="{00000000-0005-0000-0000-0000A7120000}"/>
    <cellStyle name="Normal 2 2 3 2 2 3 3 2" xfId="26474" xr:uid="{C5BC09F9-F738-4111-BC4F-12BD19FD4557}"/>
    <cellStyle name="Normal 2 2 3 2 2 3 3 3" xfId="20814" xr:uid="{D5F8AF56-F735-403B-AF75-6456E15AA3FE}"/>
    <cellStyle name="Normal 2 2 3 2 2 3 3 4" xfId="31854" xr:uid="{43517AF2-AA55-42B8-AC1F-2A877A7BEA2F}"/>
    <cellStyle name="Normal 2 2 3 2 2 3 3 5" xfId="37218" xr:uid="{64F5C315-6D8B-403C-9D95-36921F889302}"/>
    <cellStyle name="Normal 2 2 3 2 2 3 4" xfId="23641" xr:uid="{586FF11B-EAAF-4A65-B2DD-0BC5C6DC4FF9}"/>
    <cellStyle name="Normal 2 2 3 2 2 3 5" xfId="17981" xr:uid="{41F2DBB8-8972-498F-BB33-75A3C999323A}"/>
    <cellStyle name="Normal 2 2 3 2 2 3 6" xfId="29302" xr:uid="{EE6EA34E-6450-43ED-9EB2-5989D2538756}"/>
    <cellStyle name="Normal 2 2 3 2 2 3 7" xfId="37215" xr:uid="{4917601C-4B54-4D6F-907A-C822F9272581}"/>
    <cellStyle name="Normal 2 2 3 2 2 4" xfId="6780" xr:uid="{00000000-0005-0000-0000-0000A8120000}"/>
    <cellStyle name="Normal 2 2 3 2 2 4 2" xfId="15213" xr:uid="{00000000-0005-0000-0000-0000A9120000}"/>
    <cellStyle name="Normal 2 2 3 2 2 4 2 2" xfId="27107" xr:uid="{D98EDB39-0E36-429E-AFDD-C50EEFE189D0}"/>
    <cellStyle name="Normal 2 2 3 2 2 4 2 3" xfId="21447" xr:uid="{FFDF9BC2-E814-4875-944F-78732EAD12C3}"/>
    <cellStyle name="Normal 2 2 3 2 2 4 2 4" xfId="32487" xr:uid="{043D21CC-FF5E-4C42-8EC2-C0BC6F2F494B}"/>
    <cellStyle name="Normal 2 2 3 2 2 4 2 5" xfId="37220" xr:uid="{4BB05FAA-741C-4D30-BC36-D800A0B062D3}"/>
    <cellStyle name="Normal 2 2 3 2 2 4 3" xfId="24274" xr:uid="{ED0E6C7D-D5D1-4CEE-B131-5EA6920FA99B}"/>
    <cellStyle name="Normal 2 2 3 2 2 4 4" xfId="18614" xr:uid="{C77ACB0C-6B9A-4401-AF73-D1B2FC3E3297}"/>
    <cellStyle name="Normal 2 2 3 2 2 4 5" xfId="29935" xr:uid="{53886369-6C3A-4CF9-8B24-C380EB69EC2E}"/>
    <cellStyle name="Normal 2 2 3 2 2 4 6" xfId="37219" xr:uid="{002D1B0C-3F08-4AB1-973C-252E6C7B1878}"/>
    <cellStyle name="Normal 2 2 3 2 2 5" xfId="7824" xr:uid="{00000000-0005-0000-0000-0000AA120000}"/>
    <cellStyle name="Normal 2 2 3 2 2 5 2" xfId="25309" xr:uid="{D5A9A6B4-A34C-4826-8C5F-67089BE49ED3}"/>
    <cellStyle name="Normal 2 2 3 2 2 5 3" xfId="19649" xr:uid="{78C9C29F-A0FC-48A8-8B42-AC538435B93C}"/>
    <cellStyle name="Normal 2 2 3 2 2 5 4" xfId="30970" xr:uid="{177F3C8D-4893-4D78-9C56-D951459A11A2}"/>
    <cellStyle name="Normal 2 2 3 2 2 5 5" xfId="37221" xr:uid="{C8EE840B-AFA6-46FC-A148-59AAB8B6F8F9}"/>
    <cellStyle name="Normal 2 2 3 2 2 6" xfId="22712" xr:uid="{55AAE98F-805D-435A-BB6C-C4C51405ACE4}"/>
    <cellStyle name="Normal 2 2 3 2 2 7" xfId="17052" xr:uid="{B936138D-3334-4535-A5C3-96ED734DE9FC}"/>
    <cellStyle name="Normal 2 2 3 2 2 8" xfId="28373" xr:uid="{172CBFCD-A557-476B-AF45-7BFF0D05FE36}"/>
    <cellStyle name="Normal 2 2 3 2 2 9" xfId="37210" xr:uid="{3F3E1A7F-D733-41AF-B5F5-052369CAA3EF}"/>
    <cellStyle name="Normal 2 2 3 2 3" xfId="5126" xr:uid="{00000000-0005-0000-0000-0000AB120000}"/>
    <cellStyle name="Normal 2 2 3 2 3 2" xfId="6989" xr:uid="{00000000-0005-0000-0000-0000AC120000}"/>
    <cellStyle name="Normal 2 2 3 2 3 2 2" xfId="15422" xr:uid="{00000000-0005-0000-0000-0000AD120000}"/>
    <cellStyle name="Normal 2 2 3 2 3 2 2 2" xfId="27316" xr:uid="{25CEAB68-6760-4274-9926-F436006128C7}"/>
    <cellStyle name="Normal 2 2 3 2 3 2 2 3" xfId="21656" xr:uid="{9968B99F-916A-4F4D-B71B-0D6189152C37}"/>
    <cellStyle name="Normal 2 2 3 2 3 2 2 4" xfId="32696" xr:uid="{78F64856-6BCF-461F-A172-2F587A5C95E8}"/>
    <cellStyle name="Normal 2 2 3 2 3 2 2 5" xfId="37224" xr:uid="{B76D163C-0777-4AD6-A15A-8802D47FEB4A}"/>
    <cellStyle name="Normal 2 2 3 2 3 2 3" xfId="24483" xr:uid="{EA134A22-7051-49CC-87D7-8E38F2297503}"/>
    <cellStyle name="Normal 2 2 3 2 3 2 4" xfId="18823" xr:uid="{537385B4-57F9-461F-963F-A6B0389E069C}"/>
    <cellStyle name="Normal 2 2 3 2 3 2 5" xfId="30144" xr:uid="{D2F9A19C-1BF0-4DF6-8F5C-7BED3F6EBF0B}"/>
    <cellStyle name="Normal 2 2 3 2 3 2 6" xfId="37223" xr:uid="{C3D20DBC-7EA6-4D71-9173-DB1E1505F677}"/>
    <cellStyle name="Normal 2 2 3 2 3 3" xfId="14013" xr:uid="{00000000-0005-0000-0000-0000AE120000}"/>
    <cellStyle name="Normal 2 2 3 2 3 3 2" xfId="26052" xr:uid="{99F0BB4C-463B-4976-AC2D-4F7A22EE2389}"/>
    <cellStyle name="Normal 2 2 3 2 3 3 3" xfId="20392" xr:uid="{C20A8B14-3855-46EE-8701-18F57F2B4184}"/>
    <cellStyle name="Normal 2 2 3 2 3 3 4" xfId="31432" xr:uid="{60C76990-4402-4555-8A64-6B3CCFCBE173}"/>
    <cellStyle name="Normal 2 2 3 2 3 3 5" xfId="37225" xr:uid="{47ADD424-361B-49EA-A619-93F100A3D731}"/>
    <cellStyle name="Normal 2 2 3 2 3 4" xfId="22921" xr:uid="{6FB12245-2896-4A6F-B7AD-3E6F814C949E}"/>
    <cellStyle name="Normal 2 2 3 2 3 5" xfId="17261" xr:uid="{50B6F1B0-BFC4-4361-A275-F12C69ADBE3A}"/>
    <cellStyle name="Normal 2 2 3 2 3 6" xfId="28582" xr:uid="{33659DCC-0C84-4DFD-8DED-24FD0E8BEF0A}"/>
    <cellStyle name="Normal 2 2 3 2 3 7" xfId="37222" xr:uid="{603168E4-A787-40E4-BD83-EB624DF5E054}"/>
    <cellStyle name="Normal 2 2 3 2 4" xfId="6061" xr:uid="{00000000-0005-0000-0000-0000AF120000}"/>
    <cellStyle name="Normal 2 2 3 2 4 2" xfId="7402" xr:uid="{00000000-0005-0000-0000-0000B0120000}"/>
    <cellStyle name="Normal 2 2 3 2 4 2 2" xfId="15835" xr:uid="{00000000-0005-0000-0000-0000B1120000}"/>
    <cellStyle name="Normal 2 2 3 2 4 2 2 2" xfId="27729" xr:uid="{FBEDDCD7-5DD9-4FA7-84C5-22986D1F9FA8}"/>
    <cellStyle name="Normal 2 2 3 2 4 2 2 3" xfId="22069" xr:uid="{CA7081AB-8145-473C-8468-11C1CD522FDA}"/>
    <cellStyle name="Normal 2 2 3 2 4 2 2 4" xfId="33109" xr:uid="{2EC3F188-657F-40A4-836C-EFFA00957D95}"/>
    <cellStyle name="Normal 2 2 3 2 4 2 2 5" xfId="37228" xr:uid="{BAAA7B62-AAA4-4A50-B2C3-D58AF42E17B9}"/>
    <cellStyle name="Normal 2 2 3 2 4 2 3" xfId="24896" xr:uid="{5B79F902-8FAC-4940-9D3F-FBCFA69F96C6}"/>
    <cellStyle name="Normal 2 2 3 2 4 2 4" xfId="19236" xr:uid="{7725F37C-50C9-4373-8951-48885045741E}"/>
    <cellStyle name="Normal 2 2 3 2 4 2 5" xfId="30557" xr:uid="{06E44FE5-7426-4113-B344-19B8281E4766}"/>
    <cellStyle name="Normal 2 2 3 2 4 2 6" xfId="37227" xr:uid="{DC7BA563-4F33-41CD-8D8B-D57999FE6680}"/>
    <cellStyle name="Normal 2 2 3 2 4 3" xfId="14515" xr:uid="{00000000-0005-0000-0000-0000B2120000}"/>
    <cellStyle name="Normal 2 2 3 2 4 3 2" xfId="26473" xr:uid="{DB9F5282-3D68-4842-BD11-BE4DA7795975}"/>
    <cellStyle name="Normal 2 2 3 2 4 3 3" xfId="20813" xr:uid="{C0A937D8-4927-47B3-8619-B02F39B8643B}"/>
    <cellStyle name="Normal 2 2 3 2 4 3 4" xfId="31853" xr:uid="{726C73D4-F7A8-4B19-B912-8772DD5588FC}"/>
    <cellStyle name="Normal 2 2 3 2 4 3 5" xfId="37229" xr:uid="{469DB0D3-AFA3-4933-928E-8041246A3A48}"/>
    <cellStyle name="Normal 2 2 3 2 4 4" xfId="23640" xr:uid="{F73D7634-CB78-4E26-BDE9-B9E995389459}"/>
    <cellStyle name="Normal 2 2 3 2 4 5" xfId="17980" xr:uid="{02006E43-FA50-47F1-A6E3-A13E7CC5AADC}"/>
    <cellStyle name="Normal 2 2 3 2 4 6" xfId="29301" xr:uid="{20D9F4D5-52BE-48E6-B0B1-D8BE5F7D84F1}"/>
    <cellStyle name="Normal 2 2 3 2 4 7" xfId="37226" xr:uid="{908361E7-EF31-49E8-8E5E-E54A62B0190D}"/>
    <cellStyle name="Normal 2 2 3 2 5" xfId="6571" xr:uid="{00000000-0005-0000-0000-0000B3120000}"/>
    <cellStyle name="Normal 2 2 3 2 5 2" xfId="15004" xr:uid="{00000000-0005-0000-0000-0000B4120000}"/>
    <cellStyle name="Normal 2 2 3 2 5 2 2" xfId="26898" xr:uid="{7EC0633F-B095-4C61-A747-F4AF34D6E733}"/>
    <cellStyle name="Normal 2 2 3 2 5 2 3" xfId="21238" xr:uid="{760E38A2-E568-4342-B1FD-3655931DB8D4}"/>
    <cellStyle name="Normal 2 2 3 2 5 2 4" xfId="32278" xr:uid="{9DFE1A90-2D90-4859-8B1C-045FA8903952}"/>
    <cellStyle name="Normal 2 2 3 2 5 2 5" xfId="37231" xr:uid="{A9587CCA-A9DC-48B4-AAB0-540463E8DE91}"/>
    <cellStyle name="Normal 2 2 3 2 5 3" xfId="24065" xr:uid="{D3C5D2F1-449E-4999-9267-B2AD1D6977C7}"/>
    <cellStyle name="Normal 2 2 3 2 5 4" xfId="18405" xr:uid="{47AFBFF8-DD42-4385-B150-296CBFF63DE5}"/>
    <cellStyle name="Normal 2 2 3 2 5 5" xfId="29726" xr:uid="{A4157532-6410-43A2-A198-56E2CB292194}"/>
    <cellStyle name="Normal 2 2 3 2 5 6" xfId="37230" xr:uid="{189A0D87-2C9D-468A-B1B5-BE7BE031BF82}"/>
    <cellStyle name="Normal 2 2 3 2 6" xfId="7823" xr:uid="{00000000-0005-0000-0000-0000B5120000}"/>
    <cellStyle name="Normal 2 2 3 2 6 2" xfId="25308" xr:uid="{577B4AEE-9823-4458-B170-DCE9E5D7033A}"/>
    <cellStyle name="Normal 2 2 3 2 6 3" xfId="19648" xr:uid="{04537CCD-A6C7-46E5-B5AF-E27BE7B9C189}"/>
    <cellStyle name="Normal 2 2 3 2 6 4" xfId="30969" xr:uid="{8ECE5A5D-67FD-458A-93EB-E70F04E00130}"/>
    <cellStyle name="Normal 2 2 3 2 6 5" xfId="37232" xr:uid="{5AFA84BA-D348-4920-AEB5-92DAFBF688F2}"/>
    <cellStyle name="Normal 2 2 3 2 7" xfId="22503" xr:uid="{BEF84354-C299-445F-AE59-6C61A4A376A0}"/>
    <cellStyle name="Normal 2 2 3 2 7 2" xfId="37233" xr:uid="{E7456F85-E3A6-4D2D-917B-549091545C66}"/>
    <cellStyle name="Normal 2 2 3 2 8" xfId="16843" xr:uid="{7D521BC8-77E4-4A7D-AEE7-B84330935D56}"/>
    <cellStyle name="Normal 2 2 3 2 9" xfId="28164" xr:uid="{A6F4288C-9612-4783-BE52-D10C71CC03F7}"/>
    <cellStyle name="Normal 2 2 3 3" xfId="7825" xr:uid="{00000000-0005-0000-0000-0000B6120000}"/>
    <cellStyle name="Normal 2 2 3 3 2" xfId="37234" xr:uid="{65116ABF-D849-4857-8668-40D3DE9CA84E}"/>
    <cellStyle name="Normal 2 2 3 4" xfId="7822" xr:uid="{00000000-0005-0000-0000-0000B7120000}"/>
    <cellStyle name="Normal 2 2 3 4 2" xfId="25307" xr:uid="{FAB3804C-5151-4BD9-ADFC-89CC29EBB1DD}"/>
    <cellStyle name="Normal 2 2 3 4 3" xfId="19647" xr:uid="{08ED7A9B-B933-4DB9-8E87-0893B0DFD043}"/>
    <cellStyle name="Normal 2 2 3 4 4" xfId="30968" xr:uid="{972D7B94-6815-4046-A094-581274CFF073}"/>
    <cellStyle name="Normal 2 2 3 4 5" xfId="37235" xr:uid="{C64A3C84-9D15-4458-B986-21FC161D9921}"/>
    <cellStyle name="Normal 2 2 3 5" xfId="37208" xr:uid="{ECB692ED-7027-4AAD-8FF7-CF2EF8F14F51}"/>
    <cellStyle name="Normal 2 2 4" xfId="139" xr:uid="{00000000-0005-0000-0000-0000B8120000}"/>
    <cellStyle name="Normal 2 2 4 2" xfId="2042" xr:uid="{00000000-0005-0000-0000-0000B9120000}"/>
    <cellStyle name="Normal 2 2 4 2 2" xfId="9656" xr:uid="{00000000-0005-0000-0000-0000BA120000}"/>
    <cellStyle name="Normal 2 2 4 2 2 2" xfId="25640" xr:uid="{9BEF72F3-6354-4FA8-8367-7BF2A9D15497}"/>
    <cellStyle name="Normal 2 2 4 2 2 3" xfId="19980" xr:uid="{E166A077-AEF8-4066-8D28-C9CC0FDBD7DD}"/>
    <cellStyle name="Normal 2 2 4 2 2 4" xfId="31290" xr:uid="{06190233-86A5-4F13-BDDE-B9E525278CA3}"/>
    <cellStyle name="Normal 2 2 4 2 2 5" xfId="37238" xr:uid="{F1E5DCEB-EE7E-4FCB-AB6A-B414AC900C6D}"/>
    <cellStyle name="Normal 2 2 4 2 3" xfId="37237" xr:uid="{09C9AA54-6BB0-4BCF-81C3-40D1C7EC6EDE}"/>
    <cellStyle name="Normal 2 2 4 3" xfId="4170" xr:uid="{00000000-0005-0000-0000-0000BB120000}"/>
    <cellStyle name="Normal 2 2 4 3 10" xfId="37239" xr:uid="{A87E3C81-8095-403B-A8DE-0F67036F4512}"/>
    <cellStyle name="Normal 2 2 4 3 2" xfId="4917" xr:uid="{00000000-0005-0000-0000-0000BC120000}"/>
    <cellStyle name="Normal 2 2 4 3 2 2" xfId="5336" xr:uid="{00000000-0005-0000-0000-0000BD120000}"/>
    <cellStyle name="Normal 2 2 4 3 2 2 2" xfId="7199" xr:uid="{00000000-0005-0000-0000-0000BE120000}"/>
    <cellStyle name="Normal 2 2 4 3 2 2 2 2" xfId="15632" xr:uid="{00000000-0005-0000-0000-0000BF120000}"/>
    <cellStyle name="Normal 2 2 4 3 2 2 2 2 2" xfId="27526" xr:uid="{4750BE78-772D-4AFE-8880-2F6301FBBD15}"/>
    <cellStyle name="Normal 2 2 4 3 2 2 2 2 3" xfId="21866" xr:uid="{53A4EFFE-BB26-42DC-9888-EF02816DC425}"/>
    <cellStyle name="Normal 2 2 4 3 2 2 2 2 4" xfId="32906" xr:uid="{DF1290F8-D04C-4363-9F7B-0241FAF5FF2B}"/>
    <cellStyle name="Normal 2 2 4 3 2 2 2 2 5" xfId="37243" xr:uid="{875A50C1-3886-49F4-AE9A-5D4B9E8E6F01}"/>
    <cellStyle name="Normal 2 2 4 3 2 2 2 3" xfId="24693" xr:uid="{900CA3CD-60FE-46CE-8375-69ED605F7F9C}"/>
    <cellStyle name="Normal 2 2 4 3 2 2 2 4" xfId="19033" xr:uid="{7462B845-093F-48DE-A5DE-E7855AB460BA}"/>
    <cellStyle name="Normal 2 2 4 3 2 2 2 5" xfId="30354" xr:uid="{327B0921-69ED-4D87-A2CD-896AED387689}"/>
    <cellStyle name="Normal 2 2 4 3 2 2 2 6" xfId="37242" xr:uid="{A38E40DC-D1A0-40ED-B075-39DA82B983FB}"/>
    <cellStyle name="Normal 2 2 4 3 2 2 3" xfId="14222" xr:uid="{00000000-0005-0000-0000-0000C0120000}"/>
    <cellStyle name="Normal 2 2 4 3 2 2 3 2" xfId="26261" xr:uid="{AF60D89F-B1D9-4CEF-A6E7-8213F1DC101D}"/>
    <cellStyle name="Normal 2 2 4 3 2 2 3 3" xfId="20601" xr:uid="{E436CA25-AB70-45D4-BB0F-18087901EDB3}"/>
    <cellStyle name="Normal 2 2 4 3 2 2 3 4" xfId="31641" xr:uid="{21A688E1-416B-42AD-9F2F-9A8709AFA992}"/>
    <cellStyle name="Normal 2 2 4 3 2 2 3 5" xfId="37244" xr:uid="{0150923B-36EE-4C96-A066-23BAE7BCF8A2}"/>
    <cellStyle name="Normal 2 2 4 3 2 2 4" xfId="23131" xr:uid="{83D8B8BF-B842-4254-8C08-5138F342881D}"/>
    <cellStyle name="Normal 2 2 4 3 2 2 5" xfId="17471" xr:uid="{9BCF5C0A-677D-4B5A-A304-20E5CCA3CC3E}"/>
    <cellStyle name="Normal 2 2 4 3 2 2 6" xfId="28792" xr:uid="{94AA9E35-CDDC-4FC0-99D3-9E7422DD897D}"/>
    <cellStyle name="Normal 2 2 4 3 2 2 7" xfId="37241" xr:uid="{1C77A7B7-1D4D-4D50-82EE-389090C6EFF5}"/>
    <cellStyle name="Normal 2 2 4 3 2 3" xfId="6064" xr:uid="{00000000-0005-0000-0000-0000C1120000}"/>
    <cellStyle name="Normal 2 2 4 3 2 3 2" xfId="7405" xr:uid="{00000000-0005-0000-0000-0000C2120000}"/>
    <cellStyle name="Normal 2 2 4 3 2 3 2 2" xfId="15838" xr:uid="{00000000-0005-0000-0000-0000C3120000}"/>
    <cellStyle name="Normal 2 2 4 3 2 3 2 2 2" xfId="27732" xr:uid="{660E1EF3-0B98-4234-9944-DAED2AB4F101}"/>
    <cellStyle name="Normal 2 2 4 3 2 3 2 2 3" xfId="22072" xr:uid="{84988F7B-11F9-46B0-B772-8FAA6ADE9405}"/>
    <cellStyle name="Normal 2 2 4 3 2 3 2 2 4" xfId="33112" xr:uid="{6DD7DCEF-57B9-45F4-9485-DE12A0956499}"/>
    <cellStyle name="Normal 2 2 4 3 2 3 2 2 5" xfId="37247" xr:uid="{79BD7672-99B7-453C-9219-E887721D7A39}"/>
    <cellStyle name="Normal 2 2 4 3 2 3 2 3" xfId="24899" xr:uid="{D109D928-2AE2-4022-9066-D573A9F09A48}"/>
    <cellStyle name="Normal 2 2 4 3 2 3 2 4" xfId="19239" xr:uid="{4733A7F0-7847-4134-8F2C-A43B6DFE964D}"/>
    <cellStyle name="Normal 2 2 4 3 2 3 2 5" xfId="30560" xr:uid="{6E767460-DB97-4F55-8554-89F5C9C59703}"/>
    <cellStyle name="Normal 2 2 4 3 2 3 2 6" xfId="37246" xr:uid="{7B97E11E-7AD0-4139-9F6F-5CDD722AA897}"/>
    <cellStyle name="Normal 2 2 4 3 2 3 3" xfId="14518" xr:uid="{00000000-0005-0000-0000-0000C4120000}"/>
    <cellStyle name="Normal 2 2 4 3 2 3 3 2" xfId="26476" xr:uid="{84578E8B-11CD-4547-92E9-AC9DB12E7264}"/>
    <cellStyle name="Normal 2 2 4 3 2 3 3 3" xfId="20816" xr:uid="{0233FC11-0847-432A-850C-00F2CDC0EE85}"/>
    <cellStyle name="Normal 2 2 4 3 2 3 3 4" xfId="31856" xr:uid="{D9AA00F8-C491-44E5-8BE0-6CDF6752CDAE}"/>
    <cellStyle name="Normal 2 2 4 3 2 3 3 5" xfId="37248" xr:uid="{C4A5947F-3B1F-43BD-947E-F11D20D6C059}"/>
    <cellStyle name="Normal 2 2 4 3 2 3 4" xfId="23643" xr:uid="{A547316A-C779-4D69-907D-152FCEAC1C86}"/>
    <cellStyle name="Normal 2 2 4 3 2 3 5" xfId="17983" xr:uid="{69687799-27B9-4591-8733-37A85E52F498}"/>
    <cellStyle name="Normal 2 2 4 3 2 3 6" xfId="29304" xr:uid="{03396770-2D35-437A-9D8C-BB4FD2BD51BF}"/>
    <cellStyle name="Normal 2 2 4 3 2 3 7" xfId="37245" xr:uid="{162E9010-AC55-4CAF-BABE-C9C0493BCDB2}"/>
    <cellStyle name="Normal 2 2 4 3 2 4" xfId="6781" xr:uid="{00000000-0005-0000-0000-0000C5120000}"/>
    <cellStyle name="Normal 2 2 4 3 2 4 2" xfId="15214" xr:uid="{00000000-0005-0000-0000-0000C6120000}"/>
    <cellStyle name="Normal 2 2 4 3 2 4 2 2" xfId="27108" xr:uid="{C7667066-CD66-4379-8471-EA11A0AA4AAA}"/>
    <cellStyle name="Normal 2 2 4 3 2 4 2 3" xfId="21448" xr:uid="{850FFE1F-12ED-4C1F-9681-2CBDB4A237DA}"/>
    <cellStyle name="Normal 2 2 4 3 2 4 2 4" xfId="32488" xr:uid="{AC6F6A15-2459-4B32-A6BE-15F81E765239}"/>
    <cellStyle name="Normal 2 2 4 3 2 4 2 5" xfId="37250" xr:uid="{DDB6FF48-F8DC-440B-9F1C-448E76C517B5}"/>
    <cellStyle name="Normal 2 2 4 3 2 4 3" xfId="24275" xr:uid="{0DECB457-71C5-4C4B-94A6-8BE962D322B4}"/>
    <cellStyle name="Normal 2 2 4 3 2 4 4" xfId="18615" xr:uid="{113FFC55-3FE7-497A-A147-37966C8D974A}"/>
    <cellStyle name="Normal 2 2 4 3 2 4 5" xfId="29936" xr:uid="{5E8177C2-0677-4D54-B358-EF8238BBEC99}"/>
    <cellStyle name="Normal 2 2 4 3 2 4 6" xfId="37249" xr:uid="{9713AABD-C3E9-4A03-B743-C61A5322CCE0}"/>
    <cellStyle name="Normal 2 2 4 3 2 5" xfId="7828" xr:uid="{00000000-0005-0000-0000-0000C7120000}"/>
    <cellStyle name="Normal 2 2 4 3 2 5 2" xfId="25312" xr:uid="{485B5556-682E-45E5-9094-54FE36C66E3E}"/>
    <cellStyle name="Normal 2 2 4 3 2 5 3" xfId="19652" xr:uid="{C0F40EF9-5427-4B5D-BE3D-47E79C4AA9A7}"/>
    <cellStyle name="Normal 2 2 4 3 2 5 4" xfId="30973" xr:uid="{321F1B67-DB4F-4572-9F15-CD8DDDCDF971}"/>
    <cellStyle name="Normal 2 2 4 3 2 5 5" xfId="37251" xr:uid="{2092A7F9-412C-43B3-85C3-FE636F2A55B9}"/>
    <cellStyle name="Normal 2 2 4 3 2 6" xfId="22713" xr:uid="{6437834F-E4D2-410E-A940-21B521BAB133}"/>
    <cellStyle name="Normal 2 2 4 3 2 7" xfId="17053" xr:uid="{912E5225-CE8D-4AFF-9B6C-F15F8F003CA1}"/>
    <cellStyle name="Normal 2 2 4 3 2 8" xfId="28374" xr:uid="{A32CBD6A-A5F1-45B9-882E-CFE9CCE8F6D6}"/>
    <cellStyle name="Normal 2 2 4 3 2 9" xfId="37240" xr:uid="{BD93163C-0D04-42CD-9DAD-E8EF9E912F68}"/>
    <cellStyle name="Normal 2 2 4 3 3" xfId="5127" xr:uid="{00000000-0005-0000-0000-0000C8120000}"/>
    <cellStyle name="Normal 2 2 4 3 3 2" xfId="6990" xr:uid="{00000000-0005-0000-0000-0000C9120000}"/>
    <cellStyle name="Normal 2 2 4 3 3 2 2" xfId="15423" xr:uid="{00000000-0005-0000-0000-0000CA120000}"/>
    <cellStyle name="Normal 2 2 4 3 3 2 2 2" xfId="27317" xr:uid="{4B0ED8E2-4A39-4E27-8770-FEE2C0662DC7}"/>
    <cellStyle name="Normal 2 2 4 3 3 2 2 3" xfId="21657" xr:uid="{0A34C9D4-EE46-44DD-88F9-7C11205AD23B}"/>
    <cellStyle name="Normal 2 2 4 3 3 2 2 4" xfId="32697" xr:uid="{392186F4-391D-4E83-987C-4ECAAD25E39E}"/>
    <cellStyle name="Normal 2 2 4 3 3 2 2 5" xfId="37254" xr:uid="{29CCC81D-0A3C-471A-940A-67E5FE5B9C86}"/>
    <cellStyle name="Normal 2 2 4 3 3 2 3" xfId="24484" xr:uid="{FC471789-DC8B-4356-8782-C9984BB9F625}"/>
    <cellStyle name="Normal 2 2 4 3 3 2 4" xfId="18824" xr:uid="{685F9838-2973-4AA4-8C44-58D9AF8C72FF}"/>
    <cellStyle name="Normal 2 2 4 3 3 2 5" xfId="30145" xr:uid="{D6F4F93E-C686-4669-81E4-9977CE31A28B}"/>
    <cellStyle name="Normal 2 2 4 3 3 2 6" xfId="37253" xr:uid="{88CC1F7A-F522-4EFD-A1C5-0C6986B957FA}"/>
    <cellStyle name="Normal 2 2 4 3 3 3" xfId="14014" xr:uid="{00000000-0005-0000-0000-0000CB120000}"/>
    <cellStyle name="Normal 2 2 4 3 3 3 2" xfId="26053" xr:uid="{B73709B6-059C-43C3-B7F4-64D6CEB5607D}"/>
    <cellStyle name="Normal 2 2 4 3 3 3 3" xfId="20393" xr:uid="{0B054F7E-AB39-41DD-848E-AC713CE5EE02}"/>
    <cellStyle name="Normal 2 2 4 3 3 3 4" xfId="31433" xr:uid="{92FE11E1-0191-4A1C-B2D0-C0BFE2BA0A1F}"/>
    <cellStyle name="Normal 2 2 4 3 3 3 5" xfId="37255" xr:uid="{0627168E-D9EE-4FBD-9ADA-75AA281AE6E5}"/>
    <cellStyle name="Normal 2 2 4 3 3 4" xfId="22922" xr:uid="{176A9F43-8672-4AE9-AC4F-0DE0411CB509}"/>
    <cellStyle name="Normal 2 2 4 3 3 5" xfId="17262" xr:uid="{1AA514EF-42BC-44A0-B7C4-2B8AE516A183}"/>
    <cellStyle name="Normal 2 2 4 3 3 6" xfId="28583" xr:uid="{5F378916-E6B0-4533-AED6-671B1116DDC0}"/>
    <cellStyle name="Normal 2 2 4 3 3 7" xfId="37252" xr:uid="{3C859A58-A641-4CCA-A82B-9C30AC25CC12}"/>
    <cellStyle name="Normal 2 2 4 3 4" xfId="6063" xr:uid="{00000000-0005-0000-0000-0000CC120000}"/>
    <cellStyle name="Normal 2 2 4 3 4 2" xfId="7404" xr:uid="{00000000-0005-0000-0000-0000CD120000}"/>
    <cellStyle name="Normal 2 2 4 3 4 2 2" xfId="15837" xr:uid="{00000000-0005-0000-0000-0000CE120000}"/>
    <cellStyle name="Normal 2 2 4 3 4 2 2 2" xfId="27731" xr:uid="{FCC3C04C-E332-4863-8F19-94610BE36EB1}"/>
    <cellStyle name="Normal 2 2 4 3 4 2 2 3" xfId="22071" xr:uid="{9D1E5028-6B6C-49F3-9689-87ED6754ACFE}"/>
    <cellStyle name="Normal 2 2 4 3 4 2 2 4" xfId="33111" xr:uid="{DAC73CFD-CEB9-4D41-A1F7-368E3C191575}"/>
    <cellStyle name="Normal 2 2 4 3 4 2 2 5" xfId="37258" xr:uid="{EB34BB30-482E-411B-BA53-26C4A5ADB988}"/>
    <cellStyle name="Normal 2 2 4 3 4 2 3" xfId="24898" xr:uid="{33C30966-E894-4BCE-BD43-B630AFEAEF20}"/>
    <cellStyle name="Normal 2 2 4 3 4 2 4" xfId="19238" xr:uid="{3BB572A3-9C2D-4811-B412-3850FE31A5B2}"/>
    <cellStyle name="Normal 2 2 4 3 4 2 5" xfId="30559" xr:uid="{528C3A97-0735-484F-BD87-7B80076D57AE}"/>
    <cellStyle name="Normal 2 2 4 3 4 2 6" xfId="37257" xr:uid="{E53A03F5-AD00-4FA3-9FED-F15F3E9BC3F7}"/>
    <cellStyle name="Normal 2 2 4 3 4 3" xfId="14517" xr:uid="{00000000-0005-0000-0000-0000CF120000}"/>
    <cellStyle name="Normal 2 2 4 3 4 3 2" xfId="26475" xr:uid="{86A66D5B-5B5F-4E43-8749-4E033BFB2F47}"/>
    <cellStyle name="Normal 2 2 4 3 4 3 3" xfId="20815" xr:uid="{15908439-B0D3-4D65-B9A5-234E2CB635B1}"/>
    <cellStyle name="Normal 2 2 4 3 4 3 4" xfId="31855" xr:uid="{0ABE7605-C6E2-4661-9113-69DFCD7416BB}"/>
    <cellStyle name="Normal 2 2 4 3 4 3 5" xfId="37259" xr:uid="{E0168877-2959-48B9-80CC-242C78254FC3}"/>
    <cellStyle name="Normal 2 2 4 3 4 4" xfId="23642" xr:uid="{9AD3AEE7-55E3-4225-989E-92594933217B}"/>
    <cellStyle name="Normal 2 2 4 3 4 5" xfId="17982" xr:uid="{A196D837-7F2F-4063-A47E-2EF7516F34E5}"/>
    <cellStyle name="Normal 2 2 4 3 4 6" xfId="29303" xr:uid="{6D63201D-D899-447C-8E81-24CC82A3AD6C}"/>
    <cellStyle name="Normal 2 2 4 3 4 7" xfId="37256" xr:uid="{431B554E-A293-4B11-94B1-31755A123021}"/>
    <cellStyle name="Normal 2 2 4 3 5" xfId="6572" xr:uid="{00000000-0005-0000-0000-0000D0120000}"/>
    <cellStyle name="Normal 2 2 4 3 5 2" xfId="15005" xr:uid="{00000000-0005-0000-0000-0000D1120000}"/>
    <cellStyle name="Normal 2 2 4 3 5 2 2" xfId="26899" xr:uid="{5C39F682-EC54-4EFE-9625-65244A3E7D27}"/>
    <cellStyle name="Normal 2 2 4 3 5 2 3" xfId="21239" xr:uid="{2861111E-B701-4D62-95AF-0D04247895F0}"/>
    <cellStyle name="Normal 2 2 4 3 5 2 4" xfId="32279" xr:uid="{3C4EBEB6-3FDB-4CE8-92DC-8A4BE37A90A2}"/>
    <cellStyle name="Normal 2 2 4 3 5 2 5" xfId="37261" xr:uid="{A6F3AD5A-48EC-456E-9435-830ACBD6C280}"/>
    <cellStyle name="Normal 2 2 4 3 5 3" xfId="24066" xr:uid="{0FA09032-2104-4999-9399-96636AC811D5}"/>
    <cellStyle name="Normal 2 2 4 3 5 4" xfId="18406" xr:uid="{61427D80-6A78-4E0C-9A51-45814AFE5B7E}"/>
    <cellStyle name="Normal 2 2 4 3 5 5" xfId="29727" xr:uid="{F2D22317-2B8B-4F26-8D97-CAFF1F9813CA}"/>
    <cellStyle name="Normal 2 2 4 3 5 6" xfId="37260" xr:uid="{AA32C2A5-4793-4848-A2D2-7757366F13DB}"/>
    <cellStyle name="Normal 2 2 4 3 6" xfId="7827" xr:uid="{00000000-0005-0000-0000-0000D2120000}"/>
    <cellStyle name="Normal 2 2 4 3 6 2" xfId="25311" xr:uid="{184EB5FB-A4A6-47DB-92A9-9CB994914430}"/>
    <cellStyle name="Normal 2 2 4 3 6 3" xfId="19651" xr:uid="{C424EB29-031C-4600-A3AC-1A9FCF0C0F35}"/>
    <cellStyle name="Normal 2 2 4 3 6 4" xfId="30972" xr:uid="{1582E16F-CFBC-4A3E-A0A3-ED8FEAB400F8}"/>
    <cellStyle name="Normal 2 2 4 3 6 5" xfId="37262" xr:uid="{B57B08A9-1590-438A-920A-29297F494B8B}"/>
    <cellStyle name="Normal 2 2 4 3 7" xfId="22504" xr:uid="{619159D6-5F91-498F-9EB3-D8387BD06D30}"/>
    <cellStyle name="Normal 2 2 4 3 8" xfId="16844" xr:uid="{5A98AE0A-BA9D-4700-8799-766988EEA28B}"/>
    <cellStyle name="Normal 2 2 4 3 9" xfId="28165" xr:uid="{3A054B9F-085F-4F3B-9BD2-A7B65C7F4C5E}"/>
    <cellStyle name="Normal 2 2 4 4" xfId="5783" xr:uid="{00000000-0005-0000-0000-0000D3120000}"/>
    <cellStyle name="Normal 2 2 4 4 2" xfId="37263" xr:uid="{214C21FA-912C-41BF-959A-AD27C435F480}"/>
    <cellStyle name="Normal 2 2 4 5" xfId="5653" xr:uid="{00000000-0005-0000-0000-0000D4120000}"/>
    <cellStyle name="Normal 2 2 4 5 2" xfId="37264" xr:uid="{5A1A3144-9619-4F91-95D9-168DE27A8130}"/>
    <cellStyle name="Normal 2 2 4 6" xfId="7826" xr:uid="{00000000-0005-0000-0000-0000D5120000}"/>
    <cellStyle name="Normal 2 2 4 6 2" xfId="25310" xr:uid="{0D56398D-1A7D-4D8C-9883-175893D055D6}"/>
    <cellStyle name="Normal 2 2 4 6 3" xfId="19650" xr:uid="{B341DA14-E3C0-448A-B4F3-81CE86365CF0}"/>
    <cellStyle name="Normal 2 2 4 6 4" xfId="30971" xr:uid="{8B7368C4-715C-4DB1-A54B-6BC4E095A196}"/>
    <cellStyle name="Normal 2 2 4 6 5" xfId="37265" xr:uid="{08EE28E4-029F-4D2A-9C67-1C0C5BE4DD51}"/>
    <cellStyle name="Normal 2 2 4 7" xfId="37266" xr:uid="{AA79357D-EBD0-493D-B0EB-D5C63FC71C91}"/>
    <cellStyle name="Normal 2 2 4 8" xfId="37236" xr:uid="{F86A77F9-A69D-4ED3-9B94-A4D16F3918D0}"/>
    <cellStyle name="Normal 2 2 5" xfId="140" xr:uid="{00000000-0005-0000-0000-0000D6120000}"/>
    <cellStyle name="Normal 2 2 5 2" xfId="2043" xr:uid="{00000000-0005-0000-0000-0000D7120000}"/>
    <cellStyle name="Normal 2 2 5 2 10" xfId="37268" xr:uid="{7040E1A0-8E33-4B33-A074-8E4EA10E2C00}"/>
    <cellStyle name="Normal 2 2 5 2 2" xfId="4846" xr:uid="{00000000-0005-0000-0000-0000D8120000}"/>
    <cellStyle name="Normal 2 2 5 2 2 2" xfId="5265" xr:uid="{00000000-0005-0000-0000-0000D9120000}"/>
    <cellStyle name="Normal 2 2 5 2 2 2 2" xfId="7128" xr:uid="{00000000-0005-0000-0000-0000DA120000}"/>
    <cellStyle name="Normal 2 2 5 2 2 2 2 2" xfId="15561" xr:uid="{00000000-0005-0000-0000-0000DB120000}"/>
    <cellStyle name="Normal 2 2 5 2 2 2 2 2 2" xfId="27455" xr:uid="{66413BDD-C4D4-4DD7-A2FD-9AC7E1CA7FC6}"/>
    <cellStyle name="Normal 2 2 5 2 2 2 2 2 3" xfId="21795" xr:uid="{B521CB84-E2BE-420F-81EA-06F1184BAA1D}"/>
    <cellStyle name="Normal 2 2 5 2 2 2 2 2 4" xfId="32835" xr:uid="{B38A0950-B1CC-40D8-ABB7-3FFFEBA501EF}"/>
    <cellStyle name="Normal 2 2 5 2 2 2 2 2 5" xfId="37272" xr:uid="{EF4AFC42-27D5-4C3B-864A-627737751061}"/>
    <cellStyle name="Normal 2 2 5 2 2 2 2 3" xfId="24622" xr:uid="{80FD784D-BA8A-4B81-8CA4-CD32C90EF8E5}"/>
    <cellStyle name="Normal 2 2 5 2 2 2 2 4" xfId="18962" xr:uid="{81343865-D04E-40DF-8470-D7F65C2FAACA}"/>
    <cellStyle name="Normal 2 2 5 2 2 2 2 5" xfId="30283" xr:uid="{1700BCD1-AFFD-49FB-A32E-A0D1891C7B77}"/>
    <cellStyle name="Normal 2 2 5 2 2 2 2 6" xfId="37271" xr:uid="{0F066B75-2895-40ED-AABB-89BF0A4AF84A}"/>
    <cellStyle name="Normal 2 2 5 2 2 2 3" xfId="14151" xr:uid="{00000000-0005-0000-0000-0000DC120000}"/>
    <cellStyle name="Normal 2 2 5 2 2 2 3 2" xfId="26190" xr:uid="{DA30E8AD-62F9-4CAC-BD92-B349820B97B7}"/>
    <cellStyle name="Normal 2 2 5 2 2 2 3 3" xfId="20530" xr:uid="{9CA76CE1-CC8F-4C9E-99BE-DDD0536D35F7}"/>
    <cellStyle name="Normal 2 2 5 2 2 2 3 4" xfId="31570" xr:uid="{4CAA3BF8-D14E-466A-B1D4-CA5EE8128B41}"/>
    <cellStyle name="Normal 2 2 5 2 2 2 3 5" xfId="37273" xr:uid="{D9EDE110-55BE-4C55-93F1-5AFB89149EBE}"/>
    <cellStyle name="Normal 2 2 5 2 2 2 4" xfId="23060" xr:uid="{A098C9DF-5F9F-4C48-B301-703D781917CF}"/>
    <cellStyle name="Normal 2 2 5 2 2 2 5" xfId="17400" xr:uid="{DF8D6559-FCA7-4D0C-9190-4E6715B54FF8}"/>
    <cellStyle name="Normal 2 2 5 2 2 2 6" xfId="28721" xr:uid="{505A6B7C-8FBF-46AC-9825-7C35CE092923}"/>
    <cellStyle name="Normal 2 2 5 2 2 2 7" xfId="37270" xr:uid="{201B5F3D-3AD1-4895-A2C3-11A6089BFC87}"/>
    <cellStyle name="Normal 2 2 5 2 2 3" xfId="6066" xr:uid="{00000000-0005-0000-0000-0000DD120000}"/>
    <cellStyle name="Normal 2 2 5 2 2 3 2" xfId="7407" xr:uid="{00000000-0005-0000-0000-0000DE120000}"/>
    <cellStyle name="Normal 2 2 5 2 2 3 2 2" xfId="15840" xr:uid="{00000000-0005-0000-0000-0000DF120000}"/>
    <cellStyle name="Normal 2 2 5 2 2 3 2 2 2" xfId="27734" xr:uid="{94C3B88D-B2B1-455B-A944-D8B826C230D2}"/>
    <cellStyle name="Normal 2 2 5 2 2 3 2 2 3" xfId="22074" xr:uid="{88BC0779-34CF-453E-B33B-32B0E30C3600}"/>
    <cellStyle name="Normal 2 2 5 2 2 3 2 2 4" xfId="33114" xr:uid="{B246A236-57BF-4354-8C21-EBD7F0BA9380}"/>
    <cellStyle name="Normal 2 2 5 2 2 3 2 2 5" xfId="37276" xr:uid="{588592EE-2B3D-414A-AC80-3298B7BCB566}"/>
    <cellStyle name="Normal 2 2 5 2 2 3 2 3" xfId="24901" xr:uid="{4844B6B4-CD69-4F80-8FDC-334AE2789383}"/>
    <cellStyle name="Normal 2 2 5 2 2 3 2 4" xfId="19241" xr:uid="{F2A2A6DE-FABD-4013-B7D0-64B148CFCCAC}"/>
    <cellStyle name="Normal 2 2 5 2 2 3 2 5" xfId="30562" xr:uid="{CC3F651F-31C5-4659-90B9-EE3A2F748DFD}"/>
    <cellStyle name="Normal 2 2 5 2 2 3 2 6" xfId="37275" xr:uid="{93368D61-28F3-49EF-A1E5-8D413442DF7F}"/>
    <cellStyle name="Normal 2 2 5 2 2 3 3" xfId="14520" xr:uid="{00000000-0005-0000-0000-0000E0120000}"/>
    <cellStyle name="Normal 2 2 5 2 2 3 3 2" xfId="26478" xr:uid="{E52547BC-75E0-475B-BDD7-C3663DF23976}"/>
    <cellStyle name="Normal 2 2 5 2 2 3 3 3" xfId="20818" xr:uid="{55C84D6C-7C08-489E-BC80-81AA58FE8D59}"/>
    <cellStyle name="Normal 2 2 5 2 2 3 3 4" xfId="31858" xr:uid="{458D359E-C7FD-4998-9B29-E2C3B2A81F09}"/>
    <cellStyle name="Normal 2 2 5 2 2 3 3 5" xfId="37277" xr:uid="{F3058301-72F0-4BF0-A040-138A4F32DC31}"/>
    <cellStyle name="Normal 2 2 5 2 2 3 4" xfId="23645" xr:uid="{4E1C06D9-D1B8-404D-8444-B90406F33B08}"/>
    <cellStyle name="Normal 2 2 5 2 2 3 5" xfId="17985" xr:uid="{56AD7FA0-77C9-4C66-A806-33ADBD72D349}"/>
    <cellStyle name="Normal 2 2 5 2 2 3 6" xfId="29306" xr:uid="{50160F37-9113-44B7-A909-51E71D62509E}"/>
    <cellStyle name="Normal 2 2 5 2 2 3 7" xfId="37274" xr:uid="{3AB202A3-C4DE-4276-85C4-290DC5D66EB2}"/>
    <cellStyle name="Normal 2 2 5 2 2 4" xfId="6710" xr:uid="{00000000-0005-0000-0000-0000E1120000}"/>
    <cellStyle name="Normal 2 2 5 2 2 4 2" xfId="15143" xr:uid="{00000000-0005-0000-0000-0000E2120000}"/>
    <cellStyle name="Normal 2 2 5 2 2 4 2 2" xfId="27037" xr:uid="{22E1DB7B-EC90-4B59-AC64-B5018BF02397}"/>
    <cellStyle name="Normal 2 2 5 2 2 4 2 3" xfId="21377" xr:uid="{3D611E31-9673-42BE-9AD7-7CBFFC93B107}"/>
    <cellStyle name="Normal 2 2 5 2 2 4 2 4" xfId="32417" xr:uid="{3EE4154A-2DAE-43AD-AEE9-E9C20E0C3B86}"/>
    <cellStyle name="Normal 2 2 5 2 2 4 2 5" xfId="37279" xr:uid="{64B1E85C-DDA5-4FB8-B013-90BF47E0F48B}"/>
    <cellStyle name="Normal 2 2 5 2 2 4 3" xfId="24204" xr:uid="{1DFC02E3-C9AA-4EBB-AD63-DAC793578BE2}"/>
    <cellStyle name="Normal 2 2 5 2 2 4 4" xfId="18544" xr:uid="{7EABE7CC-9B61-4539-B748-52C6DE5C08C7}"/>
    <cellStyle name="Normal 2 2 5 2 2 4 5" xfId="29865" xr:uid="{E198918B-B0A9-47C1-9456-8DF549BEFD15}"/>
    <cellStyle name="Normal 2 2 5 2 2 4 6" xfId="37278" xr:uid="{AFCC0635-4B66-445B-B92D-F7BD9491C1B7}"/>
    <cellStyle name="Normal 2 2 5 2 2 5" xfId="7831" xr:uid="{00000000-0005-0000-0000-0000E3120000}"/>
    <cellStyle name="Normal 2 2 5 2 2 5 2" xfId="25315" xr:uid="{23D3A46E-4CC4-48F1-BA22-3D26A0BC3733}"/>
    <cellStyle name="Normal 2 2 5 2 2 5 3" xfId="19655" xr:uid="{0F121BB9-9FDD-45FE-B132-63BA6E910572}"/>
    <cellStyle name="Normal 2 2 5 2 2 5 4" xfId="30976" xr:uid="{115D1AE8-B465-4B73-8DF4-D8346D3218B1}"/>
    <cellStyle name="Normal 2 2 5 2 2 5 5" xfId="37280" xr:uid="{ADF52D9C-D82F-47FD-82EE-0478CDDA2AC6}"/>
    <cellStyle name="Normal 2 2 5 2 2 6" xfId="22642" xr:uid="{14358F9D-9B5C-4D77-90BF-F14DA165562F}"/>
    <cellStyle name="Normal 2 2 5 2 2 7" xfId="16982" xr:uid="{368B3137-F654-4C7D-A986-D19AC86B488B}"/>
    <cellStyle name="Normal 2 2 5 2 2 8" xfId="28303" xr:uid="{021883FD-E36C-4574-B79A-761645F1227A}"/>
    <cellStyle name="Normal 2 2 5 2 2 9" xfId="37269" xr:uid="{DF4CAD99-DC73-4266-984B-88E876E8C2F0}"/>
    <cellStyle name="Normal 2 2 5 2 3" xfId="5056" xr:uid="{00000000-0005-0000-0000-0000E4120000}"/>
    <cellStyle name="Normal 2 2 5 2 3 2" xfId="6919" xr:uid="{00000000-0005-0000-0000-0000E5120000}"/>
    <cellStyle name="Normal 2 2 5 2 3 2 2" xfId="15352" xr:uid="{00000000-0005-0000-0000-0000E6120000}"/>
    <cellStyle name="Normal 2 2 5 2 3 2 2 2" xfId="27246" xr:uid="{176D13A1-BF97-44BA-A4A1-45B2E517191D}"/>
    <cellStyle name="Normal 2 2 5 2 3 2 2 3" xfId="21586" xr:uid="{7B4EC542-E7BD-4F77-B899-7C3140A6900A}"/>
    <cellStyle name="Normal 2 2 5 2 3 2 2 4" xfId="32626" xr:uid="{723616F0-3AC0-409F-8F41-3379C57CC785}"/>
    <cellStyle name="Normal 2 2 5 2 3 2 2 5" xfId="37283" xr:uid="{D5406884-023C-4855-B33F-157E91685651}"/>
    <cellStyle name="Normal 2 2 5 2 3 2 3" xfId="24413" xr:uid="{47FBE28B-9695-488B-9A88-B12829BDED48}"/>
    <cellStyle name="Normal 2 2 5 2 3 2 4" xfId="18753" xr:uid="{E54E7E5E-0951-4BC8-8C74-F2D453BC52AA}"/>
    <cellStyle name="Normal 2 2 5 2 3 2 5" xfId="30074" xr:uid="{14DF16D5-0A6A-4901-9BBB-CEABCCDDF96D}"/>
    <cellStyle name="Normal 2 2 5 2 3 2 6" xfId="37282" xr:uid="{05BE59C9-794E-49E5-A325-B7C8871901C8}"/>
    <cellStyle name="Normal 2 2 5 2 3 3" xfId="13951" xr:uid="{00000000-0005-0000-0000-0000E7120000}"/>
    <cellStyle name="Normal 2 2 5 2 3 3 2" xfId="25992" xr:uid="{8B6FFA69-0D7D-45EC-BD13-25E083D03F22}"/>
    <cellStyle name="Normal 2 2 5 2 3 3 3" xfId="20332" xr:uid="{8F50221E-93BF-45D9-88D3-2FC85223F235}"/>
    <cellStyle name="Normal 2 2 5 2 3 3 4" xfId="31372" xr:uid="{C7269994-C609-43CE-8A47-A59530E123A2}"/>
    <cellStyle name="Normal 2 2 5 2 3 3 5" xfId="37284" xr:uid="{E4458C26-5283-4EF2-8548-9EE8F92B5AAB}"/>
    <cellStyle name="Normal 2 2 5 2 3 4" xfId="22851" xr:uid="{F17D1BDE-6D1D-4A67-9F9C-33A278A334DA}"/>
    <cellStyle name="Normal 2 2 5 2 3 5" xfId="17191" xr:uid="{E89E6404-769D-433D-978F-86A2DA756429}"/>
    <cellStyle name="Normal 2 2 5 2 3 6" xfId="28512" xr:uid="{32D3BF2A-D41E-497E-B606-87B9BF3F49E3}"/>
    <cellStyle name="Normal 2 2 5 2 3 7" xfId="37281" xr:uid="{470E5783-4F81-44F1-9CD6-69D4AF8707C9}"/>
    <cellStyle name="Normal 2 2 5 2 4" xfId="6065" xr:uid="{00000000-0005-0000-0000-0000E8120000}"/>
    <cellStyle name="Normal 2 2 5 2 4 2" xfId="7406" xr:uid="{00000000-0005-0000-0000-0000E9120000}"/>
    <cellStyle name="Normal 2 2 5 2 4 2 2" xfId="15839" xr:uid="{00000000-0005-0000-0000-0000EA120000}"/>
    <cellStyle name="Normal 2 2 5 2 4 2 2 2" xfId="27733" xr:uid="{557BC457-8709-496D-83C6-109A3C867101}"/>
    <cellStyle name="Normal 2 2 5 2 4 2 2 3" xfId="22073" xr:uid="{ABF2747E-F749-4A7E-BA9C-CC0C3DD383BA}"/>
    <cellStyle name="Normal 2 2 5 2 4 2 2 4" xfId="33113" xr:uid="{6135D67D-672C-4658-A448-F117E264BA74}"/>
    <cellStyle name="Normal 2 2 5 2 4 2 2 5" xfId="37287" xr:uid="{F48114E2-A218-4685-9980-3DBB6C47746A}"/>
    <cellStyle name="Normal 2 2 5 2 4 2 3" xfId="24900" xr:uid="{5D9F4A85-5873-4F6D-B192-F59AC387F8F2}"/>
    <cellStyle name="Normal 2 2 5 2 4 2 4" xfId="19240" xr:uid="{E6AB55C8-1365-4765-82F3-535DA786C9E2}"/>
    <cellStyle name="Normal 2 2 5 2 4 2 5" xfId="30561" xr:uid="{057F6F41-DECA-482B-8CD9-417B46E31F15}"/>
    <cellStyle name="Normal 2 2 5 2 4 2 6" xfId="37286" xr:uid="{702B783D-8724-4240-BCDB-73CAD8F5ECCA}"/>
    <cellStyle name="Normal 2 2 5 2 4 3" xfId="14519" xr:uid="{00000000-0005-0000-0000-0000EB120000}"/>
    <cellStyle name="Normal 2 2 5 2 4 3 2" xfId="26477" xr:uid="{CDA601FA-F569-4A45-A0AF-274003F1AF11}"/>
    <cellStyle name="Normal 2 2 5 2 4 3 3" xfId="20817" xr:uid="{23B146CD-661E-42FF-BFF7-3BFC1708CA9A}"/>
    <cellStyle name="Normal 2 2 5 2 4 3 4" xfId="31857" xr:uid="{11E34E5C-18E9-4C50-9C68-486CDEBDC4FA}"/>
    <cellStyle name="Normal 2 2 5 2 4 3 5" xfId="37288" xr:uid="{385115FD-59EE-4080-B7C6-4EA10E79D89F}"/>
    <cellStyle name="Normal 2 2 5 2 4 4" xfId="23644" xr:uid="{B6ACFDA9-E2F5-4301-BDAE-87F66F21780E}"/>
    <cellStyle name="Normal 2 2 5 2 4 5" xfId="17984" xr:uid="{24390A09-CF6B-4FEB-A73E-D53E25CE7681}"/>
    <cellStyle name="Normal 2 2 5 2 4 6" xfId="29305" xr:uid="{D7121A02-9DCB-4A8B-AD31-671A8F1EC42F}"/>
    <cellStyle name="Normal 2 2 5 2 4 7" xfId="37285" xr:uid="{FB2C76EA-F375-45F9-9944-AC7D977C9726}"/>
    <cellStyle name="Normal 2 2 5 2 5" xfId="6501" xr:uid="{00000000-0005-0000-0000-0000EC120000}"/>
    <cellStyle name="Normal 2 2 5 2 5 2" xfId="14934" xr:uid="{00000000-0005-0000-0000-0000ED120000}"/>
    <cellStyle name="Normal 2 2 5 2 5 2 2" xfId="26828" xr:uid="{A76575A8-D780-4722-B824-E6AD485FF6E9}"/>
    <cellStyle name="Normal 2 2 5 2 5 2 3" xfId="21168" xr:uid="{678F8F43-A00C-4E31-9D22-304CE2CB0DA1}"/>
    <cellStyle name="Normal 2 2 5 2 5 2 4" xfId="32208" xr:uid="{B8D36A50-41BB-4CCD-B3E7-C7E584911B8C}"/>
    <cellStyle name="Normal 2 2 5 2 5 2 5" xfId="37290" xr:uid="{8EAF2972-700E-4E24-80BE-5F841B31FEF5}"/>
    <cellStyle name="Normal 2 2 5 2 5 3" xfId="23995" xr:uid="{F4A41705-84CB-4F67-85DC-571C725C35A9}"/>
    <cellStyle name="Normal 2 2 5 2 5 4" xfId="18335" xr:uid="{A0AAD34E-3922-48E5-84D4-1DD3BF379F9B}"/>
    <cellStyle name="Normal 2 2 5 2 5 5" xfId="29656" xr:uid="{512268E1-A738-4C56-8BA2-16409BD04D05}"/>
    <cellStyle name="Normal 2 2 5 2 5 6" xfId="37289" xr:uid="{52ECB0E3-4FA8-4050-901B-680091007498}"/>
    <cellStyle name="Normal 2 2 5 2 6" xfId="7830" xr:uid="{00000000-0005-0000-0000-0000EE120000}"/>
    <cellStyle name="Normal 2 2 5 2 6 2" xfId="25314" xr:uid="{02B9857C-CE51-4795-8742-6544328B5700}"/>
    <cellStyle name="Normal 2 2 5 2 6 3" xfId="19654" xr:uid="{38573758-8703-46B9-8E9A-4B094CB37EE8}"/>
    <cellStyle name="Normal 2 2 5 2 6 4" xfId="30975" xr:uid="{28892495-475C-48BA-BA7A-47A378965FC4}"/>
    <cellStyle name="Normal 2 2 5 2 6 5" xfId="37291" xr:uid="{0AD3147D-4D24-4135-B423-AA55323CA806}"/>
    <cellStyle name="Normal 2 2 5 2 7" xfId="22433" xr:uid="{C6800DEE-E173-49AC-97E5-647CF21BD87F}"/>
    <cellStyle name="Normal 2 2 5 2 8" xfId="16773" xr:uid="{F96BF4E6-2B73-4849-8CF7-78A2E6605D26}"/>
    <cellStyle name="Normal 2 2 5 2 9" xfId="28094" xr:uid="{DD7368DE-9A7F-47D2-81F8-AB9E7A711B08}"/>
    <cellStyle name="Normal 2 2 5 3" xfId="4171" xr:uid="{00000000-0005-0000-0000-0000EF120000}"/>
    <cellStyle name="Normal 2 2 5 3 10" xfId="37292" xr:uid="{E4273B01-1FD3-4212-8748-2C05B261ADCF}"/>
    <cellStyle name="Normal 2 2 5 3 2" xfId="4918" xr:uid="{00000000-0005-0000-0000-0000F0120000}"/>
    <cellStyle name="Normal 2 2 5 3 2 2" xfId="5337" xr:uid="{00000000-0005-0000-0000-0000F1120000}"/>
    <cellStyle name="Normal 2 2 5 3 2 2 2" xfId="7200" xr:uid="{00000000-0005-0000-0000-0000F2120000}"/>
    <cellStyle name="Normal 2 2 5 3 2 2 2 2" xfId="15633" xr:uid="{00000000-0005-0000-0000-0000F3120000}"/>
    <cellStyle name="Normal 2 2 5 3 2 2 2 2 2" xfId="27527" xr:uid="{F9420E41-5995-4AC6-97E9-6863EA76585C}"/>
    <cellStyle name="Normal 2 2 5 3 2 2 2 2 3" xfId="21867" xr:uid="{C339B594-A27B-4FEF-A2D0-42888564491D}"/>
    <cellStyle name="Normal 2 2 5 3 2 2 2 2 4" xfId="32907" xr:uid="{473E545C-6890-4EB1-8BD0-6C4274834938}"/>
    <cellStyle name="Normal 2 2 5 3 2 2 2 2 5" xfId="37296" xr:uid="{384C28E3-C8D9-424E-AE94-6A25903E3120}"/>
    <cellStyle name="Normal 2 2 5 3 2 2 2 3" xfId="24694" xr:uid="{5E7ED4C9-870C-440F-A220-7CA1390771A6}"/>
    <cellStyle name="Normal 2 2 5 3 2 2 2 4" xfId="19034" xr:uid="{CAF5C09B-351D-4097-BC0F-3534CD1F3CB9}"/>
    <cellStyle name="Normal 2 2 5 3 2 2 2 5" xfId="30355" xr:uid="{E6018C89-D733-48D7-BE31-D3C18805009E}"/>
    <cellStyle name="Normal 2 2 5 3 2 2 2 6" xfId="37295" xr:uid="{8108FE0E-07B2-4754-B890-459BC8F2B235}"/>
    <cellStyle name="Normal 2 2 5 3 2 2 3" xfId="14223" xr:uid="{00000000-0005-0000-0000-0000F4120000}"/>
    <cellStyle name="Normal 2 2 5 3 2 2 3 2" xfId="26262" xr:uid="{717FC01F-5C00-4160-B8AE-FDB2A946C04A}"/>
    <cellStyle name="Normal 2 2 5 3 2 2 3 3" xfId="20602" xr:uid="{1BFBF002-22DC-4C97-996A-D5B98E175B0A}"/>
    <cellStyle name="Normal 2 2 5 3 2 2 3 4" xfId="31642" xr:uid="{2A638C1A-E399-4F7A-B869-C076CFAA854A}"/>
    <cellStyle name="Normal 2 2 5 3 2 2 3 5" xfId="37297" xr:uid="{AFB1BE1C-1B1F-4FB9-AE6B-FD1BC65EB8B6}"/>
    <cellStyle name="Normal 2 2 5 3 2 2 4" xfId="23132" xr:uid="{050D9333-C0C8-469B-AC00-506474DDC92C}"/>
    <cellStyle name="Normal 2 2 5 3 2 2 5" xfId="17472" xr:uid="{3BDE3455-D237-46D7-B8E9-216F87F5070B}"/>
    <cellStyle name="Normal 2 2 5 3 2 2 6" xfId="28793" xr:uid="{0DCFE4E8-89F6-44AE-BCEE-8EFDA6960D8D}"/>
    <cellStyle name="Normal 2 2 5 3 2 2 7" xfId="37294" xr:uid="{AC4257FC-468E-458C-8A36-AE878217B9B5}"/>
    <cellStyle name="Normal 2 2 5 3 2 3" xfId="6068" xr:uid="{00000000-0005-0000-0000-0000F5120000}"/>
    <cellStyle name="Normal 2 2 5 3 2 3 2" xfId="7409" xr:uid="{00000000-0005-0000-0000-0000F6120000}"/>
    <cellStyle name="Normal 2 2 5 3 2 3 2 2" xfId="15842" xr:uid="{00000000-0005-0000-0000-0000F7120000}"/>
    <cellStyle name="Normal 2 2 5 3 2 3 2 2 2" xfId="27736" xr:uid="{B08636EC-F716-4660-924F-ECEFC23B17A1}"/>
    <cellStyle name="Normal 2 2 5 3 2 3 2 2 3" xfId="22076" xr:uid="{C7B5142F-09E3-4B6E-856E-8D0D0658C3EC}"/>
    <cellStyle name="Normal 2 2 5 3 2 3 2 2 4" xfId="33116" xr:uid="{1C39DDB6-BE69-4D3E-99CA-66CF1FC0F939}"/>
    <cellStyle name="Normal 2 2 5 3 2 3 2 2 5" xfId="37300" xr:uid="{A3E126E5-B1EC-4B72-816E-D9FC2619DA37}"/>
    <cellStyle name="Normal 2 2 5 3 2 3 2 3" xfId="24903" xr:uid="{ECB7AB54-43A6-4234-85F4-34B8B8D2C247}"/>
    <cellStyle name="Normal 2 2 5 3 2 3 2 4" xfId="19243" xr:uid="{C8AA3FD5-F3EE-4657-A8F0-0F4E4953157D}"/>
    <cellStyle name="Normal 2 2 5 3 2 3 2 5" xfId="30564" xr:uid="{91E8E455-6B31-4638-B40D-D518AC25F81D}"/>
    <cellStyle name="Normal 2 2 5 3 2 3 2 6" xfId="37299" xr:uid="{00FA434A-F808-4AC7-A89C-27966E983562}"/>
    <cellStyle name="Normal 2 2 5 3 2 3 3" xfId="14522" xr:uid="{00000000-0005-0000-0000-0000F8120000}"/>
    <cellStyle name="Normal 2 2 5 3 2 3 3 2" xfId="26480" xr:uid="{DEF772FC-8980-48A4-A716-12E8EA2285FB}"/>
    <cellStyle name="Normal 2 2 5 3 2 3 3 3" xfId="20820" xr:uid="{C191952B-26EE-4827-84BF-005179EB0130}"/>
    <cellStyle name="Normal 2 2 5 3 2 3 3 4" xfId="31860" xr:uid="{A5E9C58F-4D12-45BB-8C73-6A97AB274B69}"/>
    <cellStyle name="Normal 2 2 5 3 2 3 3 5" xfId="37301" xr:uid="{090054B4-94B6-4521-B7CD-CD7CAAD4BE1D}"/>
    <cellStyle name="Normal 2 2 5 3 2 3 4" xfId="23647" xr:uid="{C0599137-AED1-4D5C-A0AB-F36ECAC90A45}"/>
    <cellStyle name="Normal 2 2 5 3 2 3 5" xfId="17987" xr:uid="{9D502414-97F4-477F-A4FF-880AC036E5DB}"/>
    <cellStyle name="Normal 2 2 5 3 2 3 6" xfId="29308" xr:uid="{448C4BFD-52CE-410A-BFFF-ED44A41F785F}"/>
    <cellStyle name="Normal 2 2 5 3 2 3 7" xfId="37298" xr:uid="{B8C8B9CB-EC64-41D1-B8A5-949A030DFEC8}"/>
    <cellStyle name="Normal 2 2 5 3 2 4" xfId="6782" xr:uid="{00000000-0005-0000-0000-0000F9120000}"/>
    <cellStyle name="Normal 2 2 5 3 2 4 2" xfId="15215" xr:uid="{00000000-0005-0000-0000-0000FA120000}"/>
    <cellStyle name="Normal 2 2 5 3 2 4 2 2" xfId="27109" xr:uid="{63989DE4-3D7B-4CB5-86EB-A482FE1E3521}"/>
    <cellStyle name="Normal 2 2 5 3 2 4 2 3" xfId="21449" xr:uid="{45B3F35C-375E-4597-AAB4-1B2525D5C354}"/>
    <cellStyle name="Normal 2 2 5 3 2 4 2 4" xfId="32489" xr:uid="{C149BFCC-575E-4EF2-A165-65C56A6D9940}"/>
    <cellStyle name="Normal 2 2 5 3 2 4 2 5" xfId="37303" xr:uid="{98F478E5-02CD-4DB5-A4E4-598631FC3D62}"/>
    <cellStyle name="Normal 2 2 5 3 2 4 3" xfId="24276" xr:uid="{A46AD76F-ED14-49E3-A98D-6ABE19B9AAD4}"/>
    <cellStyle name="Normal 2 2 5 3 2 4 4" xfId="18616" xr:uid="{F4D93E4F-6FF7-4F7B-AB83-CDC88A65C49B}"/>
    <cellStyle name="Normal 2 2 5 3 2 4 5" xfId="29937" xr:uid="{FB55535D-FAE0-4658-A531-B6136F3C0445}"/>
    <cellStyle name="Normal 2 2 5 3 2 4 6" xfId="37302" xr:uid="{86082810-6417-4498-8A2B-45A9F98CCABF}"/>
    <cellStyle name="Normal 2 2 5 3 2 5" xfId="7833" xr:uid="{00000000-0005-0000-0000-0000FB120000}"/>
    <cellStyle name="Normal 2 2 5 3 2 5 2" xfId="25317" xr:uid="{756ACEB3-4576-4541-9035-33AB4583AFA9}"/>
    <cellStyle name="Normal 2 2 5 3 2 5 3" xfId="19657" xr:uid="{ACA507AE-93BA-41FA-AEBD-B3A75832A52A}"/>
    <cellStyle name="Normal 2 2 5 3 2 5 4" xfId="30978" xr:uid="{D2706B1D-4AB4-4324-8BB7-9FDCFD5B5902}"/>
    <cellStyle name="Normal 2 2 5 3 2 5 5" xfId="37304" xr:uid="{B5DF2563-5DB4-462E-B861-7F3C0D06670A}"/>
    <cellStyle name="Normal 2 2 5 3 2 6" xfId="22714" xr:uid="{FE6DA0A5-68EF-41A1-AF76-5794EC9C6C1D}"/>
    <cellStyle name="Normal 2 2 5 3 2 7" xfId="17054" xr:uid="{872635BF-15F4-4401-A7C7-8C9236B83FCC}"/>
    <cellStyle name="Normal 2 2 5 3 2 8" xfId="28375" xr:uid="{0A597A6A-7FD7-454F-B949-2F1F526F1C1F}"/>
    <cellStyle name="Normal 2 2 5 3 2 9" xfId="37293" xr:uid="{8738F9ED-7914-47A4-9912-9560F5B9E8A2}"/>
    <cellStyle name="Normal 2 2 5 3 3" xfId="5128" xr:uid="{00000000-0005-0000-0000-0000FC120000}"/>
    <cellStyle name="Normal 2 2 5 3 3 2" xfId="6991" xr:uid="{00000000-0005-0000-0000-0000FD120000}"/>
    <cellStyle name="Normal 2 2 5 3 3 2 2" xfId="15424" xr:uid="{00000000-0005-0000-0000-0000FE120000}"/>
    <cellStyle name="Normal 2 2 5 3 3 2 2 2" xfId="27318" xr:uid="{E65BF64C-2975-4C6A-833D-E697BAEBBE5A}"/>
    <cellStyle name="Normal 2 2 5 3 3 2 2 3" xfId="21658" xr:uid="{9F93132E-FF1E-4940-83D5-C4C0D43D3A66}"/>
    <cellStyle name="Normal 2 2 5 3 3 2 2 4" xfId="32698" xr:uid="{EE793B47-549A-477F-B8A9-39692A38A5BF}"/>
    <cellStyle name="Normal 2 2 5 3 3 2 2 5" xfId="37307" xr:uid="{5D758E13-5327-40DC-81EA-DCD9C78AC676}"/>
    <cellStyle name="Normal 2 2 5 3 3 2 3" xfId="24485" xr:uid="{71908B18-5347-452D-9F2C-1FEAF5F98FFC}"/>
    <cellStyle name="Normal 2 2 5 3 3 2 4" xfId="18825" xr:uid="{5DB8C116-AC89-4AAD-B799-5F5B4F7BA3EF}"/>
    <cellStyle name="Normal 2 2 5 3 3 2 5" xfId="30146" xr:uid="{E70A1028-7F04-462E-9C1C-D528B70FC050}"/>
    <cellStyle name="Normal 2 2 5 3 3 2 6" xfId="37306" xr:uid="{3D6AAAD5-B420-4F2B-93E5-AFE814A7B368}"/>
    <cellStyle name="Normal 2 2 5 3 3 3" xfId="14015" xr:uid="{00000000-0005-0000-0000-0000FF120000}"/>
    <cellStyle name="Normal 2 2 5 3 3 3 2" xfId="26054" xr:uid="{5562A14C-7D06-48FB-9400-0BB0A0D53ABE}"/>
    <cellStyle name="Normal 2 2 5 3 3 3 3" xfId="20394" xr:uid="{87EA772A-9F78-4B54-8E51-8B46831BCAB6}"/>
    <cellStyle name="Normal 2 2 5 3 3 3 4" xfId="31434" xr:uid="{D5237BDB-90E6-408B-8617-BF9050A4328B}"/>
    <cellStyle name="Normal 2 2 5 3 3 3 5" xfId="37308" xr:uid="{1E2C8B2B-9112-415C-817E-BAD67AB31BE1}"/>
    <cellStyle name="Normal 2 2 5 3 3 4" xfId="22923" xr:uid="{B7FDBBE6-4117-4D6A-B5B2-5908CE6F4644}"/>
    <cellStyle name="Normal 2 2 5 3 3 5" xfId="17263" xr:uid="{6C6EAF16-5C01-4837-8CC1-7D0C928676FF}"/>
    <cellStyle name="Normal 2 2 5 3 3 6" xfId="28584" xr:uid="{A07F25C4-7CF5-4847-B1C3-7D262C1D54A6}"/>
    <cellStyle name="Normal 2 2 5 3 3 7" xfId="37305" xr:uid="{72D48D4E-594B-4F43-A2BD-40F750F5C7E6}"/>
    <cellStyle name="Normal 2 2 5 3 4" xfId="6067" xr:uid="{00000000-0005-0000-0000-000000130000}"/>
    <cellStyle name="Normal 2 2 5 3 4 2" xfId="7408" xr:uid="{00000000-0005-0000-0000-000001130000}"/>
    <cellStyle name="Normal 2 2 5 3 4 2 2" xfId="15841" xr:uid="{00000000-0005-0000-0000-000002130000}"/>
    <cellStyle name="Normal 2 2 5 3 4 2 2 2" xfId="27735" xr:uid="{4C3D44EE-A8B5-445A-93A5-A2DBD5A83903}"/>
    <cellStyle name="Normal 2 2 5 3 4 2 2 3" xfId="22075" xr:uid="{D3AD57F2-66F0-4BE9-9E10-FF126E820158}"/>
    <cellStyle name="Normal 2 2 5 3 4 2 2 4" xfId="33115" xr:uid="{5A2B8460-168E-45E0-AE3A-AE62E01B30DE}"/>
    <cellStyle name="Normal 2 2 5 3 4 2 2 5" xfId="37311" xr:uid="{BAA19D81-4BCF-4087-8389-EA54B87EBCA3}"/>
    <cellStyle name="Normal 2 2 5 3 4 2 3" xfId="24902" xr:uid="{4DB985C2-962D-4676-8E40-B048EC7D4511}"/>
    <cellStyle name="Normal 2 2 5 3 4 2 4" xfId="19242" xr:uid="{F7E49578-8F7A-4CB6-A4A7-F3464F3055F4}"/>
    <cellStyle name="Normal 2 2 5 3 4 2 5" xfId="30563" xr:uid="{E3034070-934D-49F6-90F0-068C7964AC19}"/>
    <cellStyle name="Normal 2 2 5 3 4 2 6" xfId="37310" xr:uid="{861AFE7A-80FE-4BFF-BAB4-F1D9EFFF4809}"/>
    <cellStyle name="Normal 2 2 5 3 4 3" xfId="14521" xr:uid="{00000000-0005-0000-0000-000003130000}"/>
    <cellStyle name="Normal 2 2 5 3 4 3 2" xfId="26479" xr:uid="{AAD3ED84-1699-4693-AD8C-F022799D35F3}"/>
    <cellStyle name="Normal 2 2 5 3 4 3 3" xfId="20819" xr:uid="{26DA3CCB-941E-46BE-8B64-CCA5BC47E467}"/>
    <cellStyle name="Normal 2 2 5 3 4 3 4" xfId="31859" xr:uid="{D726CA9D-F79B-434E-A815-9B2107DD2050}"/>
    <cellStyle name="Normal 2 2 5 3 4 3 5" xfId="37312" xr:uid="{ABD148B9-F9C7-4A4C-8B4C-0A7BA0C8175F}"/>
    <cellStyle name="Normal 2 2 5 3 4 4" xfId="23646" xr:uid="{857A018E-9CF4-4BF1-9C6E-782598E5EE56}"/>
    <cellStyle name="Normal 2 2 5 3 4 5" xfId="17986" xr:uid="{A2295864-4243-47CC-81D6-D3A9278D3395}"/>
    <cellStyle name="Normal 2 2 5 3 4 6" xfId="29307" xr:uid="{4E5036AF-6D79-45D1-972C-8590F29173EA}"/>
    <cellStyle name="Normal 2 2 5 3 4 7" xfId="37309" xr:uid="{53ECE130-F6C3-4304-A69D-D39F6996886A}"/>
    <cellStyle name="Normal 2 2 5 3 5" xfId="6573" xr:uid="{00000000-0005-0000-0000-000004130000}"/>
    <cellStyle name="Normal 2 2 5 3 5 2" xfId="15006" xr:uid="{00000000-0005-0000-0000-000005130000}"/>
    <cellStyle name="Normal 2 2 5 3 5 2 2" xfId="26900" xr:uid="{663B8934-76EB-46BF-96EF-2A994EFDFEA5}"/>
    <cellStyle name="Normal 2 2 5 3 5 2 3" xfId="21240" xr:uid="{970D48B8-6AE3-433F-9022-ACF15C20C943}"/>
    <cellStyle name="Normal 2 2 5 3 5 2 4" xfId="32280" xr:uid="{C231CD37-7284-4B12-AE6D-02A3B310FB18}"/>
    <cellStyle name="Normal 2 2 5 3 5 2 5" xfId="37314" xr:uid="{87E9CE34-E087-4A0D-8D40-86EB4DE3EC2A}"/>
    <cellStyle name="Normal 2 2 5 3 5 3" xfId="24067" xr:uid="{A3BDE16E-8061-4C2C-9493-EDFADAD3EB0D}"/>
    <cellStyle name="Normal 2 2 5 3 5 4" xfId="18407" xr:uid="{AC4F8C7A-E077-40BE-946E-7ED21895D68C}"/>
    <cellStyle name="Normal 2 2 5 3 5 5" xfId="29728" xr:uid="{123EFB4E-4B09-43D1-9EF9-C0B5D7A8E3A0}"/>
    <cellStyle name="Normal 2 2 5 3 5 6" xfId="37313" xr:uid="{D14DED06-20FC-4D0E-B262-3B0133FD742A}"/>
    <cellStyle name="Normal 2 2 5 3 6" xfId="7832" xr:uid="{00000000-0005-0000-0000-000006130000}"/>
    <cellStyle name="Normal 2 2 5 3 6 2" xfId="25316" xr:uid="{3E36CABD-3935-40FB-89B3-388365E159CF}"/>
    <cellStyle name="Normal 2 2 5 3 6 3" xfId="19656" xr:uid="{2B20CFE0-D613-4603-B914-0762AEC47C05}"/>
    <cellStyle name="Normal 2 2 5 3 6 4" xfId="30977" xr:uid="{347ACAF1-0FD3-4ACB-B74E-1FE6F906FCEE}"/>
    <cellStyle name="Normal 2 2 5 3 6 5" xfId="37315" xr:uid="{EF4CAAA3-4C3C-4133-8609-898A8580DC6D}"/>
    <cellStyle name="Normal 2 2 5 3 7" xfId="22505" xr:uid="{EF740B46-18FC-4E50-AD66-9A03E4048168}"/>
    <cellStyle name="Normal 2 2 5 3 8" xfId="16845" xr:uid="{33161349-4726-44B2-B3D9-5D54D10E9D6F}"/>
    <cellStyle name="Normal 2 2 5 3 9" xfId="28166" xr:uid="{BC826619-C89C-417D-8675-634C9080ECDE}"/>
    <cellStyle name="Normal 2 2 5 4" xfId="5784" xr:uid="{00000000-0005-0000-0000-000007130000}"/>
    <cellStyle name="Normal 2 2 5 4 2" xfId="37316" xr:uid="{73063A16-3CB3-4AEF-9655-27A000AB7FE9}"/>
    <cellStyle name="Normal 2 2 5 5" xfId="5654" xr:uid="{00000000-0005-0000-0000-000008130000}"/>
    <cellStyle name="Normal 2 2 5 5 2" xfId="37317" xr:uid="{09FB4987-139F-4CE8-86BD-BEA780283682}"/>
    <cellStyle name="Normal 2 2 5 6" xfId="7829" xr:uid="{00000000-0005-0000-0000-000009130000}"/>
    <cellStyle name="Normal 2 2 5 6 2" xfId="25313" xr:uid="{53D4D4E8-F025-496D-B764-67ECF3C10245}"/>
    <cellStyle name="Normal 2 2 5 6 3" xfId="19653" xr:uid="{29D238CE-5A08-416A-A999-D5F26B22096D}"/>
    <cellStyle name="Normal 2 2 5 6 4" xfId="30974" xr:uid="{F8D924D2-7242-4D52-A3F6-0A45EB4AB573}"/>
    <cellStyle name="Normal 2 2 5 6 5" xfId="37318" xr:uid="{A10276AC-C513-4395-9DFF-F03A653A183D}"/>
    <cellStyle name="Normal 2 2 5 7" xfId="37267" xr:uid="{9876239C-C9A3-4243-A341-429760875322}"/>
    <cellStyle name="Normal 2 2 6" xfId="2044" xr:uid="{00000000-0005-0000-0000-00000A130000}"/>
    <cellStyle name="Normal 2 2 6 2" xfId="4172" xr:uid="{00000000-0005-0000-0000-00000B130000}"/>
    <cellStyle name="Normal 2 2 6 2 10" xfId="37320" xr:uid="{EDFA876B-E117-49BA-BA5A-5F33C9724113}"/>
    <cellStyle name="Normal 2 2 6 2 2" xfId="4919" xr:uid="{00000000-0005-0000-0000-00000C130000}"/>
    <cellStyle name="Normal 2 2 6 2 2 2" xfId="5338" xr:uid="{00000000-0005-0000-0000-00000D130000}"/>
    <cellStyle name="Normal 2 2 6 2 2 2 2" xfId="7201" xr:uid="{00000000-0005-0000-0000-00000E130000}"/>
    <cellStyle name="Normal 2 2 6 2 2 2 2 2" xfId="15634" xr:uid="{00000000-0005-0000-0000-00000F130000}"/>
    <cellStyle name="Normal 2 2 6 2 2 2 2 2 2" xfId="27528" xr:uid="{67370BC8-73BB-4F7B-A0B2-C2F3B5B06E7C}"/>
    <cellStyle name="Normal 2 2 6 2 2 2 2 2 3" xfId="21868" xr:uid="{1B7190E5-A3DD-4539-AE6D-CF89056B3877}"/>
    <cellStyle name="Normal 2 2 6 2 2 2 2 2 4" xfId="32908" xr:uid="{0B07C679-A200-43A8-9494-03413877195D}"/>
    <cellStyle name="Normal 2 2 6 2 2 2 2 2 5" xfId="37324" xr:uid="{4AF32648-34D7-4BA3-98B1-C79F018EA515}"/>
    <cellStyle name="Normal 2 2 6 2 2 2 2 3" xfId="24695" xr:uid="{4DAC3922-F600-4D7A-B1BA-CB1137D5D435}"/>
    <cellStyle name="Normal 2 2 6 2 2 2 2 4" xfId="19035" xr:uid="{9D4686EA-29B3-446B-B3F9-1D01057C96EE}"/>
    <cellStyle name="Normal 2 2 6 2 2 2 2 5" xfId="30356" xr:uid="{384C26B4-CDCB-4D6D-8CD3-47F4FC4CB29D}"/>
    <cellStyle name="Normal 2 2 6 2 2 2 2 6" xfId="37323" xr:uid="{71A46D1C-34B6-43FE-8351-726D8A3AC6C5}"/>
    <cellStyle name="Normal 2 2 6 2 2 2 3" xfId="14224" xr:uid="{00000000-0005-0000-0000-000010130000}"/>
    <cellStyle name="Normal 2 2 6 2 2 2 3 2" xfId="26263" xr:uid="{B9D98BD1-7BF4-42EC-80E3-21161E146B43}"/>
    <cellStyle name="Normal 2 2 6 2 2 2 3 3" xfId="20603" xr:uid="{D90123C3-2E30-4F51-BD0D-F8F73627A0C8}"/>
    <cellStyle name="Normal 2 2 6 2 2 2 3 4" xfId="31643" xr:uid="{F64C971E-B2A2-4364-9AD8-E4705DBDA8CD}"/>
    <cellStyle name="Normal 2 2 6 2 2 2 3 5" xfId="37325" xr:uid="{E06CCF33-D067-4E48-846C-9D32EC296F4A}"/>
    <cellStyle name="Normal 2 2 6 2 2 2 4" xfId="23133" xr:uid="{29C6E39E-A3CB-4EFD-B3CF-D75185BBD4B8}"/>
    <cellStyle name="Normal 2 2 6 2 2 2 5" xfId="17473" xr:uid="{D9158932-6743-4EE9-9F18-C3F9EA873AE5}"/>
    <cellStyle name="Normal 2 2 6 2 2 2 6" xfId="28794" xr:uid="{BA935FB2-AA18-4381-83A4-17D2FF5DBF73}"/>
    <cellStyle name="Normal 2 2 6 2 2 2 7" xfId="37322" xr:uid="{3224F3EE-612E-463F-A587-0E951DF22FBF}"/>
    <cellStyle name="Normal 2 2 6 2 2 3" xfId="6071" xr:uid="{00000000-0005-0000-0000-000011130000}"/>
    <cellStyle name="Normal 2 2 6 2 2 3 2" xfId="7411" xr:uid="{00000000-0005-0000-0000-000012130000}"/>
    <cellStyle name="Normal 2 2 6 2 2 3 2 2" xfId="15844" xr:uid="{00000000-0005-0000-0000-000013130000}"/>
    <cellStyle name="Normal 2 2 6 2 2 3 2 2 2" xfId="27738" xr:uid="{61803BDE-A304-43D9-B038-A82A178B3686}"/>
    <cellStyle name="Normal 2 2 6 2 2 3 2 2 3" xfId="22078" xr:uid="{A7DBA902-73F8-4C53-B171-0A31A6A6FE6E}"/>
    <cellStyle name="Normal 2 2 6 2 2 3 2 2 4" xfId="33118" xr:uid="{ACE25E46-3448-48DB-95FC-C3BF5E1CCB82}"/>
    <cellStyle name="Normal 2 2 6 2 2 3 2 2 5" xfId="37328" xr:uid="{1D3A667F-E5FA-4F1E-A868-EBD24CA0370C}"/>
    <cellStyle name="Normal 2 2 6 2 2 3 2 3" xfId="24905" xr:uid="{897E1B4A-4D71-4BE5-B7A1-7B9A02E0B564}"/>
    <cellStyle name="Normal 2 2 6 2 2 3 2 4" xfId="19245" xr:uid="{151DE38E-0F7E-4E57-BF57-64AED1DF8785}"/>
    <cellStyle name="Normal 2 2 6 2 2 3 2 5" xfId="30566" xr:uid="{5EE36B2B-608B-4A2C-9AB8-AB522F1ECAA0}"/>
    <cellStyle name="Normal 2 2 6 2 2 3 2 6" xfId="37327" xr:uid="{F89BC526-70C6-4B39-931E-1617998B4172}"/>
    <cellStyle name="Normal 2 2 6 2 2 3 3" xfId="14524" xr:uid="{00000000-0005-0000-0000-000014130000}"/>
    <cellStyle name="Normal 2 2 6 2 2 3 3 2" xfId="26482" xr:uid="{15585D63-EC9E-4EE2-A94A-41F38C95C765}"/>
    <cellStyle name="Normal 2 2 6 2 2 3 3 3" xfId="20822" xr:uid="{5A54E7DB-23A9-4C20-90D5-9D13ED54F78D}"/>
    <cellStyle name="Normal 2 2 6 2 2 3 3 4" xfId="31862" xr:uid="{161E5E96-5AE0-4638-990B-59AACE9B37B7}"/>
    <cellStyle name="Normal 2 2 6 2 2 3 3 5" xfId="37329" xr:uid="{A9AF5294-DAD9-42C0-91E3-E9118C828CF3}"/>
    <cellStyle name="Normal 2 2 6 2 2 3 4" xfId="23649" xr:uid="{40A67643-7D21-468C-A19C-9FD13205EB46}"/>
    <cellStyle name="Normal 2 2 6 2 2 3 5" xfId="17989" xr:uid="{CB31F089-0965-4609-977C-407A45D9BCE8}"/>
    <cellStyle name="Normal 2 2 6 2 2 3 6" xfId="29310" xr:uid="{1F660140-F339-486A-9CC8-5BE2D4151182}"/>
    <cellStyle name="Normal 2 2 6 2 2 3 7" xfId="37326" xr:uid="{41620938-BE85-4855-8F12-B6D2154D476B}"/>
    <cellStyle name="Normal 2 2 6 2 2 4" xfId="6783" xr:uid="{00000000-0005-0000-0000-000015130000}"/>
    <cellStyle name="Normal 2 2 6 2 2 4 2" xfId="15216" xr:uid="{00000000-0005-0000-0000-000016130000}"/>
    <cellStyle name="Normal 2 2 6 2 2 4 2 2" xfId="27110" xr:uid="{3CE3754A-D175-41BC-ABF6-0D4CEC1726D3}"/>
    <cellStyle name="Normal 2 2 6 2 2 4 2 3" xfId="21450" xr:uid="{763D4865-A313-4B11-973D-4F41B69606FC}"/>
    <cellStyle name="Normal 2 2 6 2 2 4 2 4" xfId="32490" xr:uid="{0A09BA7C-FC4D-4E21-93BF-F14943426D8F}"/>
    <cellStyle name="Normal 2 2 6 2 2 4 2 5" xfId="37331" xr:uid="{2DE06156-A310-4DD6-993D-7C3BF7E95718}"/>
    <cellStyle name="Normal 2 2 6 2 2 4 3" xfId="24277" xr:uid="{21D139F8-3055-4E50-A4F7-C93506F2BBF0}"/>
    <cellStyle name="Normal 2 2 6 2 2 4 4" xfId="18617" xr:uid="{C035F4AB-B222-4A58-B1E3-D7FC64238303}"/>
    <cellStyle name="Normal 2 2 6 2 2 4 5" xfId="29938" xr:uid="{D7D2C285-91EE-42C6-85C9-FDDF905AA8BA}"/>
    <cellStyle name="Normal 2 2 6 2 2 4 6" xfId="37330" xr:uid="{33C902F7-F543-402D-B7CB-819147BC79CB}"/>
    <cellStyle name="Normal 2 2 6 2 2 5" xfId="7836" xr:uid="{00000000-0005-0000-0000-000017130000}"/>
    <cellStyle name="Normal 2 2 6 2 2 5 2" xfId="25320" xr:uid="{C214AB4B-43F2-430C-8C70-3F79B9375A60}"/>
    <cellStyle name="Normal 2 2 6 2 2 5 3" xfId="19660" xr:uid="{F45141BD-ACB1-4CE7-A064-8732738866AD}"/>
    <cellStyle name="Normal 2 2 6 2 2 5 4" xfId="30981" xr:uid="{3CF84E2D-F50E-4FDC-A83D-E57339DC57F5}"/>
    <cellStyle name="Normal 2 2 6 2 2 5 5" xfId="37332" xr:uid="{63051B0B-3AAD-4C02-A22F-01F3AE25754F}"/>
    <cellStyle name="Normal 2 2 6 2 2 6" xfId="22715" xr:uid="{9E031A36-625B-4E82-8838-066DCAD31C2F}"/>
    <cellStyle name="Normal 2 2 6 2 2 7" xfId="17055" xr:uid="{AD7FFD62-394B-44D7-92FD-A1744ED207E0}"/>
    <cellStyle name="Normal 2 2 6 2 2 8" xfId="28376" xr:uid="{4FA86ED9-E3EF-40C6-A784-3039E3F3474E}"/>
    <cellStyle name="Normal 2 2 6 2 2 9" xfId="37321" xr:uid="{2666B103-42D4-4196-8FAF-43F840C260B8}"/>
    <cellStyle name="Normal 2 2 6 2 3" xfId="5129" xr:uid="{00000000-0005-0000-0000-000018130000}"/>
    <cellStyle name="Normal 2 2 6 2 3 2" xfId="6992" xr:uid="{00000000-0005-0000-0000-000019130000}"/>
    <cellStyle name="Normal 2 2 6 2 3 2 2" xfId="15425" xr:uid="{00000000-0005-0000-0000-00001A130000}"/>
    <cellStyle name="Normal 2 2 6 2 3 2 2 2" xfId="27319" xr:uid="{E318D406-F4E3-4D7C-B78B-0AD17AC283F4}"/>
    <cellStyle name="Normal 2 2 6 2 3 2 2 3" xfId="21659" xr:uid="{3BEDFB7D-4278-4C34-8EF6-C0F9331222C7}"/>
    <cellStyle name="Normal 2 2 6 2 3 2 2 4" xfId="32699" xr:uid="{704A5471-750B-48A3-8819-4B3E2EDF4B1C}"/>
    <cellStyle name="Normal 2 2 6 2 3 2 2 5" xfId="37335" xr:uid="{3218A8DE-EB91-4A1E-8E2F-1BB858C02742}"/>
    <cellStyle name="Normal 2 2 6 2 3 2 3" xfId="24486" xr:uid="{F83B106E-F1E5-472A-BEB8-5F0559FAB626}"/>
    <cellStyle name="Normal 2 2 6 2 3 2 4" xfId="18826" xr:uid="{79DA564E-526C-4D8C-AF6A-434ABED9657B}"/>
    <cellStyle name="Normal 2 2 6 2 3 2 5" xfId="30147" xr:uid="{86D685DB-6CEF-4464-AF6D-B2E7BCCFA8A7}"/>
    <cellStyle name="Normal 2 2 6 2 3 2 6" xfId="37334" xr:uid="{01408AFD-3614-4865-8AC6-3E49ACC3DFBF}"/>
    <cellStyle name="Normal 2 2 6 2 3 3" xfId="14016" xr:uid="{00000000-0005-0000-0000-00001B130000}"/>
    <cellStyle name="Normal 2 2 6 2 3 3 2" xfId="26055" xr:uid="{FC7E4909-04D8-4375-82A7-5C9B94747B0E}"/>
    <cellStyle name="Normal 2 2 6 2 3 3 3" xfId="20395" xr:uid="{B62223F3-09E2-46A6-A193-D01FB4D1137A}"/>
    <cellStyle name="Normal 2 2 6 2 3 3 4" xfId="31435" xr:uid="{E20085F2-4541-443C-903B-9401100D4808}"/>
    <cellStyle name="Normal 2 2 6 2 3 3 5" xfId="37336" xr:uid="{7B5B4BE3-50E1-4F1C-ADEB-0F642CED6698}"/>
    <cellStyle name="Normal 2 2 6 2 3 4" xfId="22924" xr:uid="{87498DBF-3F96-4752-8FEF-8815340901A7}"/>
    <cellStyle name="Normal 2 2 6 2 3 5" xfId="17264" xr:uid="{436EF509-3C42-4C0C-AC59-ECA135237D07}"/>
    <cellStyle name="Normal 2 2 6 2 3 6" xfId="28585" xr:uid="{8C58DE1F-C3C9-4E8B-B523-F3CF1848CD4A}"/>
    <cellStyle name="Normal 2 2 6 2 3 7" xfId="37333" xr:uid="{15699F89-579A-4E11-89A9-3C3F33198D40}"/>
    <cellStyle name="Normal 2 2 6 2 4" xfId="6070" xr:uid="{00000000-0005-0000-0000-00001C130000}"/>
    <cellStyle name="Normal 2 2 6 2 4 2" xfId="7410" xr:uid="{00000000-0005-0000-0000-00001D130000}"/>
    <cellStyle name="Normal 2 2 6 2 4 2 2" xfId="15843" xr:uid="{00000000-0005-0000-0000-00001E130000}"/>
    <cellStyle name="Normal 2 2 6 2 4 2 2 2" xfId="27737" xr:uid="{0960DF33-0FF5-4BDE-8293-A9B268C5AE74}"/>
    <cellStyle name="Normal 2 2 6 2 4 2 2 3" xfId="22077" xr:uid="{5A97427E-3454-4769-8E95-03535B062FFD}"/>
    <cellStyle name="Normal 2 2 6 2 4 2 2 4" xfId="33117" xr:uid="{45890C1C-2377-45D5-83B8-63653A71E158}"/>
    <cellStyle name="Normal 2 2 6 2 4 2 2 5" xfId="37339" xr:uid="{ECAD39E0-441E-4F6A-A7F1-3CDF0EFECBEF}"/>
    <cellStyle name="Normal 2 2 6 2 4 2 3" xfId="24904" xr:uid="{3A35E906-97C3-44AF-BBC1-04230D3B0645}"/>
    <cellStyle name="Normal 2 2 6 2 4 2 4" xfId="19244" xr:uid="{5EC9C669-BC9C-4FEE-AEF9-A1C598308E40}"/>
    <cellStyle name="Normal 2 2 6 2 4 2 5" xfId="30565" xr:uid="{6850B4F2-B1DD-4681-BAF9-1EBD5E17BEFD}"/>
    <cellStyle name="Normal 2 2 6 2 4 2 6" xfId="37338" xr:uid="{52A8BCBB-F71F-4F28-AF74-28B9CB3E71EA}"/>
    <cellStyle name="Normal 2 2 6 2 4 3" xfId="14523" xr:uid="{00000000-0005-0000-0000-00001F130000}"/>
    <cellStyle name="Normal 2 2 6 2 4 3 2" xfId="26481" xr:uid="{DA260108-2B39-4EF7-8B93-CEFEAC9F111B}"/>
    <cellStyle name="Normal 2 2 6 2 4 3 3" xfId="20821" xr:uid="{4413173A-3AE2-4FF2-8AC9-2F5913467F66}"/>
    <cellStyle name="Normal 2 2 6 2 4 3 4" xfId="31861" xr:uid="{CDA85564-B9A1-4BCD-B5DB-1DE0FBB6A8A5}"/>
    <cellStyle name="Normal 2 2 6 2 4 3 5" xfId="37340" xr:uid="{BCD429DF-E93B-42B6-AE44-0628E3254828}"/>
    <cellStyle name="Normal 2 2 6 2 4 4" xfId="23648" xr:uid="{0F677CF9-302F-467B-84F0-1184285E543B}"/>
    <cellStyle name="Normal 2 2 6 2 4 5" xfId="17988" xr:uid="{E9DC0785-3D58-4450-878C-33C8E4460679}"/>
    <cellStyle name="Normal 2 2 6 2 4 6" xfId="29309" xr:uid="{607457DB-46BE-4B8F-9106-BB4CE78F17C0}"/>
    <cellStyle name="Normal 2 2 6 2 4 7" xfId="37337" xr:uid="{077DEB8D-2BE4-4B9E-81C7-5F4C00EB16C2}"/>
    <cellStyle name="Normal 2 2 6 2 5" xfId="6574" xr:uid="{00000000-0005-0000-0000-000020130000}"/>
    <cellStyle name="Normal 2 2 6 2 5 2" xfId="15007" xr:uid="{00000000-0005-0000-0000-000021130000}"/>
    <cellStyle name="Normal 2 2 6 2 5 2 2" xfId="26901" xr:uid="{DACC78A3-8A18-4701-89B4-F17A6A60EE6E}"/>
    <cellStyle name="Normal 2 2 6 2 5 2 3" xfId="21241" xr:uid="{705C227F-54D5-4F3C-91BF-4D3EA4FF9155}"/>
    <cellStyle name="Normal 2 2 6 2 5 2 4" xfId="32281" xr:uid="{805E83A9-B8DC-4C9C-ABF3-9DA3B25AD302}"/>
    <cellStyle name="Normal 2 2 6 2 5 2 5" xfId="37342" xr:uid="{0329D3B9-EE20-46E6-AD88-F456BB4B9459}"/>
    <cellStyle name="Normal 2 2 6 2 5 3" xfId="24068" xr:uid="{21DB9844-9A58-4DD3-908B-B7DE6AECD9E5}"/>
    <cellStyle name="Normal 2 2 6 2 5 4" xfId="18408" xr:uid="{564C6870-6272-4F4F-A16A-6A83AE0E772C}"/>
    <cellStyle name="Normal 2 2 6 2 5 5" xfId="29729" xr:uid="{F7FC3371-768A-4467-9EBD-2D83F132C3D5}"/>
    <cellStyle name="Normal 2 2 6 2 5 6" xfId="37341" xr:uid="{052EDC03-C4B1-4543-8AD7-5B167D623993}"/>
    <cellStyle name="Normal 2 2 6 2 6" xfId="7835" xr:uid="{00000000-0005-0000-0000-000022130000}"/>
    <cellStyle name="Normal 2 2 6 2 6 2" xfId="25319" xr:uid="{7FFCC87D-2A1A-427B-AE4F-8C9C9D77E910}"/>
    <cellStyle name="Normal 2 2 6 2 6 3" xfId="19659" xr:uid="{E91B149B-4ECC-4E36-AAF1-E47528952D22}"/>
    <cellStyle name="Normal 2 2 6 2 6 4" xfId="30980" xr:uid="{2252F2E2-2CC7-4ACD-9ED6-CCF2EC307084}"/>
    <cellStyle name="Normal 2 2 6 2 6 5" xfId="37343" xr:uid="{1AA086F3-D592-4304-80C1-F27FE7D21411}"/>
    <cellStyle name="Normal 2 2 6 2 7" xfId="22506" xr:uid="{A8D5315E-A9D7-4C71-AE92-268E092E7F56}"/>
    <cellStyle name="Normal 2 2 6 2 8" xfId="16846" xr:uid="{40EB5389-ED90-4887-9040-4E789F1B89E6}"/>
    <cellStyle name="Normal 2 2 6 2 9" xfId="28167" xr:uid="{D1B70F07-E7B2-4E2F-9CCB-091AF48CAB7B}"/>
    <cellStyle name="Normal 2 2 6 3" xfId="6069" xr:uid="{00000000-0005-0000-0000-000023130000}"/>
    <cellStyle name="Normal 2 2 6 3 2" xfId="37344" xr:uid="{6DC18AEA-A4C8-4F49-8C54-C32D88F8C666}"/>
    <cellStyle name="Normal 2 2 6 4" xfId="5655" xr:uid="{00000000-0005-0000-0000-000024130000}"/>
    <cellStyle name="Normal 2 2 6 4 2" xfId="37345" xr:uid="{2A7828B7-688C-479A-B905-526363B257FB}"/>
    <cellStyle name="Normal 2 2 6 5" xfId="7834" xr:uid="{00000000-0005-0000-0000-000025130000}"/>
    <cellStyle name="Normal 2 2 6 5 2" xfId="25318" xr:uid="{276D2244-88DB-42B8-974D-AE6AF4D15C13}"/>
    <cellStyle name="Normal 2 2 6 5 3" xfId="19658" xr:uid="{DDA4DEDB-5395-47E4-B206-C3020E840C5A}"/>
    <cellStyle name="Normal 2 2 6 5 4" xfId="30979" xr:uid="{89E81435-783E-42EE-956C-455D42F8F124}"/>
    <cellStyle name="Normal 2 2 6 5 5" xfId="37346" xr:uid="{41B33895-0E38-493B-BFC0-EC26AB526E51}"/>
    <cellStyle name="Normal 2 2 6 6" xfId="37319" xr:uid="{0166F7C2-06E7-4B80-9ED6-BE9624221B1C}"/>
    <cellStyle name="Normal 2 2 7" xfId="2045" xr:uid="{00000000-0005-0000-0000-000026130000}"/>
    <cellStyle name="Normal 2 2 7 10" xfId="28095" xr:uid="{1183511E-27A6-40E9-864A-ACB93AEF7A6D}"/>
    <cellStyle name="Normal 2 2 7 11" xfId="37347" xr:uid="{E6FCB373-7D4B-49F4-8239-0F1BD0A53EC0}"/>
    <cellStyle name="Normal 2 2 7 2" xfId="4173" xr:uid="{00000000-0005-0000-0000-000027130000}"/>
    <cellStyle name="Normal 2 2 7 2 10" xfId="37348" xr:uid="{BB0F2669-8F3D-4A92-AB58-70D10EC8FB4B}"/>
    <cellStyle name="Normal 2 2 7 2 2" xfId="4920" xr:uid="{00000000-0005-0000-0000-000028130000}"/>
    <cellStyle name="Normal 2 2 7 2 2 2" xfId="5339" xr:uid="{00000000-0005-0000-0000-000029130000}"/>
    <cellStyle name="Normal 2 2 7 2 2 2 2" xfId="7202" xr:uid="{00000000-0005-0000-0000-00002A130000}"/>
    <cellStyle name="Normal 2 2 7 2 2 2 2 2" xfId="15635" xr:uid="{00000000-0005-0000-0000-00002B130000}"/>
    <cellStyle name="Normal 2 2 7 2 2 2 2 2 2" xfId="27529" xr:uid="{5AFAF340-97BF-4D2F-B4A1-2A6EF2AA7E0C}"/>
    <cellStyle name="Normal 2 2 7 2 2 2 2 2 3" xfId="21869" xr:uid="{835BCB9C-781C-47A1-A24A-84C974243673}"/>
    <cellStyle name="Normal 2 2 7 2 2 2 2 2 4" xfId="32909" xr:uid="{09D4514E-7088-421B-A350-F39899358B71}"/>
    <cellStyle name="Normal 2 2 7 2 2 2 2 2 5" xfId="37352" xr:uid="{2DE4A697-47C4-464C-86AB-3FF747A42732}"/>
    <cellStyle name="Normal 2 2 7 2 2 2 2 3" xfId="24696" xr:uid="{B39B0254-8BCD-4DD8-8F7E-8BFE8317361A}"/>
    <cellStyle name="Normal 2 2 7 2 2 2 2 4" xfId="19036" xr:uid="{B27994A5-C0D4-40E5-9F87-7B1BE989DD92}"/>
    <cellStyle name="Normal 2 2 7 2 2 2 2 5" xfId="30357" xr:uid="{DF6F7232-9B32-45D2-ADA9-EBFAB21D5EC7}"/>
    <cellStyle name="Normal 2 2 7 2 2 2 2 6" xfId="37351" xr:uid="{5B9AE9BB-1ADF-4354-AA4C-3FDE5C3611F6}"/>
    <cellStyle name="Normal 2 2 7 2 2 2 3" xfId="14225" xr:uid="{00000000-0005-0000-0000-00002C130000}"/>
    <cellStyle name="Normal 2 2 7 2 2 2 3 2" xfId="26264" xr:uid="{8ED43F7F-D919-4F74-AAC1-15CCE8314AA7}"/>
    <cellStyle name="Normal 2 2 7 2 2 2 3 3" xfId="20604" xr:uid="{46E61EAD-8281-489E-BD61-C3992810F7E0}"/>
    <cellStyle name="Normal 2 2 7 2 2 2 3 4" xfId="31644" xr:uid="{FACDEB29-495D-4EE4-B229-1B5C00D0E438}"/>
    <cellStyle name="Normal 2 2 7 2 2 2 3 5" xfId="37353" xr:uid="{34C83BD9-B845-43FD-8FF8-DBC9237399D7}"/>
    <cellStyle name="Normal 2 2 7 2 2 2 4" xfId="23134" xr:uid="{DE2D7EDB-15AA-4AE7-A0E9-2DB66192A03F}"/>
    <cellStyle name="Normal 2 2 7 2 2 2 5" xfId="17474" xr:uid="{B53026BF-949A-4F6A-8DF8-F000AFA50551}"/>
    <cellStyle name="Normal 2 2 7 2 2 2 6" xfId="28795" xr:uid="{9692A761-E6C6-4998-8B0B-5F2D5783C8BF}"/>
    <cellStyle name="Normal 2 2 7 2 2 2 7" xfId="37350" xr:uid="{DBFE28A6-8106-4B22-82D5-E5A00E945B94}"/>
    <cellStyle name="Normal 2 2 7 2 2 3" xfId="6074" xr:uid="{00000000-0005-0000-0000-00002D130000}"/>
    <cellStyle name="Normal 2 2 7 2 2 3 2" xfId="7414" xr:uid="{00000000-0005-0000-0000-00002E130000}"/>
    <cellStyle name="Normal 2 2 7 2 2 3 2 2" xfId="15847" xr:uid="{00000000-0005-0000-0000-00002F130000}"/>
    <cellStyle name="Normal 2 2 7 2 2 3 2 2 2" xfId="27741" xr:uid="{781E0715-5558-4C9D-B67A-60214F89FDA5}"/>
    <cellStyle name="Normal 2 2 7 2 2 3 2 2 3" xfId="22081" xr:uid="{673991F7-B388-4A65-9EA7-82298ACBD201}"/>
    <cellStyle name="Normal 2 2 7 2 2 3 2 2 4" xfId="33121" xr:uid="{A9F3E88E-52CA-44F0-90DD-B4F45B34B97C}"/>
    <cellStyle name="Normal 2 2 7 2 2 3 2 2 5" xfId="37356" xr:uid="{0782E93F-192D-4B6B-91C3-7FB72CB00A6B}"/>
    <cellStyle name="Normal 2 2 7 2 2 3 2 3" xfId="24908" xr:uid="{73A0ACBD-D5C4-4B67-A1A3-B86FE932AD6E}"/>
    <cellStyle name="Normal 2 2 7 2 2 3 2 4" xfId="19248" xr:uid="{F87E9CA7-2E9A-4D27-ADCE-0B6A1A96DB9C}"/>
    <cellStyle name="Normal 2 2 7 2 2 3 2 5" xfId="30569" xr:uid="{8218FE10-8FF1-4D9D-BD26-0BE658129B44}"/>
    <cellStyle name="Normal 2 2 7 2 2 3 2 6" xfId="37355" xr:uid="{9A7EF599-0A93-4D47-9B38-14D585768B05}"/>
    <cellStyle name="Normal 2 2 7 2 2 3 3" xfId="14527" xr:uid="{00000000-0005-0000-0000-000030130000}"/>
    <cellStyle name="Normal 2 2 7 2 2 3 3 2" xfId="26485" xr:uid="{5E951C8E-B295-4116-AEB3-6475111B6162}"/>
    <cellStyle name="Normal 2 2 7 2 2 3 3 3" xfId="20825" xr:uid="{DF8B1643-A50E-4707-B1A0-AB2CE1ED63FA}"/>
    <cellStyle name="Normal 2 2 7 2 2 3 3 4" xfId="31865" xr:uid="{4A5F625C-1D53-4313-A653-2B52BB4935FE}"/>
    <cellStyle name="Normal 2 2 7 2 2 3 3 5" xfId="37357" xr:uid="{16611E2E-45AA-4A2F-9CD2-AC060C8152E9}"/>
    <cellStyle name="Normal 2 2 7 2 2 3 4" xfId="23652" xr:uid="{1800F05C-9C76-4020-BAA2-25FB6CED0FB8}"/>
    <cellStyle name="Normal 2 2 7 2 2 3 5" xfId="17992" xr:uid="{2DBD9F87-33A0-419E-BBF1-4743821948BE}"/>
    <cellStyle name="Normal 2 2 7 2 2 3 6" xfId="29313" xr:uid="{6801D800-FFF4-4B40-ACFA-F6570C365409}"/>
    <cellStyle name="Normal 2 2 7 2 2 3 7" xfId="37354" xr:uid="{6D663542-0C84-4A90-9798-62699EC95552}"/>
    <cellStyle name="Normal 2 2 7 2 2 4" xfId="6784" xr:uid="{00000000-0005-0000-0000-000031130000}"/>
    <cellStyle name="Normal 2 2 7 2 2 4 2" xfId="15217" xr:uid="{00000000-0005-0000-0000-000032130000}"/>
    <cellStyle name="Normal 2 2 7 2 2 4 2 2" xfId="27111" xr:uid="{C3FB64B5-2A67-41EB-B01E-7FECAC25C8FD}"/>
    <cellStyle name="Normal 2 2 7 2 2 4 2 3" xfId="21451" xr:uid="{74026F8B-E7EA-49A4-A243-FBE870675CAC}"/>
    <cellStyle name="Normal 2 2 7 2 2 4 2 4" xfId="32491" xr:uid="{A032F95A-B9D5-44C7-9D69-73DB91C609A7}"/>
    <cellStyle name="Normal 2 2 7 2 2 4 2 5" xfId="37359" xr:uid="{B9A87EC5-2617-44DB-A74E-E40940DEAE5D}"/>
    <cellStyle name="Normal 2 2 7 2 2 4 3" xfId="24278" xr:uid="{EC829609-A898-4EC5-9E1B-9022B9706C40}"/>
    <cellStyle name="Normal 2 2 7 2 2 4 4" xfId="18618" xr:uid="{2E34B8B0-53BA-46E3-AC99-F8DDEEA3E157}"/>
    <cellStyle name="Normal 2 2 7 2 2 4 5" xfId="29939" xr:uid="{01EB6E69-9FFC-40B7-9FD0-23DC941EE465}"/>
    <cellStyle name="Normal 2 2 7 2 2 4 6" xfId="37358" xr:uid="{D8C33FE4-6575-47C8-BEA4-576C1581B0AE}"/>
    <cellStyle name="Normal 2 2 7 2 2 5" xfId="7839" xr:uid="{00000000-0005-0000-0000-000033130000}"/>
    <cellStyle name="Normal 2 2 7 2 2 5 2" xfId="25323" xr:uid="{619655F4-8EBA-4BE5-A29E-B049B5F3CEA2}"/>
    <cellStyle name="Normal 2 2 7 2 2 5 3" xfId="19663" xr:uid="{379766D3-D7DF-42AD-AAC4-E3FD34EE2A3D}"/>
    <cellStyle name="Normal 2 2 7 2 2 5 4" xfId="30984" xr:uid="{BBC2AED1-7D06-48F3-8A37-19D2421D46CE}"/>
    <cellStyle name="Normal 2 2 7 2 2 5 5" xfId="37360" xr:uid="{C7E17B38-83CC-416F-BF9E-DCCF6911CE21}"/>
    <cellStyle name="Normal 2 2 7 2 2 6" xfId="22716" xr:uid="{6B84AE9F-47C9-4A76-AFE8-547375DB9596}"/>
    <cellStyle name="Normal 2 2 7 2 2 7" xfId="17056" xr:uid="{1E698BF2-5E42-4A32-A15D-1F5A361054C6}"/>
    <cellStyle name="Normal 2 2 7 2 2 8" xfId="28377" xr:uid="{966DDD7A-39FB-4E5E-9719-6BCD14003C6D}"/>
    <cellStyle name="Normal 2 2 7 2 2 9" xfId="37349" xr:uid="{192FB4EF-29F7-4626-ADA3-0699F57BC608}"/>
    <cellStyle name="Normal 2 2 7 2 3" xfId="5130" xr:uid="{00000000-0005-0000-0000-000034130000}"/>
    <cellStyle name="Normal 2 2 7 2 3 2" xfId="6993" xr:uid="{00000000-0005-0000-0000-000035130000}"/>
    <cellStyle name="Normal 2 2 7 2 3 2 2" xfId="15426" xr:uid="{00000000-0005-0000-0000-000036130000}"/>
    <cellStyle name="Normal 2 2 7 2 3 2 2 2" xfId="27320" xr:uid="{38F59D50-FD17-407C-857B-903646CC1A53}"/>
    <cellStyle name="Normal 2 2 7 2 3 2 2 3" xfId="21660" xr:uid="{0DCA4AD1-1A87-4918-A2B0-E3C9CEA1902A}"/>
    <cellStyle name="Normal 2 2 7 2 3 2 2 4" xfId="32700" xr:uid="{3C575BEB-AB24-4089-99A2-F02F1498C4D2}"/>
    <cellStyle name="Normal 2 2 7 2 3 2 2 5" xfId="37363" xr:uid="{379D8786-9343-427E-885A-9901119C0FA3}"/>
    <cellStyle name="Normal 2 2 7 2 3 2 3" xfId="24487" xr:uid="{390A7719-F27A-4A20-AB67-EF9351400D75}"/>
    <cellStyle name="Normal 2 2 7 2 3 2 4" xfId="18827" xr:uid="{F301750C-64C7-43F5-94F8-984A47A78800}"/>
    <cellStyle name="Normal 2 2 7 2 3 2 5" xfId="30148" xr:uid="{50809342-BA09-4206-AF9F-695553F7D2C5}"/>
    <cellStyle name="Normal 2 2 7 2 3 2 6" xfId="37362" xr:uid="{1C0522B2-A1D9-424D-AD76-2DB633E8929C}"/>
    <cellStyle name="Normal 2 2 7 2 3 3" xfId="14017" xr:uid="{00000000-0005-0000-0000-000037130000}"/>
    <cellStyle name="Normal 2 2 7 2 3 3 2" xfId="26056" xr:uid="{80943077-CA24-4923-A4A4-82DDBEA727FD}"/>
    <cellStyle name="Normal 2 2 7 2 3 3 3" xfId="20396" xr:uid="{D3D5B3D3-6FA8-48F9-9BCE-380E5E84FDFA}"/>
    <cellStyle name="Normal 2 2 7 2 3 3 4" xfId="31436" xr:uid="{E1803958-FE35-4A1A-A021-DA54F1D0AABC}"/>
    <cellStyle name="Normal 2 2 7 2 3 3 5" xfId="37364" xr:uid="{C736528F-53DE-4E49-ACD0-8ABE1D3A8F5E}"/>
    <cellStyle name="Normal 2 2 7 2 3 4" xfId="22925" xr:uid="{3DFFBF0A-F51E-417E-8184-2B5BA9A7DFEC}"/>
    <cellStyle name="Normal 2 2 7 2 3 5" xfId="17265" xr:uid="{451B10C9-6C3A-4233-A022-7D62B2508F86}"/>
    <cellStyle name="Normal 2 2 7 2 3 6" xfId="28586" xr:uid="{38FA56F4-4994-4A54-8148-566CFA37D6D9}"/>
    <cellStyle name="Normal 2 2 7 2 3 7" xfId="37361" xr:uid="{129229C1-2A67-4DAD-88C7-3BC106101AA7}"/>
    <cellStyle name="Normal 2 2 7 2 4" xfId="6073" xr:uid="{00000000-0005-0000-0000-000038130000}"/>
    <cellStyle name="Normal 2 2 7 2 4 2" xfId="7413" xr:uid="{00000000-0005-0000-0000-000039130000}"/>
    <cellStyle name="Normal 2 2 7 2 4 2 2" xfId="15846" xr:uid="{00000000-0005-0000-0000-00003A130000}"/>
    <cellStyle name="Normal 2 2 7 2 4 2 2 2" xfId="27740" xr:uid="{C133D892-8307-4CC7-8CFB-F8A575D34663}"/>
    <cellStyle name="Normal 2 2 7 2 4 2 2 3" xfId="22080" xr:uid="{A5A2AA7B-268E-46CF-A842-2AB6D61BE80B}"/>
    <cellStyle name="Normal 2 2 7 2 4 2 2 4" xfId="33120" xr:uid="{A2F12332-F2FE-4F9C-A425-48A3E5AD0026}"/>
    <cellStyle name="Normal 2 2 7 2 4 2 2 5" xfId="37367" xr:uid="{A57FD606-AC5E-4ED4-A666-F72EA20A7918}"/>
    <cellStyle name="Normal 2 2 7 2 4 2 3" xfId="24907" xr:uid="{E7B4EC56-C435-4298-B70C-58D138059455}"/>
    <cellStyle name="Normal 2 2 7 2 4 2 4" xfId="19247" xr:uid="{089FE682-D057-4A05-9C79-5F863BAABFCB}"/>
    <cellStyle name="Normal 2 2 7 2 4 2 5" xfId="30568" xr:uid="{FBBE8484-6EA8-4B96-A1D5-EF6D5B546D02}"/>
    <cellStyle name="Normal 2 2 7 2 4 2 6" xfId="37366" xr:uid="{CF5E420B-667B-47B8-AEA1-C24DFF5D0B48}"/>
    <cellStyle name="Normal 2 2 7 2 4 3" xfId="14526" xr:uid="{00000000-0005-0000-0000-00003B130000}"/>
    <cellStyle name="Normal 2 2 7 2 4 3 2" xfId="26484" xr:uid="{7F98F82D-729C-4516-ABE8-C1CD2D14F2AA}"/>
    <cellStyle name="Normal 2 2 7 2 4 3 3" xfId="20824" xr:uid="{3305E6C0-418E-4AAA-B64D-8E5FBB61C997}"/>
    <cellStyle name="Normal 2 2 7 2 4 3 4" xfId="31864" xr:uid="{152D7D86-3DEF-4CB7-A558-0904D5B919D2}"/>
    <cellStyle name="Normal 2 2 7 2 4 3 5" xfId="37368" xr:uid="{0F729761-796C-4FD4-B4A0-6E2211C81518}"/>
    <cellStyle name="Normal 2 2 7 2 4 4" xfId="23651" xr:uid="{894F1BF2-C40D-4EF9-AFBC-13C82167BBBB}"/>
    <cellStyle name="Normal 2 2 7 2 4 5" xfId="17991" xr:uid="{9EBF29E1-0190-46F9-B3ED-B26D4D2DDF91}"/>
    <cellStyle name="Normal 2 2 7 2 4 6" xfId="29312" xr:uid="{C044A645-01A0-49B2-951D-A1EE89DDDEC2}"/>
    <cellStyle name="Normal 2 2 7 2 4 7" xfId="37365" xr:uid="{1C1A6859-6635-4059-92B2-034478C849F6}"/>
    <cellStyle name="Normal 2 2 7 2 5" xfId="6575" xr:uid="{00000000-0005-0000-0000-00003C130000}"/>
    <cellStyle name="Normal 2 2 7 2 5 2" xfId="15008" xr:uid="{00000000-0005-0000-0000-00003D130000}"/>
    <cellStyle name="Normal 2 2 7 2 5 2 2" xfId="26902" xr:uid="{458B3535-18A7-45E8-8C5B-05A584FBE174}"/>
    <cellStyle name="Normal 2 2 7 2 5 2 3" xfId="21242" xr:uid="{10D64BE6-1CDD-44C7-8B5C-7E2ABD01BAE3}"/>
    <cellStyle name="Normal 2 2 7 2 5 2 4" xfId="32282" xr:uid="{BB2EABB5-6E93-46FF-8A3B-9CD8AA086C2F}"/>
    <cellStyle name="Normal 2 2 7 2 5 2 5" xfId="37370" xr:uid="{A0AA278F-329F-4304-824E-CF043F548350}"/>
    <cellStyle name="Normal 2 2 7 2 5 3" xfId="24069" xr:uid="{92AB2EED-E638-4A0D-8724-71FCB948A7CC}"/>
    <cellStyle name="Normal 2 2 7 2 5 4" xfId="18409" xr:uid="{FFD18261-3054-400E-BE3C-72911BF5E94D}"/>
    <cellStyle name="Normal 2 2 7 2 5 5" xfId="29730" xr:uid="{C77DBD4B-AE6B-4E56-BE28-05763F0FD92A}"/>
    <cellStyle name="Normal 2 2 7 2 5 6" xfId="37369" xr:uid="{5E8EF569-9050-4E66-8CFB-256EA78CE8B5}"/>
    <cellStyle name="Normal 2 2 7 2 6" xfId="7838" xr:uid="{00000000-0005-0000-0000-00003E130000}"/>
    <cellStyle name="Normal 2 2 7 2 6 2" xfId="25322" xr:uid="{F41A6749-7A6A-43ED-8554-DB28DB6C38D2}"/>
    <cellStyle name="Normal 2 2 7 2 6 3" xfId="19662" xr:uid="{CF73844D-D770-4190-BCFC-E98FF4290943}"/>
    <cellStyle name="Normal 2 2 7 2 6 4" xfId="30983" xr:uid="{9A241E9F-C62D-4696-B808-853AC8050554}"/>
    <cellStyle name="Normal 2 2 7 2 6 5" xfId="37371" xr:uid="{235F88F8-CEA0-4005-8FBE-5631EB354815}"/>
    <cellStyle name="Normal 2 2 7 2 7" xfId="22507" xr:uid="{1B00B75D-BAF9-4327-BCE2-0FA992C574C1}"/>
    <cellStyle name="Normal 2 2 7 2 8" xfId="16847" xr:uid="{7D7556EA-E2FB-4C21-9651-49DBE09F0364}"/>
    <cellStyle name="Normal 2 2 7 2 9" xfId="28168" xr:uid="{737E0FAB-6ECE-469E-AC73-363FE38DA4A4}"/>
    <cellStyle name="Normal 2 2 7 3" xfId="4847" xr:uid="{00000000-0005-0000-0000-00003F130000}"/>
    <cellStyle name="Normal 2 2 7 3 2" xfId="5266" xr:uid="{00000000-0005-0000-0000-000040130000}"/>
    <cellStyle name="Normal 2 2 7 3 2 2" xfId="7129" xr:uid="{00000000-0005-0000-0000-000041130000}"/>
    <cellStyle name="Normal 2 2 7 3 2 2 2" xfId="15562" xr:uid="{00000000-0005-0000-0000-000042130000}"/>
    <cellStyle name="Normal 2 2 7 3 2 2 2 2" xfId="27456" xr:uid="{40D35FCA-1DA8-45DF-A2CD-3A571E72A46E}"/>
    <cellStyle name="Normal 2 2 7 3 2 2 2 3" xfId="21796" xr:uid="{96FD66D3-9327-42F0-BBB5-C68FAF6C0D3A}"/>
    <cellStyle name="Normal 2 2 7 3 2 2 2 4" xfId="32836" xr:uid="{19EFE703-9C6D-4E29-9F1F-C128DD1C8919}"/>
    <cellStyle name="Normal 2 2 7 3 2 2 2 5" xfId="37375" xr:uid="{A211A2E8-367A-4F9F-A360-76358FD8B78D}"/>
    <cellStyle name="Normal 2 2 7 3 2 2 3" xfId="24623" xr:uid="{ACFF908F-ECE7-4C2D-9AF8-4335BF87CA7D}"/>
    <cellStyle name="Normal 2 2 7 3 2 2 4" xfId="18963" xr:uid="{0C0DC26C-BFDC-42A3-9402-5AFBBE1E7150}"/>
    <cellStyle name="Normal 2 2 7 3 2 2 5" xfId="30284" xr:uid="{A9994375-4C40-459E-9A31-7A00DC460085}"/>
    <cellStyle name="Normal 2 2 7 3 2 2 6" xfId="37374" xr:uid="{0B9F0AF4-EEF3-4499-AA64-EF2221F4B638}"/>
    <cellStyle name="Normal 2 2 7 3 2 3" xfId="14152" xr:uid="{00000000-0005-0000-0000-000043130000}"/>
    <cellStyle name="Normal 2 2 7 3 2 3 2" xfId="26191" xr:uid="{B6403350-E33D-48A7-BAA7-6B236F98719D}"/>
    <cellStyle name="Normal 2 2 7 3 2 3 3" xfId="20531" xr:uid="{33478C96-4D46-4CB1-9114-B2F95F4C88E1}"/>
    <cellStyle name="Normal 2 2 7 3 2 3 4" xfId="31571" xr:uid="{75516E1A-2E47-40CF-81F1-973BD5828077}"/>
    <cellStyle name="Normal 2 2 7 3 2 3 5" xfId="37376" xr:uid="{8D0085A7-DB9F-4555-AC30-0126D7408C9B}"/>
    <cellStyle name="Normal 2 2 7 3 2 4" xfId="23061" xr:uid="{E17A00B9-E845-4D89-BCBE-7DB7F0C84F25}"/>
    <cellStyle name="Normal 2 2 7 3 2 5" xfId="17401" xr:uid="{DAACFF17-04CB-48E2-A826-D2A55FEDEE24}"/>
    <cellStyle name="Normal 2 2 7 3 2 6" xfId="28722" xr:uid="{6A2D911D-3F1E-417D-B9C4-85082A6B7AC5}"/>
    <cellStyle name="Normal 2 2 7 3 2 7" xfId="37373" xr:uid="{0DBC4628-BA31-4968-9109-2FDC78094159}"/>
    <cellStyle name="Normal 2 2 7 3 3" xfId="6075" xr:uid="{00000000-0005-0000-0000-000044130000}"/>
    <cellStyle name="Normal 2 2 7 3 3 2" xfId="7415" xr:uid="{00000000-0005-0000-0000-000045130000}"/>
    <cellStyle name="Normal 2 2 7 3 3 2 2" xfId="15848" xr:uid="{00000000-0005-0000-0000-000046130000}"/>
    <cellStyle name="Normal 2 2 7 3 3 2 2 2" xfId="27742" xr:uid="{E6E13A2A-1B5E-4511-9ED8-B3E80B05C320}"/>
    <cellStyle name="Normal 2 2 7 3 3 2 2 3" xfId="22082" xr:uid="{F7C8B387-D77F-4BD3-A132-5CE9BB4CDE58}"/>
    <cellStyle name="Normal 2 2 7 3 3 2 2 4" xfId="33122" xr:uid="{AFE120AC-8138-45C5-BC37-8E1609DBF2C5}"/>
    <cellStyle name="Normal 2 2 7 3 3 2 2 5" xfId="37379" xr:uid="{357EF3EC-0E23-4AB8-9CFB-FF28FE7C5490}"/>
    <cellStyle name="Normal 2 2 7 3 3 2 3" xfId="24909" xr:uid="{93DBC51B-B227-4140-9DD8-DDD17F813AE2}"/>
    <cellStyle name="Normal 2 2 7 3 3 2 4" xfId="19249" xr:uid="{1D1FC9DA-2D80-4D93-AA73-5705C4140595}"/>
    <cellStyle name="Normal 2 2 7 3 3 2 5" xfId="30570" xr:uid="{74416003-1C2D-46D8-B9A7-7F67381D20CF}"/>
    <cellStyle name="Normal 2 2 7 3 3 2 6" xfId="37378" xr:uid="{93064F34-365F-469A-A5AC-BBAA7A79689A}"/>
    <cellStyle name="Normal 2 2 7 3 3 3" xfId="14528" xr:uid="{00000000-0005-0000-0000-000047130000}"/>
    <cellStyle name="Normal 2 2 7 3 3 3 2" xfId="26486" xr:uid="{BBC69F4E-1BD0-492D-BDA5-04E39B049386}"/>
    <cellStyle name="Normal 2 2 7 3 3 3 3" xfId="20826" xr:uid="{71E5CBBB-43D4-4BA7-B040-229D37623E9A}"/>
    <cellStyle name="Normal 2 2 7 3 3 3 4" xfId="31866" xr:uid="{1505E853-C0C3-4D26-A20C-D3C05B8E3042}"/>
    <cellStyle name="Normal 2 2 7 3 3 3 5" xfId="37380" xr:uid="{E5E20A5E-38E4-49DA-85E1-518134629297}"/>
    <cellStyle name="Normal 2 2 7 3 3 4" xfId="23653" xr:uid="{9B7441C1-7789-4587-96F7-FB5CF60D0840}"/>
    <cellStyle name="Normal 2 2 7 3 3 5" xfId="17993" xr:uid="{12E31B68-D96F-4DDE-A9A5-EFB4DE436F1E}"/>
    <cellStyle name="Normal 2 2 7 3 3 6" xfId="29314" xr:uid="{860096EB-3F7D-4923-B1B9-B7A4296B72E7}"/>
    <cellStyle name="Normal 2 2 7 3 3 7" xfId="37377" xr:uid="{BCB23D72-AE50-4FEF-997D-5B7EB74F16AC}"/>
    <cellStyle name="Normal 2 2 7 3 4" xfId="6711" xr:uid="{00000000-0005-0000-0000-000048130000}"/>
    <cellStyle name="Normal 2 2 7 3 4 2" xfId="15144" xr:uid="{00000000-0005-0000-0000-000049130000}"/>
    <cellStyle name="Normal 2 2 7 3 4 2 2" xfId="27038" xr:uid="{3A20C61C-6506-4317-BC73-3B9666364C41}"/>
    <cellStyle name="Normal 2 2 7 3 4 2 3" xfId="21378" xr:uid="{3A28FBFA-8E55-4906-A92E-151DFAE59B24}"/>
    <cellStyle name="Normal 2 2 7 3 4 2 4" xfId="32418" xr:uid="{5D16453C-C801-4B0E-93BC-6B0230E97C16}"/>
    <cellStyle name="Normal 2 2 7 3 4 2 5" xfId="37382" xr:uid="{71EC6766-540B-4A88-8E05-6061BA8BA8B8}"/>
    <cellStyle name="Normal 2 2 7 3 4 3" xfId="24205" xr:uid="{C9419355-6E01-46B3-A6E1-2D5771FEA415}"/>
    <cellStyle name="Normal 2 2 7 3 4 4" xfId="18545" xr:uid="{0B61EED1-F232-4391-8641-39D7D81B6250}"/>
    <cellStyle name="Normal 2 2 7 3 4 5" xfId="29866" xr:uid="{198AD758-4575-4FE9-9BAA-84404DEC4218}"/>
    <cellStyle name="Normal 2 2 7 3 4 6" xfId="37381" xr:uid="{3B859BAE-1C17-45F1-B127-C164C1B623F2}"/>
    <cellStyle name="Normal 2 2 7 3 5" xfId="7840" xr:uid="{00000000-0005-0000-0000-00004A130000}"/>
    <cellStyle name="Normal 2 2 7 3 5 2" xfId="25324" xr:uid="{B516A3B8-E355-45CF-A6AB-CC9EBFEF79EE}"/>
    <cellStyle name="Normal 2 2 7 3 5 3" xfId="19664" xr:uid="{C19E124E-7CF2-4DC3-9C8A-F28970A08B6A}"/>
    <cellStyle name="Normal 2 2 7 3 5 4" xfId="30985" xr:uid="{4247191E-B28E-492E-9106-E58928CF54CB}"/>
    <cellStyle name="Normal 2 2 7 3 5 5" xfId="37383" xr:uid="{BB48218C-EEAC-4C10-A348-87658E714576}"/>
    <cellStyle name="Normal 2 2 7 3 6" xfId="22643" xr:uid="{82BD6FE1-A78E-43CC-BDB1-7657893AAEAA}"/>
    <cellStyle name="Normal 2 2 7 3 7" xfId="16983" xr:uid="{C9FF9448-A26B-475C-8321-1D961F9C5DB4}"/>
    <cellStyle name="Normal 2 2 7 3 8" xfId="28304" xr:uid="{08DF2E41-2EBF-4525-978A-0F7A23BCAE69}"/>
    <cellStyle name="Normal 2 2 7 3 9" xfId="37372" xr:uid="{A99CFFAD-DFA1-4885-8008-10CA5D4DDA0A}"/>
    <cellStyle name="Normal 2 2 7 4" xfId="5057" xr:uid="{00000000-0005-0000-0000-00004B130000}"/>
    <cellStyle name="Normal 2 2 7 4 2" xfId="6072" xr:uid="{00000000-0005-0000-0000-00004C130000}"/>
    <cellStyle name="Normal 2 2 7 4 2 2" xfId="7412" xr:uid="{00000000-0005-0000-0000-00004D130000}"/>
    <cellStyle name="Normal 2 2 7 4 2 2 2" xfId="15845" xr:uid="{00000000-0005-0000-0000-00004E130000}"/>
    <cellStyle name="Normal 2 2 7 4 2 2 2 2" xfId="27739" xr:uid="{6F5A7CC3-A952-4E43-A4AF-62E508083B7F}"/>
    <cellStyle name="Normal 2 2 7 4 2 2 2 3" xfId="22079" xr:uid="{66D307A7-36D4-4F01-A140-FE77456632A9}"/>
    <cellStyle name="Normal 2 2 7 4 2 2 2 4" xfId="33119" xr:uid="{4A218E1E-CBDE-4492-9DFD-7A9872A1C499}"/>
    <cellStyle name="Normal 2 2 7 4 2 2 2 5" xfId="37387" xr:uid="{4353EBA4-844B-4CD3-ACA2-712443387CA4}"/>
    <cellStyle name="Normal 2 2 7 4 2 2 3" xfId="24906" xr:uid="{323C81EE-2744-419D-8904-622D2B40EFCB}"/>
    <cellStyle name="Normal 2 2 7 4 2 2 4" xfId="19246" xr:uid="{11F48FE4-BD9D-4F61-B662-C5A9B7E101D4}"/>
    <cellStyle name="Normal 2 2 7 4 2 2 5" xfId="30567" xr:uid="{47A3CE26-019F-49CC-BBB3-50FA647E01DB}"/>
    <cellStyle name="Normal 2 2 7 4 2 2 6" xfId="37386" xr:uid="{11C6DE7D-F894-40D0-ACA0-4D1D8B7EFC24}"/>
    <cellStyle name="Normal 2 2 7 4 2 3" xfId="14525" xr:uid="{00000000-0005-0000-0000-00004F130000}"/>
    <cellStyle name="Normal 2 2 7 4 2 3 2" xfId="26483" xr:uid="{2F7F932A-DC38-438B-B675-5C4350A5636C}"/>
    <cellStyle name="Normal 2 2 7 4 2 3 3" xfId="20823" xr:uid="{EA7C329E-830E-48F1-BCA5-B8B6174442D3}"/>
    <cellStyle name="Normal 2 2 7 4 2 3 4" xfId="31863" xr:uid="{11218434-1BD7-4A43-A7AF-FDC55C8F49E4}"/>
    <cellStyle name="Normal 2 2 7 4 2 3 5" xfId="37388" xr:uid="{1C40C22C-A2A5-4FC9-9045-06E480929CC0}"/>
    <cellStyle name="Normal 2 2 7 4 2 4" xfId="23650" xr:uid="{A752EF36-3239-4FB7-B340-4FA597B72A2B}"/>
    <cellStyle name="Normal 2 2 7 4 2 5" xfId="17990" xr:uid="{F097258F-45EE-40CF-8A05-16516761FC4D}"/>
    <cellStyle name="Normal 2 2 7 4 2 6" xfId="29311" xr:uid="{23EA1975-7F29-42EE-8070-07B410AB8DB0}"/>
    <cellStyle name="Normal 2 2 7 4 2 7" xfId="37385" xr:uid="{5689057F-5DB2-4041-ADFB-FD9478C1D7EF}"/>
    <cellStyle name="Normal 2 2 7 4 3" xfId="6920" xr:uid="{00000000-0005-0000-0000-000050130000}"/>
    <cellStyle name="Normal 2 2 7 4 3 2" xfId="15353" xr:uid="{00000000-0005-0000-0000-000051130000}"/>
    <cellStyle name="Normal 2 2 7 4 3 2 2" xfId="27247" xr:uid="{C7D4FD1F-FB50-4458-90E1-318EDD16F5C2}"/>
    <cellStyle name="Normal 2 2 7 4 3 2 3" xfId="21587" xr:uid="{2585158B-4FBA-486B-88E8-F5A968EFFADA}"/>
    <cellStyle name="Normal 2 2 7 4 3 2 4" xfId="32627" xr:uid="{CD838946-1B9F-4294-B28F-573CF28E2472}"/>
    <cellStyle name="Normal 2 2 7 4 3 2 5" xfId="37390" xr:uid="{2F5697B4-1A51-463D-9E89-2013E34CD45D}"/>
    <cellStyle name="Normal 2 2 7 4 3 3" xfId="24414" xr:uid="{4FA8F837-E691-44F2-AA30-7E7D06F60A5F}"/>
    <cellStyle name="Normal 2 2 7 4 3 4" xfId="18754" xr:uid="{8BA5CFDA-F966-42E0-9B03-D3DA99160708}"/>
    <cellStyle name="Normal 2 2 7 4 3 5" xfId="30075" xr:uid="{80F7F04F-02BE-4A5A-BFD3-4E4B5058776D}"/>
    <cellStyle name="Normal 2 2 7 4 3 6" xfId="37389" xr:uid="{8F492E4D-06EA-43AA-84AE-3C9B4254BBC6}"/>
    <cellStyle name="Normal 2 2 7 4 4" xfId="13952" xr:uid="{00000000-0005-0000-0000-000052130000}"/>
    <cellStyle name="Normal 2 2 7 4 4 2" xfId="25993" xr:uid="{C3D8FB9D-FDDE-45B1-B442-D57D89E364DF}"/>
    <cellStyle name="Normal 2 2 7 4 4 3" xfId="20333" xr:uid="{E0A3739C-68F1-453C-8B2E-3A06F3DCCBC5}"/>
    <cellStyle name="Normal 2 2 7 4 4 4" xfId="31373" xr:uid="{0B496B98-AE29-4FC9-BEF1-1CED07C47736}"/>
    <cellStyle name="Normal 2 2 7 4 4 5" xfId="37391" xr:uid="{58D2DF14-D690-45DD-AC0A-9E6FDD9ADA24}"/>
    <cellStyle name="Normal 2 2 7 4 5" xfId="22852" xr:uid="{843677ED-2639-490F-8198-2402680632F1}"/>
    <cellStyle name="Normal 2 2 7 4 6" xfId="17192" xr:uid="{A1BB5B84-CBB9-4791-97EE-74F496432C8B}"/>
    <cellStyle name="Normal 2 2 7 4 7" xfId="28513" xr:uid="{F79023C8-D5E7-408F-8078-2B9AADCBB38C}"/>
    <cellStyle name="Normal 2 2 7 4 8" xfId="37384" xr:uid="{3517DBD1-1314-4FA1-B537-D8983416968D}"/>
    <cellStyle name="Normal 2 2 7 5" xfId="5656" xr:uid="{00000000-0005-0000-0000-000053130000}"/>
    <cellStyle name="Normal 2 2 7 5 2" xfId="37392" xr:uid="{24B88AC8-46D9-4BC0-B0CC-9E3024241849}"/>
    <cellStyle name="Normal 2 2 7 6" xfId="6502" xr:uid="{00000000-0005-0000-0000-000054130000}"/>
    <cellStyle name="Normal 2 2 7 6 2" xfId="14935" xr:uid="{00000000-0005-0000-0000-000055130000}"/>
    <cellStyle name="Normal 2 2 7 6 2 2" xfId="26829" xr:uid="{26A4D1C0-6AC6-4107-9933-CF8F5C5B2CA6}"/>
    <cellStyle name="Normal 2 2 7 6 2 3" xfId="21169" xr:uid="{F85CEE86-545C-4374-A192-D1B789927E4A}"/>
    <cellStyle name="Normal 2 2 7 6 2 4" xfId="32209" xr:uid="{53D3BA0C-3E64-4C86-BEAB-CA0C1EDC0491}"/>
    <cellStyle name="Normal 2 2 7 6 2 5" xfId="37394" xr:uid="{31A6C589-9AD9-4ECD-87C0-91880ADE0D9E}"/>
    <cellStyle name="Normal 2 2 7 6 3" xfId="23996" xr:uid="{6FDC44FC-0D8A-45AB-832D-B0CF150089B8}"/>
    <cellStyle name="Normal 2 2 7 6 4" xfId="18336" xr:uid="{79A7F599-EB2A-4A52-9569-01B372DDAA3F}"/>
    <cellStyle name="Normal 2 2 7 6 5" xfId="29657" xr:uid="{8B7BFA22-E4D5-43E1-AEF6-09F18D7B9C17}"/>
    <cellStyle name="Normal 2 2 7 6 6" xfId="37393" xr:uid="{B7048C83-AA36-405B-A189-A84C9B7479E0}"/>
    <cellStyle name="Normal 2 2 7 7" xfId="7837" xr:uid="{00000000-0005-0000-0000-000056130000}"/>
    <cellStyle name="Normal 2 2 7 7 2" xfId="25321" xr:uid="{8A8407AD-AF3A-497E-836C-24ACC5AB42F3}"/>
    <cellStyle name="Normal 2 2 7 7 3" xfId="19661" xr:uid="{9E7623E3-9F0C-4844-AD67-F4A2BA4C3C68}"/>
    <cellStyle name="Normal 2 2 7 7 4" xfId="30982" xr:uid="{E7D39A91-B5EE-4F65-BBED-1C30B842DB72}"/>
    <cellStyle name="Normal 2 2 7 7 5" xfId="37395" xr:uid="{C94E1E1F-A435-4584-A7D5-EF243AC466DD}"/>
    <cellStyle name="Normal 2 2 7 8" xfId="22434" xr:uid="{AF0A06D2-4D57-43C1-AFD3-E628799DE94B}"/>
    <cellStyle name="Normal 2 2 7 9" xfId="16774" xr:uid="{BA13C28E-D076-4140-B39A-CBDCD7F5F011}"/>
    <cellStyle name="Normal 2 2 8" xfId="2046" xr:uid="{00000000-0005-0000-0000-000057130000}"/>
    <cellStyle name="Normal 2 2 8 2" xfId="4174" xr:uid="{00000000-0005-0000-0000-000058130000}"/>
    <cellStyle name="Normal 2 2 8 2 10" xfId="37397" xr:uid="{A9BA6481-B1D8-40F7-9E96-13764F8A71DB}"/>
    <cellStyle name="Normal 2 2 8 2 2" xfId="4921" xr:uid="{00000000-0005-0000-0000-000059130000}"/>
    <cellStyle name="Normal 2 2 8 2 2 2" xfId="5340" xr:uid="{00000000-0005-0000-0000-00005A130000}"/>
    <cellStyle name="Normal 2 2 8 2 2 2 2" xfId="7203" xr:uid="{00000000-0005-0000-0000-00005B130000}"/>
    <cellStyle name="Normal 2 2 8 2 2 2 2 2" xfId="15636" xr:uid="{00000000-0005-0000-0000-00005C130000}"/>
    <cellStyle name="Normal 2 2 8 2 2 2 2 2 2" xfId="27530" xr:uid="{FD9724E0-5F15-4FD9-979E-3F7A0639BC1F}"/>
    <cellStyle name="Normal 2 2 8 2 2 2 2 2 3" xfId="21870" xr:uid="{2251D700-8587-4B7E-8807-4FB0A86921DF}"/>
    <cellStyle name="Normal 2 2 8 2 2 2 2 2 4" xfId="32910" xr:uid="{7B71EA39-39C3-4B0E-9A1C-C4F7EF1114AB}"/>
    <cellStyle name="Normal 2 2 8 2 2 2 2 2 5" xfId="37401" xr:uid="{9DAD3A66-1BDF-4156-9F85-EE487E6358EF}"/>
    <cellStyle name="Normal 2 2 8 2 2 2 2 3" xfId="24697" xr:uid="{07E7228D-70FB-46A8-8036-3BA7321D56CF}"/>
    <cellStyle name="Normal 2 2 8 2 2 2 2 4" xfId="19037" xr:uid="{005D8BF0-38FA-473D-BEF6-245D77069148}"/>
    <cellStyle name="Normal 2 2 8 2 2 2 2 5" xfId="30358" xr:uid="{6AE11347-50EF-46B2-9283-D88B27C5B2AB}"/>
    <cellStyle name="Normal 2 2 8 2 2 2 2 6" xfId="37400" xr:uid="{4627B68D-ACE5-4A51-A5CE-B35973F43FF0}"/>
    <cellStyle name="Normal 2 2 8 2 2 2 3" xfId="14226" xr:uid="{00000000-0005-0000-0000-00005D130000}"/>
    <cellStyle name="Normal 2 2 8 2 2 2 3 2" xfId="26265" xr:uid="{C3B771FA-C4EA-4AAF-AFDA-5A786D0EB31F}"/>
    <cellStyle name="Normal 2 2 8 2 2 2 3 3" xfId="20605" xr:uid="{0940B2A8-EADF-4258-A181-49E8BC117AD1}"/>
    <cellStyle name="Normal 2 2 8 2 2 2 3 4" xfId="31645" xr:uid="{4FB73E0D-F906-4488-B4D4-C396E08487D0}"/>
    <cellStyle name="Normal 2 2 8 2 2 2 3 5" xfId="37402" xr:uid="{0022A51A-BE2C-43F5-A5B0-931FEF28B40A}"/>
    <cellStyle name="Normal 2 2 8 2 2 2 4" xfId="23135" xr:uid="{9DF7CCBE-413D-4DAC-B13A-F70559F167EA}"/>
    <cellStyle name="Normal 2 2 8 2 2 2 5" xfId="17475" xr:uid="{E7A0E0B0-47A8-497A-B6C6-253AA7F91FDF}"/>
    <cellStyle name="Normal 2 2 8 2 2 2 6" xfId="28796" xr:uid="{8A156691-7971-4511-92D0-3C0DE4CEA0D4}"/>
    <cellStyle name="Normal 2 2 8 2 2 2 7" xfId="37399" xr:uid="{D2284089-E364-45A3-8059-D59ECF01198C}"/>
    <cellStyle name="Normal 2 2 8 2 2 3" xfId="6077" xr:uid="{00000000-0005-0000-0000-00005E130000}"/>
    <cellStyle name="Normal 2 2 8 2 2 3 2" xfId="7417" xr:uid="{00000000-0005-0000-0000-00005F130000}"/>
    <cellStyle name="Normal 2 2 8 2 2 3 2 2" xfId="15850" xr:uid="{00000000-0005-0000-0000-000060130000}"/>
    <cellStyle name="Normal 2 2 8 2 2 3 2 2 2" xfId="27744" xr:uid="{9A6CDF58-B007-408F-8F14-769CC8CB0607}"/>
    <cellStyle name="Normal 2 2 8 2 2 3 2 2 3" xfId="22084" xr:uid="{62E4D351-E7BA-4BEE-A8BD-7FFBE3EB76D1}"/>
    <cellStyle name="Normal 2 2 8 2 2 3 2 2 4" xfId="33124" xr:uid="{65910C66-9705-43D7-840F-8FD09FBF0D37}"/>
    <cellStyle name="Normal 2 2 8 2 2 3 2 2 5" xfId="37405" xr:uid="{3237EBB7-8D51-4D6D-A3FB-76C1E89B5470}"/>
    <cellStyle name="Normal 2 2 8 2 2 3 2 3" xfId="24911" xr:uid="{4A19A7C4-9567-4CC7-9065-BB00AE1C8F80}"/>
    <cellStyle name="Normal 2 2 8 2 2 3 2 4" xfId="19251" xr:uid="{74B60CE2-3AD1-458A-A2BC-4FC72006A4A1}"/>
    <cellStyle name="Normal 2 2 8 2 2 3 2 5" xfId="30572" xr:uid="{2713EED2-63FB-4B97-9CF6-FE4694316BFF}"/>
    <cellStyle name="Normal 2 2 8 2 2 3 2 6" xfId="37404" xr:uid="{4849118C-E35A-43FD-B000-521E83503291}"/>
    <cellStyle name="Normal 2 2 8 2 2 3 3" xfId="14530" xr:uid="{00000000-0005-0000-0000-000061130000}"/>
    <cellStyle name="Normal 2 2 8 2 2 3 3 2" xfId="26488" xr:uid="{A6F57DC7-9C4B-45C1-A49A-0054CEC60859}"/>
    <cellStyle name="Normal 2 2 8 2 2 3 3 3" xfId="20828" xr:uid="{1B4F6EF5-231E-4D0F-A7D3-DDE1BA024EED}"/>
    <cellStyle name="Normal 2 2 8 2 2 3 3 4" xfId="31868" xr:uid="{93CDCD5E-7EEC-46B1-9F1D-12FE6DA89F8A}"/>
    <cellStyle name="Normal 2 2 8 2 2 3 3 5" xfId="37406" xr:uid="{D96EF9F5-E250-43A7-B85C-2D7ED239BE08}"/>
    <cellStyle name="Normal 2 2 8 2 2 3 4" xfId="23655" xr:uid="{5F2DF82F-59D4-4D8D-9F14-43AAF8B3F568}"/>
    <cellStyle name="Normal 2 2 8 2 2 3 5" xfId="17995" xr:uid="{7F32E294-EEC0-4947-B604-BE9B492DEFD8}"/>
    <cellStyle name="Normal 2 2 8 2 2 3 6" xfId="29316" xr:uid="{7B37DB0D-BF9A-4C63-A7B4-064A2C527220}"/>
    <cellStyle name="Normal 2 2 8 2 2 3 7" xfId="37403" xr:uid="{FAB78F3F-5AA9-4B61-B492-CF7AD9C3C7FD}"/>
    <cellStyle name="Normal 2 2 8 2 2 4" xfId="6785" xr:uid="{00000000-0005-0000-0000-000062130000}"/>
    <cellStyle name="Normal 2 2 8 2 2 4 2" xfId="15218" xr:uid="{00000000-0005-0000-0000-000063130000}"/>
    <cellStyle name="Normal 2 2 8 2 2 4 2 2" xfId="27112" xr:uid="{4C143FB7-8D5B-44B9-B21F-D7561DE6DE1F}"/>
    <cellStyle name="Normal 2 2 8 2 2 4 2 3" xfId="21452" xr:uid="{B0551279-8219-432E-9B82-C4BB6A659520}"/>
    <cellStyle name="Normal 2 2 8 2 2 4 2 4" xfId="32492" xr:uid="{5EBB7052-E16C-4D5F-B353-728FD18560F9}"/>
    <cellStyle name="Normal 2 2 8 2 2 4 2 5" xfId="37408" xr:uid="{46880179-7B02-48B6-A2F6-EB618B8C6548}"/>
    <cellStyle name="Normal 2 2 8 2 2 4 3" xfId="24279" xr:uid="{5049D1FF-1570-486C-9374-431492EC7959}"/>
    <cellStyle name="Normal 2 2 8 2 2 4 4" xfId="18619" xr:uid="{CAD5AA41-146D-4A08-96C1-2D748B230312}"/>
    <cellStyle name="Normal 2 2 8 2 2 4 5" xfId="29940" xr:uid="{CA5723D6-9BB7-4F69-87EB-F8F7C9B205AD}"/>
    <cellStyle name="Normal 2 2 8 2 2 4 6" xfId="37407" xr:uid="{07F30C63-3C02-4D4C-805C-130272F1DA64}"/>
    <cellStyle name="Normal 2 2 8 2 2 5" xfId="7843" xr:uid="{00000000-0005-0000-0000-000064130000}"/>
    <cellStyle name="Normal 2 2 8 2 2 5 2" xfId="25327" xr:uid="{AFA376A3-4FF7-4B44-98AE-71C8A2EA90E8}"/>
    <cellStyle name="Normal 2 2 8 2 2 5 3" xfId="19667" xr:uid="{3544220A-60C3-4245-A99D-1C7225D87202}"/>
    <cellStyle name="Normal 2 2 8 2 2 5 4" xfId="30988" xr:uid="{2B167E9D-B07A-4F2F-B2C2-DA8425FA5DF5}"/>
    <cellStyle name="Normal 2 2 8 2 2 5 5" xfId="37409" xr:uid="{F75A0D2F-5455-48B3-809E-3624ED00E167}"/>
    <cellStyle name="Normal 2 2 8 2 2 6" xfId="22717" xr:uid="{A99840FE-4896-467B-A223-CA7B2367799B}"/>
    <cellStyle name="Normal 2 2 8 2 2 7" xfId="17057" xr:uid="{7E1CC541-8502-472B-AF43-D3972BF250F9}"/>
    <cellStyle name="Normal 2 2 8 2 2 8" xfId="28378" xr:uid="{2994F9D8-5E97-4E24-98C9-E925EF749829}"/>
    <cellStyle name="Normal 2 2 8 2 2 9" xfId="37398" xr:uid="{E1340FA5-4B7D-40F7-80C8-FE432BB61692}"/>
    <cellStyle name="Normal 2 2 8 2 3" xfId="5131" xr:uid="{00000000-0005-0000-0000-000065130000}"/>
    <cellStyle name="Normal 2 2 8 2 3 2" xfId="6994" xr:uid="{00000000-0005-0000-0000-000066130000}"/>
    <cellStyle name="Normal 2 2 8 2 3 2 2" xfId="15427" xr:uid="{00000000-0005-0000-0000-000067130000}"/>
    <cellStyle name="Normal 2 2 8 2 3 2 2 2" xfId="27321" xr:uid="{508B343D-C9A5-4FEA-B21D-CD2559225EA2}"/>
    <cellStyle name="Normal 2 2 8 2 3 2 2 3" xfId="21661" xr:uid="{37CC8278-412B-43AB-8D22-B88BEEE869B1}"/>
    <cellStyle name="Normal 2 2 8 2 3 2 2 4" xfId="32701" xr:uid="{517F9E65-871D-4FF3-9B50-1E637786D367}"/>
    <cellStyle name="Normal 2 2 8 2 3 2 2 5" xfId="37412" xr:uid="{F95D9A4C-D84F-4C9E-9F83-A09B89C99945}"/>
    <cellStyle name="Normal 2 2 8 2 3 2 3" xfId="24488" xr:uid="{D2E98E68-DE5D-4EEA-8788-0AE67F9FA040}"/>
    <cellStyle name="Normal 2 2 8 2 3 2 4" xfId="18828" xr:uid="{38C67B8E-A824-45A6-B666-6D60C2351827}"/>
    <cellStyle name="Normal 2 2 8 2 3 2 5" xfId="30149" xr:uid="{F4DA2923-2CA4-4E2F-AA78-4D7EF52094C5}"/>
    <cellStyle name="Normal 2 2 8 2 3 2 6" xfId="37411" xr:uid="{C6D72946-B72E-4720-9A97-5AE8FC69EB62}"/>
    <cellStyle name="Normal 2 2 8 2 3 3" xfId="14018" xr:uid="{00000000-0005-0000-0000-000068130000}"/>
    <cellStyle name="Normal 2 2 8 2 3 3 2" xfId="26057" xr:uid="{C7ED1377-79CF-4567-80BB-381A423FE34C}"/>
    <cellStyle name="Normal 2 2 8 2 3 3 3" xfId="20397" xr:uid="{13958F5E-D7DC-406C-B8B0-11CF144E3D38}"/>
    <cellStyle name="Normal 2 2 8 2 3 3 4" xfId="31437" xr:uid="{471FE211-E433-490E-8664-D01955DE57E1}"/>
    <cellStyle name="Normal 2 2 8 2 3 3 5" xfId="37413" xr:uid="{C2F43522-EBBD-4607-A920-4EAB8E8EBCC6}"/>
    <cellStyle name="Normal 2 2 8 2 3 4" xfId="22926" xr:uid="{D45DA085-2363-4B79-AB54-689B1D7AF25C}"/>
    <cellStyle name="Normal 2 2 8 2 3 5" xfId="17266" xr:uid="{5DD3D5A4-D609-43AA-8522-F1BABB897D73}"/>
    <cellStyle name="Normal 2 2 8 2 3 6" xfId="28587" xr:uid="{C0FA6748-347F-47E5-9E7C-6CAD5F6B2678}"/>
    <cellStyle name="Normal 2 2 8 2 3 7" xfId="37410" xr:uid="{94E7B333-3B9D-4588-817D-11B34C65C3AD}"/>
    <cellStyle name="Normal 2 2 8 2 4" xfId="6076" xr:uid="{00000000-0005-0000-0000-000069130000}"/>
    <cellStyle name="Normal 2 2 8 2 4 2" xfId="7416" xr:uid="{00000000-0005-0000-0000-00006A130000}"/>
    <cellStyle name="Normal 2 2 8 2 4 2 2" xfId="15849" xr:uid="{00000000-0005-0000-0000-00006B130000}"/>
    <cellStyle name="Normal 2 2 8 2 4 2 2 2" xfId="27743" xr:uid="{D514955D-CE05-4944-B36F-381F03E04FDD}"/>
    <cellStyle name="Normal 2 2 8 2 4 2 2 3" xfId="22083" xr:uid="{E27B8A62-998B-4D35-A932-79A28067DBBD}"/>
    <cellStyle name="Normal 2 2 8 2 4 2 2 4" xfId="33123" xr:uid="{AB1FB138-71A9-4F2A-9746-45B70B2A46EF}"/>
    <cellStyle name="Normal 2 2 8 2 4 2 2 5" xfId="37416" xr:uid="{0F2CE8E0-8431-43E6-9108-8D1FFB690D24}"/>
    <cellStyle name="Normal 2 2 8 2 4 2 3" xfId="24910" xr:uid="{CC4750BF-0033-41A5-AF54-C3CDC7CF086D}"/>
    <cellStyle name="Normal 2 2 8 2 4 2 4" xfId="19250" xr:uid="{D9F475E7-D5A5-4E58-AE6A-668184F9B935}"/>
    <cellStyle name="Normal 2 2 8 2 4 2 5" xfId="30571" xr:uid="{672264F3-965D-451F-9150-F5EC6F16EA21}"/>
    <cellStyle name="Normal 2 2 8 2 4 2 6" xfId="37415" xr:uid="{2B7DF42B-BC52-4EFD-BAF1-B1E881A51131}"/>
    <cellStyle name="Normal 2 2 8 2 4 3" xfId="14529" xr:uid="{00000000-0005-0000-0000-00006C130000}"/>
    <cellStyle name="Normal 2 2 8 2 4 3 2" xfId="26487" xr:uid="{45F4EB0F-5EE8-475E-967D-59CB3A5ABBDD}"/>
    <cellStyle name="Normal 2 2 8 2 4 3 3" xfId="20827" xr:uid="{9EB71710-60F7-474A-A4F7-9012D57C4566}"/>
    <cellStyle name="Normal 2 2 8 2 4 3 4" xfId="31867" xr:uid="{82C04D68-31BC-41C4-85A1-7578AB20BF82}"/>
    <cellStyle name="Normal 2 2 8 2 4 3 5" xfId="37417" xr:uid="{24AFC4D3-B0D6-457D-BD01-4F7BE0823D3E}"/>
    <cellStyle name="Normal 2 2 8 2 4 4" xfId="23654" xr:uid="{8AADDCAB-C171-42D3-9C5D-EF6186BCF79E}"/>
    <cellStyle name="Normal 2 2 8 2 4 5" xfId="17994" xr:uid="{E8782711-0255-4762-8459-17B5F91B10BA}"/>
    <cellStyle name="Normal 2 2 8 2 4 6" xfId="29315" xr:uid="{C2930C62-1F3D-4482-AC6D-6C5FBB5343C0}"/>
    <cellStyle name="Normal 2 2 8 2 4 7" xfId="37414" xr:uid="{A9DA5578-B40B-4664-935A-086B71796C57}"/>
    <cellStyle name="Normal 2 2 8 2 5" xfId="6576" xr:uid="{00000000-0005-0000-0000-00006D130000}"/>
    <cellStyle name="Normal 2 2 8 2 5 2" xfId="15009" xr:uid="{00000000-0005-0000-0000-00006E130000}"/>
    <cellStyle name="Normal 2 2 8 2 5 2 2" xfId="26903" xr:uid="{CD43449C-ACE1-4CEF-B43B-274B0D2A151B}"/>
    <cellStyle name="Normal 2 2 8 2 5 2 3" xfId="21243" xr:uid="{AC0786EE-0C98-4E3E-8EB8-A442795FE7DE}"/>
    <cellStyle name="Normal 2 2 8 2 5 2 4" xfId="32283" xr:uid="{9FC6CF5C-228C-42E7-AA4B-9991CFD1EC81}"/>
    <cellStyle name="Normal 2 2 8 2 5 2 5" xfId="37419" xr:uid="{D4DAA69D-B69F-4B5B-8C28-9C75D243FB04}"/>
    <cellStyle name="Normal 2 2 8 2 5 3" xfId="24070" xr:uid="{18FA8C09-0F80-48BD-964E-68F00440FB18}"/>
    <cellStyle name="Normal 2 2 8 2 5 4" xfId="18410" xr:uid="{A3210286-7DDF-44FD-A9F3-D1F91D3DB2E1}"/>
    <cellStyle name="Normal 2 2 8 2 5 5" xfId="29731" xr:uid="{815BB495-10F5-4A18-A40B-27548A544D72}"/>
    <cellStyle name="Normal 2 2 8 2 5 6" xfId="37418" xr:uid="{9D9B7253-4FD8-4960-BE05-F256343DC43F}"/>
    <cellStyle name="Normal 2 2 8 2 6" xfId="7842" xr:uid="{00000000-0005-0000-0000-00006F130000}"/>
    <cellStyle name="Normal 2 2 8 2 6 2" xfId="25326" xr:uid="{9507EB53-F355-40A5-810D-A1FA84A10242}"/>
    <cellStyle name="Normal 2 2 8 2 6 3" xfId="19666" xr:uid="{109F0C11-7C45-41EC-BBF4-1A2CA4751282}"/>
    <cellStyle name="Normal 2 2 8 2 6 4" xfId="30987" xr:uid="{69F6A4A9-8190-45D7-B5AF-129329A1D9E2}"/>
    <cellStyle name="Normal 2 2 8 2 6 5" xfId="37420" xr:uid="{96944197-A65A-4D80-88F1-E81DC2B183F1}"/>
    <cellStyle name="Normal 2 2 8 2 7" xfId="22508" xr:uid="{2704A5BF-24AA-4152-B903-5B65ED702021}"/>
    <cellStyle name="Normal 2 2 8 2 8" xfId="16848" xr:uid="{700A72CB-B080-4ABA-84CD-803A62A607DA}"/>
    <cellStyle name="Normal 2 2 8 2 9" xfId="28169" xr:uid="{C14CEBEA-448A-4832-A9C5-C534BC78A5C1}"/>
    <cellStyle name="Normal 2 2 8 3" xfId="7844" xr:uid="{00000000-0005-0000-0000-000070130000}"/>
    <cellStyle name="Normal 2 2 8 3 2" xfId="37421" xr:uid="{6DB55CDF-0F6F-4A70-A2B0-87373132B0E6}"/>
    <cellStyle name="Normal 2 2 8 4" xfId="7841" xr:uid="{00000000-0005-0000-0000-000071130000}"/>
    <cellStyle name="Normal 2 2 8 4 2" xfId="25325" xr:uid="{B320AA4B-FADD-4210-AA37-F565ECEBFBD8}"/>
    <cellStyle name="Normal 2 2 8 4 3" xfId="19665" xr:uid="{901E8009-6FB7-4852-B067-9CE8BABCAB22}"/>
    <cellStyle name="Normal 2 2 8 4 4" xfId="30986" xr:uid="{71F91202-0C8B-4478-B485-BB64D1CED8E2}"/>
    <cellStyle name="Normal 2 2 8 4 5" xfId="37422" xr:uid="{E96028AC-CC06-4CE8-A0D0-7D0A9585EAEC}"/>
    <cellStyle name="Normal 2 2 8 5" xfId="37396" xr:uid="{900F53AF-A55B-4552-BDD4-6B70EE7236BA}"/>
    <cellStyle name="Normal 2 2 9" xfId="4175" xr:uid="{00000000-0005-0000-0000-000072130000}"/>
    <cellStyle name="Normal 2 2 9 10" xfId="37423" xr:uid="{21414C28-6A8D-4E89-B7AC-F015FBA1592A}"/>
    <cellStyle name="Normal 2 2 9 2" xfId="4922" xr:uid="{00000000-0005-0000-0000-000073130000}"/>
    <cellStyle name="Normal 2 2 9 2 2" xfId="5341" xr:uid="{00000000-0005-0000-0000-000074130000}"/>
    <cellStyle name="Normal 2 2 9 2 2 2" xfId="7204" xr:uid="{00000000-0005-0000-0000-000075130000}"/>
    <cellStyle name="Normal 2 2 9 2 2 2 2" xfId="15637" xr:uid="{00000000-0005-0000-0000-000076130000}"/>
    <cellStyle name="Normal 2 2 9 2 2 2 2 2" xfId="27531" xr:uid="{46A48B83-D228-48CE-934D-04AFD365914B}"/>
    <cellStyle name="Normal 2 2 9 2 2 2 2 3" xfId="21871" xr:uid="{91ADECE1-D98A-4C01-9C0E-FC6C7BEC62BF}"/>
    <cellStyle name="Normal 2 2 9 2 2 2 2 4" xfId="32911" xr:uid="{20AA238F-EA00-4E5C-A104-CF56C5C1BBAF}"/>
    <cellStyle name="Normal 2 2 9 2 2 2 2 5" xfId="37427" xr:uid="{7A3751DB-B9CC-4AF8-939F-C0515CADEF92}"/>
    <cellStyle name="Normal 2 2 9 2 2 2 3" xfId="24698" xr:uid="{64505975-A51D-44FF-9616-B50BEF5087C1}"/>
    <cellStyle name="Normal 2 2 9 2 2 2 4" xfId="19038" xr:uid="{A009D3DF-6A2C-4370-B8BB-12AFE412CC20}"/>
    <cellStyle name="Normal 2 2 9 2 2 2 5" xfId="30359" xr:uid="{72CC93D8-6B05-4A05-B0FD-EE80C7DBA8BE}"/>
    <cellStyle name="Normal 2 2 9 2 2 2 6" xfId="37426" xr:uid="{AB1B2CCF-A1C7-4614-809B-7DDF3620FA9B}"/>
    <cellStyle name="Normal 2 2 9 2 2 3" xfId="14227" xr:uid="{00000000-0005-0000-0000-000077130000}"/>
    <cellStyle name="Normal 2 2 9 2 2 3 2" xfId="26266" xr:uid="{19E51D6F-38A2-477A-BC53-037B3B4BFF5F}"/>
    <cellStyle name="Normal 2 2 9 2 2 3 3" xfId="20606" xr:uid="{28033732-2F44-4E5F-8B9D-5C7349D6C8AE}"/>
    <cellStyle name="Normal 2 2 9 2 2 3 4" xfId="31646" xr:uid="{DC1ABE62-B83B-45AF-B72C-956EED210B32}"/>
    <cellStyle name="Normal 2 2 9 2 2 3 5" xfId="37428" xr:uid="{DBD230CD-D838-495D-95A7-BCA38703EE57}"/>
    <cellStyle name="Normal 2 2 9 2 2 4" xfId="23136" xr:uid="{778317C5-D74D-4BBF-9DAF-2BCC2713966A}"/>
    <cellStyle name="Normal 2 2 9 2 2 5" xfId="17476" xr:uid="{C1ABD6A0-1F14-454F-B504-992F21D8A902}"/>
    <cellStyle name="Normal 2 2 9 2 2 6" xfId="28797" xr:uid="{F58605A8-0956-48D8-91CE-234339D26430}"/>
    <cellStyle name="Normal 2 2 9 2 2 7" xfId="37425" xr:uid="{8132E23D-6416-45E0-93B6-3B034E3B541A}"/>
    <cellStyle name="Normal 2 2 9 2 3" xfId="6079" xr:uid="{00000000-0005-0000-0000-000078130000}"/>
    <cellStyle name="Normal 2 2 9 2 3 2" xfId="7419" xr:uid="{00000000-0005-0000-0000-000079130000}"/>
    <cellStyle name="Normal 2 2 9 2 3 2 2" xfId="15852" xr:uid="{00000000-0005-0000-0000-00007A130000}"/>
    <cellStyle name="Normal 2 2 9 2 3 2 2 2" xfId="27746" xr:uid="{47DF342A-B690-4159-A73C-DE72273D0877}"/>
    <cellStyle name="Normal 2 2 9 2 3 2 2 3" xfId="22086" xr:uid="{59BF3444-A37F-4E66-B700-BBA2E0304089}"/>
    <cellStyle name="Normal 2 2 9 2 3 2 2 4" xfId="33126" xr:uid="{33A9052B-6C29-4AE7-99A2-2BEB3AD2C341}"/>
    <cellStyle name="Normal 2 2 9 2 3 2 2 5" xfId="37431" xr:uid="{A10D1365-CB3F-44D9-9A4A-A6191245DF80}"/>
    <cellStyle name="Normal 2 2 9 2 3 2 3" xfId="24913" xr:uid="{7459269F-736D-41A9-9D88-6E994F06D08D}"/>
    <cellStyle name="Normal 2 2 9 2 3 2 4" xfId="19253" xr:uid="{F466C15B-5B7B-4F4B-AD39-2DCC6B186483}"/>
    <cellStyle name="Normal 2 2 9 2 3 2 5" xfId="30574" xr:uid="{96B631CE-E3A2-4CF4-951E-F61CABEC2499}"/>
    <cellStyle name="Normal 2 2 9 2 3 2 6" xfId="37430" xr:uid="{F194CC3C-BE73-40FA-9D12-2A44C947182F}"/>
    <cellStyle name="Normal 2 2 9 2 3 3" xfId="14532" xr:uid="{00000000-0005-0000-0000-00007B130000}"/>
    <cellStyle name="Normal 2 2 9 2 3 3 2" xfId="26490" xr:uid="{CE0BCA2C-635C-47BD-8A6B-336F9D89B7F6}"/>
    <cellStyle name="Normal 2 2 9 2 3 3 3" xfId="20830" xr:uid="{F255FE60-4B70-4C3C-81CD-5F5B83BBC213}"/>
    <cellStyle name="Normal 2 2 9 2 3 3 4" xfId="31870" xr:uid="{2750690F-254D-4D03-9909-22BCAEC4CDC0}"/>
    <cellStyle name="Normal 2 2 9 2 3 3 5" xfId="37432" xr:uid="{9BF79DFE-57DD-450E-98D8-8D9E03469CA4}"/>
    <cellStyle name="Normal 2 2 9 2 3 4" xfId="23657" xr:uid="{35645E29-ED03-46AE-B578-7F42999602DD}"/>
    <cellStyle name="Normal 2 2 9 2 3 5" xfId="17997" xr:uid="{78C90D64-295D-43F6-86F1-E4F7EEB30D8C}"/>
    <cellStyle name="Normal 2 2 9 2 3 6" xfId="29318" xr:uid="{C7061620-4496-42E6-A08D-A747824E1A0F}"/>
    <cellStyle name="Normal 2 2 9 2 3 7" xfId="37429" xr:uid="{3402D8D8-C8A7-4DC2-B77C-BD13C43DC834}"/>
    <cellStyle name="Normal 2 2 9 2 4" xfId="6786" xr:uid="{00000000-0005-0000-0000-00007C130000}"/>
    <cellStyle name="Normal 2 2 9 2 4 2" xfId="15219" xr:uid="{00000000-0005-0000-0000-00007D130000}"/>
    <cellStyle name="Normal 2 2 9 2 4 2 2" xfId="27113" xr:uid="{32621FFB-C4AE-4BF1-A3FD-8E3CD31E4AB2}"/>
    <cellStyle name="Normal 2 2 9 2 4 2 3" xfId="21453" xr:uid="{14C82807-9B33-4BAE-AD32-CA770F9CE41D}"/>
    <cellStyle name="Normal 2 2 9 2 4 2 4" xfId="32493" xr:uid="{AA6543D9-C9F5-4EB1-8D6F-4EAB88B50860}"/>
    <cellStyle name="Normal 2 2 9 2 4 2 5" xfId="37434" xr:uid="{901C801A-FFE0-4E7D-84EB-65CBDAB853A5}"/>
    <cellStyle name="Normal 2 2 9 2 4 3" xfId="24280" xr:uid="{0986F0BF-FFD6-4616-8FED-2C329FD869AB}"/>
    <cellStyle name="Normal 2 2 9 2 4 4" xfId="18620" xr:uid="{68660358-31A3-4A1C-978A-0DCA1AB222F7}"/>
    <cellStyle name="Normal 2 2 9 2 4 5" xfId="29941" xr:uid="{B2564386-78DC-426B-A2E0-D91814806CCC}"/>
    <cellStyle name="Normal 2 2 9 2 4 6" xfId="37433" xr:uid="{935C251F-EF67-4356-9ACA-5370B76B7C6D}"/>
    <cellStyle name="Normal 2 2 9 2 5" xfId="7846" xr:uid="{00000000-0005-0000-0000-00007E130000}"/>
    <cellStyle name="Normal 2 2 9 2 5 2" xfId="25329" xr:uid="{FEB6DEEE-27DF-41D7-BC62-E9B8F84920EF}"/>
    <cellStyle name="Normal 2 2 9 2 5 3" xfId="19669" xr:uid="{7607A791-4C23-4B37-9C1E-B8BC12DC8632}"/>
    <cellStyle name="Normal 2 2 9 2 5 4" xfId="30990" xr:uid="{EBCE5B21-4C8D-4850-ADF0-636397E6979A}"/>
    <cellStyle name="Normal 2 2 9 2 5 5" xfId="37435" xr:uid="{7A6054DA-6FD3-4576-8D7D-0E2E8A1A8E1D}"/>
    <cellStyle name="Normal 2 2 9 2 6" xfId="22718" xr:uid="{7D04A778-5DD6-4A1B-993E-9A7E9AA15D99}"/>
    <cellStyle name="Normal 2 2 9 2 7" xfId="17058" xr:uid="{0ABA3A03-E652-414F-99CE-172A9F786BC6}"/>
    <cellStyle name="Normal 2 2 9 2 8" xfId="28379" xr:uid="{BE87E007-38B8-4649-B2E7-BAAEF1638340}"/>
    <cellStyle name="Normal 2 2 9 2 9" xfId="37424" xr:uid="{3D35BE67-26C5-4BAA-91C0-DAC1BCAE55BF}"/>
    <cellStyle name="Normal 2 2 9 3" xfId="5132" xr:uid="{00000000-0005-0000-0000-00007F130000}"/>
    <cellStyle name="Normal 2 2 9 3 2" xfId="6078" xr:uid="{00000000-0005-0000-0000-000080130000}"/>
    <cellStyle name="Normal 2 2 9 3 2 2" xfId="7418" xr:uid="{00000000-0005-0000-0000-000081130000}"/>
    <cellStyle name="Normal 2 2 9 3 2 2 2" xfId="15851" xr:uid="{00000000-0005-0000-0000-000082130000}"/>
    <cellStyle name="Normal 2 2 9 3 2 2 2 2" xfId="27745" xr:uid="{13EFD796-1974-4FA3-BE9D-7DA9E4B0BB07}"/>
    <cellStyle name="Normal 2 2 9 3 2 2 2 3" xfId="22085" xr:uid="{268FC62F-9D98-4344-AF08-6B4E87183BCC}"/>
    <cellStyle name="Normal 2 2 9 3 2 2 2 4" xfId="33125" xr:uid="{E734176A-7474-474B-8A8D-69F8AAFB0AEB}"/>
    <cellStyle name="Normal 2 2 9 3 2 2 2 5" xfId="37439" xr:uid="{CE99AF94-E64F-49B8-807E-7D24F285F886}"/>
    <cellStyle name="Normal 2 2 9 3 2 2 3" xfId="24912" xr:uid="{59A89A06-9CFF-4C77-B5D0-AEECAE9DBDF9}"/>
    <cellStyle name="Normal 2 2 9 3 2 2 4" xfId="19252" xr:uid="{70CBF578-8A55-49BA-A705-B50A7DF814ED}"/>
    <cellStyle name="Normal 2 2 9 3 2 2 5" xfId="30573" xr:uid="{6F70FA19-0F7B-44A4-884C-A47E46B3B5D7}"/>
    <cellStyle name="Normal 2 2 9 3 2 2 6" xfId="37438" xr:uid="{30598C10-4CF2-4883-8DA3-489C3398CE51}"/>
    <cellStyle name="Normal 2 2 9 3 2 3" xfId="14531" xr:uid="{00000000-0005-0000-0000-000083130000}"/>
    <cellStyle name="Normal 2 2 9 3 2 3 2" xfId="26489" xr:uid="{D6CA7A0A-8969-46C3-80C3-C25F3027428D}"/>
    <cellStyle name="Normal 2 2 9 3 2 3 3" xfId="20829" xr:uid="{19A33BE3-328A-45F1-BF83-0FF6EE1A8130}"/>
    <cellStyle name="Normal 2 2 9 3 2 3 4" xfId="31869" xr:uid="{CBA8DFCD-7E6C-41E7-ADE7-DEC4428E521E}"/>
    <cellStyle name="Normal 2 2 9 3 2 3 5" xfId="37440" xr:uid="{A1340C4D-F3B0-4868-9D5A-9A8D4F22C821}"/>
    <cellStyle name="Normal 2 2 9 3 2 4" xfId="23656" xr:uid="{BDD78BD2-87E0-43A5-A583-C49EA241862B}"/>
    <cellStyle name="Normal 2 2 9 3 2 5" xfId="17996" xr:uid="{7FA1913E-DF89-4C04-A00F-BE264EECFB5D}"/>
    <cellStyle name="Normal 2 2 9 3 2 6" xfId="29317" xr:uid="{CDC304DB-1686-404A-959D-4D4767C0F9A7}"/>
    <cellStyle name="Normal 2 2 9 3 2 7" xfId="37437" xr:uid="{8780E6D1-789C-44DC-806B-D887C6F41F16}"/>
    <cellStyle name="Normal 2 2 9 3 3" xfId="6995" xr:uid="{00000000-0005-0000-0000-000084130000}"/>
    <cellStyle name="Normal 2 2 9 3 3 2" xfId="15428" xr:uid="{00000000-0005-0000-0000-000085130000}"/>
    <cellStyle name="Normal 2 2 9 3 3 2 2" xfId="27322" xr:uid="{054CB0B2-AB65-4856-BBD6-581EBB46B818}"/>
    <cellStyle name="Normal 2 2 9 3 3 2 3" xfId="21662" xr:uid="{B29AC9C1-6CFE-4AFC-AE2A-0C51AEF919FB}"/>
    <cellStyle name="Normal 2 2 9 3 3 2 4" xfId="32702" xr:uid="{C75B5ECB-231C-46ED-A08D-89DC7C794E09}"/>
    <cellStyle name="Normal 2 2 9 3 3 2 5" xfId="37442" xr:uid="{B402E8F5-8D8C-480E-819A-632F412BE1C6}"/>
    <cellStyle name="Normal 2 2 9 3 3 3" xfId="24489" xr:uid="{506ABD07-31DF-42C5-BD8B-F6FA2D367B41}"/>
    <cellStyle name="Normal 2 2 9 3 3 4" xfId="18829" xr:uid="{58EC4D63-F1AB-4E7A-97AC-73D3E0F60BE6}"/>
    <cellStyle name="Normal 2 2 9 3 3 5" xfId="30150" xr:uid="{B712DCA8-795F-4DD3-89A8-7E72A152C371}"/>
    <cellStyle name="Normal 2 2 9 3 3 6" xfId="37441" xr:uid="{F02F3A70-BAAD-47DC-9206-F62F809D3220}"/>
    <cellStyle name="Normal 2 2 9 3 4" xfId="14019" xr:uid="{00000000-0005-0000-0000-000086130000}"/>
    <cellStyle name="Normal 2 2 9 3 4 2" xfId="26058" xr:uid="{04A28506-51A1-4E39-BB3B-AEDA55056BAA}"/>
    <cellStyle name="Normal 2 2 9 3 4 3" xfId="20398" xr:uid="{F801A4FA-963C-4DD4-AFA4-83FE5634DFEE}"/>
    <cellStyle name="Normal 2 2 9 3 4 4" xfId="31438" xr:uid="{7256EA2F-53CC-4E4D-9EC0-85039F710005}"/>
    <cellStyle name="Normal 2 2 9 3 4 5" xfId="37443" xr:uid="{4361F7A7-7473-4049-9946-53A168C87262}"/>
    <cellStyle name="Normal 2 2 9 3 5" xfId="22927" xr:uid="{1F2A38B3-7E92-449B-8406-45F8FDE7BDF9}"/>
    <cellStyle name="Normal 2 2 9 3 6" xfId="17267" xr:uid="{856D7791-9D7C-42B1-A35E-52A7B9C4FF90}"/>
    <cellStyle name="Normal 2 2 9 3 7" xfId="28588" xr:uid="{D0F81B7F-960E-4A4B-BA69-CA146B978243}"/>
    <cellStyle name="Normal 2 2 9 3 8" xfId="37436" xr:uid="{4F93C4E8-B989-44C8-AE04-ED1EBA59DDF2}"/>
    <cellStyle name="Normal 2 2 9 4" xfId="5657" xr:uid="{00000000-0005-0000-0000-000087130000}"/>
    <cellStyle name="Normal 2 2 9 4 2" xfId="37444" xr:uid="{F4B0DF0B-5332-44FA-B94A-5BD3F4962CAB}"/>
    <cellStyle name="Normal 2 2 9 5" xfId="6577" xr:uid="{00000000-0005-0000-0000-000088130000}"/>
    <cellStyle name="Normal 2 2 9 5 2" xfId="15010" xr:uid="{00000000-0005-0000-0000-000089130000}"/>
    <cellStyle name="Normal 2 2 9 5 2 2" xfId="26904" xr:uid="{16A59772-BCC3-4DFF-9C00-F23CDBBFB7FE}"/>
    <cellStyle name="Normal 2 2 9 5 2 3" xfId="21244" xr:uid="{9E5B6A65-2FD1-4008-A359-5F6D27340E4C}"/>
    <cellStyle name="Normal 2 2 9 5 2 4" xfId="32284" xr:uid="{DCECD81A-4148-4DB9-9E86-336B63EA5285}"/>
    <cellStyle name="Normal 2 2 9 5 2 5" xfId="37446" xr:uid="{DA9612F3-98FB-4790-A88A-3BE5609BED4D}"/>
    <cellStyle name="Normal 2 2 9 5 3" xfId="24071" xr:uid="{1F67C9F7-6EEC-4F8C-BEDC-6B4D80DE64CB}"/>
    <cellStyle name="Normal 2 2 9 5 4" xfId="18411" xr:uid="{870539BD-5D38-41F2-8F3D-AD3B14D5F979}"/>
    <cellStyle name="Normal 2 2 9 5 5" xfId="29732" xr:uid="{41E312F1-C571-4571-8AAA-C0331AD1833F}"/>
    <cellStyle name="Normal 2 2 9 5 6" xfId="37445" xr:uid="{AD384C7C-C138-436D-865A-FF08A957ADBE}"/>
    <cellStyle name="Normal 2 2 9 6" xfId="7845" xr:uid="{00000000-0005-0000-0000-00008A130000}"/>
    <cellStyle name="Normal 2 2 9 6 2" xfId="25328" xr:uid="{47C8E8EB-6967-4422-88BC-569FB9841900}"/>
    <cellStyle name="Normal 2 2 9 6 3" xfId="19668" xr:uid="{B1243411-2EBA-4E16-A875-D99919FAAD1C}"/>
    <cellStyle name="Normal 2 2 9 6 4" xfId="30989" xr:uid="{D0049440-16BA-4CDE-A13E-4490F70FE19C}"/>
    <cellStyle name="Normal 2 2 9 6 5" xfId="37447" xr:uid="{AF0D5290-4373-4B60-856C-661203251585}"/>
    <cellStyle name="Normal 2 2 9 7" xfId="22509" xr:uid="{1F2AEA30-1E67-47C7-9A89-B68C2ABFBAAD}"/>
    <cellStyle name="Normal 2 2 9 8" xfId="16849" xr:uid="{C87080D5-6915-4495-B326-5AD6694A4A69}"/>
    <cellStyle name="Normal 2 2 9 9" xfId="28170" xr:uid="{FF1869CC-6A3E-425B-B036-C1399F6ABEE7}"/>
    <cellStyle name="Normal 2 2_ELC" xfId="2047" xr:uid="{00000000-0005-0000-0000-00008B130000}"/>
    <cellStyle name="Normal 2 20" xfId="2048" xr:uid="{00000000-0005-0000-0000-00008C130000}"/>
    <cellStyle name="Normal 2 20 2" xfId="37448" xr:uid="{84FB4FA9-C987-4726-A84C-C7363E524060}"/>
    <cellStyle name="Normal 2 21" xfId="2049" xr:uid="{00000000-0005-0000-0000-00008D130000}"/>
    <cellStyle name="Normal 2 21 2" xfId="37449" xr:uid="{936D2EDA-51F3-43F6-A980-E5D3FAE62086}"/>
    <cellStyle name="Normal 2 22" xfId="2050" xr:uid="{00000000-0005-0000-0000-00008E130000}"/>
    <cellStyle name="Normal 2 22 2" xfId="37450" xr:uid="{6A8E52FA-8419-4471-98A2-C43471AED8D6}"/>
    <cellStyle name="Normal 2 23" xfId="2051" xr:uid="{00000000-0005-0000-0000-00008F130000}"/>
    <cellStyle name="Normal 2 23 2" xfId="37451" xr:uid="{ECDEA01B-2CA7-44A8-B679-4A433E035E60}"/>
    <cellStyle name="Normal 2 24" xfId="2052" xr:uid="{00000000-0005-0000-0000-000090130000}"/>
    <cellStyle name="Normal 2 24 2" xfId="37452" xr:uid="{E3DC3305-9719-4234-922F-5FFA117CD5ED}"/>
    <cellStyle name="Normal 2 25" xfId="2053" xr:uid="{00000000-0005-0000-0000-000091130000}"/>
    <cellStyle name="Normal 2 25 2" xfId="37453" xr:uid="{E5ABDA7C-4DAA-436A-9364-EAE57344265E}"/>
    <cellStyle name="Normal 2 26" xfId="2054" xr:uid="{00000000-0005-0000-0000-000092130000}"/>
    <cellStyle name="Normal 2 26 2" xfId="37454" xr:uid="{198ACF4E-1764-4E9F-B9D8-1B40D4A36F70}"/>
    <cellStyle name="Normal 2 27" xfId="2055" xr:uid="{00000000-0005-0000-0000-000093130000}"/>
    <cellStyle name="Normal 2 27 2" xfId="37455" xr:uid="{C4B92FFE-32A5-438F-87C9-BDA97CDA3D58}"/>
    <cellStyle name="Normal 2 28" xfId="2056" xr:uid="{00000000-0005-0000-0000-000094130000}"/>
    <cellStyle name="Normal 2 28 2" xfId="37456" xr:uid="{7B9D4A66-EC89-42A8-AC1C-03FE433EDB89}"/>
    <cellStyle name="Normal 2 29" xfId="2057" xr:uid="{00000000-0005-0000-0000-000095130000}"/>
    <cellStyle name="Normal 2 29 2" xfId="37457" xr:uid="{760F8A12-6794-4505-A0B1-E0EDA6F135C6}"/>
    <cellStyle name="Normal 2 3" xfId="141" xr:uid="{00000000-0005-0000-0000-000096130000}"/>
    <cellStyle name="Normal 2 3 10" xfId="4176" xr:uid="{00000000-0005-0000-0000-000097130000}"/>
    <cellStyle name="Normal 2 3 10 10" xfId="37459" xr:uid="{04558D6B-15F4-4BE6-8094-0E9A8556F2C0}"/>
    <cellStyle name="Normal 2 3 10 2" xfId="4923" xr:uid="{00000000-0005-0000-0000-000098130000}"/>
    <cellStyle name="Normal 2 3 10 2 2" xfId="5342" xr:uid="{00000000-0005-0000-0000-000099130000}"/>
    <cellStyle name="Normal 2 3 10 2 2 2" xfId="7205" xr:uid="{00000000-0005-0000-0000-00009A130000}"/>
    <cellStyle name="Normal 2 3 10 2 2 2 2" xfId="15638" xr:uid="{00000000-0005-0000-0000-00009B130000}"/>
    <cellStyle name="Normal 2 3 10 2 2 2 2 2" xfId="27532" xr:uid="{2253DAC8-AB00-49E9-AEB9-D11AA2CB06F8}"/>
    <cellStyle name="Normal 2 3 10 2 2 2 2 3" xfId="21872" xr:uid="{67EB1FF4-EF4E-4420-9747-EDB454ED800A}"/>
    <cellStyle name="Normal 2 3 10 2 2 2 2 4" xfId="32912" xr:uid="{B16FD4DB-6105-4328-B395-2D0A6674B2A4}"/>
    <cellStyle name="Normal 2 3 10 2 2 2 2 5" xfId="37463" xr:uid="{784EC56C-6127-4828-A387-CC9C2318498D}"/>
    <cellStyle name="Normal 2 3 10 2 2 2 3" xfId="24699" xr:uid="{1529E0DD-0BD4-4F7F-9BA7-84E66691A894}"/>
    <cellStyle name="Normal 2 3 10 2 2 2 4" xfId="19039" xr:uid="{064393BC-C9FB-4C5C-B6B6-E4405FA99CAE}"/>
    <cellStyle name="Normal 2 3 10 2 2 2 5" xfId="30360" xr:uid="{47D790E6-F9DF-4C21-BF2D-9A56BF879ACB}"/>
    <cellStyle name="Normal 2 3 10 2 2 2 6" xfId="37462" xr:uid="{FE7DA1F2-0E5C-4C4D-9262-BD4AD68040E1}"/>
    <cellStyle name="Normal 2 3 10 2 2 3" xfId="14228" xr:uid="{00000000-0005-0000-0000-00009C130000}"/>
    <cellStyle name="Normal 2 3 10 2 2 3 2" xfId="26267" xr:uid="{B4AE2417-091E-4C4B-8E45-D1795B80BD70}"/>
    <cellStyle name="Normal 2 3 10 2 2 3 3" xfId="20607" xr:uid="{E112FD4E-8BBF-4B07-831E-B92FA80472CB}"/>
    <cellStyle name="Normal 2 3 10 2 2 3 4" xfId="31647" xr:uid="{EF1FC1C0-8672-4C02-9EDD-55C4157EF891}"/>
    <cellStyle name="Normal 2 3 10 2 2 3 5" xfId="37464" xr:uid="{534B2D3A-DACE-438C-97A3-BC55016F498C}"/>
    <cellStyle name="Normal 2 3 10 2 2 4" xfId="23137" xr:uid="{9B4A57BD-4295-407E-8D1B-9479415829A9}"/>
    <cellStyle name="Normal 2 3 10 2 2 5" xfId="17477" xr:uid="{183CB112-B01D-4A13-A1CB-39A4EA1AAE6E}"/>
    <cellStyle name="Normal 2 3 10 2 2 6" xfId="28798" xr:uid="{C0D52776-1F2C-47A0-84BD-995A3BF145AC}"/>
    <cellStyle name="Normal 2 3 10 2 2 7" xfId="37461" xr:uid="{36AF7E35-17F5-4949-B57D-18D018EA7D77}"/>
    <cellStyle name="Normal 2 3 10 2 3" xfId="6081" xr:uid="{00000000-0005-0000-0000-00009D130000}"/>
    <cellStyle name="Normal 2 3 10 2 3 2" xfId="7421" xr:uid="{00000000-0005-0000-0000-00009E130000}"/>
    <cellStyle name="Normal 2 3 10 2 3 2 2" xfId="15854" xr:uid="{00000000-0005-0000-0000-00009F130000}"/>
    <cellStyle name="Normal 2 3 10 2 3 2 2 2" xfId="27748" xr:uid="{DA8230C6-7836-4588-8CF2-3AC8C426B20F}"/>
    <cellStyle name="Normal 2 3 10 2 3 2 2 3" xfId="22088" xr:uid="{C768246D-7799-4AA9-97CF-147A12B7A5E5}"/>
    <cellStyle name="Normal 2 3 10 2 3 2 2 4" xfId="33128" xr:uid="{E70FA86F-9886-4690-B070-2856CE18B84E}"/>
    <cellStyle name="Normal 2 3 10 2 3 2 2 5" xfId="37467" xr:uid="{F8EA24BD-A4C5-48CC-91F2-1B3F5DD5F838}"/>
    <cellStyle name="Normal 2 3 10 2 3 2 3" xfId="24915" xr:uid="{6A7A48BF-29E2-4497-A9A2-A918EFE53636}"/>
    <cellStyle name="Normal 2 3 10 2 3 2 4" xfId="19255" xr:uid="{63AC29DA-39BD-4784-AD1C-BBF0859E7827}"/>
    <cellStyle name="Normal 2 3 10 2 3 2 5" xfId="30576" xr:uid="{114C90F6-FA9F-4D2B-A4E9-2C3F0D1985ED}"/>
    <cellStyle name="Normal 2 3 10 2 3 2 6" xfId="37466" xr:uid="{7AF1BD86-8417-4F9A-897B-37DF5505859A}"/>
    <cellStyle name="Normal 2 3 10 2 3 3" xfId="14534" xr:uid="{00000000-0005-0000-0000-0000A0130000}"/>
    <cellStyle name="Normal 2 3 10 2 3 3 2" xfId="26492" xr:uid="{247B3EEF-66BD-4691-9246-FBA41FEAD791}"/>
    <cellStyle name="Normal 2 3 10 2 3 3 3" xfId="20832" xr:uid="{24E697F5-666E-4E51-8222-9BE3D18BB373}"/>
    <cellStyle name="Normal 2 3 10 2 3 3 4" xfId="31872" xr:uid="{DB2FE572-20CF-45A2-A1AC-2F581905139C}"/>
    <cellStyle name="Normal 2 3 10 2 3 3 5" xfId="37468" xr:uid="{6BC50A4C-E08F-452B-A1CA-B994D1166BCE}"/>
    <cellStyle name="Normal 2 3 10 2 3 4" xfId="23659" xr:uid="{656234FF-8FAE-4B7B-9C56-16A77205CAE9}"/>
    <cellStyle name="Normal 2 3 10 2 3 5" xfId="17999" xr:uid="{8AA65C81-4FCE-42A1-9D18-6A8900E93E64}"/>
    <cellStyle name="Normal 2 3 10 2 3 6" xfId="29320" xr:uid="{FC3E7539-A8AE-427A-B744-5B387D57A80C}"/>
    <cellStyle name="Normal 2 3 10 2 3 7" xfId="37465" xr:uid="{1F05E957-5191-4E82-A6C4-F6A9EAE20E56}"/>
    <cellStyle name="Normal 2 3 10 2 4" xfId="6787" xr:uid="{00000000-0005-0000-0000-0000A1130000}"/>
    <cellStyle name="Normal 2 3 10 2 4 2" xfId="15220" xr:uid="{00000000-0005-0000-0000-0000A2130000}"/>
    <cellStyle name="Normal 2 3 10 2 4 2 2" xfId="27114" xr:uid="{BD309E22-4164-4C61-88E2-CC9EC4723327}"/>
    <cellStyle name="Normal 2 3 10 2 4 2 3" xfId="21454" xr:uid="{69E4D098-4D46-4BE2-8478-3764BE46E779}"/>
    <cellStyle name="Normal 2 3 10 2 4 2 4" xfId="32494" xr:uid="{66E8BD4D-EB24-4573-9ADB-2DB0148924A8}"/>
    <cellStyle name="Normal 2 3 10 2 4 2 5" xfId="37470" xr:uid="{8881C554-C01B-4246-9137-A5A67F53C4EF}"/>
    <cellStyle name="Normal 2 3 10 2 4 3" xfId="24281" xr:uid="{528FD75E-20CF-4010-812F-8DCF9CD4F8B9}"/>
    <cellStyle name="Normal 2 3 10 2 4 4" xfId="18621" xr:uid="{E56D9E73-67F3-480F-84F4-2DF0A8B4A8CD}"/>
    <cellStyle name="Normal 2 3 10 2 4 5" xfId="29942" xr:uid="{6D6F78D7-ABCB-4C57-B10D-540E5B166469}"/>
    <cellStyle name="Normal 2 3 10 2 4 6" xfId="37469" xr:uid="{1C114CF8-96FF-41A4-8BA8-01D319BE8F0C}"/>
    <cellStyle name="Normal 2 3 10 2 5" xfId="7848" xr:uid="{00000000-0005-0000-0000-0000A3130000}"/>
    <cellStyle name="Normal 2 3 10 2 5 2" xfId="25331" xr:uid="{1F418D76-265E-416E-B631-2BA464844F69}"/>
    <cellStyle name="Normal 2 3 10 2 5 3" xfId="19671" xr:uid="{B19425F9-AE6E-46D5-8E05-0CE5349012A0}"/>
    <cellStyle name="Normal 2 3 10 2 5 4" xfId="30992" xr:uid="{1C502A06-FFB8-4133-97DF-D6D11A434BCA}"/>
    <cellStyle name="Normal 2 3 10 2 5 5" xfId="37471" xr:uid="{35A237FD-2341-4B11-87CF-A9F3CC54B762}"/>
    <cellStyle name="Normal 2 3 10 2 6" xfId="22719" xr:uid="{1D359FEC-1B81-43AE-AD4D-B20E2557E23D}"/>
    <cellStyle name="Normal 2 3 10 2 7" xfId="17059" xr:uid="{A9CBAA10-B8B0-48FC-A4F6-9262421103C8}"/>
    <cellStyle name="Normal 2 3 10 2 8" xfId="28380" xr:uid="{361E60E1-D30B-4B5E-9FFE-FB1F955842E5}"/>
    <cellStyle name="Normal 2 3 10 2 9" xfId="37460" xr:uid="{91F24C63-6300-4E55-9104-DE5DF2C1311D}"/>
    <cellStyle name="Normal 2 3 10 3" xfId="5133" xr:uid="{00000000-0005-0000-0000-0000A4130000}"/>
    <cellStyle name="Normal 2 3 10 3 2" xfId="6080" xr:uid="{00000000-0005-0000-0000-0000A5130000}"/>
    <cellStyle name="Normal 2 3 10 3 2 2" xfId="7420" xr:uid="{00000000-0005-0000-0000-0000A6130000}"/>
    <cellStyle name="Normal 2 3 10 3 2 2 2" xfId="15853" xr:uid="{00000000-0005-0000-0000-0000A7130000}"/>
    <cellStyle name="Normal 2 3 10 3 2 2 2 2" xfId="27747" xr:uid="{A83DDD8D-AB68-4806-99F3-6E7625CAB581}"/>
    <cellStyle name="Normal 2 3 10 3 2 2 2 3" xfId="22087" xr:uid="{B2124CA8-4CDD-4DB6-A8C7-4DC688FE68B3}"/>
    <cellStyle name="Normal 2 3 10 3 2 2 2 4" xfId="33127" xr:uid="{DD089DC4-40F8-4B5F-8FCC-E1A52F0B0F3A}"/>
    <cellStyle name="Normal 2 3 10 3 2 2 2 5" xfId="37475" xr:uid="{56FB094B-F7D7-46E8-91A0-52B0E0D34BFF}"/>
    <cellStyle name="Normal 2 3 10 3 2 2 3" xfId="24914" xr:uid="{526ED3F4-2662-4106-ACFF-A60CABC3C00A}"/>
    <cellStyle name="Normal 2 3 10 3 2 2 4" xfId="19254" xr:uid="{59590800-6D10-4702-8B5C-59EF10092BDE}"/>
    <cellStyle name="Normal 2 3 10 3 2 2 5" xfId="30575" xr:uid="{ADAF0575-3748-40B4-AD2B-E001254D3457}"/>
    <cellStyle name="Normal 2 3 10 3 2 2 6" xfId="37474" xr:uid="{92F8C097-81D2-4A91-A179-38C6EF7E8334}"/>
    <cellStyle name="Normal 2 3 10 3 2 3" xfId="14533" xr:uid="{00000000-0005-0000-0000-0000A8130000}"/>
    <cellStyle name="Normal 2 3 10 3 2 3 2" xfId="26491" xr:uid="{BCFFB4BD-B7BD-4689-80EE-054CA6787616}"/>
    <cellStyle name="Normal 2 3 10 3 2 3 3" xfId="20831" xr:uid="{136A4C76-955C-429C-AA3F-A14EAD047B75}"/>
    <cellStyle name="Normal 2 3 10 3 2 3 4" xfId="31871" xr:uid="{FEEB36F1-E4E7-4DAC-9DF0-C38A208C2CF8}"/>
    <cellStyle name="Normal 2 3 10 3 2 3 5" xfId="37476" xr:uid="{11768D82-E333-488C-BCCB-F0AA08EE8E87}"/>
    <cellStyle name="Normal 2 3 10 3 2 4" xfId="23658" xr:uid="{E6592914-BDA3-43C3-87CD-0D491F369CE5}"/>
    <cellStyle name="Normal 2 3 10 3 2 5" xfId="17998" xr:uid="{9822D3FA-C0FD-44CF-A9F3-96590D5E3198}"/>
    <cellStyle name="Normal 2 3 10 3 2 6" xfId="29319" xr:uid="{E7C20F4D-CFBC-465E-A1FA-288CE6F56E48}"/>
    <cellStyle name="Normal 2 3 10 3 2 7" xfId="37473" xr:uid="{D5321C1D-B97E-423A-994B-D89E6A66CEF6}"/>
    <cellStyle name="Normal 2 3 10 3 3" xfId="6996" xr:uid="{00000000-0005-0000-0000-0000A9130000}"/>
    <cellStyle name="Normal 2 3 10 3 3 2" xfId="15429" xr:uid="{00000000-0005-0000-0000-0000AA130000}"/>
    <cellStyle name="Normal 2 3 10 3 3 2 2" xfId="27323" xr:uid="{42096935-E1D3-4EDF-9FA1-A4B1521A793B}"/>
    <cellStyle name="Normal 2 3 10 3 3 2 3" xfId="21663" xr:uid="{61A15F9C-990F-4933-8849-701159FCDDC1}"/>
    <cellStyle name="Normal 2 3 10 3 3 2 4" xfId="32703" xr:uid="{1C9110F4-2B1C-4C34-9D76-7BFC0A7A5115}"/>
    <cellStyle name="Normal 2 3 10 3 3 2 5" xfId="37478" xr:uid="{E00119AF-9396-4240-8EDC-E78D5E4C1263}"/>
    <cellStyle name="Normal 2 3 10 3 3 3" xfId="24490" xr:uid="{FA2F15AF-7B5E-42FE-B854-4ED3D5A82B3F}"/>
    <cellStyle name="Normal 2 3 10 3 3 4" xfId="18830" xr:uid="{C3DADEF5-9802-4A2F-B370-610A6B8CA714}"/>
    <cellStyle name="Normal 2 3 10 3 3 5" xfId="30151" xr:uid="{34147F37-17B0-4297-AF4C-FE67EF65F258}"/>
    <cellStyle name="Normal 2 3 10 3 3 6" xfId="37477" xr:uid="{69F7C41F-4C31-4CAE-BADD-FE530FA5D297}"/>
    <cellStyle name="Normal 2 3 10 3 4" xfId="14020" xr:uid="{00000000-0005-0000-0000-0000AB130000}"/>
    <cellStyle name="Normal 2 3 10 3 4 2" xfId="26059" xr:uid="{4AEB745D-BB07-49D6-AA26-41C0411CD17C}"/>
    <cellStyle name="Normal 2 3 10 3 4 3" xfId="20399" xr:uid="{CF9D7DBB-8B7C-4399-A053-1C59D10C3CAB}"/>
    <cellStyle name="Normal 2 3 10 3 4 4" xfId="31439" xr:uid="{FD6EB2B7-D880-4C50-ADC2-4267C73B18D8}"/>
    <cellStyle name="Normal 2 3 10 3 4 5" xfId="37479" xr:uid="{8D77EB24-031C-45EC-8276-5C1714FCC57B}"/>
    <cellStyle name="Normal 2 3 10 3 5" xfId="22928" xr:uid="{6179ACF0-4C0B-4AB9-98B7-0D5559FCEE37}"/>
    <cellStyle name="Normal 2 3 10 3 6" xfId="17268" xr:uid="{078F9FFC-ADC1-4564-91F3-A5BD30BC32DA}"/>
    <cellStyle name="Normal 2 3 10 3 7" xfId="28589" xr:uid="{C82BDA3F-678D-43C3-97F1-4B385D400FB5}"/>
    <cellStyle name="Normal 2 3 10 3 8" xfId="37472" xr:uid="{141B0A4C-9011-4F2A-B14B-11E398C9BFC9}"/>
    <cellStyle name="Normal 2 3 10 4" xfId="5658" xr:uid="{00000000-0005-0000-0000-0000AC130000}"/>
    <cellStyle name="Normal 2 3 10 4 2" xfId="37480" xr:uid="{B6882336-7C2C-4F7C-8F6B-CB0A3CEF2492}"/>
    <cellStyle name="Normal 2 3 10 5" xfId="6578" xr:uid="{00000000-0005-0000-0000-0000AD130000}"/>
    <cellStyle name="Normal 2 3 10 5 2" xfId="15011" xr:uid="{00000000-0005-0000-0000-0000AE130000}"/>
    <cellStyle name="Normal 2 3 10 5 2 2" xfId="26905" xr:uid="{E5B0BFD2-44DF-4D71-8968-7BD969273614}"/>
    <cellStyle name="Normal 2 3 10 5 2 3" xfId="21245" xr:uid="{720320E7-EBFE-45ED-8E15-8B900D01B6F3}"/>
    <cellStyle name="Normal 2 3 10 5 2 4" xfId="32285" xr:uid="{20832EC9-BA5A-4120-B39A-F5CD030EB4F7}"/>
    <cellStyle name="Normal 2 3 10 5 2 5" xfId="37482" xr:uid="{162BC6E3-ECC5-4D32-91A4-4B5C801F96C4}"/>
    <cellStyle name="Normal 2 3 10 5 3" xfId="24072" xr:uid="{6F76F39F-3F09-4D5F-B241-4F05509DFA29}"/>
    <cellStyle name="Normal 2 3 10 5 4" xfId="18412" xr:uid="{4F976BD8-574D-49E0-A3C9-1FC85D7DF144}"/>
    <cellStyle name="Normal 2 3 10 5 5" xfId="29733" xr:uid="{3E74DE13-91AB-4F9F-A491-8D2FF6679D95}"/>
    <cellStyle name="Normal 2 3 10 5 6" xfId="37481" xr:uid="{621146C4-CE7B-4490-B01C-F8919B4A4252}"/>
    <cellStyle name="Normal 2 3 10 6" xfId="7847" xr:uid="{00000000-0005-0000-0000-0000AF130000}"/>
    <cellStyle name="Normal 2 3 10 6 2" xfId="25330" xr:uid="{C0F93FAC-9283-4959-95D2-A32E50B67C8E}"/>
    <cellStyle name="Normal 2 3 10 6 3" xfId="19670" xr:uid="{BBC1B42B-926A-46E8-B50C-B6D431DD7139}"/>
    <cellStyle name="Normal 2 3 10 6 4" xfId="30991" xr:uid="{F1542214-6BF5-4908-AA50-BA0BE89DBC8A}"/>
    <cellStyle name="Normal 2 3 10 6 5" xfId="37483" xr:uid="{7952F97B-DE03-4738-97C7-B88A3ABC8489}"/>
    <cellStyle name="Normal 2 3 10 7" xfId="22510" xr:uid="{DD9F80FA-32F7-418A-AD6B-921CC354D03E}"/>
    <cellStyle name="Normal 2 3 10 8" xfId="16850" xr:uid="{D2DCB285-E597-443D-8E8E-7FDBE52B1C7A}"/>
    <cellStyle name="Normal 2 3 10 9" xfId="28171" xr:uid="{914695AC-647C-420F-A00C-A8C47FBF813F}"/>
    <cellStyle name="Normal 2 3 11" xfId="4177" xr:uid="{00000000-0005-0000-0000-0000B0130000}"/>
    <cellStyle name="Normal 2 3 11 10" xfId="37484" xr:uid="{B671389B-8DD4-4383-8DA8-1D0957F81C2C}"/>
    <cellStyle name="Normal 2 3 11 2" xfId="4924" xr:uid="{00000000-0005-0000-0000-0000B1130000}"/>
    <cellStyle name="Normal 2 3 11 2 2" xfId="5343" xr:uid="{00000000-0005-0000-0000-0000B2130000}"/>
    <cellStyle name="Normal 2 3 11 2 2 2" xfId="7206" xr:uid="{00000000-0005-0000-0000-0000B3130000}"/>
    <cellStyle name="Normal 2 3 11 2 2 2 2" xfId="15639" xr:uid="{00000000-0005-0000-0000-0000B4130000}"/>
    <cellStyle name="Normal 2 3 11 2 2 2 2 2" xfId="27533" xr:uid="{BB7A2D02-3719-473A-B229-DEE275CC5984}"/>
    <cellStyle name="Normal 2 3 11 2 2 2 2 3" xfId="21873" xr:uid="{F859B231-5108-4978-ADCD-3F31C2476F99}"/>
    <cellStyle name="Normal 2 3 11 2 2 2 2 4" xfId="32913" xr:uid="{58C95A3E-4DBA-420B-89B3-E1B83D59568D}"/>
    <cellStyle name="Normal 2 3 11 2 2 2 2 5" xfId="37488" xr:uid="{F9B1D1BE-BB6C-441B-8F70-07584C4040EA}"/>
    <cellStyle name="Normal 2 3 11 2 2 2 3" xfId="24700" xr:uid="{89F0E621-893D-4418-9259-2621685A09AD}"/>
    <cellStyle name="Normal 2 3 11 2 2 2 4" xfId="19040" xr:uid="{E1E6119C-A06B-40BA-AE7E-3C3100E2CCD0}"/>
    <cellStyle name="Normal 2 3 11 2 2 2 5" xfId="30361" xr:uid="{0F1C84FF-72EF-4E1F-8B1A-39CDF866A483}"/>
    <cellStyle name="Normal 2 3 11 2 2 2 6" xfId="37487" xr:uid="{648C2E8E-857A-4327-9529-3350D33FB0EC}"/>
    <cellStyle name="Normal 2 3 11 2 2 3" xfId="14229" xr:uid="{00000000-0005-0000-0000-0000B5130000}"/>
    <cellStyle name="Normal 2 3 11 2 2 3 2" xfId="26268" xr:uid="{9CBAF2C8-3CC3-4860-AC82-12B8007A4290}"/>
    <cellStyle name="Normal 2 3 11 2 2 3 3" xfId="20608" xr:uid="{319BC2E6-25D0-4055-8E53-C17E764F92FD}"/>
    <cellStyle name="Normal 2 3 11 2 2 3 4" xfId="31648" xr:uid="{CB616F3B-F339-4897-821E-E9B231FFC07F}"/>
    <cellStyle name="Normal 2 3 11 2 2 3 5" xfId="37489" xr:uid="{15F33127-9AE9-4B80-8846-6BD9503AFB1F}"/>
    <cellStyle name="Normal 2 3 11 2 2 4" xfId="23138" xr:uid="{D704CF6D-6160-4792-9F29-49B812852B69}"/>
    <cellStyle name="Normal 2 3 11 2 2 5" xfId="17478" xr:uid="{2E21E568-AA6E-49DA-AE1F-3F5841F782E8}"/>
    <cellStyle name="Normal 2 3 11 2 2 6" xfId="28799" xr:uid="{259AAD22-1DC6-4F99-AD67-0FF205DA8046}"/>
    <cellStyle name="Normal 2 3 11 2 2 7" xfId="37486" xr:uid="{DB50A6E9-C8C1-4804-AA33-37C78B05733E}"/>
    <cellStyle name="Normal 2 3 11 2 3" xfId="6083" xr:uid="{00000000-0005-0000-0000-0000B6130000}"/>
    <cellStyle name="Normal 2 3 11 2 3 2" xfId="7423" xr:uid="{00000000-0005-0000-0000-0000B7130000}"/>
    <cellStyle name="Normal 2 3 11 2 3 2 2" xfId="15856" xr:uid="{00000000-0005-0000-0000-0000B8130000}"/>
    <cellStyle name="Normal 2 3 11 2 3 2 2 2" xfId="27750" xr:uid="{B73C7519-2D29-4D99-BABF-2C18129FD26E}"/>
    <cellStyle name="Normal 2 3 11 2 3 2 2 3" xfId="22090" xr:uid="{6214E63E-5074-43BE-A861-F7568D8F1F4B}"/>
    <cellStyle name="Normal 2 3 11 2 3 2 2 4" xfId="33130" xr:uid="{8891A27B-48A2-474E-AE40-D59568D42ABC}"/>
    <cellStyle name="Normal 2 3 11 2 3 2 2 5" xfId="37492" xr:uid="{0AB9806B-CC1D-4FF9-9AF5-DC27BB0265C9}"/>
    <cellStyle name="Normal 2 3 11 2 3 2 3" xfId="24917" xr:uid="{A0DBF5DC-2131-44C1-9637-89B2CD44D7FA}"/>
    <cellStyle name="Normal 2 3 11 2 3 2 4" xfId="19257" xr:uid="{4330F0A5-E9B9-4042-B8D6-628BBA8AB56A}"/>
    <cellStyle name="Normal 2 3 11 2 3 2 5" xfId="30578" xr:uid="{A2C7F9FF-1BAD-448D-AE0E-406BC6C4DC2D}"/>
    <cellStyle name="Normal 2 3 11 2 3 2 6" xfId="37491" xr:uid="{553C1CC7-2044-4673-8F28-A3BC5AF0D9DD}"/>
    <cellStyle name="Normal 2 3 11 2 3 3" xfId="14536" xr:uid="{00000000-0005-0000-0000-0000B9130000}"/>
    <cellStyle name="Normal 2 3 11 2 3 3 2" xfId="26494" xr:uid="{70B65467-1F81-4214-8916-4C82298E20A2}"/>
    <cellStyle name="Normal 2 3 11 2 3 3 3" xfId="20834" xr:uid="{774082CE-0495-4ED2-A455-F615111FD8CA}"/>
    <cellStyle name="Normal 2 3 11 2 3 3 4" xfId="31874" xr:uid="{3E945915-C0A7-4ACE-B773-07A8C75233E1}"/>
    <cellStyle name="Normal 2 3 11 2 3 3 5" xfId="37493" xr:uid="{B4DE1D4A-65E2-4D0F-BBA6-326594D2770F}"/>
    <cellStyle name="Normal 2 3 11 2 3 4" xfId="23661" xr:uid="{13EB0103-701A-49DD-B036-2B58BA6E6CF7}"/>
    <cellStyle name="Normal 2 3 11 2 3 5" xfId="18001" xr:uid="{FDD8722B-774E-4739-8493-0817F24DE074}"/>
    <cellStyle name="Normal 2 3 11 2 3 6" xfId="29322" xr:uid="{A3D197FD-4846-4953-8B18-F13A20B60C5A}"/>
    <cellStyle name="Normal 2 3 11 2 3 7" xfId="37490" xr:uid="{08BCFBDD-EE63-45A5-B609-B0C51F46E5BA}"/>
    <cellStyle name="Normal 2 3 11 2 4" xfId="6788" xr:uid="{00000000-0005-0000-0000-0000BA130000}"/>
    <cellStyle name="Normal 2 3 11 2 4 2" xfId="15221" xr:uid="{00000000-0005-0000-0000-0000BB130000}"/>
    <cellStyle name="Normal 2 3 11 2 4 2 2" xfId="27115" xr:uid="{8F669AB3-05C6-43CC-9ED6-CCB338E68E65}"/>
    <cellStyle name="Normal 2 3 11 2 4 2 3" xfId="21455" xr:uid="{96F21540-B5F1-415B-96F5-D51D40BF9036}"/>
    <cellStyle name="Normal 2 3 11 2 4 2 4" xfId="32495" xr:uid="{E51CFA33-8708-4B38-A1B3-42820815A38B}"/>
    <cellStyle name="Normal 2 3 11 2 4 2 5" xfId="37495" xr:uid="{09CE4611-86AB-4EC3-A0BA-BB2D3C5F7A0F}"/>
    <cellStyle name="Normal 2 3 11 2 4 3" xfId="24282" xr:uid="{9C8D4690-895D-4C82-A97D-1EBD15F46A28}"/>
    <cellStyle name="Normal 2 3 11 2 4 4" xfId="18622" xr:uid="{9209F604-FAFA-4DD2-92C0-610B209685A6}"/>
    <cellStyle name="Normal 2 3 11 2 4 5" xfId="29943" xr:uid="{A5CD1F02-D60E-40B6-99DD-AD4F935ADDA0}"/>
    <cellStyle name="Normal 2 3 11 2 4 6" xfId="37494" xr:uid="{D57F3858-1B49-4B1A-9CE3-CA44A42F76B3}"/>
    <cellStyle name="Normal 2 3 11 2 5" xfId="7850" xr:uid="{00000000-0005-0000-0000-0000BC130000}"/>
    <cellStyle name="Normal 2 3 11 2 5 2" xfId="25333" xr:uid="{F53B384D-7021-4F2D-AE4C-48353BC693E4}"/>
    <cellStyle name="Normal 2 3 11 2 5 3" xfId="19673" xr:uid="{2FDBDF5A-90FE-4CFE-8006-FDA1E7F53683}"/>
    <cellStyle name="Normal 2 3 11 2 5 4" xfId="30994" xr:uid="{77A67C3A-CFC4-4B26-AC53-827995169167}"/>
    <cellStyle name="Normal 2 3 11 2 5 5" xfId="37496" xr:uid="{43810C59-8554-4FDA-A843-7C6E4CB87308}"/>
    <cellStyle name="Normal 2 3 11 2 6" xfId="22720" xr:uid="{4DE2DA07-4983-42EA-A0F5-03888C6BD10C}"/>
    <cellStyle name="Normal 2 3 11 2 7" xfId="17060" xr:uid="{2DD7B79B-E308-4C09-BE79-5C7AB796D1A1}"/>
    <cellStyle name="Normal 2 3 11 2 8" xfId="28381" xr:uid="{A58DF91E-1631-4287-815C-4C9C7368B1CC}"/>
    <cellStyle name="Normal 2 3 11 2 9" xfId="37485" xr:uid="{2C48BC74-0B03-460C-B426-BA7B79F1366A}"/>
    <cellStyle name="Normal 2 3 11 3" xfId="5134" xr:uid="{00000000-0005-0000-0000-0000BD130000}"/>
    <cellStyle name="Normal 2 3 11 3 2" xfId="6082" xr:uid="{00000000-0005-0000-0000-0000BE130000}"/>
    <cellStyle name="Normal 2 3 11 3 2 2" xfId="7422" xr:uid="{00000000-0005-0000-0000-0000BF130000}"/>
    <cellStyle name="Normal 2 3 11 3 2 2 2" xfId="15855" xr:uid="{00000000-0005-0000-0000-0000C0130000}"/>
    <cellStyle name="Normal 2 3 11 3 2 2 2 2" xfId="27749" xr:uid="{10DEA142-DD77-4952-BF07-3936712B9D72}"/>
    <cellStyle name="Normal 2 3 11 3 2 2 2 3" xfId="22089" xr:uid="{7DD007C0-4FC7-4761-9447-6ED6B102D653}"/>
    <cellStyle name="Normal 2 3 11 3 2 2 2 4" xfId="33129" xr:uid="{DC76D491-9B7E-469B-934B-0E556BE8F55D}"/>
    <cellStyle name="Normal 2 3 11 3 2 2 2 5" xfId="37500" xr:uid="{03E915F3-E555-4BDE-B90E-D7DC9578F28A}"/>
    <cellStyle name="Normal 2 3 11 3 2 2 3" xfId="24916" xr:uid="{07507BFC-B9CF-4831-B42C-08A898C21FE3}"/>
    <cellStyle name="Normal 2 3 11 3 2 2 4" xfId="19256" xr:uid="{CAE9C46D-8B03-4776-8F3A-122F1D6ED873}"/>
    <cellStyle name="Normal 2 3 11 3 2 2 5" xfId="30577" xr:uid="{B1A11BC5-57EC-44D3-95A7-223C67C12AE1}"/>
    <cellStyle name="Normal 2 3 11 3 2 2 6" xfId="37499" xr:uid="{F3FE1EB6-E184-477A-A203-1A7C4C13A56C}"/>
    <cellStyle name="Normal 2 3 11 3 2 3" xfId="14535" xr:uid="{00000000-0005-0000-0000-0000C1130000}"/>
    <cellStyle name="Normal 2 3 11 3 2 3 2" xfId="26493" xr:uid="{31B8E5FB-E33D-4A32-87FF-637A954E15AE}"/>
    <cellStyle name="Normal 2 3 11 3 2 3 3" xfId="20833" xr:uid="{5FD02CD9-2FDE-424A-BACE-2C09B33EC149}"/>
    <cellStyle name="Normal 2 3 11 3 2 3 4" xfId="31873" xr:uid="{2596E8E4-0D34-4946-A77A-8DF98F15AB9C}"/>
    <cellStyle name="Normal 2 3 11 3 2 3 5" xfId="37501" xr:uid="{946F415C-6671-448B-AEFD-A50D71F3A851}"/>
    <cellStyle name="Normal 2 3 11 3 2 4" xfId="23660" xr:uid="{5B74ADFB-27A3-444E-91F5-4538BC1DD496}"/>
    <cellStyle name="Normal 2 3 11 3 2 5" xfId="18000" xr:uid="{D3B3CC83-07B1-4117-850E-907F13B5F2D0}"/>
    <cellStyle name="Normal 2 3 11 3 2 6" xfId="29321" xr:uid="{89D86ACB-09B5-49FD-ACD3-5E5AB3C8ADB8}"/>
    <cellStyle name="Normal 2 3 11 3 2 7" xfId="37498" xr:uid="{36580127-A928-4EB8-BC47-E4DD28E6CB40}"/>
    <cellStyle name="Normal 2 3 11 3 3" xfId="6997" xr:uid="{00000000-0005-0000-0000-0000C2130000}"/>
    <cellStyle name="Normal 2 3 11 3 3 2" xfId="15430" xr:uid="{00000000-0005-0000-0000-0000C3130000}"/>
    <cellStyle name="Normal 2 3 11 3 3 2 2" xfId="27324" xr:uid="{03A5A32B-C803-4DD7-8EFE-CCE087EE1F20}"/>
    <cellStyle name="Normal 2 3 11 3 3 2 3" xfId="21664" xr:uid="{93160A32-09F9-4C8C-8677-BFE89B366A42}"/>
    <cellStyle name="Normal 2 3 11 3 3 2 4" xfId="32704" xr:uid="{F2849FBB-88D9-4958-9B5A-DE65862847F9}"/>
    <cellStyle name="Normal 2 3 11 3 3 2 5" xfId="37503" xr:uid="{B618ADE8-DCF6-4455-ACA8-098142FDC368}"/>
    <cellStyle name="Normal 2 3 11 3 3 3" xfId="24491" xr:uid="{372A5C1E-D11B-4BE3-9013-A9A3D189AB3B}"/>
    <cellStyle name="Normal 2 3 11 3 3 4" xfId="18831" xr:uid="{D148AAE5-BD2A-48F8-957F-49FE1CF01D1B}"/>
    <cellStyle name="Normal 2 3 11 3 3 5" xfId="30152" xr:uid="{48863A5F-9C77-4645-AC5E-5A735F2539C9}"/>
    <cellStyle name="Normal 2 3 11 3 3 6" xfId="37502" xr:uid="{5D23B035-F5D0-4073-91C0-E50097789425}"/>
    <cellStyle name="Normal 2 3 11 3 4" xfId="14021" xr:uid="{00000000-0005-0000-0000-0000C4130000}"/>
    <cellStyle name="Normal 2 3 11 3 4 2" xfId="26060" xr:uid="{8C91894F-818B-43AB-A704-6BB4FEFB4D67}"/>
    <cellStyle name="Normal 2 3 11 3 4 3" xfId="20400" xr:uid="{7E1A065B-D694-4998-B5AA-C6C9BD51ACEC}"/>
    <cellStyle name="Normal 2 3 11 3 4 4" xfId="31440" xr:uid="{2B06E96A-649C-440E-915C-476CAFA13443}"/>
    <cellStyle name="Normal 2 3 11 3 4 5" xfId="37504" xr:uid="{AA30A9ED-D7B6-4627-B3EE-C10BC29EA963}"/>
    <cellStyle name="Normal 2 3 11 3 5" xfId="22929" xr:uid="{1E705BFA-6EC8-4BF2-AA71-A2A14807FD6E}"/>
    <cellStyle name="Normal 2 3 11 3 6" xfId="17269" xr:uid="{FE8EF0A5-A9E8-470E-BCF4-8ACC1E4F20A1}"/>
    <cellStyle name="Normal 2 3 11 3 7" xfId="28590" xr:uid="{5EF0FBB3-5E76-42CE-BA60-93D43C5386FF}"/>
    <cellStyle name="Normal 2 3 11 3 8" xfId="37497" xr:uid="{2526E736-F411-47EF-BE97-0E797F3E1DF0}"/>
    <cellStyle name="Normal 2 3 11 4" xfId="5659" xr:uid="{00000000-0005-0000-0000-0000C5130000}"/>
    <cellStyle name="Normal 2 3 11 4 2" xfId="37505" xr:uid="{03CCAB58-5FE2-47CA-8A81-E19459F854A4}"/>
    <cellStyle name="Normal 2 3 11 5" xfId="6579" xr:uid="{00000000-0005-0000-0000-0000C6130000}"/>
    <cellStyle name="Normal 2 3 11 5 2" xfId="15012" xr:uid="{00000000-0005-0000-0000-0000C7130000}"/>
    <cellStyle name="Normal 2 3 11 5 2 2" xfId="26906" xr:uid="{8332CB76-AD42-4FA2-B89C-8DE80EBEF063}"/>
    <cellStyle name="Normal 2 3 11 5 2 3" xfId="21246" xr:uid="{356258D8-FEA8-4263-9752-88F243C89098}"/>
    <cellStyle name="Normal 2 3 11 5 2 4" xfId="32286" xr:uid="{3E8215A7-FCF2-43D8-B31B-C00AEC973BEA}"/>
    <cellStyle name="Normal 2 3 11 5 2 5" xfId="37507" xr:uid="{EBE3031F-D743-4C8F-B948-1BDA9D076D52}"/>
    <cellStyle name="Normal 2 3 11 5 3" xfId="24073" xr:uid="{DF91DC67-46D3-42D2-8793-1106BB3AEF13}"/>
    <cellStyle name="Normal 2 3 11 5 4" xfId="18413" xr:uid="{76A90EA7-40BD-4475-B0EC-8EFCD17B473E}"/>
    <cellStyle name="Normal 2 3 11 5 5" xfId="29734" xr:uid="{632C38F9-2F4B-4D6D-9418-98FCA44C05A5}"/>
    <cellStyle name="Normal 2 3 11 5 6" xfId="37506" xr:uid="{D2DC07BE-003E-4A19-A4F1-F1B9BC8334F2}"/>
    <cellStyle name="Normal 2 3 11 6" xfId="7849" xr:uid="{00000000-0005-0000-0000-0000C8130000}"/>
    <cellStyle name="Normal 2 3 11 6 2" xfId="25332" xr:uid="{7A7A01BF-F173-4E25-BCF8-F9D3A2F11280}"/>
    <cellStyle name="Normal 2 3 11 6 3" xfId="19672" xr:uid="{72451049-B677-443F-8567-F6EB1AF62326}"/>
    <cellStyle name="Normal 2 3 11 6 4" xfId="30993" xr:uid="{A25670EF-5468-4608-8244-1F80F7A4B279}"/>
    <cellStyle name="Normal 2 3 11 6 5" xfId="37508" xr:uid="{1B1760BA-62C9-4A8D-9B0C-9CE0B6CF1CED}"/>
    <cellStyle name="Normal 2 3 11 7" xfId="22511" xr:uid="{367621BF-AC43-4C39-BB93-F1A29394B6B0}"/>
    <cellStyle name="Normal 2 3 11 8" xfId="16851" xr:uid="{AB81D3A9-0FD2-44BF-ACFE-668D457986BF}"/>
    <cellStyle name="Normal 2 3 11 9" xfId="28172" xr:uid="{23F05DB6-A8D4-499F-92D5-B73072454094}"/>
    <cellStyle name="Normal 2 3 12" xfId="4178" xr:uid="{00000000-0005-0000-0000-0000C9130000}"/>
    <cellStyle name="Normal 2 3 12 10" xfId="37509" xr:uid="{AE722C6B-DB6B-4ACA-9A3A-74822E596DA1}"/>
    <cellStyle name="Normal 2 3 12 2" xfId="4925" xr:uid="{00000000-0005-0000-0000-0000CA130000}"/>
    <cellStyle name="Normal 2 3 12 2 2" xfId="5344" xr:uid="{00000000-0005-0000-0000-0000CB130000}"/>
    <cellStyle name="Normal 2 3 12 2 2 2" xfId="7207" xr:uid="{00000000-0005-0000-0000-0000CC130000}"/>
    <cellStyle name="Normal 2 3 12 2 2 2 2" xfId="15640" xr:uid="{00000000-0005-0000-0000-0000CD130000}"/>
    <cellStyle name="Normal 2 3 12 2 2 2 2 2" xfId="27534" xr:uid="{C0125707-A0CA-4818-B920-B27A1740BD8F}"/>
    <cellStyle name="Normal 2 3 12 2 2 2 2 3" xfId="21874" xr:uid="{94AAC54B-87FC-4D1F-8650-F1C295B44AAE}"/>
    <cellStyle name="Normal 2 3 12 2 2 2 2 4" xfId="32914" xr:uid="{BF7E85D4-5611-40F4-A143-B560C8F419C6}"/>
    <cellStyle name="Normal 2 3 12 2 2 2 2 5" xfId="37513" xr:uid="{4DC83092-1836-423B-BE88-89587D36F325}"/>
    <cellStyle name="Normal 2 3 12 2 2 2 3" xfId="24701" xr:uid="{AE595A9E-6085-4193-85E0-06015C81631B}"/>
    <cellStyle name="Normal 2 3 12 2 2 2 4" xfId="19041" xr:uid="{6BD5AF61-2E83-4E36-B50D-B5C3A5C361A7}"/>
    <cellStyle name="Normal 2 3 12 2 2 2 5" xfId="30362" xr:uid="{30526298-5749-4000-A3B4-6CE76F7DEA32}"/>
    <cellStyle name="Normal 2 3 12 2 2 2 6" xfId="37512" xr:uid="{A76E617B-A13E-415B-9B49-101A42A96E10}"/>
    <cellStyle name="Normal 2 3 12 2 2 3" xfId="14230" xr:uid="{00000000-0005-0000-0000-0000CE130000}"/>
    <cellStyle name="Normal 2 3 12 2 2 3 2" xfId="26269" xr:uid="{974FBB57-1A93-48F0-BA6D-D05465786FC2}"/>
    <cellStyle name="Normal 2 3 12 2 2 3 3" xfId="20609" xr:uid="{C57A5879-BCEA-4F33-B629-A7744947C9F1}"/>
    <cellStyle name="Normal 2 3 12 2 2 3 4" xfId="31649" xr:uid="{70B6AF3B-0D65-43F2-AF95-99896B1458DF}"/>
    <cellStyle name="Normal 2 3 12 2 2 3 5" xfId="37514" xr:uid="{E94ED3A4-2D30-4543-A311-2A0FE81441C3}"/>
    <cellStyle name="Normal 2 3 12 2 2 4" xfId="23139" xr:uid="{56C475D4-A727-4914-A1F9-08B253EA90E1}"/>
    <cellStyle name="Normal 2 3 12 2 2 5" xfId="17479" xr:uid="{34964E2C-3723-4927-9102-DEEB82224AB3}"/>
    <cellStyle name="Normal 2 3 12 2 2 6" xfId="28800" xr:uid="{83645DCF-CD55-4754-AE75-31E723187EFE}"/>
    <cellStyle name="Normal 2 3 12 2 2 7" xfId="37511" xr:uid="{7E0E9754-858D-4621-9CD8-DBEC1E00A8AE}"/>
    <cellStyle name="Normal 2 3 12 2 3" xfId="6085" xr:uid="{00000000-0005-0000-0000-0000CF130000}"/>
    <cellStyle name="Normal 2 3 12 2 3 2" xfId="7425" xr:uid="{00000000-0005-0000-0000-0000D0130000}"/>
    <cellStyle name="Normal 2 3 12 2 3 2 2" xfId="15858" xr:uid="{00000000-0005-0000-0000-0000D1130000}"/>
    <cellStyle name="Normal 2 3 12 2 3 2 2 2" xfId="27752" xr:uid="{AB957192-DBDB-492D-96AD-02A57BA034C0}"/>
    <cellStyle name="Normal 2 3 12 2 3 2 2 3" xfId="22092" xr:uid="{AAA95B25-E691-48BF-A9EA-1FC27D627DF5}"/>
    <cellStyle name="Normal 2 3 12 2 3 2 2 4" xfId="33132" xr:uid="{9443109D-E41F-4C6E-BD3D-E21F416C0B7C}"/>
    <cellStyle name="Normal 2 3 12 2 3 2 2 5" xfId="37517" xr:uid="{9911D6B9-A451-4BE6-A82C-35BA4B202E8E}"/>
    <cellStyle name="Normal 2 3 12 2 3 2 3" xfId="24919" xr:uid="{0BEC5C03-E1E3-4A3D-858A-D6B46EDD4595}"/>
    <cellStyle name="Normal 2 3 12 2 3 2 4" xfId="19259" xr:uid="{D0ABF63E-5BF9-4F59-9F57-B5B0331B0B3F}"/>
    <cellStyle name="Normal 2 3 12 2 3 2 5" xfId="30580" xr:uid="{8F90199A-D2C9-41F6-8F3C-A832D9B176DA}"/>
    <cellStyle name="Normal 2 3 12 2 3 2 6" xfId="37516" xr:uid="{CFE38762-883F-4761-9089-E8B463B7784E}"/>
    <cellStyle name="Normal 2 3 12 2 3 3" xfId="14538" xr:uid="{00000000-0005-0000-0000-0000D2130000}"/>
    <cellStyle name="Normal 2 3 12 2 3 3 2" xfId="26496" xr:uid="{8ADE92B2-B5F2-49FE-96CF-183D0515283C}"/>
    <cellStyle name="Normal 2 3 12 2 3 3 3" xfId="20836" xr:uid="{BC13CC5D-E608-4906-A552-34787B748367}"/>
    <cellStyle name="Normal 2 3 12 2 3 3 4" xfId="31876" xr:uid="{7F951557-DE8E-4C85-98DB-2556BD3D01E0}"/>
    <cellStyle name="Normal 2 3 12 2 3 3 5" xfId="37518" xr:uid="{F3138DDC-BD6E-45E1-B5C1-10A744C2D6BC}"/>
    <cellStyle name="Normal 2 3 12 2 3 4" xfId="23663" xr:uid="{E697E58D-B3AC-453B-B392-353A4DB18C10}"/>
    <cellStyle name="Normal 2 3 12 2 3 5" xfId="18003" xr:uid="{51F29301-A0BC-4C07-9005-4557554AFEBA}"/>
    <cellStyle name="Normal 2 3 12 2 3 6" xfId="29324" xr:uid="{538B6482-BA75-4770-AC50-67C880D7AA32}"/>
    <cellStyle name="Normal 2 3 12 2 3 7" xfId="37515" xr:uid="{4105505F-19AA-40C0-A841-889722461429}"/>
    <cellStyle name="Normal 2 3 12 2 4" xfId="6789" xr:uid="{00000000-0005-0000-0000-0000D3130000}"/>
    <cellStyle name="Normal 2 3 12 2 4 2" xfId="15222" xr:uid="{00000000-0005-0000-0000-0000D4130000}"/>
    <cellStyle name="Normal 2 3 12 2 4 2 2" xfId="27116" xr:uid="{78039369-59E0-4100-A2A8-B721BB230CEA}"/>
    <cellStyle name="Normal 2 3 12 2 4 2 3" xfId="21456" xr:uid="{10EF0A02-14EA-48A9-8B6A-F2CE0D894D01}"/>
    <cellStyle name="Normal 2 3 12 2 4 2 4" xfId="32496" xr:uid="{234CF42C-16BD-4DE2-A4BC-E36949E4461B}"/>
    <cellStyle name="Normal 2 3 12 2 4 2 5" xfId="37520" xr:uid="{E3D919B7-BA94-4E79-B83D-D00E5A442206}"/>
    <cellStyle name="Normal 2 3 12 2 4 3" xfId="24283" xr:uid="{1B86FB5C-677A-4359-A9A6-0EEBD4C46090}"/>
    <cellStyle name="Normal 2 3 12 2 4 4" xfId="18623" xr:uid="{B97E7194-B3C2-415E-BFF2-6062085115BE}"/>
    <cellStyle name="Normal 2 3 12 2 4 5" xfId="29944" xr:uid="{436BE6C9-5B54-4D91-B499-D5228B330646}"/>
    <cellStyle name="Normal 2 3 12 2 4 6" xfId="37519" xr:uid="{9A85D824-73C9-489E-8CA7-5D3766A049BF}"/>
    <cellStyle name="Normal 2 3 12 2 5" xfId="7852" xr:uid="{00000000-0005-0000-0000-0000D5130000}"/>
    <cellStyle name="Normal 2 3 12 2 5 2" xfId="25335" xr:uid="{17D65998-F104-440E-BDE3-C0B34B95EBBD}"/>
    <cellStyle name="Normal 2 3 12 2 5 3" xfId="19675" xr:uid="{876C26A3-555F-45BD-9F88-149244F097D4}"/>
    <cellStyle name="Normal 2 3 12 2 5 4" xfId="30996" xr:uid="{C2952609-F816-4CE1-B01A-6E07D2424353}"/>
    <cellStyle name="Normal 2 3 12 2 5 5" xfId="37521" xr:uid="{EAB37E01-E065-4F06-8940-83D4BDB24E9B}"/>
    <cellStyle name="Normal 2 3 12 2 6" xfId="22721" xr:uid="{4259FCEB-515C-4F03-8A1A-8BF02D8B7635}"/>
    <cellStyle name="Normal 2 3 12 2 7" xfId="17061" xr:uid="{772D591C-AE05-4D42-AD5D-8E96673CACDE}"/>
    <cellStyle name="Normal 2 3 12 2 8" xfId="28382" xr:uid="{FAC7ED67-7A4A-499A-A87F-61A074014051}"/>
    <cellStyle name="Normal 2 3 12 2 9" xfId="37510" xr:uid="{EFC247D7-E462-421F-9714-DC3804F8CCB4}"/>
    <cellStyle name="Normal 2 3 12 3" xfId="5135" xr:uid="{00000000-0005-0000-0000-0000D6130000}"/>
    <cellStyle name="Normal 2 3 12 3 2" xfId="6084" xr:uid="{00000000-0005-0000-0000-0000D7130000}"/>
    <cellStyle name="Normal 2 3 12 3 2 2" xfId="7424" xr:uid="{00000000-0005-0000-0000-0000D8130000}"/>
    <cellStyle name="Normal 2 3 12 3 2 2 2" xfId="15857" xr:uid="{00000000-0005-0000-0000-0000D9130000}"/>
    <cellStyle name="Normal 2 3 12 3 2 2 2 2" xfId="27751" xr:uid="{9C3DFEE5-F2CF-4B82-AC95-66874907C481}"/>
    <cellStyle name="Normal 2 3 12 3 2 2 2 3" xfId="22091" xr:uid="{0428407B-7971-44BD-BDB2-387FF6C317B4}"/>
    <cellStyle name="Normal 2 3 12 3 2 2 2 4" xfId="33131" xr:uid="{890D031A-1B30-4CEE-AF21-3B34A3816ED9}"/>
    <cellStyle name="Normal 2 3 12 3 2 2 2 5" xfId="37525" xr:uid="{E99054A5-CC41-4595-BCE4-9427438C5785}"/>
    <cellStyle name="Normal 2 3 12 3 2 2 3" xfId="24918" xr:uid="{B1CE673E-495F-4800-B7C9-B3BA129B2099}"/>
    <cellStyle name="Normal 2 3 12 3 2 2 4" xfId="19258" xr:uid="{A042C7FA-334F-468D-BB04-5DE6878F50AB}"/>
    <cellStyle name="Normal 2 3 12 3 2 2 5" xfId="30579" xr:uid="{B470B1C8-3EC3-427F-84DC-5B47C7CE0427}"/>
    <cellStyle name="Normal 2 3 12 3 2 2 6" xfId="37524" xr:uid="{5252F66A-C007-4513-A917-312AF844FFCB}"/>
    <cellStyle name="Normal 2 3 12 3 2 3" xfId="14537" xr:uid="{00000000-0005-0000-0000-0000DA130000}"/>
    <cellStyle name="Normal 2 3 12 3 2 3 2" xfId="26495" xr:uid="{2BDA4640-9F5F-46F0-8DC0-A7548C259C10}"/>
    <cellStyle name="Normal 2 3 12 3 2 3 3" xfId="20835" xr:uid="{24DC90FA-5146-4886-A9A5-49396F3B67C5}"/>
    <cellStyle name="Normal 2 3 12 3 2 3 4" xfId="31875" xr:uid="{89D610E7-FA08-48D6-A859-BE15BD8AE0C4}"/>
    <cellStyle name="Normal 2 3 12 3 2 3 5" xfId="37526" xr:uid="{586BED7F-EC38-4996-B398-EA9F5CB7A7B8}"/>
    <cellStyle name="Normal 2 3 12 3 2 4" xfId="23662" xr:uid="{F08AF2A0-3BF0-4F70-B7C2-C0AC2EAAC11C}"/>
    <cellStyle name="Normal 2 3 12 3 2 5" xfId="18002" xr:uid="{1F7F9008-E68F-46DB-B638-4491A0A78036}"/>
    <cellStyle name="Normal 2 3 12 3 2 6" xfId="29323" xr:uid="{A412D250-3C66-44BD-81FC-730A2A6D8236}"/>
    <cellStyle name="Normal 2 3 12 3 2 7" xfId="37523" xr:uid="{BDC9B099-4027-4364-BA87-AC26D6F44461}"/>
    <cellStyle name="Normal 2 3 12 3 3" xfId="6998" xr:uid="{00000000-0005-0000-0000-0000DB130000}"/>
    <cellStyle name="Normal 2 3 12 3 3 2" xfId="15431" xr:uid="{00000000-0005-0000-0000-0000DC130000}"/>
    <cellStyle name="Normal 2 3 12 3 3 2 2" xfId="27325" xr:uid="{25992780-4863-4969-B327-CE45ADB9D03F}"/>
    <cellStyle name="Normal 2 3 12 3 3 2 3" xfId="21665" xr:uid="{CB48630F-16F8-4D07-85EA-F361F77A273E}"/>
    <cellStyle name="Normal 2 3 12 3 3 2 4" xfId="32705" xr:uid="{6BBC06B3-557F-474D-B5BA-4D9DCEA761E5}"/>
    <cellStyle name="Normal 2 3 12 3 3 2 5" xfId="37528" xr:uid="{DD62D508-CD15-44D3-8F8E-3328DCF8C3E6}"/>
    <cellStyle name="Normal 2 3 12 3 3 3" xfId="24492" xr:uid="{6B6D8BFB-C47E-4732-BB77-DD1175246104}"/>
    <cellStyle name="Normal 2 3 12 3 3 4" xfId="18832" xr:uid="{DD665CD8-32A6-4304-AB85-8521AD6A011F}"/>
    <cellStyle name="Normal 2 3 12 3 3 5" xfId="30153" xr:uid="{9A608F85-EC69-43D4-9E45-A6E6592F4241}"/>
    <cellStyle name="Normal 2 3 12 3 3 6" xfId="37527" xr:uid="{1FE2BCBC-5C3B-434E-9535-3177847DDD45}"/>
    <cellStyle name="Normal 2 3 12 3 4" xfId="14022" xr:uid="{00000000-0005-0000-0000-0000DD130000}"/>
    <cellStyle name="Normal 2 3 12 3 4 2" xfId="26061" xr:uid="{8643D79D-834F-4DF5-8DF3-02EE8ED84B4F}"/>
    <cellStyle name="Normal 2 3 12 3 4 3" xfId="20401" xr:uid="{5CF59132-E830-40CA-B0BE-B589F784848D}"/>
    <cellStyle name="Normal 2 3 12 3 4 4" xfId="31441" xr:uid="{7E18F64B-7448-4D55-B9E9-708976B7773A}"/>
    <cellStyle name="Normal 2 3 12 3 4 5" xfId="37529" xr:uid="{4B873C5A-9F7B-405E-8D26-AEEBFE295DA3}"/>
    <cellStyle name="Normal 2 3 12 3 5" xfId="22930" xr:uid="{B6572DB5-6A86-4B72-A304-E47B8C203FE8}"/>
    <cellStyle name="Normal 2 3 12 3 6" xfId="17270" xr:uid="{76AD10C9-4074-44CC-982D-B78F60E4EE1D}"/>
    <cellStyle name="Normal 2 3 12 3 7" xfId="28591" xr:uid="{98A77876-78EE-4D1E-AF25-9F6C86E6F7CD}"/>
    <cellStyle name="Normal 2 3 12 3 8" xfId="37522" xr:uid="{1FD38F43-DB97-4062-B623-9B2966FBFC14}"/>
    <cellStyle name="Normal 2 3 12 4" xfId="5660" xr:uid="{00000000-0005-0000-0000-0000DE130000}"/>
    <cellStyle name="Normal 2 3 12 4 2" xfId="37530" xr:uid="{7A3EBD59-8924-480C-BC76-B713B9499573}"/>
    <cellStyle name="Normal 2 3 12 5" xfId="6580" xr:uid="{00000000-0005-0000-0000-0000DF130000}"/>
    <cellStyle name="Normal 2 3 12 5 2" xfId="15013" xr:uid="{00000000-0005-0000-0000-0000E0130000}"/>
    <cellStyle name="Normal 2 3 12 5 2 2" xfId="26907" xr:uid="{25D6FA3B-244C-42B9-B58D-FA5B5B837CCD}"/>
    <cellStyle name="Normal 2 3 12 5 2 3" xfId="21247" xr:uid="{2731B004-3597-43AB-8CE7-7F056A6842CD}"/>
    <cellStyle name="Normal 2 3 12 5 2 4" xfId="32287" xr:uid="{1AEE6EC6-9A5B-4DBD-AAE7-FF3B0E87D51B}"/>
    <cellStyle name="Normal 2 3 12 5 2 5" xfId="37532" xr:uid="{C9310E74-C8A6-41AC-B31A-E89A6A489730}"/>
    <cellStyle name="Normal 2 3 12 5 3" xfId="24074" xr:uid="{55CCE94F-A644-4AEC-A90B-C703DA675A36}"/>
    <cellStyle name="Normal 2 3 12 5 4" xfId="18414" xr:uid="{CB14B163-49F7-41EF-809F-631C44E12A0E}"/>
    <cellStyle name="Normal 2 3 12 5 5" xfId="29735" xr:uid="{46880EAD-65E4-4724-B23B-F4556E79250D}"/>
    <cellStyle name="Normal 2 3 12 5 6" xfId="37531" xr:uid="{B4DA0420-B76A-46AD-8513-313D3C1CA78D}"/>
    <cellStyle name="Normal 2 3 12 6" xfId="7851" xr:uid="{00000000-0005-0000-0000-0000E1130000}"/>
    <cellStyle name="Normal 2 3 12 6 2" xfId="25334" xr:uid="{3A5F0C0E-D2B9-4C59-BD7E-70687AC9A452}"/>
    <cellStyle name="Normal 2 3 12 6 3" xfId="19674" xr:uid="{AA1EBFF0-4BEA-4161-8DCF-55E5D60C7FDE}"/>
    <cellStyle name="Normal 2 3 12 6 4" xfId="30995" xr:uid="{69E8B2ED-1F21-4F96-B5E7-799E7E8727A8}"/>
    <cellStyle name="Normal 2 3 12 6 5" xfId="37533" xr:uid="{3D060BF3-8CCA-4A02-83FC-773A32B85165}"/>
    <cellStyle name="Normal 2 3 12 7" xfId="22512" xr:uid="{1E2987BB-3BE0-4102-B6E2-EBEBF842A72B}"/>
    <cellStyle name="Normal 2 3 12 8" xfId="16852" xr:uid="{86454BEE-C0AB-4C65-AB47-99C9A94D3AFA}"/>
    <cellStyle name="Normal 2 3 12 9" xfId="28173" xr:uid="{6F04E38C-0DDF-48BD-85E1-D1D9B051BF6B}"/>
    <cellStyle name="Normal 2 3 13" xfId="4179" xr:uid="{00000000-0005-0000-0000-0000E2130000}"/>
    <cellStyle name="Normal 2 3 13 10" xfId="37534" xr:uid="{E0285922-9261-430D-A48E-A85C31831B3D}"/>
    <cellStyle name="Normal 2 3 13 2" xfId="4926" xr:uid="{00000000-0005-0000-0000-0000E3130000}"/>
    <cellStyle name="Normal 2 3 13 2 2" xfId="5345" xr:uid="{00000000-0005-0000-0000-0000E4130000}"/>
    <cellStyle name="Normal 2 3 13 2 2 2" xfId="7208" xr:uid="{00000000-0005-0000-0000-0000E5130000}"/>
    <cellStyle name="Normal 2 3 13 2 2 2 2" xfId="15641" xr:uid="{00000000-0005-0000-0000-0000E6130000}"/>
    <cellStyle name="Normal 2 3 13 2 2 2 2 2" xfId="27535" xr:uid="{E1CCAFC9-5376-48A9-A09A-FD0D7165D6A7}"/>
    <cellStyle name="Normal 2 3 13 2 2 2 2 3" xfId="21875" xr:uid="{E0DA298A-F89E-4CF9-8605-3C730A379B64}"/>
    <cellStyle name="Normal 2 3 13 2 2 2 2 4" xfId="32915" xr:uid="{AFC8F010-E556-45B8-9A7C-C010D5CEC561}"/>
    <cellStyle name="Normal 2 3 13 2 2 2 2 5" xfId="37538" xr:uid="{F1B76148-677D-4013-8515-D131BBE592FA}"/>
    <cellStyle name="Normal 2 3 13 2 2 2 3" xfId="24702" xr:uid="{2A00FE30-7E93-4CE0-ABD3-308D445A4740}"/>
    <cellStyle name="Normal 2 3 13 2 2 2 4" xfId="19042" xr:uid="{F2F72D52-A1D4-4543-BF91-868E60A1C6A6}"/>
    <cellStyle name="Normal 2 3 13 2 2 2 5" xfId="30363" xr:uid="{4266216D-BC77-495E-82E2-A1D4900E7B97}"/>
    <cellStyle name="Normal 2 3 13 2 2 2 6" xfId="37537" xr:uid="{8AE519E8-A254-4E04-963C-6011546B280F}"/>
    <cellStyle name="Normal 2 3 13 2 2 3" xfId="14231" xr:uid="{00000000-0005-0000-0000-0000E7130000}"/>
    <cellStyle name="Normal 2 3 13 2 2 3 2" xfId="26270" xr:uid="{042F7B19-F33E-403B-8049-39FEF4AABBB8}"/>
    <cellStyle name="Normal 2 3 13 2 2 3 3" xfId="20610" xr:uid="{11B33824-E900-499D-B6D0-D32EB50D0C4E}"/>
    <cellStyle name="Normal 2 3 13 2 2 3 4" xfId="31650" xr:uid="{37A99CA6-0BD1-47E4-95A0-27CDAFFE3E45}"/>
    <cellStyle name="Normal 2 3 13 2 2 3 5" xfId="37539" xr:uid="{01E27F12-C454-4358-B5C0-F1A856205D05}"/>
    <cellStyle name="Normal 2 3 13 2 2 4" xfId="23140" xr:uid="{FD5CF7CE-B41E-42AF-AFB3-2E42A845528C}"/>
    <cellStyle name="Normal 2 3 13 2 2 5" xfId="17480" xr:uid="{7883ED76-948B-4A3A-AC77-D479AC15B585}"/>
    <cellStyle name="Normal 2 3 13 2 2 6" xfId="28801" xr:uid="{2001A194-AB84-4209-A0C7-903BD6B57E50}"/>
    <cellStyle name="Normal 2 3 13 2 2 7" xfId="37536" xr:uid="{326875CB-A52E-4AFB-AF63-C7172045C3F1}"/>
    <cellStyle name="Normal 2 3 13 2 3" xfId="6087" xr:uid="{00000000-0005-0000-0000-0000E8130000}"/>
    <cellStyle name="Normal 2 3 13 2 3 2" xfId="7427" xr:uid="{00000000-0005-0000-0000-0000E9130000}"/>
    <cellStyle name="Normal 2 3 13 2 3 2 2" xfId="15860" xr:uid="{00000000-0005-0000-0000-0000EA130000}"/>
    <cellStyle name="Normal 2 3 13 2 3 2 2 2" xfId="27754" xr:uid="{666ECA96-D01D-4E59-94A1-C2292C72B40B}"/>
    <cellStyle name="Normal 2 3 13 2 3 2 2 3" xfId="22094" xr:uid="{32C752F2-47B6-4625-84F5-0C97626E825D}"/>
    <cellStyle name="Normal 2 3 13 2 3 2 2 4" xfId="33134" xr:uid="{B0E0540F-2EB5-4636-8CA5-4C210DB521A2}"/>
    <cellStyle name="Normal 2 3 13 2 3 2 2 5" xfId="37542" xr:uid="{307E492A-35C6-4B78-B91C-BC476CF21929}"/>
    <cellStyle name="Normal 2 3 13 2 3 2 3" xfId="24921" xr:uid="{5405B2D8-CAA0-413D-8BDC-1F5CE24512EC}"/>
    <cellStyle name="Normal 2 3 13 2 3 2 4" xfId="19261" xr:uid="{598293F2-22E5-48A7-B7DA-8D948C004770}"/>
    <cellStyle name="Normal 2 3 13 2 3 2 5" xfId="30582" xr:uid="{CD63998E-8F98-4A6B-A608-AD6AFFAB62B9}"/>
    <cellStyle name="Normal 2 3 13 2 3 2 6" xfId="37541" xr:uid="{E6C5B8D9-EFFE-4D86-830B-0E51054026C1}"/>
    <cellStyle name="Normal 2 3 13 2 3 3" xfId="14540" xr:uid="{00000000-0005-0000-0000-0000EB130000}"/>
    <cellStyle name="Normal 2 3 13 2 3 3 2" xfId="26498" xr:uid="{A114B6F0-7D74-42AE-A147-1DFA8824CE4B}"/>
    <cellStyle name="Normal 2 3 13 2 3 3 3" xfId="20838" xr:uid="{C51473C7-24DA-40E5-8D1C-98CB9946EE50}"/>
    <cellStyle name="Normal 2 3 13 2 3 3 4" xfId="31878" xr:uid="{740194C3-DF9D-4DD2-AF78-98C7B6B9F0C8}"/>
    <cellStyle name="Normal 2 3 13 2 3 3 5" xfId="37543" xr:uid="{344C5DB3-C534-4FC1-98BE-AFDC19EB3F5A}"/>
    <cellStyle name="Normal 2 3 13 2 3 4" xfId="23665" xr:uid="{FB7A1F70-EBC6-447C-9B7E-C52264382A8B}"/>
    <cellStyle name="Normal 2 3 13 2 3 5" xfId="18005" xr:uid="{2AD98750-753E-4D73-96EE-6F8910F307D5}"/>
    <cellStyle name="Normal 2 3 13 2 3 6" xfId="29326" xr:uid="{EBC3E2AF-B7FF-4EE5-B504-4E85CCE5E9DB}"/>
    <cellStyle name="Normal 2 3 13 2 3 7" xfId="37540" xr:uid="{8CDB8969-3935-4451-A3FA-7477F0B1348F}"/>
    <cellStyle name="Normal 2 3 13 2 4" xfId="6790" xr:uid="{00000000-0005-0000-0000-0000EC130000}"/>
    <cellStyle name="Normal 2 3 13 2 4 2" xfId="15223" xr:uid="{00000000-0005-0000-0000-0000ED130000}"/>
    <cellStyle name="Normal 2 3 13 2 4 2 2" xfId="27117" xr:uid="{615A7810-D387-4C69-84FF-17896AB6732F}"/>
    <cellStyle name="Normal 2 3 13 2 4 2 3" xfId="21457" xr:uid="{551FD4DC-B49F-4852-BFBC-7CF29C53CE77}"/>
    <cellStyle name="Normal 2 3 13 2 4 2 4" xfId="32497" xr:uid="{8B2D64E2-495B-4384-B4B9-605C69FCFBAC}"/>
    <cellStyle name="Normal 2 3 13 2 4 2 5" xfId="37545" xr:uid="{AD489EDE-64A8-4B91-BD84-979CCF2BCFD0}"/>
    <cellStyle name="Normal 2 3 13 2 4 3" xfId="24284" xr:uid="{3E216C8D-40BB-485C-9157-28896FBC3A99}"/>
    <cellStyle name="Normal 2 3 13 2 4 4" xfId="18624" xr:uid="{CB24F499-ED9C-4691-8292-C02451FF307F}"/>
    <cellStyle name="Normal 2 3 13 2 4 5" xfId="29945" xr:uid="{DC422D34-CB5A-47B9-85D7-AD7C9D7834D5}"/>
    <cellStyle name="Normal 2 3 13 2 4 6" xfId="37544" xr:uid="{54BB2CE1-D6FA-4561-807F-416D1089D4B8}"/>
    <cellStyle name="Normal 2 3 13 2 5" xfId="7854" xr:uid="{00000000-0005-0000-0000-0000EE130000}"/>
    <cellStyle name="Normal 2 3 13 2 5 2" xfId="25337" xr:uid="{7DB39ADC-C021-4DF5-A370-CB8CEB2FFD26}"/>
    <cellStyle name="Normal 2 3 13 2 5 3" xfId="19677" xr:uid="{B12DCE8A-8C41-4452-B429-FB66620A953E}"/>
    <cellStyle name="Normal 2 3 13 2 5 4" xfId="30998" xr:uid="{0CDE6DB9-B036-48AD-8B26-2579139E2C7D}"/>
    <cellStyle name="Normal 2 3 13 2 5 5" xfId="37546" xr:uid="{3AFF0654-8F33-4762-87C3-E8083C70C181}"/>
    <cellStyle name="Normal 2 3 13 2 6" xfId="22722" xr:uid="{2B410273-7B79-40A0-BDAD-AC2D0787C862}"/>
    <cellStyle name="Normal 2 3 13 2 7" xfId="17062" xr:uid="{62670E05-559B-4014-9D89-60C944C2EF2B}"/>
    <cellStyle name="Normal 2 3 13 2 8" xfId="28383" xr:uid="{5D462757-A1CA-4EAB-A15D-89EDA7738B5A}"/>
    <cellStyle name="Normal 2 3 13 2 9" xfId="37535" xr:uid="{0BAB9399-C442-40F9-B7D1-57F1E847C6B0}"/>
    <cellStyle name="Normal 2 3 13 3" xfId="5136" xr:uid="{00000000-0005-0000-0000-0000EF130000}"/>
    <cellStyle name="Normal 2 3 13 3 2" xfId="6086" xr:uid="{00000000-0005-0000-0000-0000F0130000}"/>
    <cellStyle name="Normal 2 3 13 3 2 2" xfId="7426" xr:uid="{00000000-0005-0000-0000-0000F1130000}"/>
    <cellStyle name="Normal 2 3 13 3 2 2 2" xfId="15859" xr:uid="{00000000-0005-0000-0000-0000F2130000}"/>
    <cellStyle name="Normal 2 3 13 3 2 2 2 2" xfId="27753" xr:uid="{05DCCB0B-8723-4884-8426-8588DFD7F75B}"/>
    <cellStyle name="Normal 2 3 13 3 2 2 2 3" xfId="22093" xr:uid="{A60241D6-9C68-4E92-817B-69F8547F3145}"/>
    <cellStyle name="Normal 2 3 13 3 2 2 2 4" xfId="33133" xr:uid="{F40DEC37-0167-4EDB-88D6-3651B6A5FEB9}"/>
    <cellStyle name="Normal 2 3 13 3 2 2 2 5" xfId="37550" xr:uid="{EC36F10A-3433-46C2-836F-C33292707353}"/>
    <cellStyle name="Normal 2 3 13 3 2 2 3" xfId="24920" xr:uid="{B7EC50EF-54A0-4D39-AD3E-A3E8B3F62C01}"/>
    <cellStyle name="Normal 2 3 13 3 2 2 4" xfId="19260" xr:uid="{206965AE-03AD-453C-97EA-7F1A4485E507}"/>
    <cellStyle name="Normal 2 3 13 3 2 2 5" xfId="30581" xr:uid="{D921CA91-1C89-44C5-B1FE-BEE61A27E20A}"/>
    <cellStyle name="Normal 2 3 13 3 2 2 6" xfId="37549" xr:uid="{CF0504A4-0B4E-40EE-83A9-A790922627D0}"/>
    <cellStyle name="Normal 2 3 13 3 2 3" xfId="14539" xr:uid="{00000000-0005-0000-0000-0000F3130000}"/>
    <cellStyle name="Normal 2 3 13 3 2 3 2" xfId="26497" xr:uid="{18315812-A9ED-469C-A455-E62FD35B2C22}"/>
    <cellStyle name="Normal 2 3 13 3 2 3 3" xfId="20837" xr:uid="{101D9FCC-AA49-453A-8A2A-ECA72664D961}"/>
    <cellStyle name="Normal 2 3 13 3 2 3 4" xfId="31877" xr:uid="{7441C987-9023-4A4B-A144-AF07E04EDF29}"/>
    <cellStyle name="Normal 2 3 13 3 2 3 5" xfId="37551" xr:uid="{CC29D5E6-00A0-4303-9324-B5A44C7C5C08}"/>
    <cellStyle name="Normal 2 3 13 3 2 4" xfId="23664" xr:uid="{5836F10F-2F11-4E35-9530-2D679BD2C5AE}"/>
    <cellStyle name="Normal 2 3 13 3 2 5" xfId="18004" xr:uid="{7FC7F698-CEFC-4895-9248-353E7E2D7526}"/>
    <cellStyle name="Normal 2 3 13 3 2 6" xfId="29325" xr:uid="{225FD396-31CB-4B36-A019-758FEAC40ABC}"/>
    <cellStyle name="Normal 2 3 13 3 2 7" xfId="37548" xr:uid="{FE1F1C32-8B32-4882-B327-BFC9A40C29B9}"/>
    <cellStyle name="Normal 2 3 13 3 3" xfId="6999" xr:uid="{00000000-0005-0000-0000-0000F4130000}"/>
    <cellStyle name="Normal 2 3 13 3 3 2" xfId="15432" xr:uid="{00000000-0005-0000-0000-0000F5130000}"/>
    <cellStyle name="Normal 2 3 13 3 3 2 2" xfId="27326" xr:uid="{E2DF468F-0169-4D37-ABC1-392F6BB593DD}"/>
    <cellStyle name="Normal 2 3 13 3 3 2 3" xfId="21666" xr:uid="{0FDFFDBB-DC6F-4F96-A258-4AB4D99A4467}"/>
    <cellStyle name="Normal 2 3 13 3 3 2 4" xfId="32706" xr:uid="{720B87E0-6C34-4EC0-989A-6F7199FE7F0E}"/>
    <cellStyle name="Normal 2 3 13 3 3 2 5" xfId="37553" xr:uid="{8D8F4EAA-601A-4323-ACAC-2DA4D40268E2}"/>
    <cellStyle name="Normal 2 3 13 3 3 3" xfId="24493" xr:uid="{F82650FC-7735-4AAC-A87A-0CE45D3567D2}"/>
    <cellStyle name="Normal 2 3 13 3 3 4" xfId="18833" xr:uid="{174E959E-0D7F-4003-81D6-8C1475C80B5D}"/>
    <cellStyle name="Normal 2 3 13 3 3 5" xfId="30154" xr:uid="{8BC05B55-59AD-4822-937E-D6A733DEF404}"/>
    <cellStyle name="Normal 2 3 13 3 3 6" xfId="37552" xr:uid="{EA9D15C0-256A-45B4-841A-D1B2CC3EB983}"/>
    <cellStyle name="Normal 2 3 13 3 4" xfId="14023" xr:uid="{00000000-0005-0000-0000-0000F6130000}"/>
    <cellStyle name="Normal 2 3 13 3 4 2" xfId="26062" xr:uid="{B068B877-1517-4DE2-88FD-5DD85C9550B7}"/>
    <cellStyle name="Normal 2 3 13 3 4 3" xfId="20402" xr:uid="{1B0A545E-388E-41D6-8B98-960E12E1DA48}"/>
    <cellStyle name="Normal 2 3 13 3 4 4" xfId="31442" xr:uid="{A7C6B948-A584-4C1E-BDDA-164C54AADDF7}"/>
    <cellStyle name="Normal 2 3 13 3 4 5" xfId="37554" xr:uid="{11138AB5-17C9-48BE-8B08-D7423D167499}"/>
    <cellStyle name="Normal 2 3 13 3 5" xfId="22931" xr:uid="{3737F503-2B96-4DB3-A5BE-C9FC8C065663}"/>
    <cellStyle name="Normal 2 3 13 3 6" xfId="17271" xr:uid="{D6C2755D-7A2C-42B0-B574-CDF3D6CD665F}"/>
    <cellStyle name="Normal 2 3 13 3 7" xfId="28592" xr:uid="{19E132E7-4F91-44B4-A517-6D7341E988F3}"/>
    <cellStyle name="Normal 2 3 13 3 8" xfId="37547" xr:uid="{90940696-359C-4EB7-824F-2A9B8C892EF6}"/>
    <cellStyle name="Normal 2 3 13 4" xfId="5661" xr:uid="{00000000-0005-0000-0000-0000F7130000}"/>
    <cellStyle name="Normal 2 3 13 4 2" xfId="37555" xr:uid="{D382A3E1-5B0F-4066-A812-3364CB581C5B}"/>
    <cellStyle name="Normal 2 3 13 5" xfId="6581" xr:uid="{00000000-0005-0000-0000-0000F8130000}"/>
    <cellStyle name="Normal 2 3 13 5 2" xfId="15014" xr:uid="{00000000-0005-0000-0000-0000F9130000}"/>
    <cellStyle name="Normal 2 3 13 5 2 2" xfId="26908" xr:uid="{0269ACDB-42E8-4756-8B60-C38558123D04}"/>
    <cellStyle name="Normal 2 3 13 5 2 3" xfId="21248" xr:uid="{2D9D3970-EDDC-47A3-BFF0-401401FBADA1}"/>
    <cellStyle name="Normal 2 3 13 5 2 4" xfId="32288" xr:uid="{15E28ADC-8CCF-4ED0-8EA9-35E352F5807A}"/>
    <cellStyle name="Normal 2 3 13 5 2 5" xfId="37557" xr:uid="{5820494C-AC38-4750-87F7-B3B55D1E3666}"/>
    <cellStyle name="Normal 2 3 13 5 3" xfId="24075" xr:uid="{0F88EE2E-6F1C-4A17-913C-0F4A2723D5BB}"/>
    <cellStyle name="Normal 2 3 13 5 4" xfId="18415" xr:uid="{70B4726A-7F17-45A8-ACF0-B0E046AF9F4A}"/>
    <cellStyle name="Normal 2 3 13 5 5" xfId="29736" xr:uid="{C90BDB68-C558-476E-8269-14700C67F5DB}"/>
    <cellStyle name="Normal 2 3 13 5 6" xfId="37556" xr:uid="{B0ADBB99-51AF-4E01-9DC1-B4D1C1909C54}"/>
    <cellStyle name="Normal 2 3 13 6" xfId="7853" xr:uid="{00000000-0005-0000-0000-0000FA130000}"/>
    <cellStyle name="Normal 2 3 13 6 2" xfId="25336" xr:uid="{F21B1586-A539-40C7-97FA-5C0296A8E1F6}"/>
    <cellStyle name="Normal 2 3 13 6 3" xfId="19676" xr:uid="{6E046267-876D-4792-B314-595B6571E4EA}"/>
    <cellStyle name="Normal 2 3 13 6 4" xfId="30997" xr:uid="{83DE90A5-B3A2-4DC1-8347-52460850B713}"/>
    <cellStyle name="Normal 2 3 13 6 5" xfId="37558" xr:uid="{E73F8F7A-7C6B-4DF1-8AB3-1E5C43537324}"/>
    <cellStyle name="Normal 2 3 13 7" xfId="22513" xr:uid="{F9F00578-7D37-4DB4-B4B3-439FFF935106}"/>
    <cellStyle name="Normal 2 3 13 8" xfId="16853" xr:uid="{E5FD327F-1E04-4E4C-A839-33285BBF57F6}"/>
    <cellStyle name="Normal 2 3 13 9" xfId="28174" xr:uid="{E2EDE002-8089-4128-ABA8-5D3C123DD0D0}"/>
    <cellStyle name="Normal 2 3 14" xfId="4180" xr:uid="{00000000-0005-0000-0000-0000FB130000}"/>
    <cellStyle name="Normal 2 3 14 2" xfId="37559" xr:uid="{F423865A-C23E-4A52-9224-793668D5B8C2}"/>
    <cellStyle name="Normal 2 3 15" xfId="37458" xr:uid="{7658E430-5CEA-42CA-A8FC-EC56EB337BB1}"/>
    <cellStyle name="Normal 2 3 2" xfId="142" xr:uid="{00000000-0005-0000-0000-0000FC130000}"/>
    <cellStyle name="Normal 2 3 2 10" xfId="6458" xr:uid="{00000000-0005-0000-0000-0000FD130000}"/>
    <cellStyle name="Normal 2 3 2 10 2" xfId="14891" xr:uid="{00000000-0005-0000-0000-0000FE130000}"/>
    <cellStyle name="Normal 2 3 2 10 2 2" xfId="26785" xr:uid="{D85755DB-7C3A-4A65-B2E9-C5964A961B0D}"/>
    <cellStyle name="Normal 2 3 2 10 2 3" xfId="21125" xr:uid="{EF4BB51C-8A76-429B-94D4-13796B570011}"/>
    <cellStyle name="Normal 2 3 2 10 2 4" xfId="32165" xr:uid="{ED653CD3-A4AD-4416-ACCE-D61884E5E820}"/>
    <cellStyle name="Normal 2 3 2 10 2 5" xfId="37562" xr:uid="{2D75684B-F15F-4461-9BB4-65BC396B5AE7}"/>
    <cellStyle name="Normal 2 3 2 10 3" xfId="23952" xr:uid="{124363EC-D15A-424A-B0EF-A2553C94EFD0}"/>
    <cellStyle name="Normal 2 3 2 10 4" xfId="18292" xr:uid="{CF113C9B-13A7-45CC-8A26-A70F39029DD7}"/>
    <cellStyle name="Normal 2 3 2 10 5" xfId="29613" xr:uid="{8340209B-1790-47EA-801C-B24E33BEABF5}"/>
    <cellStyle name="Normal 2 3 2 10 6" xfId="37561" xr:uid="{0FA4A775-7226-4931-9E9F-5A33C61038BF}"/>
    <cellStyle name="Normal 2 3 2 11" xfId="7855" xr:uid="{00000000-0005-0000-0000-0000FF130000}"/>
    <cellStyle name="Normal 2 3 2 11 2" xfId="25338" xr:uid="{1C48DE4E-A25D-49A7-A1D8-CC8A0B00DDD8}"/>
    <cellStyle name="Normal 2 3 2 11 3" xfId="19678" xr:uid="{8F8480B8-A9DC-477A-8ACC-14784EEB2262}"/>
    <cellStyle name="Normal 2 3 2 11 4" xfId="30999" xr:uid="{4DE1F396-C1AC-4E0C-AC49-4F34156250E6}"/>
    <cellStyle name="Normal 2 3 2 11 5" xfId="37563" xr:uid="{5F3AA545-B160-4ECF-9495-689EFC3A1539}"/>
    <cellStyle name="Normal 2 3 2 12" xfId="22390" xr:uid="{7505F8C3-F199-41DE-9721-49C7FE1CFD9D}"/>
    <cellStyle name="Normal 2 3 2 13" xfId="16730" xr:uid="{702606A4-47BC-4482-8DA1-F522592B3E78}"/>
    <cellStyle name="Normal 2 3 2 14" xfId="28051" xr:uid="{476A40BC-27F5-4FFF-9DD4-605B2608A973}"/>
    <cellStyle name="Normal 2 3 2 15" xfId="37560" xr:uid="{A0188B57-7807-46DD-B72C-3C76CBF7345A}"/>
    <cellStyle name="Normal 2 3 2 16" xfId="49780" xr:uid="{B8CD045A-4337-4B0C-8B08-56DFF8A02AF0}"/>
    <cellStyle name="Normal 2 3 2 2" xfId="306" xr:uid="{00000000-0005-0000-0000-000000140000}"/>
    <cellStyle name="Normal 2 3 2 2 10" xfId="16749" xr:uid="{FC5BDC51-BB18-4539-93B4-8583EA443E9E}"/>
    <cellStyle name="Normal 2 3 2 2 11" xfId="28070" xr:uid="{3D485862-A3E1-4CA8-B01F-C0933F0DFF18}"/>
    <cellStyle name="Normal 2 3 2 2 12" xfId="37564" xr:uid="{92359FDF-FF95-4FA4-8FC7-5AB9CB61ED04}"/>
    <cellStyle name="Normal 2 3 2 2 2" xfId="2059" xr:uid="{00000000-0005-0000-0000-000001140000}"/>
    <cellStyle name="Normal 2 3 2 2 2 10" xfId="37565" xr:uid="{68C7B4E3-7AE8-4894-A149-632AE7F7ED02}"/>
    <cellStyle name="Normal 2 3 2 2 2 2" xfId="4849" xr:uid="{00000000-0005-0000-0000-000002140000}"/>
    <cellStyle name="Normal 2 3 2 2 2 2 2" xfId="5268" xr:uid="{00000000-0005-0000-0000-000003140000}"/>
    <cellStyle name="Normal 2 3 2 2 2 2 2 2" xfId="7131" xr:uid="{00000000-0005-0000-0000-000004140000}"/>
    <cellStyle name="Normal 2 3 2 2 2 2 2 2 2" xfId="15564" xr:uid="{00000000-0005-0000-0000-000005140000}"/>
    <cellStyle name="Normal 2 3 2 2 2 2 2 2 2 2" xfId="27458" xr:uid="{3871E3B8-72D2-4B6C-915D-DFE72F83EE1B}"/>
    <cellStyle name="Normal 2 3 2 2 2 2 2 2 2 3" xfId="21798" xr:uid="{0B4C3216-A94B-4D09-8210-5B8C6864D77E}"/>
    <cellStyle name="Normal 2 3 2 2 2 2 2 2 2 4" xfId="32838" xr:uid="{37C87CBE-9040-4CDE-93EC-73A6A6EA3793}"/>
    <cellStyle name="Normal 2 3 2 2 2 2 2 2 2 5" xfId="37569" xr:uid="{DFA0081D-B5D4-4F98-8C35-3C3D384CC210}"/>
    <cellStyle name="Normal 2 3 2 2 2 2 2 2 3" xfId="24625" xr:uid="{34D5C475-D1C5-4405-AD79-B82416883149}"/>
    <cellStyle name="Normal 2 3 2 2 2 2 2 2 4" xfId="18965" xr:uid="{EAAC45B1-C5CB-42B6-A35B-D0847786150D}"/>
    <cellStyle name="Normal 2 3 2 2 2 2 2 2 5" xfId="30286" xr:uid="{08C3DAE9-97C2-45E5-A9E9-E7E8B6ECC32C}"/>
    <cellStyle name="Normal 2 3 2 2 2 2 2 2 6" xfId="37568" xr:uid="{B361140E-CED3-43BC-8737-508A9E9A23B5}"/>
    <cellStyle name="Normal 2 3 2 2 2 2 2 3" xfId="14154" xr:uid="{00000000-0005-0000-0000-000006140000}"/>
    <cellStyle name="Normal 2 3 2 2 2 2 2 3 2" xfId="26193" xr:uid="{93FF6EDC-793A-4E81-842C-690563999DC8}"/>
    <cellStyle name="Normal 2 3 2 2 2 2 2 3 3" xfId="20533" xr:uid="{E82035BF-CD3D-49CE-9136-CE768F91B987}"/>
    <cellStyle name="Normal 2 3 2 2 2 2 2 3 4" xfId="31573" xr:uid="{B04EBF49-EF34-448E-B948-096CE46B91C9}"/>
    <cellStyle name="Normal 2 3 2 2 2 2 2 3 5" xfId="37570" xr:uid="{45672B51-BE05-4035-9F16-387813B3EB2E}"/>
    <cellStyle name="Normal 2 3 2 2 2 2 2 4" xfId="23063" xr:uid="{EC71CEEF-2FC0-4D0C-BA03-4604EBA1B397}"/>
    <cellStyle name="Normal 2 3 2 2 2 2 2 5" xfId="17403" xr:uid="{56E71ABA-BE51-4CF1-963B-BCB8A52F0F0C}"/>
    <cellStyle name="Normal 2 3 2 2 2 2 2 6" xfId="28724" xr:uid="{7F6ABE18-C257-4848-BEF0-08236721D734}"/>
    <cellStyle name="Normal 2 3 2 2 2 2 2 7" xfId="37567" xr:uid="{ACA76D9E-6EBE-4A62-BDF3-9DBF1167B692}"/>
    <cellStyle name="Normal 2 3 2 2 2 2 3" xfId="6090" xr:uid="{00000000-0005-0000-0000-000007140000}"/>
    <cellStyle name="Normal 2 3 2 2 2 2 3 2" xfId="7430" xr:uid="{00000000-0005-0000-0000-000008140000}"/>
    <cellStyle name="Normal 2 3 2 2 2 2 3 2 2" xfId="15863" xr:uid="{00000000-0005-0000-0000-000009140000}"/>
    <cellStyle name="Normal 2 3 2 2 2 2 3 2 2 2" xfId="27757" xr:uid="{26D9ECFD-B4FB-432E-9F10-18DB5356FA85}"/>
    <cellStyle name="Normal 2 3 2 2 2 2 3 2 2 3" xfId="22097" xr:uid="{B58EF2FA-2DCD-4648-8F6E-E2C2AF45BB50}"/>
    <cellStyle name="Normal 2 3 2 2 2 2 3 2 2 4" xfId="33137" xr:uid="{7E81D6A6-7493-480C-AD3F-349DB0769299}"/>
    <cellStyle name="Normal 2 3 2 2 2 2 3 2 2 5" xfId="37573" xr:uid="{AE22D129-578D-49A3-AE40-DF2FAC667DE6}"/>
    <cellStyle name="Normal 2 3 2 2 2 2 3 2 3" xfId="24924" xr:uid="{170F1A00-985B-4E9F-BC6A-41734C271C10}"/>
    <cellStyle name="Normal 2 3 2 2 2 2 3 2 4" xfId="19264" xr:uid="{CB2392B5-415A-401E-A0AF-BCEF0ADA4BB6}"/>
    <cellStyle name="Normal 2 3 2 2 2 2 3 2 5" xfId="30585" xr:uid="{FA1BD057-826B-4B77-85D3-9C8D39F93C5C}"/>
    <cellStyle name="Normal 2 3 2 2 2 2 3 2 6" xfId="37572" xr:uid="{122B5741-F891-4834-AEAF-FB073791379D}"/>
    <cellStyle name="Normal 2 3 2 2 2 2 3 3" xfId="14543" xr:uid="{00000000-0005-0000-0000-00000A140000}"/>
    <cellStyle name="Normal 2 3 2 2 2 2 3 3 2" xfId="26501" xr:uid="{586D0E5A-DBE0-49F3-B3D5-0D8456612253}"/>
    <cellStyle name="Normal 2 3 2 2 2 2 3 3 3" xfId="20841" xr:uid="{5AC2DABA-BD69-43CE-9145-E56E784A8B74}"/>
    <cellStyle name="Normal 2 3 2 2 2 2 3 3 4" xfId="31881" xr:uid="{B4139715-9F61-4276-A39B-8047FF441D75}"/>
    <cellStyle name="Normal 2 3 2 2 2 2 3 3 5" xfId="37574" xr:uid="{89BC8AEB-8BC3-468F-A35B-8CBE7A5F770E}"/>
    <cellStyle name="Normal 2 3 2 2 2 2 3 4" xfId="23668" xr:uid="{E9D15273-E8FF-4AAB-A4AD-3AC8683B178E}"/>
    <cellStyle name="Normal 2 3 2 2 2 2 3 5" xfId="18008" xr:uid="{89920EBD-BA89-4923-9979-5878B87A5A24}"/>
    <cellStyle name="Normal 2 3 2 2 2 2 3 6" xfId="29329" xr:uid="{6199CE58-FCAE-47CB-8495-089DC3CB9FD6}"/>
    <cellStyle name="Normal 2 3 2 2 2 2 3 7" xfId="37571" xr:uid="{441A6BCF-EF92-4332-8206-484DDFDC65F9}"/>
    <cellStyle name="Normal 2 3 2 2 2 2 4" xfId="6713" xr:uid="{00000000-0005-0000-0000-00000B140000}"/>
    <cellStyle name="Normal 2 3 2 2 2 2 4 2" xfId="15146" xr:uid="{00000000-0005-0000-0000-00000C140000}"/>
    <cellStyle name="Normal 2 3 2 2 2 2 4 2 2" xfId="27040" xr:uid="{67DD45B8-7412-46C8-B157-823141BE78AE}"/>
    <cellStyle name="Normal 2 3 2 2 2 2 4 2 3" xfId="21380" xr:uid="{963793C8-6CE0-4568-9DD0-D45FD794C6EB}"/>
    <cellStyle name="Normal 2 3 2 2 2 2 4 2 4" xfId="32420" xr:uid="{0E27F4BF-E67B-434B-813C-FAB32FE92FF3}"/>
    <cellStyle name="Normal 2 3 2 2 2 2 4 2 5" xfId="37576" xr:uid="{7D7A52CA-8121-4784-96AE-19A3722C4C2C}"/>
    <cellStyle name="Normal 2 3 2 2 2 2 4 3" xfId="24207" xr:uid="{4F1DDD1A-81CC-42DD-9C14-1BCB28C1479F}"/>
    <cellStyle name="Normal 2 3 2 2 2 2 4 4" xfId="18547" xr:uid="{9941FD5E-724D-480B-B29B-F710A20F2932}"/>
    <cellStyle name="Normal 2 3 2 2 2 2 4 5" xfId="29868" xr:uid="{266643D5-4D06-4789-9E1F-284657A06F62}"/>
    <cellStyle name="Normal 2 3 2 2 2 2 4 6" xfId="37575" xr:uid="{9FBCA781-9DB8-4B4B-AF29-C01365289B7B}"/>
    <cellStyle name="Normal 2 3 2 2 2 2 5" xfId="7858" xr:uid="{00000000-0005-0000-0000-00000D140000}"/>
    <cellStyle name="Normal 2 3 2 2 2 2 5 2" xfId="25341" xr:uid="{B8A6DCF2-90B7-460D-848C-24C3A419F488}"/>
    <cellStyle name="Normal 2 3 2 2 2 2 5 3" xfId="19681" xr:uid="{B40C17D5-F6FA-4A3C-8D00-D22FF1E0AE5C}"/>
    <cellStyle name="Normal 2 3 2 2 2 2 5 4" xfId="31002" xr:uid="{1D2499B1-A792-4672-9C93-91788EC1C95A}"/>
    <cellStyle name="Normal 2 3 2 2 2 2 5 5" xfId="37577" xr:uid="{D88FBB58-334F-40A8-8A02-C0C7BDEBCCBF}"/>
    <cellStyle name="Normal 2 3 2 2 2 2 6" xfId="22645" xr:uid="{FF218B93-0296-489F-84AA-55DF5FF1A439}"/>
    <cellStyle name="Normal 2 3 2 2 2 2 7" xfId="16985" xr:uid="{A452497B-119D-460B-BD29-D5D508668F3F}"/>
    <cellStyle name="Normal 2 3 2 2 2 2 8" xfId="28306" xr:uid="{E74D6742-28AE-48CD-9509-78D1728AE78C}"/>
    <cellStyle name="Normal 2 3 2 2 2 2 9" xfId="37566" xr:uid="{21BBB080-9DFB-42C0-BEC9-09EDE237DE3C}"/>
    <cellStyle name="Normal 2 3 2 2 2 3" xfId="5059" xr:uid="{00000000-0005-0000-0000-00000E140000}"/>
    <cellStyle name="Normal 2 3 2 2 2 3 2" xfId="6922" xr:uid="{00000000-0005-0000-0000-00000F140000}"/>
    <cellStyle name="Normal 2 3 2 2 2 3 2 2" xfId="15355" xr:uid="{00000000-0005-0000-0000-000010140000}"/>
    <cellStyle name="Normal 2 3 2 2 2 3 2 2 2" xfId="27249" xr:uid="{426034C6-6B7C-44A5-AC9B-461D0092367D}"/>
    <cellStyle name="Normal 2 3 2 2 2 3 2 2 3" xfId="21589" xr:uid="{1CA7B8B6-92B6-4CA9-BBD8-1CEE8E51E875}"/>
    <cellStyle name="Normal 2 3 2 2 2 3 2 2 4" xfId="32629" xr:uid="{3CAD9483-9ABC-41C7-AA3F-123A10F7BEA6}"/>
    <cellStyle name="Normal 2 3 2 2 2 3 2 2 5" xfId="37580" xr:uid="{4C0F7901-DAE8-4BB8-B275-41C1A66EF6F1}"/>
    <cellStyle name="Normal 2 3 2 2 2 3 2 3" xfId="24416" xr:uid="{81646BF6-18EA-4EEF-BF99-25866D80A8F2}"/>
    <cellStyle name="Normal 2 3 2 2 2 3 2 4" xfId="18756" xr:uid="{B6147333-027C-4568-A68B-5491EA18333A}"/>
    <cellStyle name="Normal 2 3 2 2 2 3 2 5" xfId="30077" xr:uid="{35EE18E0-9E8B-4C2E-9D23-8F74D9E1B0E1}"/>
    <cellStyle name="Normal 2 3 2 2 2 3 2 6" xfId="37579" xr:uid="{F67AAD69-DE4C-4767-8D06-38C60D28213D}"/>
    <cellStyle name="Normal 2 3 2 2 2 3 3" xfId="13954" xr:uid="{00000000-0005-0000-0000-000011140000}"/>
    <cellStyle name="Normal 2 3 2 2 2 3 3 2" xfId="25995" xr:uid="{B0F3C260-CECB-4EAC-8C11-EC799CE85B69}"/>
    <cellStyle name="Normal 2 3 2 2 2 3 3 3" xfId="20335" xr:uid="{A1F50C48-C741-4E1F-A913-5F75D6C6204D}"/>
    <cellStyle name="Normal 2 3 2 2 2 3 3 4" xfId="31375" xr:uid="{792A8B03-19BC-4AA5-8D6D-BD04C2B6D1E0}"/>
    <cellStyle name="Normal 2 3 2 2 2 3 3 5" xfId="37581" xr:uid="{90674C6D-D89D-44A7-A142-833D2D518A10}"/>
    <cellStyle name="Normal 2 3 2 2 2 3 4" xfId="22854" xr:uid="{E335B4A5-82D9-4D00-AC43-55C174C647A1}"/>
    <cellStyle name="Normal 2 3 2 2 2 3 5" xfId="17194" xr:uid="{9FA6B964-6C55-4034-BF35-2BA42B225243}"/>
    <cellStyle name="Normal 2 3 2 2 2 3 6" xfId="28515" xr:uid="{3F155669-BA68-4760-A7EA-A6C559F321CA}"/>
    <cellStyle name="Normal 2 3 2 2 2 3 7" xfId="37578" xr:uid="{48E8AF42-7E38-4674-AA4F-1B8B1B6B8FC9}"/>
    <cellStyle name="Normal 2 3 2 2 2 4" xfId="6089" xr:uid="{00000000-0005-0000-0000-000012140000}"/>
    <cellStyle name="Normal 2 3 2 2 2 4 2" xfId="7429" xr:uid="{00000000-0005-0000-0000-000013140000}"/>
    <cellStyle name="Normal 2 3 2 2 2 4 2 2" xfId="15862" xr:uid="{00000000-0005-0000-0000-000014140000}"/>
    <cellStyle name="Normal 2 3 2 2 2 4 2 2 2" xfId="27756" xr:uid="{F4C82BA2-AC57-48BF-8EF4-9C61FECF20FF}"/>
    <cellStyle name="Normal 2 3 2 2 2 4 2 2 3" xfId="22096" xr:uid="{A7CF17D6-7541-45EE-A938-D475A2C82E21}"/>
    <cellStyle name="Normal 2 3 2 2 2 4 2 2 4" xfId="33136" xr:uid="{955F867E-A5B7-4928-8C97-CFD44D994231}"/>
    <cellStyle name="Normal 2 3 2 2 2 4 2 2 5" xfId="37584" xr:uid="{320B2649-5089-489C-AD74-EFC6BB64D8D5}"/>
    <cellStyle name="Normal 2 3 2 2 2 4 2 3" xfId="24923" xr:uid="{CF9D9809-34CB-4864-B27B-D94CF17F99AE}"/>
    <cellStyle name="Normal 2 3 2 2 2 4 2 4" xfId="19263" xr:uid="{029AD5C6-528E-4753-9028-12FB342A86A6}"/>
    <cellStyle name="Normal 2 3 2 2 2 4 2 5" xfId="30584" xr:uid="{94596190-B9EB-49E1-AD93-BA52557A1C78}"/>
    <cellStyle name="Normal 2 3 2 2 2 4 2 6" xfId="37583" xr:uid="{7F7460A6-EF3C-4C5D-9A10-86AAF373F9BA}"/>
    <cellStyle name="Normal 2 3 2 2 2 4 3" xfId="14542" xr:uid="{00000000-0005-0000-0000-000015140000}"/>
    <cellStyle name="Normal 2 3 2 2 2 4 3 2" xfId="26500" xr:uid="{12AF980B-A067-47E0-B430-87DE6784ACB8}"/>
    <cellStyle name="Normal 2 3 2 2 2 4 3 3" xfId="20840" xr:uid="{695519AD-3E03-4763-96A9-BB91A3E8EA75}"/>
    <cellStyle name="Normal 2 3 2 2 2 4 3 4" xfId="31880" xr:uid="{ECE8603C-5172-4F39-AC61-CDF7072100D2}"/>
    <cellStyle name="Normal 2 3 2 2 2 4 3 5" xfId="37585" xr:uid="{59F43B46-94F9-4FF4-9647-D264E44A301B}"/>
    <cellStyle name="Normal 2 3 2 2 2 4 4" xfId="23667" xr:uid="{F0786EC6-DAF7-401B-AF77-61E94B23CE71}"/>
    <cellStyle name="Normal 2 3 2 2 2 4 5" xfId="18007" xr:uid="{0311D006-776D-4010-BA9C-F65C7B7895F9}"/>
    <cellStyle name="Normal 2 3 2 2 2 4 6" xfId="29328" xr:uid="{2F8562DA-0FC9-42F4-A064-9F5596EB8868}"/>
    <cellStyle name="Normal 2 3 2 2 2 4 7" xfId="37582" xr:uid="{05C6AA99-7E67-4D92-8D45-CDAFF1FA8702}"/>
    <cellStyle name="Normal 2 3 2 2 2 5" xfId="6504" xr:uid="{00000000-0005-0000-0000-000016140000}"/>
    <cellStyle name="Normal 2 3 2 2 2 5 2" xfId="14937" xr:uid="{00000000-0005-0000-0000-000017140000}"/>
    <cellStyle name="Normal 2 3 2 2 2 5 2 2" xfId="26831" xr:uid="{C4F3962A-EE47-412E-8EFC-C090CED3BB3B}"/>
    <cellStyle name="Normal 2 3 2 2 2 5 2 3" xfId="21171" xr:uid="{F1A6B88E-9540-4BC2-8932-73F43FE0983C}"/>
    <cellStyle name="Normal 2 3 2 2 2 5 2 4" xfId="32211" xr:uid="{040B4E7D-D8EE-4595-8E52-49BA1A646C43}"/>
    <cellStyle name="Normal 2 3 2 2 2 5 2 5" xfId="37587" xr:uid="{72F69AFA-38F7-4CA2-AC1E-67406616A555}"/>
    <cellStyle name="Normal 2 3 2 2 2 5 3" xfId="23998" xr:uid="{16A35F36-DF0C-4CE3-8FF1-A830BCA60B13}"/>
    <cellStyle name="Normal 2 3 2 2 2 5 4" xfId="18338" xr:uid="{E3E98601-243E-4831-BB4C-1F98A5C71749}"/>
    <cellStyle name="Normal 2 3 2 2 2 5 5" xfId="29659" xr:uid="{262E651B-ACBB-439C-A836-17020969C6D2}"/>
    <cellStyle name="Normal 2 3 2 2 2 5 6" xfId="37586" xr:uid="{193FC04D-4B6F-44D6-90E1-9DF8AD746D2B}"/>
    <cellStyle name="Normal 2 3 2 2 2 6" xfId="7857" xr:uid="{00000000-0005-0000-0000-000018140000}"/>
    <cellStyle name="Normal 2 3 2 2 2 6 2" xfId="25340" xr:uid="{0A17AB03-77E1-4888-9E3E-318F0705CF11}"/>
    <cellStyle name="Normal 2 3 2 2 2 6 3" xfId="19680" xr:uid="{8B17D808-7AFD-4307-92D9-62B51BF36F31}"/>
    <cellStyle name="Normal 2 3 2 2 2 6 4" xfId="31001" xr:uid="{CBD69C70-8424-443C-974A-44E874CCC208}"/>
    <cellStyle name="Normal 2 3 2 2 2 6 5" xfId="37588" xr:uid="{125D38E8-DBD4-4308-91E2-BA9D595DD324}"/>
    <cellStyle name="Normal 2 3 2 2 2 7" xfId="22436" xr:uid="{4C43723C-1883-40B6-93AC-FF18718ED6F3}"/>
    <cellStyle name="Normal 2 3 2 2 2 8" xfId="16776" xr:uid="{3061613F-3B3F-4B2F-BC27-CCD6554446CD}"/>
    <cellStyle name="Normal 2 3 2 2 2 9" xfId="28097" xr:uid="{1461BF22-55F9-4133-807C-4C8C590D5C21}"/>
    <cellStyle name="Normal 2 3 2 2 3" xfId="4182" xr:uid="{00000000-0005-0000-0000-000019140000}"/>
    <cellStyle name="Normal 2 3 2 2 3 10" xfId="37589" xr:uid="{1B90BF39-5E23-44BE-AC37-3E08AB357822}"/>
    <cellStyle name="Normal 2 3 2 2 3 2" xfId="4928" xr:uid="{00000000-0005-0000-0000-00001A140000}"/>
    <cellStyle name="Normal 2 3 2 2 3 2 2" xfId="5347" xr:uid="{00000000-0005-0000-0000-00001B140000}"/>
    <cellStyle name="Normal 2 3 2 2 3 2 2 2" xfId="7210" xr:uid="{00000000-0005-0000-0000-00001C140000}"/>
    <cellStyle name="Normal 2 3 2 2 3 2 2 2 2" xfId="15643" xr:uid="{00000000-0005-0000-0000-00001D140000}"/>
    <cellStyle name="Normal 2 3 2 2 3 2 2 2 2 2" xfId="27537" xr:uid="{3DC92E15-3B26-47A7-9196-5FA50829923D}"/>
    <cellStyle name="Normal 2 3 2 2 3 2 2 2 2 3" xfId="21877" xr:uid="{331C5661-F265-4B6F-A503-9B7E7E653C71}"/>
    <cellStyle name="Normal 2 3 2 2 3 2 2 2 2 4" xfId="32917" xr:uid="{B9FA2C6E-896B-42DC-81F4-C2946F758B8C}"/>
    <cellStyle name="Normal 2 3 2 2 3 2 2 2 2 5" xfId="37593" xr:uid="{9FAC99AB-13DB-4D39-9FA4-E3040D272E7D}"/>
    <cellStyle name="Normal 2 3 2 2 3 2 2 2 3" xfId="24704" xr:uid="{4F428FB0-C4EC-4B2C-B741-BB9B49C8C659}"/>
    <cellStyle name="Normal 2 3 2 2 3 2 2 2 4" xfId="19044" xr:uid="{D407C1F4-0906-46A8-9792-80B5FC60D4B7}"/>
    <cellStyle name="Normal 2 3 2 2 3 2 2 2 5" xfId="30365" xr:uid="{6F4C89ED-725D-4320-AD0B-6082690711DB}"/>
    <cellStyle name="Normal 2 3 2 2 3 2 2 2 6" xfId="37592" xr:uid="{4BB53606-A5F4-474A-84AB-2308D5F62979}"/>
    <cellStyle name="Normal 2 3 2 2 3 2 2 3" xfId="14233" xr:uid="{00000000-0005-0000-0000-00001E140000}"/>
    <cellStyle name="Normal 2 3 2 2 3 2 2 3 2" xfId="26272" xr:uid="{CE3D2376-D985-4D71-AA6D-298E7CB04981}"/>
    <cellStyle name="Normal 2 3 2 2 3 2 2 3 3" xfId="20612" xr:uid="{834F608A-6315-435B-8039-3C2A286A4149}"/>
    <cellStyle name="Normal 2 3 2 2 3 2 2 3 4" xfId="31652" xr:uid="{0F1A11F5-B688-4277-B11A-6F7E24E587FB}"/>
    <cellStyle name="Normal 2 3 2 2 3 2 2 3 5" xfId="37594" xr:uid="{88981847-98BB-4EFC-BDFE-F0C1C45356B3}"/>
    <cellStyle name="Normal 2 3 2 2 3 2 2 4" xfId="23142" xr:uid="{BE1A85A6-2235-412C-BF0C-3D2DE4734FDB}"/>
    <cellStyle name="Normal 2 3 2 2 3 2 2 5" xfId="17482" xr:uid="{313815CF-8C9D-4C4A-8100-DC6500177418}"/>
    <cellStyle name="Normal 2 3 2 2 3 2 2 6" xfId="28803" xr:uid="{DDA1B93B-2B7C-4265-98CC-441B4B23B41D}"/>
    <cellStyle name="Normal 2 3 2 2 3 2 2 7" xfId="37591" xr:uid="{F5818ADE-759E-4310-816B-07A84F26F493}"/>
    <cellStyle name="Normal 2 3 2 2 3 2 3" xfId="6092" xr:uid="{00000000-0005-0000-0000-00001F140000}"/>
    <cellStyle name="Normal 2 3 2 2 3 2 3 2" xfId="7432" xr:uid="{00000000-0005-0000-0000-000020140000}"/>
    <cellStyle name="Normal 2 3 2 2 3 2 3 2 2" xfId="15865" xr:uid="{00000000-0005-0000-0000-000021140000}"/>
    <cellStyle name="Normal 2 3 2 2 3 2 3 2 2 2" xfId="27759" xr:uid="{5D12174F-1EA0-4873-AB00-EF65A00F1692}"/>
    <cellStyle name="Normal 2 3 2 2 3 2 3 2 2 3" xfId="22099" xr:uid="{95F5CCB7-16E9-4C8F-A986-7C30871D6D03}"/>
    <cellStyle name="Normal 2 3 2 2 3 2 3 2 2 4" xfId="33139" xr:uid="{8096D2D0-787F-4066-9E80-BA9F78734546}"/>
    <cellStyle name="Normal 2 3 2 2 3 2 3 2 2 5" xfId="37597" xr:uid="{53BD03CD-D06B-448B-9E85-58F451DF2AA7}"/>
    <cellStyle name="Normal 2 3 2 2 3 2 3 2 3" xfId="24926" xr:uid="{0DEBE1C7-3B19-4C86-BEFA-C9BEE99C72FA}"/>
    <cellStyle name="Normal 2 3 2 2 3 2 3 2 4" xfId="19266" xr:uid="{F28D67DC-6D37-48FF-8E4E-A722545822C9}"/>
    <cellStyle name="Normal 2 3 2 2 3 2 3 2 5" xfId="30587" xr:uid="{62925028-C68E-41B5-A584-B07921889B84}"/>
    <cellStyle name="Normal 2 3 2 2 3 2 3 2 6" xfId="37596" xr:uid="{C062BA19-5B9D-47CA-A69C-D7ADF83DCBCA}"/>
    <cellStyle name="Normal 2 3 2 2 3 2 3 3" xfId="14545" xr:uid="{00000000-0005-0000-0000-000022140000}"/>
    <cellStyle name="Normal 2 3 2 2 3 2 3 3 2" xfId="26503" xr:uid="{B062A2C4-BA28-4C9E-B57A-4921FDB6EBE4}"/>
    <cellStyle name="Normal 2 3 2 2 3 2 3 3 3" xfId="20843" xr:uid="{CB5862D3-FB3E-4EF2-8FDD-42A318ADDADA}"/>
    <cellStyle name="Normal 2 3 2 2 3 2 3 3 4" xfId="31883" xr:uid="{38D4717A-0650-4BBE-8CE0-89377FA4B7C9}"/>
    <cellStyle name="Normal 2 3 2 2 3 2 3 3 5" xfId="37598" xr:uid="{9372B1C4-52D0-41D7-941A-CB3F32EAA491}"/>
    <cellStyle name="Normal 2 3 2 2 3 2 3 4" xfId="23670" xr:uid="{386B08FE-F5B3-440B-B93E-3924EAF407CF}"/>
    <cellStyle name="Normal 2 3 2 2 3 2 3 5" xfId="18010" xr:uid="{E1E1F7B7-67C7-4D6F-A661-DEFED5D8C1D2}"/>
    <cellStyle name="Normal 2 3 2 2 3 2 3 6" xfId="29331" xr:uid="{1D7E6808-5ED5-4EB2-A82B-889F9239DF8B}"/>
    <cellStyle name="Normal 2 3 2 2 3 2 3 7" xfId="37595" xr:uid="{D678EFB7-0D4D-4730-B3C0-4F05B862D579}"/>
    <cellStyle name="Normal 2 3 2 2 3 2 4" xfId="6792" xr:uid="{00000000-0005-0000-0000-000023140000}"/>
    <cellStyle name="Normal 2 3 2 2 3 2 4 2" xfId="15225" xr:uid="{00000000-0005-0000-0000-000024140000}"/>
    <cellStyle name="Normal 2 3 2 2 3 2 4 2 2" xfId="27119" xr:uid="{3710B959-CBA6-440F-8CF9-CB8DDE366080}"/>
    <cellStyle name="Normal 2 3 2 2 3 2 4 2 3" xfId="21459" xr:uid="{2B5EF635-619E-4E0C-98D6-A7BD2CF7424E}"/>
    <cellStyle name="Normal 2 3 2 2 3 2 4 2 4" xfId="32499" xr:uid="{7851137E-57F6-47DC-BB24-17277548AD53}"/>
    <cellStyle name="Normal 2 3 2 2 3 2 4 2 5" xfId="37600" xr:uid="{8950066F-7FE2-4C92-BCDF-AB71101090EB}"/>
    <cellStyle name="Normal 2 3 2 2 3 2 4 3" xfId="24286" xr:uid="{37531630-973C-4BB3-86B1-203AED445CBD}"/>
    <cellStyle name="Normal 2 3 2 2 3 2 4 4" xfId="18626" xr:uid="{F3B24243-4717-45CC-AF35-AE8765DD9A89}"/>
    <cellStyle name="Normal 2 3 2 2 3 2 4 5" xfId="29947" xr:uid="{51A44E78-D93E-419C-A918-29446C3B0FFC}"/>
    <cellStyle name="Normal 2 3 2 2 3 2 4 6" xfId="37599" xr:uid="{D4421539-7704-4905-B70E-2420F8802628}"/>
    <cellStyle name="Normal 2 3 2 2 3 2 5" xfId="7860" xr:uid="{00000000-0005-0000-0000-000025140000}"/>
    <cellStyle name="Normal 2 3 2 2 3 2 5 2" xfId="25343" xr:uid="{59722913-A9AE-47BF-AEBB-8CF20600CD3E}"/>
    <cellStyle name="Normal 2 3 2 2 3 2 5 3" xfId="19683" xr:uid="{CE05205B-CCCF-44C9-A032-83FF368450BB}"/>
    <cellStyle name="Normal 2 3 2 2 3 2 5 4" xfId="31004" xr:uid="{429EADA8-F420-4C24-9F42-5D376D5A1B56}"/>
    <cellStyle name="Normal 2 3 2 2 3 2 5 5" xfId="37601" xr:uid="{8F67CD45-0DE5-4201-BFC9-8229B7EBC324}"/>
    <cellStyle name="Normal 2 3 2 2 3 2 6" xfId="22724" xr:uid="{169DDF14-5FA4-42E0-AE7E-BA216211F127}"/>
    <cellStyle name="Normal 2 3 2 2 3 2 7" xfId="17064" xr:uid="{26BF6A50-0F2E-4D75-8321-DAFD3DCE8EB5}"/>
    <cellStyle name="Normal 2 3 2 2 3 2 8" xfId="28385" xr:uid="{DF3DD9A9-7179-4035-A9EA-C6BD9D1EA16C}"/>
    <cellStyle name="Normal 2 3 2 2 3 2 9" xfId="37590" xr:uid="{29784356-5897-421C-B931-DB53E40A028C}"/>
    <cellStyle name="Normal 2 3 2 2 3 3" xfId="5138" xr:uid="{00000000-0005-0000-0000-000026140000}"/>
    <cellStyle name="Normal 2 3 2 2 3 3 2" xfId="7001" xr:uid="{00000000-0005-0000-0000-000027140000}"/>
    <cellStyle name="Normal 2 3 2 2 3 3 2 2" xfId="15434" xr:uid="{00000000-0005-0000-0000-000028140000}"/>
    <cellStyle name="Normal 2 3 2 2 3 3 2 2 2" xfId="27328" xr:uid="{6EE28FC0-FC4E-4DBF-A99E-86FF30ACD842}"/>
    <cellStyle name="Normal 2 3 2 2 3 3 2 2 3" xfId="21668" xr:uid="{9CAE2F5A-3F8A-4131-8284-06F330889B3E}"/>
    <cellStyle name="Normal 2 3 2 2 3 3 2 2 4" xfId="32708" xr:uid="{D6466E05-8B51-48E6-B716-0D011BFF7F40}"/>
    <cellStyle name="Normal 2 3 2 2 3 3 2 2 5" xfId="37604" xr:uid="{85AEE493-F15D-4A45-AE59-A4449299B4EE}"/>
    <cellStyle name="Normal 2 3 2 2 3 3 2 3" xfId="24495" xr:uid="{B27D743C-C14F-480D-86C4-DDF957DD5BB2}"/>
    <cellStyle name="Normal 2 3 2 2 3 3 2 4" xfId="18835" xr:uid="{606418AF-6C6B-4C8A-8BFE-62820B41BCBF}"/>
    <cellStyle name="Normal 2 3 2 2 3 3 2 5" xfId="30156" xr:uid="{C03B353C-4583-4EE5-A096-A88D010BB9A7}"/>
    <cellStyle name="Normal 2 3 2 2 3 3 2 6" xfId="37603" xr:uid="{9A3A1C65-BF3C-4695-B867-C5A3E1ABDFDF}"/>
    <cellStyle name="Normal 2 3 2 2 3 3 3" xfId="14025" xr:uid="{00000000-0005-0000-0000-000029140000}"/>
    <cellStyle name="Normal 2 3 2 2 3 3 3 2" xfId="26064" xr:uid="{606DBE72-A004-48E7-A05C-41097A665018}"/>
    <cellStyle name="Normal 2 3 2 2 3 3 3 3" xfId="20404" xr:uid="{FCF3BB34-FDA3-4C19-BAF2-8BA04820706D}"/>
    <cellStyle name="Normal 2 3 2 2 3 3 3 4" xfId="31444" xr:uid="{D842FB46-C931-4FB8-B19C-35611CBF1BD8}"/>
    <cellStyle name="Normal 2 3 2 2 3 3 3 5" xfId="37605" xr:uid="{13E06259-A0BA-4276-AA8C-832322C495B8}"/>
    <cellStyle name="Normal 2 3 2 2 3 3 4" xfId="22933" xr:uid="{A6FDB4A1-E31A-4A51-8F77-411124D571E3}"/>
    <cellStyle name="Normal 2 3 2 2 3 3 5" xfId="17273" xr:uid="{6679E70F-D0A9-4110-BC45-8AD174A3695A}"/>
    <cellStyle name="Normal 2 3 2 2 3 3 6" xfId="28594" xr:uid="{D84D3796-6290-4392-B59B-C8AD29FA1EE2}"/>
    <cellStyle name="Normal 2 3 2 2 3 3 7" xfId="37602" xr:uid="{5980590F-A221-46F6-BE2A-38EB1193DAE9}"/>
    <cellStyle name="Normal 2 3 2 2 3 4" xfId="6091" xr:uid="{00000000-0005-0000-0000-00002A140000}"/>
    <cellStyle name="Normal 2 3 2 2 3 4 2" xfId="7431" xr:uid="{00000000-0005-0000-0000-00002B140000}"/>
    <cellStyle name="Normal 2 3 2 2 3 4 2 2" xfId="15864" xr:uid="{00000000-0005-0000-0000-00002C140000}"/>
    <cellStyle name="Normal 2 3 2 2 3 4 2 2 2" xfId="27758" xr:uid="{777D54CB-6548-4920-8F8B-3EB06835C113}"/>
    <cellStyle name="Normal 2 3 2 2 3 4 2 2 3" xfId="22098" xr:uid="{5329536E-A833-4892-8B8A-2E740C2A2EF7}"/>
    <cellStyle name="Normal 2 3 2 2 3 4 2 2 4" xfId="33138" xr:uid="{CFDCA2AE-E325-4F2C-99D7-9238128AF876}"/>
    <cellStyle name="Normal 2 3 2 2 3 4 2 2 5" xfId="37608" xr:uid="{0E0770B3-A921-4D25-815D-C50DB08FD0DD}"/>
    <cellStyle name="Normal 2 3 2 2 3 4 2 3" xfId="24925" xr:uid="{1C8BAED5-828A-4931-9738-378D05FEF27A}"/>
    <cellStyle name="Normal 2 3 2 2 3 4 2 4" xfId="19265" xr:uid="{D8D6B1FB-5A84-41DF-A438-2589FA928540}"/>
    <cellStyle name="Normal 2 3 2 2 3 4 2 5" xfId="30586" xr:uid="{796333FD-84AE-4520-AD89-810BCC0274D4}"/>
    <cellStyle name="Normal 2 3 2 2 3 4 2 6" xfId="37607" xr:uid="{53C51777-87BF-4F4C-85B7-C9DB4E44C799}"/>
    <cellStyle name="Normal 2 3 2 2 3 4 3" xfId="14544" xr:uid="{00000000-0005-0000-0000-00002D140000}"/>
    <cellStyle name="Normal 2 3 2 2 3 4 3 2" xfId="26502" xr:uid="{CC03DDBA-04F6-4B07-BFF6-12B75037D531}"/>
    <cellStyle name="Normal 2 3 2 2 3 4 3 3" xfId="20842" xr:uid="{BB0AF17E-8E72-42FE-B2D1-FFE3D14CB1DA}"/>
    <cellStyle name="Normal 2 3 2 2 3 4 3 4" xfId="31882" xr:uid="{86488876-17F9-4B97-8006-AE3C3CF26727}"/>
    <cellStyle name="Normal 2 3 2 2 3 4 3 5" xfId="37609" xr:uid="{943F33AB-D9AB-43F4-A8C4-3277D8D30773}"/>
    <cellStyle name="Normal 2 3 2 2 3 4 4" xfId="23669" xr:uid="{3B2509CC-C687-4A17-9168-FD105072EEB7}"/>
    <cellStyle name="Normal 2 3 2 2 3 4 5" xfId="18009" xr:uid="{1855ECC6-1ED7-4E0B-A647-4C04A1DAF1FE}"/>
    <cellStyle name="Normal 2 3 2 2 3 4 6" xfId="29330" xr:uid="{249408A7-6EEC-4C97-B8DF-AC6A920608B6}"/>
    <cellStyle name="Normal 2 3 2 2 3 4 7" xfId="37606" xr:uid="{BAA36534-1611-4719-AA81-CFD3DD438C72}"/>
    <cellStyle name="Normal 2 3 2 2 3 5" xfId="6583" xr:uid="{00000000-0005-0000-0000-00002E140000}"/>
    <cellStyle name="Normal 2 3 2 2 3 5 2" xfId="15016" xr:uid="{00000000-0005-0000-0000-00002F140000}"/>
    <cellStyle name="Normal 2 3 2 2 3 5 2 2" xfId="26910" xr:uid="{4644CC02-D4CC-4DB9-BC0B-52368D8E7394}"/>
    <cellStyle name="Normal 2 3 2 2 3 5 2 3" xfId="21250" xr:uid="{DA6E5C68-186B-4A9A-BB29-D721ED301A13}"/>
    <cellStyle name="Normal 2 3 2 2 3 5 2 4" xfId="32290" xr:uid="{ACD5BD1B-6D12-4B38-BF12-C99F217346C3}"/>
    <cellStyle name="Normal 2 3 2 2 3 5 2 5" xfId="37611" xr:uid="{0B9D5006-B9E6-4E93-9154-36E8A9C5A733}"/>
    <cellStyle name="Normal 2 3 2 2 3 5 3" xfId="24077" xr:uid="{28E4D518-27F6-4791-B36A-3F53711DD37D}"/>
    <cellStyle name="Normal 2 3 2 2 3 5 4" xfId="18417" xr:uid="{F20381E0-86D4-4425-9466-72864C2829C0}"/>
    <cellStyle name="Normal 2 3 2 2 3 5 5" xfId="29738" xr:uid="{D028070D-E0A3-4AF2-8B46-85D42152C064}"/>
    <cellStyle name="Normal 2 3 2 2 3 5 6" xfId="37610" xr:uid="{54E3420A-5F21-400D-A713-6E601F2B06E5}"/>
    <cellStyle name="Normal 2 3 2 2 3 6" xfId="7859" xr:uid="{00000000-0005-0000-0000-000030140000}"/>
    <cellStyle name="Normal 2 3 2 2 3 6 2" xfId="25342" xr:uid="{B78796A9-720D-4E23-B987-4507272A1C0C}"/>
    <cellStyle name="Normal 2 3 2 2 3 6 3" xfId="19682" xr:uid="{A83AAF5D-6546-481D-8805-E48EBF808B45}"/>
    <cellStyle name="Normal 2 3 2 2 3 6 4" xfId="31003" xr:uid="{C193D503-BCEF-4E33-97CC-4F4BF3214989}"/>
    <cellStyle name="Normal 2 3 2 2 3 6 5" xfId="37612" xr:uid="{CA578B2C-83CE-45C1-B681-1C1907538C51}"/>
    <cellStyle name="Normal 2 3 2 2 3 7" xfId="22515" xr:uid="{39A69515-7C3D-4EAD-B710-410854215512}"/>
    <cellStyle name="Normal 2 3 2 2 3 8" xfId="16855" xr:uid="{27B9B3C7-2E9C-40FF-9108-F6746FFCCA34}"/>
    <cellStyle name="Normal 2 3 2 2 3 9" xfId="28176" xr:uid="{C667CFBC-9663-49B3-AA83-B8AFCE674048}"/>
    <cellStyle name="Normal 2 3 2 2 4" xfId="4820" xr:uid="{00000000-0005-0000-0000-000031140000}"/>
    <cellStyle name="Normal 2 3 2 2 4 2" xfId="5241" xr:uid="{00000000-0005-0000-0000-000032140000}"/>
    <cellStyle name="Normal 2 3 2 2 4 2 2" xfId="7104" xr:uid="{00000000-0005-0000-0000-000033140000}"/>
    <cellStyle name="Normal 2 3 2 2 4 2 2 2" xfId="15537" xr:uid="{00000000-0005-0000-0000-000034140000}"/>
    <cellStyle name="Normal 2 3 2 2 4 2 2 2 2" xfId="27431" xr:uid="{800DE16E-A5D3-4020-B3DF-B2AA50BC58D0}"/>
    <cellStyle name="Normal 2 3 2 2 4 2 2 2 3" xfId="21771" xr:uid="{8F3EB83E-504E-4A61-852A-EEBA064C1A16}"/>
    <cellStyle name="Normal 2 3 2 2 4 2 2 2 4" xfId="32811" xr:uid="{EE2ED1EF-6F42-45F7-A35E-1CC31CE73A75}"/>
    <cellStyle name="Normal 2 3 2 2 4 2 2 2 5" xfId="37616" xr:uid="{A47DF788-D2D6-4001-976B-D66186A4FBE1}"/>
    <cellStyle name="Normal 2 3 2 2 4 2 2 3" xfId="24598" xr:uid="{1AC7AC4C-D084-443E-87DF-434E19D4B2AD}"/>
    <cellStyle name="Normal 2 3 2 2 4 2 2 4" xfId="18938" xr:uid="{A4505FC1-72FC-4822-AAE4-6E689DF288F1}"/>
    <cellStyle name="Normal 2 3 2 2 4 2 2 5" xfId="30259" xr:uid="{E774F75E-A58B-4B2E-AAE6-0A56E57EFA19}"/>
    <cellStyle name="Normal 2 3 2 2 4 2 2 6" xfId="37615" xr:uid="{C16C4189-63A2-4C10-ADA2-0776C368AA3C}"/>
    <cellStyle name="Normal 2 3 2 2 4 2 3" xfId="14127" xr:uid="{00000000-0005-0000-0000-000035140000}"/>
    <cellStyle name="Normal 2 3 2 2 4 2 3 2" xfId="26166" xr:uid="{21D243D9-27FD-4E69-B169-D6F1BE5A155C}"/>
    <cellStyle name="Normal 2 3 2 2 4 2 3 3" xfId="20506" xr:uid="{706D68D1-2718-443B-AEA7-0281D58FC042}"/>
    <cellStyle name="Normal 2 3 2 2 4 2 3 4" xfId="31546" xr:uid="{FBD86B07-E8F7-4339-BB29-3A47BFF743F8}"/>
    <cellStyle name="Normal 2 3 2 2 4 2 3 5" xfId="37617" xr:uid="{8D0EAFE4-9AB5-4897-B233-F5F2CB66DA39}"/>
    <cellStyle name="Normal 2 3 2 2 4 2 4" xfId="23036" xr:uid="{EAA89D90-06E8-4689-9302-EE94A0E7F29F}"/>
    <cellStyle name="Normal 2 3 2 2 4 2 5" xfId="17376" xr:uid="{2E7B449B-51FE-4235-9890-37583DB7C21D}"/>
    <cellStyle name="Normal 2 3 2 2 4 2 6" xfId="28697" xr:uid="{95DD1AF6-7A76-41EA-B434-C62C36099705}"/>
    <cellStyle name="Normal 2 3 2 2 4 2 7" xfId="37614" xr:uid="{C2186827-CBAF-4927-9109-BEDE23DFE74C}"/>
    <cellStyle name="Normal 2 3 2 2 4 3" xfId="6093" xr:uid="{00000000-0005-0000-0000-000036140000}"/>
    <cellStyle name="Normal 2 3 2 2 4 3 2" xfId="7433" xr:uid="{00000000-0005-0000-0000-000037140000}"/>
    <cellStyle name="Normal 2 3 2 2 4 3 2 2" xfId="15866" xr:uid="{00000000-0005-0000-0000-000038140000}"/>
    <cellStyle name="Normal 2 3 2 2 4 3 2 2 2" xfId="27760" xr:uid="{0F918867-869B-4D21-8AF7-6E7AB771EAD3}"/>
    <cellStyle name="Normal 2 3 2 2 4 3 2 2 3" xfId="22100" xr:uid="{058AE525-8E6C-41A1-B040-14B974EBD39C}"/>
    <cellStyle name="Normal 2 3 2 2 4 3 2 2 4" xfId="33140" xr:uid="{830C7B1D-4A77-4444-A994-8D54D6DC16F7}"/>
    <cellStyle name="Normal 2 3 2 2 4 3 2 2 5" xfId="37620" xr:uid="{1AE415B1-C711-4709-BBFC-0DE9B63B22A6}"/>
    <cellStyle name="Normal 2 3 2 2 4 3 2 3" xfId="24927" xr:uid="{6270C7CF-8A8F-4CE9-8798-A98AB3AC7ED3}"/>
    <cellStyle name="Normal 2 3 2 2 4 3 2 4" xfId="19267" xr:uid="{82462518-1826-4D09-9883-298F276653C3}"/>
    <cellStyle name="Normal 2 3 2 2 4 3 2 5" xfId="30588" xr:uid="{F2AC8A2B-571E-40EE-B149-5DC1C6F24503}"/>
    <cellStyle name="Normal 2 3 2 2 4 3 2 6" xfId="37619" xr:uid="{CA021461-F3EA-4118-AC32-9AA55A2C636D}"/>
    <cellStyle name="Normal 2 3 2 2 4 3 3" xfId="14546" xr:uid="{00000000-0005-0000-0000-000039140000}"/>
    <cellStyle name="Normal 2 3 2 2 4 3 3 2" xfId="26504" xr:uid="{A734F6D5-77FE-471A-8FE2-12879C0ACE36}"/>
    <cellStyle name="Normal 2 3 2 2 4 3 3 3" xfId="20844" xr:uid="{260EF5A4-5A26-4691-A273-7CAE849E78B9}"/>
    <cellStyle name="Normal 2 3 2 2 4 3 3 4" xfId="31884" xr:uid="{B6C10F06-2FD6-40CE-BDBF-79188E02CE21}"/>
    <cellStyle name="Normal 2 3 2 2 4 3 3 5" xfId="37621" xr:uid="{34888657-F1A4-4653-8C65-4B6B94E8F09F}"/>
    <cellStyle name="Normal 2 3 2 2 4 3 4" xfId="23671" xr:uid="{6403965F-9953-4CF0-9DAB-06C35AADD25D}"/>
    <cellStyle name="Normal 2 3 2 2 4 3 5" xfId="18011" xr:uid="{9DF99360-C7E0-4EC2-9192-4C93008B896A}"/>
    <cellStyle name="Normal 2 3 2 2 4 3 6" xfId="29332" xr:uid="{4230842E-8D10-4AC6-834F-E27B030DA3F4}"/>
    <cellStyle name="Normal 2 3 2 2 4 3 7" xfId="37618" xr:uid="{56C4B24C-ADF0-4527-B3CC-3474ACB03D7B}"/>
    <cellStyle name="Normal 2 3 2 2 4 4" xfId="6686" xr:uid="{00000000-0005-0000-0000-00003A140000}"/>
    <cellStyle name="Normal 2 3 2 2 4 4 2" xfId="15119" xr:uid="{00000000-0005-0000-0000-00003B140000}"/>
    <cellStyle name="Normal 2 3 2 2 4 4 2 2" xfId="27013" xr:uid="{6936880A-B214-4DDB-B8F2-B77F3AC2249F}"/>
    <cellStyle name="Normal 2 3 2 2 4 4 2 3" xfId="21353" xr:uid="{A8F50034-FE26-4D4D-BAF0-C21F8D4D4657}"/>
    <cellStyle name="Normal 2 3 2 2 4 4 2 4" xfId="32393" xr:uid="{391A3175-11BF-4158-9C1D-DF1F6E710473}"/>
    <cellStyle name="Normal 2 3 2 2 4 4 2 5" xfId="37623" xr:uid="{674F10C4-8565-489E-85D9-8EE72E68D771}"/>
    <cellStyle name="Normal 2 3 2 2 4 4 3" xfId="24180" xr:uid="{C1C7051E-305E-4CB5-BFDF-5AA80CFB2734}"/>
    <cellStyle name="Normal 2 3 2 2 4 4 4" xfId="18520" xr:uid="{72AC85DA-1587-4906-8F9C-F62162440415}"/>
    <cellStyle name="Normal 2 3 2 2 4 4 5" xfId="29841" xr:uid="{187E3C2C-F4AB-4D34-BCF3-51DA3868DF7D}"/>
    <cellStyle name="Normal 2 3 2 2 4 4 6" xfId="37622" xr:uid="{BC02F6DA-FC63-4AA8-82FC-36E5F6A53785}"/>
    <cellStyle name="Normal 2 3 2 2 4 5" xfId="7861" xr:uid="{00000000-0005-0000-0000-00003C140000}"/>
    <cellStyle name="Normal 2 3 2 2 4 5 2" xfId="25344" xr:uid="{4216856C-DB3F-4D1D-85FD-0C8199B7B5E3}"/>
    <cellStyle name="Normal 2 3 2 2 4 5 3" xfId="19684" xr:uid="{5AF09DBB-ACDA-43D2-A506-C13395A149F6}"/>
    <cellStyle name="Normal 2 3 2 2 4 5 4" xfId="31005" xr:uid="{17AF65B6-C051-4992-8EF3-054F42529873}"/>
    <cellStyle name="Normal 2 3 2 2 4 5 5" xfId="37624" xr:uid="{1DF8EA87-13FC-434F-A1E8-209F3C1F2017}"/>
    <cellStyle name="Normal 2 3 2 2 4 6" xfId="22618" xr:uid="{8ED60920-04B1-43C7-AAAE-10EE856DF90A}"/>
    <cellStyle name="Normal 2 3 2 2 4 7" xfId="16958" xr:uid="{BA1F489F-AE58-43F0-AB8B-87D13D312D64}"/>
    <cellStyle name="Normal 2 3 2 2 4 8" xfId="28279" xr:uid="{4892EB12-EB92-42C5-B054-AB3A70531D22}"/>
    <cellStyle name="Normal 2 3 2 2 4 9" xfId="37613" xr:uid="{FE112474-5E9E-48E2-BDEB-B86F07FB88F1}"/>
    <cellStyle name="Normal 2 3 2 2 5" xfId="5032" xr:uid="{00000000-0005-0000-0000-00003D140000}"/>
    <cellStyle name="Normal 2 3 2 2 5 2" xfId="6895" xr:uid="{00000000-0005-0000-0000-00003E140000}"/>
    <cellStyle name="Normal 2 3 2 2 5 2 2" xfId="15328" xr:uid="{00000000-0005-0000-0000-00003F140000}"/>
    <cellStyle name="Normal 2 3 2 2 5 2 2 2" xfId="27222" xr:uid="{50DDDE9D-9FA5-42A1-B5B3-9DB7D8058F22}"/>
    <cellStyle name="Normal 2 3 2 2 5 2 2 3" xfId="21562" xr:uid="{C58015A0-3F5F-4F31-867F-C8F9DB11610A}"/>
    <cellStyle name="Normal 2 3 2 2 5 2 2 4" xfId="32602" xr:uid="{39D5D32C-2584-4CB5-9492-48ECE5DD1606}"/>
    <cellStyle name="Normal 2 3 2 2 5 2 2 5" xfId="37627" xr:uid="{EABB08C2-DCF0-4428-9F8C-ACD91BA66326}"/>
    <cellStyle name="Normal 2 3 2 2 5 2 3" xfId="24389" xr:uid="{3F8DCC19-E301-4A42-B04D-C5B350A8E9C9}"/>
    <cellStyle name="Normal 2 3 2 2 5 2 4" xfId="18729" xr:uid="{0C57930D-792A-4430-A9C2-E6ED1752208A}"/>
    <cellStyle name="Normal 2 3 2 2 5 2 5" xfId="30050" xr:uid="{F352A88B-61A7-4D5F-B628-9663A46E9CD0}"/>
    <cellStyle name="Normal 2 3 2 2 5 2 6" xfId="37626" xr:uid="{264E05FA-30EB-4B4C-9089-C17A58EEBC1B}"/>
    <cellStyle name="Normal 2 3 2 2 5 3" xfId="13936" xr:uid="{00000000-0005-0000-0000-000040140000}"/>
    <cellStyle name="Normal 2 3 2 2 5 3 2" xfId="25977" xr:uid="{2ABFF36E-85BB-4953-B09D-4952E1F2528C}"/>
    <cellStyle name="Normal 2 3 2 2 5 3 3" xfId="20317" xr:uid="{4EBECBAD-940E-4C29-95FC-43DF3B0B5E0A}"/>
    <cellStyle name="Normal 2 3 2 2 5 3 4" xfId="31357" xr:uid="{12B48E39-4F31-4C8B-9C82-90415D5B5C8C}"/>
    <cellStyle name="Normal 2 3 2 2 5 3 5" xfId="37628" xr:uid="{62115A04-0F8C-43B4-B425-E8670AB21EA2}"/>
    <cellStyle name="Normal 2 3 2 2 5 4" xfId="22827" xr:uid="{28C35957-047B-440B-8404-29213BC06A31}"/>
    <cellStyle name="Normal 2 3 2 2 5 5" xfId="17167" xr:uid="{8730CEB9-86F3-497A-977A-CFD0BB46D7A6}"/>
    <cellStyle name="Normal 2 3 2 2 5 6" xfId="28488" xr:uid="{AD27998E-F5BD-4776-9506-FF6D491303F5}"/>
    <cellStyle name="Normal 2 3 2 2 5 7" xfId="37625" xr:uid="{F30846A5-3BF0-49AD-B426-7B5068C611F9}"/>
    <cellStyle name="Normal 2 3 2 2 6" xfId="6088" xr:uid="{00000000-0005-0000-0000-000041140000}"/>
    <cellStyle name="Normal 2 3 2 2 6 2" xfId="7428" xr:uid="{00000000-0005-0000-0000-000042140000}"/>
    <cellStyle name="Normal 2 3 2 2 6 2 2" xfId="15861" xr:uid="{00000000-0005-0000-0000-000043140000}"/>
    <cellStyle name="Normal 2 3 2 2 6 2 2 2" xfId="27755" xr:uid="{51536E19-0A50-44ED-B8AE-BA5CF3426E7E}"/>
    <cellStyle name="Normal 2 3 2 2 6 2 2 3" xfId="22095" xr:uid="{7D37876F-6E03-44D6-A83F-817F00D8D3BE}"/>
    <cellStyle name="Normal 2 3 2 2 6 2 2 4" xfId="33135" xr:uid="{1EA99EF4-1E6B-45EC-8760-D29B4B208158}"/>
    <cellStyle name="Normal 2 3 2 2 6 2 2 5" xfId="37631" xr:uid="{9EC18D36-16E0-4756-8B5A-B587F7184318}"/>
    <cellStyle name="Normal 2 3 2 2 6 2 3" xfId="24922" xr:uid="{0BA17613-1D3D-496F-8CD6-FC7F2C8CA116}"/>
    <cellStyle name="Normal 2 3 2 2 6 2 4" xfId="19262" xr:uid="{9755FC2D-66CA-4F8B-8792-D2AD0DDCC4FF}"/>
    <cellStyle name="Normal 2 3 2 2 6 2 5" xfId="30583" xr:uid="{4EBF8E8E-9403-4D16-A482-15D8BAF28548}"/>
    <cellStyle name="Normal 2 3 2 2 6 2 6" xfId="37630" xr:uid="{255373BE-2AA0-4554-B39F-72DC906B56D1}"/>
    <cellStyle name="Normal 2 3 2 2 6 3" xfId="14541" xr:uid="{00000000-0005-0000-0000-000044140000}"/>
    <cellStyle name="Normal 2 3 2 2 6 3 2" xfId="26499" xr:uid="{87E67997-F897-4494-A832-8FECCE6E5969}"/>
    <cellStyle name="Normal 2 3 2 2 6 3 3" xfId="20839" xr:uid="{86DE08EA-5923-42E9-B03E-AC95A216346C}"/>
    <cellStyle name="Normal 2 3 2 2 6 3 4" xfId="31879" xr:uid="{D89ACC87-A2C9-4945-9827-4427603058CC}"/>
    <cellStyle name="Normal 2 3 2 2 6 3 5" xfId="37632" xr:uid="{4F3C8196-3424-4235-A661-54CAE46C44C2}"/>
    <cellStyle name="Normal 2 3 2 2 6 4" xfId="23666" xr:uid="{BDE43A42-E103-4FD4-8EEF-5CD06B4D4A5A}"/>
    <cellStyle name="Normal 2 3 2 2 6 5" xfId="18006" xr:uid="{DB36900C-942C-4E8E-A437-07ECE2FBAF59}"/>
    <cellStyle name="Normal 2 3 2 2 6 6" xfId="29327" xr:uid="{27D544EC-A797-4726-8A32-8F4D9A32073B}"/>
    <cellStyle name="Normal 2 3 2 2 6 7" xfId="37629" xr:uid="{98A3BD77-6FF7-4D44-8930-1A25F1A172EF}"/>
    <cellStyle name="Normal 2 3 2 2 7" xfId="6477" xr:uid="{00000000-0005-0000-0000-000045140000}"/>
    <cellStyle name="Normal 2 3 2 2 7 2" xfId="14910" xr:uid="{00000000-0005-0000-0000-000046140000}"/>
    <cellStyle name="Normal 2 3 2 2 7 2 2" xfId="26804" xr:uid="{B8027047-F00D-4B4D-B2E0-305461451A59}"/>
    <cellStyle name="Normal 2 3 2 2 7 2 3" xfId="21144" xr:uid="{ED06338A-0368-425D-A647-438DBBDC3960}"/>
    <cellStyle name="Normal 2 3 2 2 7 2 4" xfId="32184" xr:uid="{15E1F75C-9C1C-4BC4-96D3-38AA0BA4721D}"/>
    <cellStyle name="Normal 2 3 2 2 7 2 5" xfId="37634" xr:uid="{CD5BF0C4-0051-4D1F-81EC-863F07B35075}"/>
    <cellStyle name="Normal 2 3 2 2 7 3" xfId="23971" xr:uid="{65F46C02-BF27-43B2-88FD-48EE8B11DA1B}"/>
    <cellStyle name="Normal 2 3 2 2 7 4" xfId="18311" xr:uid="{5887F035-C7A6-4635-9D2B-B2CC414F5552}"/>
    <cellStyle name="Normal 2 3 2 2 7 5" xfId="29632" xr:uid="{8B78E140-25A2-427E-A31F-9E79D9766577}"/>
    <cellStyle name="Normal 2 3 2 2 7 6" xfId="37633" xr:uid="{8B48E27F-BBCC-43FA-BD14-38B4AFF998AA}"/>
    <cellStyle name="Normal 2 3 2 2 8" xfId="7856" xr:uid="{00000000-0005-0000-0000-000047140000}"/>
    <cellStyle name="Normal 2 3 2 2 8 2" xfId="25339" xr:uid="{31C7C55A-FABE-4050-A768-CB751D9DD8AD}"/>
    <cellStyle name="Normal 2 3 2 2 8 3" xfId="19679" xr:uid="{64926084-40AC-4407-A8D7-178D4373A322}"/>
    <cellStyle name="Normal 2 3 2 2 8 4" xfId="31000" xr:uid="{75A347F8-34C6-4B8A-8656-1B77BFA57A14}"/>
    <cellStyle name="Normal 2 3 2 2 8 5" xfId="37635" xr:uid="{33BC4EA5-8543-400E-B990-11CC8F880EC4}"/>
    <cellStyle name="Normal 2 3 2 2 9" xfId="22409" xr:uid="{FE140A69-2469-435F-9C48-BA0977241235}"/>
    <cellStyle name="Normal 2 3 2 3" xfId="305" xr:uid="{00000000-0005-0000-0000-000048140000}"/>
    <cellStyle name="Normal 2 3 2 3 10" xfId="37636" xr:uid="{E2EB148F-FFC0-42FF-A938-212AE20F0494}"/>
    <cellStyle name="Normal 2 3 2 3 2" xfId="4819" xr:uid="{00000000-0005-0000-0000-000049140000}"/>
    <cellStyle name="Normal 2 3 2 3 2 2" xfId="5240" xr:uid="{00000000-0005-0000-0000-00004A140000}"/>
    <cellStyle name="Normal 2 3 2 3 2 2 2" xfId="7103" xr:uid="{00000000-0005-0000-0000-00004B140000}"/>
    <cellStyle name="Normal 2 3 2 3 2 2 2 2" xfId="15536" xr:uid="{00000000-0005-0000-0000-00004C140000}"/>
    <cellStyle name="Normal 2 3 2 3 2 2 2 2 2" xfId="27430" xr:uid="{B6F0C9C6-EE87-4360-9EF4-AE6E33F18F3D}"/>
    <cellStyle name="Normal 2 3 2 3 2 2 2 2 3" xfId="21770" xr:uid="{83A5CE46-8025-4EB8-817F-7E415F44727A}"/>
    <cellStyle name="Normal 2 3 2 3 2 2 2 2 4" xfId="32810" xr:uid="{6FDBB46B-1B86-4C42-BEB8-CD8FC57BFE04}"/>
    <cellStyle name="Normal 2 3 2 3 2 2 2 2 5" xfId="37640" xr:uid="{D8D6C7DE-4653-4F5E-9C9A-68CFCE22727C}"/>
    <cellStyle name="Normal 2 3 2 3 2 2 2 3" xfId="24597" xr:uid="{79EB4A75-9BAC-48D8-84B8-E92428E8FC90}"/>
    <cellStyle name="Normal 2 3 2 3 2 2 2 4" xfId="18937" xr:uid="{798ABAB2-B124-4CA4-9FE6-9108BD4BFAA6}"/>
    <cellStyle name="Normal 2 3 2 3 2 2 2 5" xfId="30258" xr:uid="{1DDA1F45-2A5C-4F3A-B3FD-DF5C0851016C}"/>
    <cellStyle name="Normal 2 3 2 3 2 2 2 6" xfId="37639" xr:uid="{3E17AEB7-D833-454A-9B92-409CB6DF2383}"/>
    <cellStyle name="Normal 2 3 2 3 2 2 3" xfId="14126" xr:uid="{00000000-0005-0000-0000-00004D140000}"/>
    <cellStyle name="Normal 2 3 2 3 2 2 3 2" xfId="26165" xr:uid="{811755CF-225D-447F-951A-93151E960D56}"/>
    <cellStyle name="Normal 2 3 2 3 2 2 3 3" xfId="20505" xr:uid="{864530D9-E056-49AB-8B13-30A5387FF4E5}"/>
    <cellStyle name="Normal 2 3 2 3 2 2 3 4" xfId="31545" xr:uid="{4FE0BF71-692F-4D37-9C62-A90828D29461}"/>
    <cellStyle name="Normal 2 3 2 3 2 2 3 5" xfId="37641" xr:uid="{771B382E-7D24-4D8E-9C91-4FDD150C6DBC}"/>
    <cellStyle name="Normal 2 3 2 3 2 2 4" xfId="23035" xr:uid="{BD015CCA-4871-4228-89B3-607C58F59E68}"/>
    <cellStyle name="Normal 2 3 2 3 2 2 5" xfId="17375" xr:uid="{95218188-EE6F-419A-8440-09C82BACAF06}"/>
    <cellStyle name="Normal 2 3 2 3 2 2 6" xfId="28696" xr:uid="{DEA7CED6-712D-430B-A9F5-1E2C348F00D0}"/>
    <cellStyle name="Normal 2 3 2 3 2 2 7" xfId="37638" xr:uid="{6D5CBE08-52AB-42BD-820A-2795BD528569}"/>
    <cellStyle name="Normal 2 3 2 3 2 3" xfId="6095" xr:uid="{00000000-0005-0000-0000-00004E140000}"/>
    <cellStyle name="Normal 2 3 2 3 2 3 2" xfId="7435" xr:uid="{00000000-0005-0000-0000-00004F140000}"/>
    <cellStyle name="Normal 2 3 2 3 2 3 2 2" xfId="15868" xr:uid="{00000000-0005-0000-0000-000050140000}"/>
    <cellStyle name="Normal 2 3 2 3 2 3 2 2 2" xfId="27762" xr:uid="{D9FCA81F-9BC1-4D3B-A542-CAF9A19DDDEA}"/>
    <cellStyle name="Normal 2 3 2 3 2 3 2 2 3" xfId="22102" xr:uid="{1FF8CD18-F658-4985-99FD-366BC951587F}"/>
    <cellStyle name="Normal 2 3 2 3 2 3 2 2 4" xfId="33142" xr:uid="{8ECA33FA-D062-46B2-AD02-04BF90E48B28}"/>
    <cellStyle name="Normal 2 3 2 3 2 3 2 2 5" xfId="37644" xr:uid="{47CA37A1-2D17-4269-8FD7-77845C687B80}"/>
    <cellStyle name="Normal 2 3 2 3 2 3 2 3" xfId="24929" xr:uid="{24B6ED5D-5888-44EA-B3ED-9768303E4A11}"/>
    <cellStyle name="Normal 2 3 2 3 2 3 2 4" xfId="19269" xr:uid="{E89B3AE5-A75F-4493-BCFB-19BFE9093D75}"/>
    <cellStyle name="Normal 2 3 2 3 2 3 2 5" xfId="30590" xr:uid="{36BB8FB5-1B6D-4D2C-8BB2-31161A42B359}"/>
    <cellStyle name="Normal 2 3 2 3 2 3 2 6" xfId="37643" xr:uid="{16B60EBE-7124-4423-85D3-F4259C575F56}"/>
    <cellStyle name="Normal 2 3 2 3 2 3 3" xfId="14548" xr:uid="{00000000-0005-0000-0000-000051140000}"/>
    <cellStyle name="Normal 2 3 2 3 2 3 3 2" xfId="26506" xr:uid="{3DD0280F-A891-482B-A9B8-16BB7EF43DDF}"/>
    <cellStyle name="Normal 2 3 2 3 2 3 3 3" xfId="20846" xr:uid="{30757683-E1D7-4562-A9F0-0E70CBAB8C96}"/>
    <cellStyle name="Normal 2 3 2 3 2 3 3 4" xfId="31886" xr:uid="{65DD25C3-B989-4563-AEFF-F919375337F5}"/>
    <cellStyle name="Normal 2 3 2 3 2 3 3 5" xfId="37645" xr:uid="{C1C32ECF-5DD2-4A60-83D6-57BA572774EE}"/>
    <cellStyle name="Normal 2 3 2 3 2 3 4" xfId="23673" xr:uid="{EB2A86DC-B96F-432A-8487-4810943F32E3}"/>
    <cellStyle name="Normal 2 3 2 3 2 3 5" xfId="18013" xr:uid="{E9913CC5-84B0-43DA-AA0F-CEE034399EB8}"/>
    <cellStyle name="Normal 2 3 2 3 2 3 6" xfId="29334" xr:uid="{B9C784E4-13F3-42A1-89E5-1ABC55A39BB7}"/>
    <cellStyle name="Normal 2 3 2 3 2 3 7" xfId="37642" xr:uid="{4311D670-7EE0-4BE6-AA14-EE50BD53184D}"/>
    <cellStyle name="Normal 2 3 2 3 2 4" xfId="6685" xr:uid="{00000000-0005-0000-0000-000052140000}"/>
    <cellStyle name="Normal 2 3 2 3 2 4 2" xfId="15118" xr:uid="{00000000-0005-0000-0000-000053140000}"/>
    <cellStyle name="Normal 2 3 2 3 2 4 2 2" xfId="27012" xr:uid="{BF2696DD-24BE-47E7-8B68-92C5A2D8325A}"/>
    <cellStyle name="Normal 2 3 2 3 2 4 2 3" xfId="21352" xr:uid="{2863D58E-C598-43FF-AD28-5D35A1682074}"/>
    <cellStyle name="Normal 2 3 2 3 2 4 2 4" xfId="32392" xr:uid="{951A644A-A938-4688-82E9-4765C9517C16}"/>
    <cellStyle name="Normal 2 3 2 3 2 4 2 5" xfId="37647" xr:uid="{EB41547C-3981-4399-B6B3-409BD6A8F4B8}"/>
    <cellStyle name="Normal 2 3 2 3 2 4 3" xfId="24179" xr:uid="{F152FCCB-C1F9-4FE1-9404-0A3310BDF087}"/>
    <cellStyle name="Normal 2 3 2 3 2 4 4" xfId="18519" xr:uid="{428488E9-B50E-4DE3-8BAC-F21FA2834D4B}"/>
    <cellStyle name="Normal 2 3 2 3 2 4 5" xfId="29840" xr:uid="{8D047ABB-2F0B-4D61-9CC2-706C2F3D4617}"/>
    <cellStyle name="Normal 2 3 2 3 2 4 6" xfId="37646" xr:uid="{31EDA168-E214-47C5-AAE7-A06D922DCAAC}"/>
    <cellStyle name="Normal 2 3 2 3 2 5" xfId="7863" xr:uid="{00000000-0005-0000-0000-000054140000}"/>
    <cellStyle name="Normal 2 3 2 3 2 5 2" xfId="25346" xr:uid="{87F81B24-ED3F-49F5-9669-D1AD9B5D7722}"/>
    <cellStyle name="Normal 2 3 2 3 2 5 3" xfId="19686" xr:uid="{502EF45E-033E-4A1A-BA71-21997042DD8C}"/>
    <cellStyle name="Normal 2 3 2 3 2 5 4" xfId="31007" xr:uid="{9670933F-D780-4DE3-82CB-E51E3D1001B6}"/>
    <cellStyle name="Normal 2 3 2 3 2 5 5" xfId="37648" xr:uid="{89F03503-54A8-4183-9289-2177DE56FB43}"/>
    <cellStyle name="Normal 2 3 2 3 2 6" xfId="22617" xr:uid="{E824D3FE-E18B-47B8-9812-A77E1C75E3CF}"/>
    <cellStyle name="Normal 2 3 2 3 2 7" xfId="16957" xr:uid="{477D7BF3-E272-4631-A202-A2E92CB6352C}"/>
    <cellStyle name="Normal 2 3 2 3 2 8" xfId="28278" xr:uid="{5964BAF1-FF67-442A-BCAF-E01DAE4CCB6D}"/>
    <cellStyle name="Normal 2 3 2 3 2 9" xfId="37637" xr:uid="{67932855-121F-449B-97F8-29D276221897}"/>
    <cellStyle name="Normal 2 3 2 3 3" xfId="5031" xr:uid="{00000000-0005-0000-0000-000055140000}"/>
    <cellStyle name="Normal 2 3 2 3 3 2" xfId="6894" xr:uid="{00000000-0005-0000-0000-000056140000}"/>
    <cellStyle name="Normal 2 3 2 3 3 2 2" xfId="15327" xr:uid="{00000000-0005-0000-0000-000057140000}"/>
    <cellStyle name="Normal 2 3 2 3 3 2 2 2" xfId="27221" xr:uid="{C9964A21-10A8-4F7F-93DC-A5089AB2FE64}"/>
    <cellStyle name="Normal 2 3 2 3 3 2 2 3" xfId="21561" xr:uid="{15BD9625-DB05-49CF-A117-8B6FC2FCCF79}"/>
    <cellStyle name="Normal 2 3 2 3 3 2 2 4" xfId="32601" xr:uid="{12B0F01E-9407-4D0E-81B4-535C4977E4BA}"/>
    <cellStyle name="Normal 2 3 2 3 3 2 2 5" xfId="37651" xr:uid="{E67C7524-A70C-4D6D-9B87-6F3CB24E148C}"/>
    <cellStyle name="Normal 2 3 2 3 3 2 3" xfId="24388" xr:uid="{67C4E50A-C2D5-4C12-93F3-D41AE6BD4203}"/>
    <cellStyle name="Normal 2 3 2 3 3 2 4" xfId="18728" xr:uid="{1CC215EF-C32B-495D-9813-9699E172C288}"/>
    <cellStyle name="Normal 2 3 2 3 3 2 5" xfId="30049" xr:uid="{07F0CCAF-1260-43BD-BAD6-20D5BA5021D9}"/>
    <cellStyle name="Normal 2 3 2 3 3 2 6" xfId="37650" xr:uid="{D106159A-5982-43D8-9CBA-DE0721F58DD1}"/>
    <cellStyle name="Normal 2 3 2 3 3 3" xfId="13935" xr:uid="{00000000-0005-0000-0000-000058140000}"/>
    <cellStyle name="Normal 2 3 2 3 3 3 2" xfId="25976" xr:uid="{C3CFB2E2-C645-47BB-9BC1-D2D9C6B000BA}"/>
    <cellStyle name="Normal 2 3 2 3 3 3 3" xfId="20316" xr:uid="{8C9B675D-083E-4C47-90C0-B6813C9C279E}"/>
    <cellStyle name="Normal 2 3 2 3 3 3 4" xfId="31356" xr:uid="{596E07EA-4C6C-4D75-AE6A-84002AECE24B}"/>
    <cellStyle name="Normal 2 3 2 3 3 3 5" xfId="37652" xr:uid="{BB7E27C9-FA8A-494E-85CF-B68E51F32FD0}"/>
    <cellStyle name="Normal 2 3 2 3 3 4" xfId="22826" xr:uid="{0EB3E44A-56EB-4497-B976-326367233742}"/>
    <cellStyle name="Normal 2 3 2 3 3 5" xfId="17166" xr:uid="{1D67A4BB-5E52-4A90-B902-7BC4345F3F68}"/>
    <cellStyle name="Normal 2 3 2 3 3 6" xfId="28487" xr:uid="{DFAF78A6-008E-4961-A3BB-331F6507DB7F}"/>
    <cellStyle name="Normal 2 3 2 3 3 7" xfId="37649" xr:uid="{1824CA11-D923-455D-81CC-1CFBBA411920}"/>
    <cellStyle name="Normal 2 3 2 3 4" xfId="6094" xr:uid="{00000000-0005-0000-0000-000059140000}"/>
    <cellStyle name="Normal 2 3 2 3 4 2" xfId="7434" xr:uid="{00000000-0005-0000-0000-00005A140000}"/>
    <cellStyle name="Normal 2 3 2 3 4 2 2" xfId="15867" xr:uid="{00000000-0005-0000-0000-00005B140000}"/>
    <cellStyle name="Normal 2 3 2 3 4 2 2 2" xfId="27761" xr:uid="{120071FB-61FE-40E5-9444-CF95630BD1E5}"/>
    <cellStyle name="Normal 2 3 2 3 4 2 2 3" xfId="22101" xr:uid="{2D1D3E78-941C-4287-ACA1-14EA42B4185C}"/>
    <cellStyle name="Normal 2 3 2 3 4 2 2 4" xfId="33141" xr:uid="{ACB046AB-38E6-4FD1-BF6D-35987C0C7A2E}"/>
    <cellStyle name="Normal 2 3 2 3 4 2 2 5" xfId="37655" xr:uid="{3854ED6C-B83E-463A-9682-2DFEF8949489}"/>
    <cellStyle name="Normal 2 3 2 3 4 2 3" xfId="24928" xr:uid="{E40F104B-2578-4809-A236-6AC701A00992}"/>
    <cellStyle name="Normal 2 3 2 3 4 2 4" xfId="19268" xr:uid="{D0749DE3-3CC1-4C81-A3E7-A8FEAE014338}"/>
    <cellStyle name="Normal 2 3 2 3 4 2 5" xfId="30589" xr:uid="{FDAF37CB-B33D-469B-92D3-AE105D22CFD5}"/>
    <cellStyle name="Normal 2 3 2 3 4 2 6" xfId="37654" xr:uid="{4F15BB93-3654-4F0B-8982-62D0F48ECAFF}"/>
    <cellStyle name="Normal 2 3 2 3 4 3" xfId="14547" xr:uid="{00000000-0005-0000-0000-00005C140000}"/>
    <cellStyle name="Normal 2 3 2 3 4 3 2" xfId="26505" xr:uid="{8352B202-3206-453A-830C-3E44D8D8F6B4}"/>
    <cellStyle name="Normal 2 3 2 3 4 3 3" xfId="20845" xr:uid="{A042E08B-0593-4418-B25D-E4CD495ACA47}"/>
    <cellStyle name="Normal 2 3 2 3 4 3 4" xfId="31885" xr:uid="{0619229E-B45C-4417-B84F-7519C52308D6}"/>
    <cellStyle name="Normal 2 3 2 3 4 3 5" xfId="37656" xr:uid="{3C50D383-37AA-479C-BCE8-3B6616FEBA53}"/>
    <cellStyle name="Normal 2 3 2 3 4 4" xfId="23672" xr:uid="{2573598A-AAA6-4F53-875F-8AA9BF50C7C0}"/>
    <cellStyle name="Normal 2 3 2 3 4 5" xfId="18012" xr:uid="{17DD0B2B-5096-4212-BB12-D8CA3214407B}"/>
    <cellStyle name="Normal 2 3 2 3 4 6" xfId="29333" xr:uid="{C0A37194-B709-47B5-9DBD-EC3D141781ED}"/>
    <cellStyle name="Normal 2 3 2 3 4 7" xfId="37653" xr:uid="{692983DA-59C7-422C-A6EA-A4681EDFA933}"/>
    <cellStyle name="Normal 2 3 2 3 5" xfId="6476" xr:uid="{00000000-0005-0000-0000-00005D140000}"/>
    <cellStyle name="Normal 2 3 2 3 5 2" xfId="14909" xr:uid="{00000000-0005-0000-0000-00005E140000}"/>
    <cellStyle name="Normal 2 3 2 3 5 2 2" xfId="26803" xr:uid="{B65F782C-DEA4-4669-A55A-AA61238DDC13}"/>
    <cellStyle name="Normal 2 3 2 3 5 2 3" xfId="21143" xr:uid="{D043ABD7-922D-40D0-9CB6-4018D127585D}"/>
    <cellStyle name="Normal 2 3 2 3 5 2 4" xfId="32183" xr:uid="{96479243-7DF1-447F-8927-55EE5F380C09}"/>
    <cellStyle name="Normal 2 3 2 3 5 2 5" xfId="37658" xr:uid="{501D267C-B1E6-4B95-B92F-034C851AF942}"/>
    <cellStyle name="Normal 2 3 2 3 5 3" xfId="23970" xr:uid="{653A69A4-5E90-4E67-961D-D6890EB5DB5A}"/>
    <cellStyle name="Normal 2 3 2 3 5 4" xfId="18310" xr:uid="{F6894D6C-C7C2-4407-AB27-7AB50740FA86}"/>
    <cellStyle name="Normal 2 3 2 3 5 5" xfId="29631" xr:uid="{33B52BC3-75A1-4D77-87B8-19AE5E13C658}"/>
    <cellStyle name="Normal 2 3 2 3 5 6" xfId="37657" xr:uid="{2469EB91-F419-472D-AA04-BD732E500A39}"/>
    <cellStyle name="Normal 2 3 2 3 6" xfId="7862" xr:uid="{00000000-0005-0000-0000-00005F140000}"/>
    <cellStyle name="Normal 2 3 2 3 6 2" xfId="25345" xr:uid="{330823E4-6DA8-4CA5-BE41-8EBC7A3E3E33}"/>
    <cellStyle name="Normal 2 3 2 3 6 3" xfId="19685" xr:uid="{17BCD59D-DACA-4F37-8CAB-76BFDF91F0A7}"/>
    <cellStyle name="Normal 2 3 2 3 6 4" xfId="31006" xr:uid="{62350D49-A7D1-4A49-93D8-D064ADC8AB7C}"/>
    <cellStyle name="Normal 2 3 2 3 6 5" xfId="37659" xr:uid="{F431680F-B78B-4562-BF56-E55161CA8180}"/>
    <cellStyle name="Normal 2 3 2 3 7" xfId="22408" xr:uid="{EFE9A427-E388-468B-9C5D-B7F03E448145}"/>
    <cellStyle name="Normal 2 3 2 3 8" xfId="16748" xr:uid="{A46D452E-D41E-4718-B037-B4DE57A7AB63}"/>
    <cellStyle name="Normal 2 3 2 3 9" xfId="28069" xr:uid="{3BC54658-B133-4E49-9239-F9F6B1259854}"/>
    <cellStyle name="Normal 2 3 2 4" xfId="2058" xr:uid="{00000000-0005-0000-0000-000060140000}"/>
    <cellStyle name="Normal 2 3 2 4 10" xfId="37660" xr:uid="{DE893853-01AD-4D8A-B882-4E23E6918E0E}"/>
    <cellStyle name="Normal 2 3 2 4 2" xfId="4848" xr:uid="{00000000-0005-0000-0000-000061140000}"/>
    <cellStyle name="Normal 2 3 2 4 2 2" xfId="5267" xr:uid="{00000000-0005-0000-0000-000062140000}"/>
    <cellStyle name="Normal 2 3 2 4 2 2 2" xfId="7130" xr:uid="{00000000-0005-0000-0000-000063140000}"/>
    <cellStyle name="Normal 2 3 2 4 2 2 2 2" xfId="15563" xr:uid="{00000000-0005-0000-0000-000064140000}"/>
    <cellStyle name="Normal 2 3 2 4 2 2 2 2 2" xfId="27457" xr:uid="{C0A17265-EC8B-4E13-B0AD-E62B122CBA70}"/>
    <cellStyle name="Normal 2 3 2 4 2 2 2 2 3" xfId="21797" xr:uid="{0A7D803D-51EB-4DDF-AFB9-16B5D95E91B1}"/>
    <cellStyle name="Normal 2 3 2 4 2 2 2 2 4" xfId="32837" xr:uid="{02D89039-4838-4D53-A553-0A1899CD7D4A}"/>
    <cellStyle name="Normal 2 3 2 4 2 2 2 2 5" xfId="37664" xr:uid="{EC862772-C239-40EF-90F4-9B5FB4B7661A}"/>
    <cellStyle name="Normal 2 3 2 4 2 2 2 3" xfId="24624" xr:uid="{2B24E4F2-EC79-456A-97AE-8228AE4EEB6C}"/>
    <cellStyle name="Normal 2 3 2 4 2 2 2 4" xfId="18964" xr:uid="{DCE26F4D-22AF-4394-BFBB-CCB7BE75F2FC}"/>
    <cellStyle name="Normal 2 3 2 4 2 2 2 5" xfId="30285" xr:uid="{36062BA4-5B8D-4FCF-B949-3DCFE2812986}"/>
    <cellStyle name="Normal 2 3 2 4 2 2 2 6" xfId="37663" xr:uid="{D081AF64-57A6-469F-B4CF-6FAEA8376050}"/>
    <cellStyle name="Normal 2 3 2 4 2 2 3" xfId="14153" xr:uid="{00000000-0005-0000-0000-000065140000}"/>
    <cellStyle name="Normal 2 3 2 4 2 2 3 2" xfId="26192" xr:uid="{56E6405E-70C8-4F73-8438-FD4B3462D174}"/>
    <cellStyle name="Normal 2 3 2 4 2 2 3 3" xfId="20532" xr:uid="{D8309273-3C1A-47D6-A527-47CA73CEE041}"/>
    <cellStyle name="Normal 2 3 2 4 2 2 3 4" xfId="31572" xr:uid="{D30446DC-CD98-439E-AFEA-62474FEB0BF4}"/>
    <cellStyle name="Normal 2 3 2 4 2 2 3 5" xfId="37665" xr:uid="{0E17889C-1B06-4867-9CAA-2C8EE3C269B0}"/>
    <cellStyle name="Normal 2 3 2 4 2 2 4" xfId="23062" xr:uid="{65860C25-EBC0-4402-97DC-4CB0FDCD9AD7}"/>
    <cellStyle name="Normal 2 3 2 4 2 2 5" xfId="17402" xr:uid="{15EC9F68-31F0-4439-8466-B9F2F3861BDD}"/>
    <cellStyle name="Normal 2 3 2 4 2 2 6" xfId="28723" xr:uid="{84B6A935-D179-4301-AC04-AEF113042080}"/>
    <cellStyle name="Normal 2 3 2 4 2 2 7" xfId="37662" xr:uid="{EAE500A5-E518-4D57-82D6-1F82550F512F}"/>
    <cellStyle name="Normal 2 3 2 4 2 3" xfId="6097" xr:uid="{00000000-0005-0000-0000-000066140000}"/>
    <cellStyle name="Normal 2 3 2 4 2 3 2" xfId="7437" xr:uid="{00000000-0005-0000-0000-000067140000}"/>
    <cellStyle name="Normal 2 3 2 4 2 3 2 2" xfId="15870" xr:uid="{00000000-0005-0000-0000-000068140000}"/>
    <cellStyle name="Normal 2 3 2 4 2 3 2 2 2" xfId="27764" xr:uid="{D1E1C10B-EBAE-4029-80FD-3FB9CEC979EA}"/>
    <cellStyle name="Normal 2 3 2 4 2 3 2 2 3" xfId="22104" xr:uid="{A26DC986-4786-49DD-A9E3-B34C2CCB9E22}"/>
    <cellStyle name="Normal 2 3 2 4 2 3 2 2 4" xfId="33144" xr:uid="{2C29A426-2DC6-4CDB-9C26-1C072F3049E5}"/>
    <cellStyle name="Normal 2 3 2 4 2 3 2 2 5" xfId="37668" xr:uid="{C3F04293-AE20-453F-9094-0A77080AF7F1}"/>
    <cellStyle name="Normal 2 3 2 4 2 3 2 3" xfId="24931" xr:uid="{BD1C2107-200C-400B-9454-AAD7E1A984BC}"/>
    <cellStyle name="Normal 2 3 2 4 2 3 2 4" xfId="19271" xr:uid="{826F163F-CCC5-4285-BB64-B29A74634CF2}"/>
    <cellStyle name="Normal 2 3 2 4 2 3 2 5" xfId="30592" xr:uid="{1F296D68-F273-4CB2-B1A3-C53211393AF8}"/>
    <cellStyle name="Normal 2 3 2 4 2 3 2 6" xfId="37667" xr:uid="{18C26901-F865-4358-9D65-A1DA184B1B3E}"/>
    <cellStyle name="Normal 2 3 2 4 2 3 3" xfId="14550" xr:uid="{00000000-0005-0000-0000-000069140000}"/>
    <cellStyle name="Normal 2 3 2 4 2 3 3 2" xfId="26508" xr:uid="{B94529A1-3D44-4E38-A917-342F10E1F381}"/>
    <cellStyle name="Normal 2 3 2 4 2 3 3 3" xfId="20848" xr:uid="{315CED06-F298-4BE3-BAA0-A693A130E595}"/>
    <cellStyle name="Normal 2 3 2 4 2 3 3 4" xfId="31888" xr:uid="{F6FCC018-4485-4E4A-B55D-B1758E4AB7DF}"/>
    <cellStyle name="Normal 2 3 2 4 2 3 3 5" xfId="37669" xr:uid="{3EC79C56-0467-4641-A057-CAB39F5FA504}"/>
    <cellStyle name="Normal 2 3 2 4 2 3 4" xfId="23675" xr:uid="{994F1120-4B6C-4719-9C53-055D3A47D06F}"/>
    <cellStyle name="Normal 2 3 2 4 2 3 5" xfId="18015" xr:uid="{A457CC56-0A5E-44C2-83AC-66E1A788DF19}"/>
    <cellStyle name="Normal 2 3 2 4 2 3 6" xfId="29336" xr:uid="{DF2D7190-7B5F-4E32-91BD-A5AA2C7B6B38}"/>
    <cellStyle name="Normal 2 3 2 4 2 3 7" xfId="37666" xr:uid="{D6E578E5-F699-4D9F-A3D1-D5C4A730A29D}"/>
    <cellStyle name="Normal 2 3 2 4 2 4" xfId="6712" xr:uid="{00000000-0005-0000-0000-00006A140000}"/>
    <cellStyle name="Normal 2 3 2 4 2 4 2" xfId="15145" xr:uid="{00000000-0005-0000-0000-00006B140000}"/>
    <cellStyle name="Normal 2 3 2 4 2 4 2 2" xfId="27039" xr:uid="{99DD5446-5EEF-4F83-A750-960E241F0D7B}"/>
    <cellStyle name="Normal 2 3 2 4 2 4 2 3" xfId="21379" xr:uid="{D815DB5C-8822-4F4A-88B3-7C54DAE52DCE}"/>
    <cellStyle name="Normal 2 3 2 4 2 4 2 4" xfId="32419" xr:uid="{77B72156-2D69-4362-92F7-710DEA30E8F6}"/>
    <cellStyle name="Normal 2 3 2 4 2 4 2 5" xfId="37671" xr:uid="{77E04C13-9B2A-4FBB-9D24-34374B06A45D}"/>
    <cellStyle name="Normal 2 3 2 4 2 4 3" xfId="24206" xr:uid="{C9420EDA-7813-412E-9A03-E7A31456A636}"/>
    <cellStyle name="Normal 2 3 2 4 2 4 4" xfId="18546" xr:uid="{5294EB9B-6757-41D7-9D0D-36FD42C521EB}"/>
    <cellStyle name="Normal 2 3 2 4 2 4 5" xfId="29867" xr:uid="{DF6681E9-A211-41A4-96FD-C567F71AD752}"/>
    <cellStyle name="Normal 2 3 2 4 2 4 6" xfId="37670" xr:uid="{E573CF51-5B54-4923-9974-00A3687606BE}"/>
    <cellStyle name="Normal 2 3 2 4 2 5" xfId="7865" xr:uid="{00000000-0005-0000-0000-00006C140000}"/>
    <cellStyle name="Normal 2 3 2 4 2 5 2" xfId="25348" xr:uid="{A9A352F1-F68C-4E29-88F2-12900E35FFDB}"/>
    <cellStyle name="Normal 2 3 2 4 2 5 3" xfId="19688" xr:uid="{2598E828-CBAA-427B-BD0D-E3D93517D9A2}"/>
    <cellStyle name="Normal 2 3 2 4 2 5 4" xfId="31009" xr:uid="{F260F0CE-71CF-4442-BEC5-072DDBCC56AE}"/>
    <cellStyle name="Normal 2 3 2 4 2 5 5" xfId="37672" xr:uid="{77A160F8-3373-4DCD-8C6E-51366EF1A721}"/>
    <cellStyle name="Normal 2 3 2 4 2 6" xfId="22644" xr:uid="{662E81BC-79CB-42AF-8200-7BDBF17580E9}"/>
    <cellStyle name="Normal 2 3 2 4 2 7" xfId="16984" xr:uid="{40797EB4-BF32-429E-8AE5-9714B13487F1}"/>
    <cellStyle name="Normal 2 3 2 4 2 8" xfId="28305" xr:uid="{DE615DFB-421D-4AC9-B2D7-FCFFF806E478}"/>
    <cellStyle name="Normal 2 3 2 4 2 9" xfId="37661" xr:uid="{D9BE52E8-2028-48E9-8053-74600777CD32}"/>
    <cellStyle name="Normal 2 3 2 4 3" xfId="5058" xr:uid="{00000000-0005-0000-0000-00006D140000}"/>
    <cellStyle name="Normal 2 3 2 4 3 2" xfId="6921" xr:uid="{00000000-0005-0000-0000-00006E140000}"/>
    <cellStyle name="Normal 2 3 2 4 3 2 2" xfId="15354" xr:uid="{00000000-0005-0000-0000-00006F140000}"/>
    <cellStyle name="Normal 2 3 2 4 3 2 2 2" xfId="27248" xr:uid="{7618066D-3E73-454A-9428-F31BC408FF78}"/>
    <cellStyle name="Normal 2 3 2 4 3 2 2 3" xfId="21588" xr:uid="{83057171-4A3C-4C99-A692-6F91CAB223A9}"/>
    <cellStyle name="Normal 2 3 2 4 3 2 2 4" xfId="32628" xr:uid="{F17038CA-A963-4C98-8618-F87E9A97E2B8}"/>
    <cellStyle name="Normal 2 3 2 4 3 2 2 5" xfId="37675" xr:uid="{A8BB8AB4-27F2-4367-91A0-2316813E67B7}"/>
    <cellStyle name="Normal 2 3 2 4 3 2 3" xfId="24415" xr:uid="{35425C13-F23D-47D5-861F-2AB59D2F3F39}"/>
    <cellStyle name="Normal 2 3 2 4 3 2 4" xfId="18755" xr:uid="{DA54DAB9-0F14-43B8-9AEF-36FFDCCF49D9}"/>
    <cellStyle name="Normal 2 3 2 4 3 2 5" xfId="30076" xr:uid="{06790940-91CD-494E-968E-09C2C7EA254F}"/>
    <cellStyle name="Normal 2 3 2 4 3 2 6" xfId="37674" xr:uid="{5B6037F3-55B6-4401-B430-77775D29C5F0}"/>
    <cellStyle name="Normal 2 3 2 4 3 3" xfId="13953" xr:uid="{00000000-0005-0000-0000-000070140000}"/>
    <cellStyle name="Normal 2 3 2 4 3 3 2" xfId="25994" xr:uid="{98CC17DC-E51E-44CC-83F9-51F3DF0821CB}"/>
    <cellStyle name="Normal 2 3 2 4 3 3 3" xfId="20334" xr:uid="{1A0C128F-F666-48ED-B498-8153559DDFFC}"/>
    <cellStyle name="Normal 2 3 2 4 3 3 4" xfId="31374" xr:uid="{93A92882-121D-47DE-948A-6E8AB6222A41}"/>
    <cellStyle name="Normal 2 3 2 4 3 3 5" xfId="37676" xr:uid="{D8097327-730A-4858-8465-91EE03EF727A}"/>
    <cellStyle name="Normal 2 3 2 4 3 4" xfId="22853" xr:uid="{ABDD5C04-B246-4C53-8C10-F8DD33DA4834}"/>
    <cellStyle name="Normal 2 3 2 4 3 5" xfId="17193" xr:uid="{7C84B351-B85B-4D7F-9EA0-3858D644A284}"/>
    <cellStyle name="Normal 2 3 2 4 3 6" xfId="28514" xr:uid="{9C6AF855-9FDE-4953-8BFB-0A266C60CFC8}"/>
    <cellStyle name="Normal 2 3 2 4 3 7" xfId="37673" xr:uid="{5EA7D3AA-5317-4810-86A4-F7479D22750C}"/>
    <cellStyle name="Normal 2 3 2 4 4" xfId="6096" xr:uid="{00000000-0005-0000-0000-000071140000}"/>
    <cellStyle name="Normal 2 3 2 4 4 2" xfId="7436" xr:uid="{00000000-0005-0000-0000-000072140000}"/>
    <cellStyle name="Normal 2 3 2 4 4 2 2" xfId="15869" xr:uid="{00000000-0005-0000-0000-000073140000}"/>
    <cellStyle name="Normal 2 3 2 4 4 2 2 2" xfId="27763" xr:uid="{E6E53604-4073-4A7F-8D84-144FB0FC3F94}"/>
    <cellStyle name="Normal 2 3 2 4 4 2 2 3" xfId="22103" xr:uid="{B2DA58BF-9283-48A8-8E4B-D27998647A05}"/>
    <cellStyle name="Normal 2 3 2 4 4 2 2 4" xfId="33143" xr:uid="{54D698DB-0D49-425B-9563-0EB22A56E6EB}"/>
    <cellStyle name="Normal 2 3 2 4 4 2 2 5" xfId="37679" xr:uid="{7CFDE341-A437-4D8A-AB27-B03E9BBB3E3D}"/>
    <cellStyle name="Normal 2 3 2 4 4 2 3" xfId="24930" xr:uid="{70F2AE5D-703F-4C0E-A543-2BF50B920387}"/>
    <cellStyle name="Normal 2 3 2 4 4 2 4" xfId="19270" xr:uid="{D76A40FB-BB93-4AFA-B4E8-3A5FB9CF6937}"/>
    <cellStyle name="Normal 2 3 2 4 4 2 5" xfId="30591" xr:uid="{3547EBAB-02C5-47B5-BCA7-EF2A4FC3BCD5}"/>
    <cellStyle name="Normal 2 3 2 4 4 2 6" xfId="37678" xr:uid="{3357C1BA-C689-4641-A0C0-48E2667C13BB}"/>
    <cellStyle name="Normal 2 3 2 4 4 3" xfId="14549" xr:uid="{00000000-0005-0000-0000-000074140000}"/>
    <cellStyle name="Normal 2 3 2 4 4 3 2" xfId="26507" xr:uid="{0E9208A8-6FE1-46DE-9D38-F07FD8ABF399}"/>
    <cellStyle name="Normal 2 3 2 4 4 3 3" xfId="20847" xr:uid="{13969407-87B4-4FCF-837C-44069F8902A6}"/>
    <cellStyle name="Normal 2 3 2 4 4 3 4" xfId="31887" xr:uid="{705A5EE6-0D47-450B-BDBD-D556041B46A9}"/>
    <cellStyle name="Normal 2 3 2 4 4 3 5" xfId="37680" xr:uid="{F5738004-D55E-43C1-9BD9-87DECF9AE690}"/>
    <cellStyle name="Normal 2 3 2 4 4 4" xfId="23674" xr:uid="{A96C81A4-A445-4B5B-8298-964C870469D4}"/>
    <cellStyle name="Normal 2 3 2 4 4 5" xfId="18014" xr:uid="{F5D1FC93-F9F8-4B4B-8EBD-92798EF42B30}"/>
    <cellStyle name="Normal 2 3 2 4 4 6" xfId="29335" xr:uid="{B344FD8D-50E1-4468-AAB6-92811FAA2D08}"/>
    <cellStyle name="Normal 2 3 2 4 4 7" xfId="37677" xr:uid="{94CF8BC5-E0B3-4D0F-9599-E4B44866A082}"/>
    <cellStyle name="Normal 2 3 2 4 5" xfId="6503" xr:uid="{00000000-0005-0000-0000-000075140000}"/>
    <cellStyle name="Normal 2 3 2 4 5 2" xfId="14936" xr:uid="{00000000-0005-0000-0000-000076140000}"/>
    <cellStyle name="Normal 2 3 2 4 5 2 2" xfId="26830" xr:uid="{0683496B-8737-4F4A-B855-738D9CBCC542}"/>
    <cellStyle name="Normal 2 3 2 4 5 2 3" xfId="21170" xr:uid="{1999E983-9F20-4FCB-8745-1C88AE2ED1B5}"/>
    <cellStyle name="Normal 2 3 2 4 5 2 4" xfId="32210" xr:uid="{240A32F1-7791-4880-9A99-5360C62EAFD1}"/>
    <cellStyle name="Normal 2 3 2 4 5 2 5" xfId="37682" xr:uid="{2D1315BF-178D-4680-A851-641EDF1868ED}"/>
    <cellStyle name="Normal 2 3 2 4 5 3" xfId="23997" xr:uid="{9CEDCFBC-C1E5-4CF5-80F1-9617340C50F0}"/>
    <cellStyle name="Normal 2 3 2 4 5 4" xfId="18337" xr:uid="{012CF218-E680-4282-B5B4-10DCA2D23155}"/>
    <cellStyle name="Normal 2 3 2 4 5 5" xfId="29658" xr:uid="{C9057916-29BF-4CC8-B94E-2DF5A5F4A55F}"/>
    <cellStyle name="Normal 2 3 2 4 5 6" xfId="37681" xr:uid="{7B3AF43E-513A-4843-9E30-0D3CC7861543}"/>
    <cellStyle name="Normal 2 3 2 4 6" xfId="7864" xr:uid="{00000000-0005-0000-0000-000077140000}"/>
    <cellStyle name="Normal 2 3 2 4 6 2" xfId="25347" xr:uid="{8511C21E-467A-4438-AC39-C60161C2A275}"/>
    <cellStyle name="Normal 2 3 2 4 6 3" xfId="19687" xr:uid="{7D145565-C98D-4ECF-8C9A-003704CD8B34}"/>
    <cellStyle name="Normal 2 3 2 4 6 4" xfId="31008" xr:uid="{1423BF66-3328-4430-A921-F01C2B373BDE}"/>
    <cellStyle name="Normal 2 3 2 4 6 5" xfId="37683" xr:uid="{F1F652DE-AD99-4B88-AF05-21E4340069D2}"/>
    <cellStyle name="Normal 2 3 2 4 7" xfId="22435" xr:uid="{A74AD310-5A8F-457C-AAAB-4BB155844DA9}"/>
    <cellStyle name="Normal 2 3 2 4 8" xfId="16775" xr:uid="{06D0F0E9-7636-4F82-B1F6-653D2CF6CCCC}"/>
    <cellStyle name="Normal 2 3 2 4 9" xfId="28096" xr:uid="{045A9A9F-1AE8-476F-BB04-9D307353A3BE}"/>
    <cellStyle name="Normal 2 3 2 5" xfId="4181" xr:uid="{00000000-0005-0000-0000-000078140000}"/>
    <cellStyle name="Normal 2 3 2 5 10" xfId="37684" xr:uid="{A7AD1236-F801-451C-8EB5-76B636597EB0}"/>
    <cellStyle name="Normal 2 3 2 5 2" xfId="4927" xr:uid="{00000000-0005-0000-0000-000079140000}"/>
    <cellStyle name="Normal 2 3 2 5 2 2" xfId="5346" xr:uid="{00000000-0005-0000-0000-00007A140000}"/>
    <cellStyle name="Normal 2 3 2 5 2 2 2" xfId="7209" xr:uid="{00000000-0005-0000-0000-00007B140000}"/>
    <cellStyle name="Normal 2 3 2 5 2 2 2 2" xfId="15642" xr:uid="{00000000-0005-0000-0000-00007C140000}"/>
    <cellStyle name="Normal 2 3 2 5 2 2 2 2 2" xfId="27536" xr:uid="{F07CBE65-EAF4-4186-A6FF-4E76243D07F5}"/>
    <cellStyle name="Normal 2 3 2 5 2 2 2 2 3" xfId="21876" xr:uid="{B315E5DA-EC61-4388-9CF6-64B9103AE23D}"/>
    <cellStyle name="Normal 2 3 2 5 2 2 2 2 4" xfId="32916" xr:uid="{3158F306-6450-4E50-8A07-CC2555BFF608}"/>
    <cellStyle name="Normal 2 3 2 5 2 2 2 2 5" xfId="37688" xr:uid="{C0199741-1AD3-4791-B82C-B709D31679DD}"/>
    <cellStyle name="Normal 2 3 2 5 2 2 2 3" xfId="24703" xr:uid="{8D349C9D-2BF9-4375-8C55-64B3CC427260}"/>
    <cellStyle name="Normal 2 3 2 5 2 2 2 4" xfId="19043" xr:uid="{B5E6FAD7-F0B3-4ED3-A0E3-00D9C71A2F99}"/>
    <cellStyle name="Normal 2 3 2 5 2 2 2 5" xfId="30364" xr:uid="{0961D12A-4EA2-4619-956B-582DB3B3742C}"/>
    <cellStyle name="Normal 2 3 2 5 2 2 2 6" xfId="37687" xr:uid="{79A4CCD2-70CF-43E5-8D1E-E1530BA45CB4}"/>
    <cellStyle name="Normal 2 3 2 5 2 2 3" xfId="14232" xr:uid="{00000000-0005-0000-0000-00007D140000}"/>
    <cellStyle name="Normal 2 3 2 5 2 2 3 2" xfId="26271" xr:uid="{7F81DDDA-AC40-46D7-BF04-A4E6A09383F9}"/>
    <cellStyle name="Normal 2 3 2 5 2 2 3 3" xfId="20611" xr:uid="{A222DFCA-DD5F-49F5-83DF-E8010445A7CB}"/>
    <cellStyle name="Normal 2 3 2 5 2 2 3 4" xfId="31651" xr:uid="{A3B930BD-646A-48C6-A0BC-1BD40444D0B7}"/>
    <cellStyle name="Normal 2 3 2 5 2 2 3 5" xfId="37689" xr:uid="{92770BDB-AC41-4EB6-9293-D2E32EE70C68}"/>
    <cellStyle name="Normal 2 3 2 5 2 2 4" xfId="23141" xr:uid="{F52FA1C3-91D5-46B3-A52A-54E66A908F30}"/>
    <cellStyle name="Normal 2 3 2 5 2 2 5" xfId="17481" xr:uid="{2CCF0109-A7D0-4B82-9C9F-E8FD7781144E}"/>
    <cellStyle name="Normal 2 3 2 5 2 2 6" xfId="28802" xr:uid="{AA0000AF-757F-4BE7-8957-113B6C85F05A}"/>
    <cellStyle name="Normal 2 3 2 5 2 2 7" xfId="37686" xr:uid="{F091A5BD-A06B-4159-9032-4AAE81D66C97}"/>
    <cellStyle name="Normal 2 3 2 5 2 3" xfId="6099" xr:uid="{00000000-0005-0000-0000-00007E140000}"/>
    <cellStyle name="Normal 2 3 2 5 2 3 2" xfId="7439" xr:uid="{00000000-0005-0000-0000-00007F140000}"/>
    <cellStyle name="Normal 2 3 2 5 2 3 2 2" xfId="15872" xr:uid="{00000000-0005-0000-0000-000080140000}"/>
    <cellStyle name="Normal 2 3 2 5 2 3 2 2 2" xfId="27766" xr:uid="{55D757F2-8CD5-4EE3-A935-69AF51380DAD}"/>
    <cellStyle name="Normal 2 3 2 5 2 3 2 2 3" xfId="22106" xr:uid="{D4C80939-C13E-4279-9286-2FF37D5C5F8E}"/>
    <cellStyle name="Normal 2 3 2 5 2 3 2 2 4" xfId="33146" xr:uid="{EE567523-3C79-4839-A389-D3A028C03F51}"/>
    <cellStyle name="Normal 2 3 2 5 2 3 2 2 5" xfId="37692" xr:uid="{EF7E6599-3948-4E27-A5A3-97F40052C89E}"/>
    <cellStyle name="Normal 2 3 2 5 2 3 2 3" xfId="24933" xr:uid="{C71940C4-5D88-4B7E-AA48-BDC574CCEED6}"/>
    <cellStyle name="Normal 2 3 2 5 2 3 2 4" xfId="19273" xr:uid="{DBD2880D-3DFA-424D-AF91-D8E004BBFD56}"/>
    <cellStyle name="Normal 2 3 2 5 2 3 2 5" xfId="30594" xr:uid="{C2541869-4B43-4D17-B238-2F7116B60C1B}"/>
    <cellStyle name="Normal 2 3 2 5 2 3 2 6" xfId="37691" xr:uid="{93C5B368-0A31-48D3-9F26-A0E7C8CA2FF9}"/>
    <cellStyle name="Normal 2 3 2 5 2 3 3" xfId="14552" xr:uid="{00000000-0005-0000-0000-000081140000}"/>
    <cellStyle name="Normal 2 3 2 5 2 3 3 2" xfId="26510" xr:uid="{05DB5E9C-3927-45DC-93ED-5CDFE3E69A82}"/>
    <cellStyle name="Normal 2 3 2 5 2 3 3 3" xfId="20850" xr:uid="{EB1EE462-2412-4CEE-8CF9-37879ACE11BF}"/>
    <cellStyle name="Normal 2 3 2 5 2 3 3 4" xfId="31890" xr:uid="{B6BD96D3-D529-47BF-A6FA-BEB73F43C798}"/>
    <cellStyle name="Normal 2 3 2 5 2 3 3 5" xfId="37693" xr:uid="{FA0BCED1-99B5-417B-B2E8-6066A3C9C96B}"/>
    <cellStyle name="Normal 2 3 2 5 2 3 4" xfId="23677" xr:uid="{5D68A2CB-706C-4CFF-A08B-25E591410437}"/>
    <cellStyle name="Normal 2 3 2 5 2 3 5" xfId="18017" xr:uid="{2BAA22F2-7CCD-40AC-BED7-7B60D17E2852}"/>
    <cellStyle name="Normal 2 3 2 5 2 3 6" xfId="29338" xr:uid="{BB70C7B0-3D28-49A3-8C16-7F9DE3253AAD}"/>
    <cellStyle name="Normal 2 3 2 5 2 3 7" xfId="37690" xr:uid="{7B304D6F-652D-49D9-B2F7-BE7D2728AC03}"/>
    <cellStyle name="Normal 2 3 2 5 2 4" xfId="6791" xr:uid="{00000000-0005-0000-0000-000082140000}"/>
    <cellStyle name="Normal 2 3 2 5 2 4 2" xfId="15224" xr:uid="{00000000-0005-0000-0000-000083140000}"/>
    <cellStyle name="Normal 2 3 2 5 2 4 2 2" xfId="27118" xr:uid="{0BF24C73-C812-435A-AE74-8D03E4EAAD48}"/>
    <cellStyle name="Normal 2 3 2 5 2 4 2 3" xfId="21458" xr:uid="{C169086D-88D0-45C4-9F8B-1AFA63FC7564}"/>
    <cellStyle name="Normal 2 3 2 5 2 4 2 4" xfId="32498" xr:uid="{41BF4770-FA5D-490B-B2CE-EC198B00680C}"/>
    <cellStyle name="Normal 2 3 2 5 2 4 2 5" xfId="37695" xr:uid="{0849FA54-4A2F-4A82-893A-650AC59B2E0A}"/>
    <cellStyle name="Normal 2 3 2 5 2 4 3" xfId="24285" xr:uid="{7E23D63E-9F82-4589-AF9F-23DA4E7A9D5D}"/>
    <cellStyle name="Normal 2 3 2 5 2 4 4" xfId="18625" xr:uid="{F722003A-3FA7-47AB-B3FD-BBAC6FA7D57C}"/>
    <cellStyle name="Normal 2 3 2 5 2 4 5" xfId="29946" xr:uid="{4F5BC11E-F3B9-4BAB-8CAF-5419DEFFA6E5}"/>
    <cellStyle name="Normal 2 3 2 5 2 4 6" xfId="37694" xr:uid="{4C2D397B-F055-4908-9A30-A58289440241}"/>
    <cellStyle name="Normal 2 3 2 5 2 5" xfId="7867" xr:uid="{00000000-0005-0000-0000-000084140000}"/>
    <cellStyle name="Normal 2 3 2 5 2 5 2" xfId="25350" xr:uid="{0E8DFC31-1B27-4403-9381-8205FBEB64F3}"/>
    <cellStyle name="Normal 2 3 2 5 2 5 3" xfId="19690" xr:uid="{4691DD53-A6B1-4632-A693-49A24471BDA2}"/>
    <cellStyle name="Normal 2 3 2 5 2 5 4" xfId="31011" xr:uid="{46217F84-7E02-4470-AAF9-77B21D6BDA2D}"/>
    <cellStyle name="Normal 2 3 2 5 2 5 5" xfId="37696" xr:uid="{49F10D18-D408-4CFD-BAC3-D3E01112D336}"/>
    <cellStyle name="Normal 2 3 2 5 2 6" xfId="22723" xr:uid="{46DD8995-2BC6-48F9-BD92-9B60D84CD955}"/>
    <cellStyle name="Normal 2 3 2 5 2 7" xfId="17063" xr:uid="{811C0D57-F849-44F0-9E08-0CA460CB4DD3}"/>
    <cellStyle name="Normal 2 3 2 5 2 8" xfId="28384" xr:uid="{6BED633A-6720-4BD4-BD7F-4C35937059EE}"/>
    <cellStyle name="Normal 2 3 2 5 2 9" xfId="37685" xr:uid="{A1CE6D63-60B4-47DD-9E42-80B92A5B3468}"/>
    <cellStyle name="Normal 2 3 2 5 3" xfId="5137" xr:uid="{00000000-0005-0000-0000-000085140000}"/>
    <cellStyle name="Normal 2 3 2 5 3 2" xfId="7000" xr:uid="{00000000-0005-0000-0000-000086140000}"/>
    <cellStyle name="Normal 2 3 2 5 3 2 2" xfId="15433" xr:uid="{00000000-0005-0000-0000-000087140000}"/>
    <cellStyle name="Normal 2 3 2 5 3 2 2 2" xfId="27327" xr:uid="{460D43FB-CF1C-4771-98B2-AA254149E93E}"/>
    <cellStyle name="Normal 2 3 2 5 3 2 2 3" xfId="21667" xr:uid="{1F5850EC-64A9-492C-95A3-F0A53F560E7B}"/>
    <cellStyle name="Normal 2 3 2 5 3 2 2 4" xfId="32707" xr:uid="{B1B71E51-1C5D-476F-8303-3EEAC8FE0189}"/>
    <cellStyle name="Normal 2 3 2 5 3 2 2 5" xfId="37699" xr:uid="{D493221D-183E-43D3-B589-481D1D89ED0D}"/>
    <cellStyle name="Normal 2 3 2 5 3 2 3" xfId="24494" xr:uid="{70CFFE22-E2B8-42EE-A642-FDE49A95967C}"/>
    <cellStyle name="Normal 2 3 2 5 3 2 4" xfId="18834" xr:uid="{4D369759-A237-441E-AE7D-9F10014C4415}"/>
    <cellStyle name="Normal 2 3 2 5 3 2 5" xfId="30155" xr:uid="{3F1E17DB-C3DE-4EBB-98A8-8B6702A97633}"/>
    <cellStyle name="Normal 2 3 2 5 3 2 6" xfId="37698" xr:uid="{EFFDF09A-FBD1-4A34-84B3-87B5A4F85C13}"/>
    <cellStyle name="Normal 2 3 2 5 3 3" xfId="14024" xr:uid="{00000000-0005-0000-0000-000088140000}"/>
    <cellStyle name="Normal 2 3 2 5 3 3 2" xfId="26063" xr:uid="{D2D456F7-3516-4FB7-B60D-D8A059F6CD22}"/>
    <cellStyle name="Normal 2 3 2 5 3 3 3" xfId="20403" xr:uid="{E17E45F7-2421-46A6-B695-29BDF9676930}"/>
    <cellStyle name="Normal 2 3 2 5 3 3 4" xfId="31443" xr:uid="{1B2B83D9-B45B-4BAD-8F35-DA334FAC00ED}"/>
    <cellStyle name="Normal 2 3 2 5 3 3 5" xfId="37700" xr:uid="{04904965-6A97-4A1C-8C45-1B8A7CB2FCD0}"/>
    <cellStyle name="Normal 2 3 2 5 3 4" xfId="22932" xr:uid="{C8C7BD1A-26BF-408D-A4BC-CD548DCA975D}"/>
    <cellStyle name="Normal 2 3 2 5 3 5" xfId="17272" xr:uid="{B48FF063-EF28-4B2F-9A76-7086786DD92C}"/>
    <cellStyle name="Normal 2 3 2 5 3 6" xfId="28593" xr:uid="{A4DE40EF-0E11-402F-9DFE-49D51718C894}"/>
    <cellStyle name="Normal 2 3 2 5 3 7" xfId="37697" xr:uid="{3FBCF0CA-6E9A-4D67-8F7F-39D52B4EDACC}"/>
    <cellStyle name="Normal 2 3 2 5 4" xfId="6098" xr:uid="{00000000-0005-0000-0000-000089140000}"/>
    <cellStyle name="Normal 2 3 2 5 4 2" xfId="7438" xr:uid="{00000000-0005-0000-0000-00008A140000}"/>
    <cellStyle name="Normal 2 3 2 5 4 2 2" xfId="15871" xr:uid="{00000000-0005-0000-0000-00008B140000}"/>
    <cellStyle name="Normal 2 3 2 5 4 2 2 2" xfId="27765" xr:uid="{FCA5BC9D-64E8-4C46-8B45-77AAD84D4F7B}"/>
    <cellStyle name="Normal 2 3 2 5 4 2 2 3" xfId="22105" xr:uid="{A80AFB9C-F1A2-4DAB-AEF0-6B0A7EC5FD3C}"/>
    <cellStyle name="Normal 2 3 2 5 4 2 2 4" xfId="33145" xr:uid="{E4D76C65-06E1-47DE-9CB9-6A54BCAB812D}"/>
    <cellStyle name="Normal 2 3 2 5 4 2 2 5" xfId="37703" xr:uid="{97B1FE06-DCF0-4CF2-9C27-3E3E10D7D3A3}"/>
    <cellStyle name="Normal 2 3 2 5 4 2 3" xfId="24932" xr:uid="{8D5000FE-D968-480C-994A-FE85A4D7F53D}"/>
    <cellStyle name="Normal 2 3 2 5 4 2 4" xfId="19272" xr:uid="{4E71F7E5-7B63-4CCA-A5CD-87FC47483325}"/>
    <cellStyle name="Normal 2 3 2 5 4 2 5" xfId="30593" xr:uid="{67C6F0A7-69B0-4E1B-AE49-6835757C340D}"/>
    <cellStyle name="Normal 2 3 2 5 4 2 6" xfId="37702" xr:uid="{965C4C02-349D-4FA0-B336-C018BC781371}"/>
    <cellStyle name="Normal 2 3 2 5 4 3" xfId="14551" xr:uid="{00000000-0005-0000-0000-00008C140000}"/>
    <cellStyle name="Normal 2 3 2 5 4 3 2" xfId="26509" xr:uid="{3D921804-243F-4DB8-B50B-73E6F8A1495E}"/>
    <cellStyle name="Normal 2 3 2 5 4 3 3" xfId="20849" xr:uid="{2C36D03D-F5BC-4B99-BF40-DE8C7858757B}"/>
    <cellStyle name="Normal 2 3 2 5 4 3 4" xfId="31889" xr:uid="{106880FC-0724-4669-A0FB-7F7488FD6271}"/>
    <cellStyle name="Normal 2 3 2 5 4 3 5" xfId="37704" xr:uid="{79DB4F1A-29C7-4045-A4F8-71650DCC32C2}"/>
    <cellStyle name="Normal 2 3 2 5 4 4" xfId="23676" xr:uid="{63E66322-973A-4DC1-A738-896B0422BCB7}"/>
    <cellStyle name="Normal 2 3 2 5 4 5" xfId="18016" xr:uid="{AB799C97-A3E9-49CA-A511-07F3C95AD58F}"/>
    <cellStyle name="Normal 2 3 2 5 4 6" xfId="29337" xr:uid="{24DED8D0-5EB2-411F-A505-CE984D3B7FBD}"/>
    <cellStyle name="Normal 2 3 2 5 4 7" xfId="37701" xr:uid="{DD1553DC-A65D-407E-86DB-BD955F48F58C}"/>
    <cellStyle name="Normal 2 3 2 5 5" xfId="6582" xr:uid="{00000000-0005-0000-0000-00008D140000}"/>
    <cellStyle name="Normal 2 3 2 5 5 2" xfId="15015" xr:uid="{00000000-0005-0000-0000-00008E140000}"/>
    <cellStyle name="Normal 2 3 2 5 5 2 2" xfId="26909" xr:uid="{6EAD7B61-849E-4F25-92F8-57BC49D6B9AD}"/>
    <cellStyle name="Normal 2 3 2 5 5 2 3" xfId="21249" xr:uid="{F0A33B69-9D74-4751-B6DE-BF9084AC9982}"/>
    <cellStyle name="Normal 2 3 2 5 5 2 4" xfId="32289" xr:uid="{6E27EF24-CEE6-4A8D-8470-3D081364E24F}"/>
    <cellStyle name="Normal 2 3 2 5 5 2 5" xfId="37706" xr:uid="{7CF7BE47-F0BC-4FF2-8134-9969AEE44E5C}"/>
    <cellStyle name="Normal 2 3 2 5 5 3" xfId="24076" xr:uid="{20D95F8C-9021-410C-8C66-3EE4016238A9}"/>
    <cellStyle name="Normal 2 3 2 5 5 4" xfId="18416" xr:uid="{46E038E1-310B-4A86-84CE-110273E7728D}"/>
    <cellStyle name="Normal 2 3 2 5 5 5" xfId="29737" xr:uid="{ECEF8517-B045-4FD1-810E-82C54FB7FEC2}"/>
    <cellStyle name="Normal 2 3 2 5 5 6" xfId="37705" xr:uid="{0E6C929E-E8AA-4D79-A471-4EB8FB48BFF4}"/>
    <cellStyle name="Normal 2 3 2 5 6" xfId="7866" xr:uid="{00000000-0005-0000-0000-00008F140000}"/>
    <cellStyle name="Normal 2 3 2 5 6 2" xfId="25349" xr:uid="{CDF3827D-2DE6-4604-B783-2E23393922D6}"/>
    <cellStyle name="Normal 2 3 2 5 6 3" xfId="19689" xr:uid="{A743EF46-9664-4E20-8932-802FAECF508F}"/>
    <cellStyle name="Normal 2 3 2 5 6 4" xfId="31010" xr:uid="{429EEA7B-4A8B-4F03-AB8A-3400A0377695}"/>
    <cellStyle name="Normal 2 3 2 5 6 5" xfId="37707" xr:uid="{5367B27C-EB09-4B51-9C65-C67A5906D4D3}"/>
    <cellStyle name="Normal 2 3 2 5 7" xfId="22514" xr:uid="{CE7A9A2E-6F6B-4D2E-B467-C60EE0909CFE}"/>
    <cellStyle name="Normal 2 3 2 5 8" xfId="16854" xr:uid="{C4A7994C-8968-488C-9259-2B8E399B78ED}"/>
    <cellStyle name="Normal 2 3 2 5 9" xfId="28175" xr:uid="{B7304D73-F098-486A-A3F3-07908A5F13AE}"/>
    <cellStyle name="Normal 2 3 2 6" xfId="4783" xr:uid="{00000000-0005-0000-0000-000090140000}"/>
    <cellStyle name="Normal 2 3 2 6 10" xfId="37708" xr:uid="{715C3A35-F9CD-4D2C-81A7-642BC3A50918}"/>
    <cellStyle name="Normal 2 3 2 6 2" xfId="4997" xr:uid="{00000000-0005-0000-0000-000091140000}"/>
    <cellStyle name="Normal 2 3 2 6 2 2" xfId="5415" xr:uid="{00000000-0005-0000-0000-000092140000}"/>
    <cellStyle name="Normal 2 3 2 6 2 2 2" xfId="7278" xr:uid="{00000000-0005-0000-0000-000093140000}"/>
    <cellStyle name="Normal 2 3 2 6 2 2 2 2" xfId="15711" xr:uid="{00000000-0005-0000-0000-000094140000}"/>
    <cellStyle name="Normal 2 3 2 6 2 2 2 2 2" xfId="27605" xr:uid="{61A22494-FCF9-445F-B492-50442650DBF0}"/>
    <cellStyle name="Normal 2 3 2 6 2 2 2 2 3" xfId="21945" xr:uid="{0256B2BB-0E47-4B74-AD0B-336920A06117}"/>
    <cellStyle name="Normal 2 3 2 6 2 2 2 2 4" xfId="32985" xr:uid="{035CCC36-EE88-4BC7-A055-F179CEBB031B}"/>
    <cellStyle name="Normal 2 3 2 6 2 2 2 2 5" xfId="37712" xr:uid="{DEE07374-9175-4D70-ABDB-03AA892A8555}"/>
    <cellStyle name="Normal 2 3 2 6 2 2 2 3" xfId="24772" xr:uid="{9A6E8B13-7D6D-41E6-AB70-488F26E5F671}"/>
    <cellStyle name="Normal 2 3 2 6 2 2 2 4" xfId="19112" xr:uid="{C4D98B32-98F8-4153-B716-1155C3E512BC}"/>
    <cellStyle name="Normal 2 3 2 6 2 2 2 5" xfId="30433" xr:uid="{9D1A0C6F-E947-44B1-BA2C-47947870BECE}"/>
    <cellStyle name="Normal 2 3 2 6 2 2 2 6" xfId="37711" xr:uid="{BD0ADB84-C25A-44A8-94A4-8C4697A1608D}"/>
    <cellStyle name="Normal 2 3 2 6 2 2 3" xfId="14301" xr:uid="{00000000-0005-0000-0000-000095140000}"/>
    <cellStyle name="Normal 2 3 2 6 2 2 3 2" xfId="26340" xr:uid="{AD7C5AAF-D6E3-44D3-BB3A-DB398AFD725C}"/>
    <cellStyle name="Normal 2 3 2 6 2 2 3 3" xfId="20680" xr:uid="{AA0FFAD2-40D0-45A3-A090-4B7F47EC2889}"/>
    <cellStyle name="Normal 2 3 2 6 2 2 3 4" xfId="31720" xr:uid="{55C3F8DA-C5C1-42FE-B7FA-225874CD7911}"/>
    <cellStyle name="Normal 2 3 2 6 2 2 3 5" xfId="37713" xr:uid="{9BA7E87F-D5C2-4F30-AE47-9598C9298500}"/>
    <cellStyle name="Normal 2 3 2 6 2 2 4" xfId="23210" xr:uid="{123AB3AB-E241-4C70-976B-86CD4059F471}"/>
    <cellStyle name="Normal 2 3 2 6 2 2 5" xfId="17550" xr:uid="{DF0C59BF-7387-4F89-B30F-F0C44C99A642}"/>
    <cellStyle name="Normal 2 3 2 6 2 2 6" xfId="28871" xr:uid="{89C42222-7F52-4682-AF76-0B99AF5B81DF}"/>
    <cellStyle name="Normal 2 3 2 6 2 2 7" xfId="37710" xr:uid="{72C9B70D-F726-45C9-89D5-3EBE3C822193}"/>
    <cellStyle name="Normal 2 3 2 6 2 3" xfId="6101" xr:uid="{00000000-0005-0000-0000-000096140000}"/>
    <cellStyle name="Normal 2 3 2 6 2 3 2" xfId="7441" xr:uid="{00000000-0005-0000-0000-000097140000}"/>
    <cellStyle name="Normal 2 3 2 6 2 3 2 2" xfId="15874" xr:uid="{00000000-0005-0000-0000-000098140000}"/>
    <cellStyle name="Normal 2 3 2 6 2 3 2 2 2" xfId="27768" xr:uid="{37084BFF-5D6F-479D-8E9F-AB99C15A8E31}"/>
    <cellStyle name="Normal 2 3 2 6 2 3 2 2 3" xfId="22108" xr:uid="{DAFF7D20-26CA-4FC5-B4C5-D82825425DD6}"/>
    <cellStyle name="Normal 2 3 2 6 2 3 2 2 4" xfId="33148" xr:uid="{E4A4624B-21F1-4FCD-83F5-B7AE85855DAE}"/>
    <cellStyle name="Normal 2 3 2 6 2 3 2 2 5" xfId="37716" xr:uid="{DEB15352-8EA2-4BDF-ABD0-C8466F4B6A5A}"/>
    <cellStyle name="Normal 2 3 2 6 2 3 2 3" xfId="24935" xr:uid="{EE9BD1BA-4B56-4424-82F2-03E1F676B5C2}"/>
    <cellStyle name="Normal 2 3 2 6 2 3 2 4" xfId="19275" xr:uid="{040CAA22-AA3A-453D-802F-006BB6C27848}"/>
    <cellStyle name="Normal 2 3 2 6 2 3 2 5" xfId="30596" xr:uid="{6293024F-B8F2-4603-B496-0BE66F463F24}"/>
    <cellStyle name="Normal 2 3 2 6 2 3 2 6" xfId="37715" xr:uid="{D0CE6C8B-1ED7-444D-8094-22E60C83F05E}"/>
    <cellStyle name="Normal 2 3 2 6 2 3 3" xfId="14554" xr:uid="{00000000-0005-0000-0000-000099140000}"/>
    <cellStyle name="Normal 2 3 2 6 2 3 3 2" xfId="26512" xr:uid="{F5A809DE-8C2B-4B36-BBC5-DE67582BBA26}"/>
    <cellStyle name="Normal 2 3 2 6 2 3 3 3" xfId="20852" xr:uid="{A04CC6EF-4AEB-444F-AFF2-BD7F254A607E}"/>
    <cellStyle name="Normal 2 3 2 6 2 3 3 4" xfId="31892" xr:uid="{13035718-DCF1-4A3A-BE8E-685F4BD03E2E}"/>
    <cellStyle name="Normal 2 3 2 6 2 3 3 5" xfId="37717" xr:uid="{E776159F-0FBC-4A73-946D-EDEBCDE38D08}"/>
    <cellStyle name="Normal 2 3 2 6 2 3 4" xfId="23679" xr:uid="{644B3B89-F40A-49FE-8D08-9EBFFF11D37B}"/>
    <cellStyle name="Normal 2 3 2 6 2 3 5" xfId="18019" xr:uid="{9B51E9CB-B092-4404-9800-7DA2CD58DF51}"/>
    <cellStyle name="Normal 2 3 2 6 2 3 6" xfId="29340" xr:uid="{96DF8E37-B4F7-400A-AE73-24D660667B52}"/>
    <cellStyle name="Normal 2 3 2 6 2 3 7" xfId="37714" xr:uid="{94608CD3-6B70-4D16-8F75-54AB3D1371F6}"/>
    <cellStyle name="Normal 2 3 2 6 2 4" xfId="6860" xr:uid="{00000000-0005-0000-0000-00009A140000}"/>
    <cellStyle name="Normal 2 3 2 6 2 4 2" xfId="15293" xr:uid="{00000000-0005-0000-0000-00009B140000}"/>
    <cellStyle name="Normal 2 3 2 6 2 4 2 2" xfId="27187" xr:uid="{3DE973EB-DD76-4A9D-8955-63B09097A614}"/>
    <cellStyle name="Normal 2 3 2 6 2 4 2 3" xfId="21527" xr:uid="{54D76754-2A24-46FF-AD4D-7D9E2CAB79CA}"/>
    <cellStyle name="Normal 2 3 2 6 2 4 2 4" xfId="32567" xr:uid="{663E4DF7-81D6-42FB-8DFD-3E3570B95C47}"/>
    <cellStyle name="Normal 2 3 2 6 2 4 2 5" xfId="37719" xr:uid="{27101FC9-5FD9-44C4-99B7-81AA74D0A342}"/>
    <cellStyle name="Normal 2 3 2 6 2 4 3" xfId="24354" xr:uid="{7A1D05FF-EA6E-4778-A1AB-FB5016A6238C}"/>
    <cellStyle name="Normal 2 3 2 6 2 4 4" xfId="18694" xr:uid="{FEE9DC67-8E20-4AA5-ABFF-BE58C36A5635}"/>
    <cellStyle name="Normal 2 3 2 6 2 4 5" xfId="30015" xr:uid="{7B96E041-1F84-4757-9031-BB745D305B4C}"/>
    <cellStyle name="Normal 2 3 2 6 2 4 6" xfId="37718" xr:uid="{CC06D731-76ED-49F9-B261-F35BDFBCD95E}"/>
    <cellStyle name="Normal 2 3 2 6 2 5" xfId="7869" xr:uid="{00000000-0005-0000-0000-00009C140000}"/>
    <cellStyle name="Normal 2 3 2 6 2 5 2" xfId="25352" xr:uid="{599F410C-8175-405F-81F1-118562BDF774}"/>
    <cellStyle name="Normal 2 3 2 6 2 5 3" xfId="19692" xr:uid="{C55671F4-67D2-473D-9B34-C19F0B5BDDE2}"/>
    <cellStyle name="Normal 2 3 2 6 2 5 4" xfId="31013" xr:uid="{286951D5-4746-42E6-B529-F40D82DEF0C9}"/>
    <cellStyle name="Normal 2 3 2 6 2 5 5" xfId="37720" xr:uid="{57898877-D5F9-4962-ACEE-0720238B7939}"/>
    <cellStyle name="Normal 2 3 2 6 2 6" xfId="22792" xr:uid="{D5BAAF45-7D80-425E-A4A3-D4798F9DDA9A}"/>
    <cellStyle name="Normal 2 3 2 6 2 7" xfId="17132" xr:uid="{D55BD109-9B1D-418D-AE41-77735629EAF9}"/>
    <cellStyle name="Normal 2 3 2 6 2 8" xfId="28453" xr:uid="{CA8AA6DE-BE52-4D4F-A279-DD0C8ACBE383}"/>
    <cellStyle name="Normal 2 3 2 6 2 9" xfId="37709" xr:uid="{D28D0D9C-8245-4586-93CF-3CECDDA4CC17}"/>
    <cellStyle name="Normal 2 3 2 6 3" xfId="5206" xr:uid="{00000000-0005-0000-0000-00009D140000}"/>
    <cellStyle name="Normal 2 3 2 6 3 2" xfId="7069" xr:uid="{00000000-0005-0000-0000-00009E140000}"/>
    <cellStyle name="Normal 2 3 2 6 3 2 2" xfId="15502" xr:uid="{00000000-0005-0000-0000-00009F140000}"/>
    <cellStyle name="Normal 2 3 2 6 3 2 2 2" xfId="27396" xr:uid="{0ABDA84E-40EC-4276-860F-EE7F29EF892D}"/>
    <cellStyle name="Normal 2 3 2 6 3 2 2 3" xfId="21736" xr:uid="{DC2156B0-21A0-409D-B619-ECA8FDF79E80}"/>
    <cellStyle name="Normal 2 3 2 6 3 2 2 4" xfId="32776" xr:uid="{13A51BE9-BF1A-464C-A5A6-EB4198A6CE9E}"/>
    <cellStyle name="Normal 2 3 2 6 3 2 2 5" xfId="37723" xr:uid="{31DDAA91-73BE-4E77-AF87-984791148620}"/>
    <cellStyle name="Normal 2 3 2 6 3 2 3" xfId="24563" xr:uid="{D0C58E20-EB59-4844-9740-94842E28F62F}"/>
    <cellStyle name="Normal 2 3 2 6 3 2 4" xfId="18903" xr:uid="{2C58BC3D-B7C4-4365-8452-040F33814DB3}"/>
    <cellStyle name="Normal 2 3 2 6 3 2 5" xfId="30224" xr:uid="{14698D37-7B24-41AD-AC86-710AC3E33998}"/>
    <cellStyle name="Normal 2 3 2 6 3 2 6" xfId="37722" xr:uid="{5A2BC15B-904E-4128-BCA2-C4FD15D00A24}"/>
    <cellStyle name="Normal 2 3 2 6 3 3" xfId="14092" xr:uid="{00000000-0005-0000-0000-0000A0140000}"/>
    <cellStyle name="Normal 2 3 2 6 3 3 2" xfId="26131" xr:uid="{75EFD3AF-A719-4ACF-B1BF-CAF1AA748256}"/>
    <cellStyle name="Normal 2 3 2 6 3 3 3" xfId="20471" xr:uid="{325733EF-78B0-42FA-A67E-3EC67BA86ADB}"/>
    <cellStyle name="Normal 2 3 2 6 3 3 4" xfId="31511" xr:uid="{936362EA-CE9D-49CF-AF1E-242030A34819}"/>
    <cellStyle name="Normal 2 3 2 6 3 3 5" xfId="37724" xr:uid="{AB0AAF8E-E4CA-42B9-9FB8-9048703AF69D}"/>
    <cellStyle name="Normal 2 3 2 6 3 4" xfId="23001" xr:uid="{7330E63E-A17B-406F-8C79-AA804E434DEF}"/>
    <cellStyle name="Normal 2 3 2 6 3 5" xfId="17341" xr:uid="{DA89C17E-821C-42C5-BC8D-3CDC20580926}"/>
    <cellStyle name="Normal 2 3 2 6 3 6" xfId="28662" xr:uid="{4C2E6904-2AAD-426E-B32E-E53014BB11F9}"/>
    <cellStyle name="Normal 2 3 2 6 3 7" xfId="37721" xr:uid="{DD4CF842-992D-4383-8BE3-3A25990794EC}"/>
    <cellStyle name="Normal 2 3 2 6 4" xfId="6100" xr:uid="{00000000-0005-0000-0000-0000A1140000}"/>
    <cellStyle name="Normal 2 3 2 6 4 2" xfId="7440" xr:uid="{00000000-0005-0000-0000-0000A2140000}"/>
    <cellStyle name="Normal 2 3 2 6 4 2 2" xfId="15873" xr:uid="{00000000-0005-0000-0000-0000A3140000}"/>
    <cellStyle name="Normal 2 3 2 6 4 2 2 2" xfId="27767" xr:uid="{23181930-8C98-4609-90FB-B01FB1BEC509}"/>
    <cellStyle name="Normal 2 3 2 6 4 2 2 3" xfId="22107" xr:uid="{51547214-E5F7-4B34-9E71-A06DEBCDF546}"/>
    <cellStyle name="Normal 2 3 2 6 4 2 2 4" xfId="33147" xr:uid="{61B9ED22-1732-4EBA-9056-B510FB6734D8}"/>
    <cellStyle name="Normal 2 3 2 6 4 2 2 5" xfId="37727" xr:uid="{BF4FF65A-1D5B-4E7D-9389-BD1518AACEE4}"/>
    <cellStyle name="Normal 2 3 2 6 4 2 3" xfId="24934" xr:uid="{D016F7B9-E226-4F32-8ED6-D6D8DA0C5BB4}"/>
    <cellStyle name="Normal 2 3 2 6 4 2 4" xfId="19274" xr:uid="{17A9A7F7-B633-4C2A-B3C4-D53F02DD06DD}"/>
    <cellStyle name="Normal 2 3 2 6 4 2 5" xfId="30595" xr:uid="{0A1FBB04-AA66-4D64-B183-F7A52BBDC3A0}"/>
    <cellStyle name="Normal 2 3 2 6 4 2 6" xfId="37726" xr:uid="{E6DB974D-EB9B-4822-B031-29EFA0836A25}"/>
    <cellStyle name="Normal 2 3 2 6 4 3" xfId="14553" xr:uid="{00000000-0005-0000-0000-0000A4140000}"/>
    <cellStyle name="Normal 2 3 2 6 4 3 2" xfId="26511" xr:uid="{430F09A9-12DA-4EB7-846D-628E8A41F7CB}"/>
    <cellStyle name="Normal 2 3 2 6 4 3 3" xfId="20851" xr:uid="{6470B48B-D2A6-48C1-AFB8-112AAA07D687}"/>
    <cellStyle name="Normal 2 3 2 6 4 3 4" xfId="31891" xr:uid="{9CD8E8CC-622F-4246-925F-368BD76E194D}"/>
    <cellStyle name="Normal 2 3 2 6 4 3 5" xfId="37728" xr:uid="{F379A3BC-4A13-49BE-91E9-E0B91BBB3ACC}"/>
    <cellStyle name="Normal 2 3 2 6 4 4" xfId="23678" xr:uid="{DE454E05-4FB0-4FB1-9B25-DA0B7F8A6E49}"/>
    <cellStyle name="Normal 2 3 2 6 4 5" xfId="18018" xr:uid="{616E0D3E-09C8-4530-A7BC-74A4EBA6543E}"/>
    <cellStyle name="Normal 2 3 2 6 4 6" xfId="29339" xr:uid="{65A701BB-0C4F-4D97-BCCF-E775F9CE7480}"/>
    <cellStyle name="Normal 2 3 2 6 4 7" xfId="37725" xr:uid="{FCE9B5C7-85F7-435D-AC88-ABE934DD1F8B}"/>
    <cellStyle name="Normal 2 3 2 6 5" xfId="6651" xr:uid="{00000000-0005-0000-0000-0000A5140000}"/>
    <cellStyle name="Normal 2 3 2 6 5 2" xfId="15084" xr:uid="{00000000-0005-0000-0000-0000A6140000}"/>
    <cellStyle name="Normal 2 3 2 6 5 2 2" xfId="26978" xr:uid="{7E68E458-DF84-4676-B354-218A69442495}"/>
    <cellStyle name="Normal 2 3 2 6 5 2 3" xfId="21318" xr:uid="{7D885D36-BE36-4466-8E1F-B2B1B329B351}"/>
    <cellStyle name="Normal 2 3 2 6 5 2 4" xfId="32358" xr:uid="{AEF01949-2833-4327-9BF8-244E4196B7CF}"/>
    <cellStyle name="Normal 2 3 2 6 5 2 5" xfId="37730" xr:uid="{F491200F-94D6-4556-9AE6-E02188620650}"/>
    <cellStyle name="Normal 2 3 2 6 5 3" xfId="24145" xr:uid="{BFA9BB24-9BDD-4527-BF57-763EB19AA696}"/>
    <cellStyle name="Normal 2 3 2 6 5 4" xfId="18485" xr:uid="{22B4AC5E-ED55-4DBD-8ACB-6E50EDDC3C02}"/>
    <cellStyle name="Normal 2 3 2 6 5 5" xfId="29806" xr:uid="{C48590BD-BF8F-410A-AB8A-8C1AE2C9E0D1}"/>
    <cellStyle name="Normal 2 3 2 6 5 6" xfId="37729" xr:uid="{D3A7C6B8-D795-4843-92A5-0533253488F0}"/>
    <cellStyle name="Normal 2 3 2 6 6" xfId="7868" xr:uid="{00000000-0005-0000-0000-0000A7140000}"/>
    <cellStyle name="Normal 2 3 2 6 6 2" xfId="25351" xr:uid="{0591A5CF-D2FF-49CF-8414-861D35761CAB}"/>
    <cellStyle name="Normal 2 3 2 6 6 3" xfId="19691" xr:uid="{487095E8-45DE-46AD-B969-CD1879DE64A9}"/>
    <cellStyle name="Normal 2 3 2 6 6 4" xfId="31012" xr:uid="{A35FE963-D75D-4785-B8F0-21302BC33B8B}"/>
    <cellStyle name="Normal 2 3 2 6 6 5" xfId="37731" xr:uid="{97FEF880-EF3D-463E-BC93-8FC3A0F8AA81}"/>
    <cellStyle name="Normal 2 3 2 6 7" xfId="22583" xr:uid="{B2E40DB6-CFC6-4CE0-97FB-3189795551F1}"/>
    <cellStyle name="Normal 2 3 2 6 8" xfId="16923" xr:uid="{20F9E340-0013-4729-82C1-49279A0F9AC2}"/>
    <cellStyle name="Normal 2 3 2 6 9" xfId="28244" xr:uid="{0D038601-73CE-4E65-A7DC-3B7E6480D548}"/>
    <cellStyle name="Normal 2 3 2 7" xfId="4800" xr:uid="{00000000-0005-0000-0000-0000A8140000}"/>
    <cellStyle name="Normal 2 3 2 7 2" xfId="5222" xr:uid="{00000000-0005-0000-0000-0000A9140000}"/>
    <cellStyle name="Normal 2 3 2 7 2 2" xfId="7085" xr:uid="{00000000-0005-0000-0000-0000AA140000}"/>
    <cellStyle name="Normal 2 3 2 7 2 2 2" xfId="15518" xr:uid="{00000000-0005-0000-0000-0000AB140000}"/>
    <cellStyle name="Normal 2 3 2 7 2 2 2 2" xfId="27412" xr:uid="{2797D601-6B51-4686-A813-72EB5689908C}"/>
    <cellStyle name="Normal 2 3 2 7 2 2 2 3" xfId="21752" xr:uid="{1CE30743-43FF-4E54-93FE-FE7507E814BD}"/>
    <cellStyle name="Normal 2 3 2 7 2 2 2 4" xfId="32792" xr:uid="{1CF0DAF1-1FFD-44FA-A472-BA42865988E8}"/>
    <cellStyle name="Normal 2 3 2 7 2 2 2 5" xfId="37735" xr:uid="{2A9A9167-652F-4D57-B601-21B29A070406}"/>
    <cellStyle name="Normal 2 3 2 7 2 2 3" xfId="24579" xr:uid="{139DB76C-9CF4-4B81-8E1A-473C0FFC1BCD}"/>
    <cellStyle name="Normal 2 3 2 7 2 2 4" xfId="18919" xr:uid="{AE72CE3F-3F50-4743-AE3B-D520F038B4CE}"/>
    <cellStyle name="Normal 2 3 2 7 2 2 5" xfId="30240" xr:uid="{9F477DA8-3EBA-4399-BE4B-C809E4EC2154}"/>
    <cellStyle name="Normal 2 3 2 7 2 2 6" xfId="37734" xr:uid="{FB74ABF6-FDE1-4150-96A0-777F25B451CD}"/>
    <cellStyle name="Normal 2 3 2 7 2 3" xfId="14108" xr:uid="{00000000-0005-0000-0000-0000AC140000}"/>
    <cellStyle name="Normal 2 3 2 7 2 3 2" xfId="26147" xr:uid="{72CCFACF-3C7F-444E-A27E-7E12A825F0B7}"/>
    <cellStyle name="Normal 2 3 2 7 2 3 3" xfId="20487" xr:uid="{6C0F0FEB-9DD5-49C8-A9F3-FC8D342D7F5A}"/>
    <cellStyle name="Normal 2 3 2 7 2 3 4" xfId="31527" xr:uid="{2C32A232-9B71-4B6F-A42B-4DC7290D04D5}"/>
    <cellStyle name="Normal 2 3 2 7 2 3 5" xfId="37736" xr:uid="{4F5F6B1B-5DC0-4145-BCE1-3F7C35A95FB6}"/>
    <cellStyle name="Normal 2 3 2 7 2 4" xfId="23017" xr:uid="{E1CCFB8E-F553-404E-9AC0-5457EC566A94}"/>
    <cellStyle name="Normal 2 3 2 7 2 5" xfId="17357" xr:uid="{CB7124F2-6A90-46BB-8A1E-7CA9FA211CD6}"/>
    <cellStyle name="Normal 2 3 2 7 2 6" xfId="28678" xr:uid="{3DA3AB60-F39B-4925-A4B8-9FCB9FB471CD}"/>
    <cellStyle name="Normal 2 3 2 7 2 7" xfId="37733" xr:uid="{12176F38-8983-47F7-BDE0-E35AB3F19CD2}"/>
    <cellStyle name="Normal 2 3 2 7 3" xfId="6102" xr:uid="{00000000-0005-0000-0000-0000AD140000}"/>
    <cellStyle name="Normal 2 3 2 7 3 2" xfId="7442" xr:uid="{00000000-0005-0000-0000-0000AE140000}"/>
    <cellStyle name="Normal 2 3 2 7 3 2 2" xfId="15875" xr:uid="{00000000-0005-0000-0000-0000AF140000}"/>
    <cellStyle name="Normal 2 3 2 7 3 2 2 2" xfId="27769" xr:uid="{23DD433E-50F0-484C-94E8-9D1AFAB5AA9F}"/>
    <cellStyle name="Normal 2 3 2 7 3 2 2 3" xfId="22109" xr:uid="{3D66923B-0963-451D-8E61-B392B87DB9B0}"/>
    <cellStyle name="Normal 2 3 2 7 3 2 2 4" xfId="33149" xr:uid="{340DF584-C1A9-4353-B2DD-31FE0FD4DF73}"/>
    <cellStyle name="Normal 2 3 2 7 3 2 2 5" xfId="37739" xr:uid="{5FBB9E72-4A9C-48FB-9D8D-78EEB22CEF53}"/>
    <cellStyle name="Normal 2 3 2 7 3 2 3" xfId="24936" xr:uid="{D2F0F2D3-0309-4A88-B3C0-71838D3B9CD6}"/>
    <cellStyle name="Normal 2 3 2 7 3 2 4" xfId="19276" xr:uid="{29576B13-DBB0-4D63-BB4E-5762482C99B3}"/>
    <cellStyle name="Normal 2 3 2 7 3 2 5" xfId="30597" xr:uid="{520C4855-39D9-4C25-AD63-863DB81187C5}"/>
    <cellStyle name="Normal 2 3 2 7 3 2 6" xfId="37738" xr:uid="{9C9AA51C-AA31-4F18-B117-4218CFE838F9}"/>
    <cellStyle name="Normal 2 3 2 7 3 3" xfId="14555" xr:uid="{00000000-0005-0000-0000-0000B0140000}"/>
    <cellStyle name="Normal 2 3 2 7 3 3 2" xfId="26513" xr:uid="{757B387F-FB54-4C2F-B3FE-488AF6594558}"/>
    <cellStyle name="Normal 2 3 2 7 3 3 3" xfId="20853" xr:uid="{350A66C6-ED7D-4F01-A7F3-FFEBB6B105E9}"/>
    <cellStyle name="Normal 2 3 2 7 3 3 4" xfId="31893" xr:uid="{2340CFCD-D5B8-4EC6-AC99-7631278DA93C}"/>
    <cellStyle name="Normal 2 3 2 7 3 3 5" xfId="37740" xr:uid="{1B97AE13-3937-47B0-A6E0-9DBECC6C1204}"/>
    <cellStyle name="Normal 2 3 2 7 3 4" xfId="23680" xr:uid="{71190E71-DDAC-4335-9013-A9F3E9288116}"/>
    <cellStyle name="Normal 2 3 2 7 3 5" xfId="18020" xr:uid="{5BF1742E-7075-4DC6-ACD4-3B19ACC82F20}"/>
    <cellStyle name="Normal 2 3 2 7 3 6" xfId="29341" xr:uid="{143F203C-06D5-4F2A-8EE0-19054EC2E3D1}"/>
    <cellStyle name="Normal 2 3 2 7 3 7" xfId="37737" xr:uid="{D1C8E3E1-9347-44DA-A4CB-46D3BAE20F8A}"/>
    <cellStyle name="Normal 2 3 2 7 4" xfId="6667" xr:uid="{00000000-0005-0000-0000-0000B1140000}"/>
    <cellStyle name="Normal 2 3 2 7 4 2" xfId="15100" xr:uid="{00000000-0005-0000-0000-0000B2140000}"/>
    <cellStyle name="Normal 2 3 2 7 4 2 2" xfId="26994" xr:uid="{B32B82ED-0B24-4237-9B69-0052BD4BBB72}"/>
    <cellStyle name="Normal 2 3 2 7 4 2 3" xfId="21334" xr:uid="{EAED0DB0-17AF-4BF1-B1BF-703526F922EE}"/>
    <cellStyle name="Normal 2 3 2 7 4 2 4" xfId="32374" xr:uid="{3B54E9D4-DE7C-48A9-A35D-4FEAA7F1BBF6}"/>
    <cellStyle name="Normal 2 3 2 7 4 2 5" xfId="37742" xr:uid="{0C620854-B22D-449E-B60E-5FAF7564120B}"/>
    <cellStyle name="Normal 2 3 2 7 4 3" xfId="24161" xr:uid="{DC343787-16E0-46EE-8648-9539FD76A696}"/>
    <cellStyle name="Normal 2 3 2 7 4 4" xfId="18501" xr:uid="{55A21945-FE36-4335-9EB1-77A98C32B8FA}"/>
    <cellStyle name="Normal 2 3 2 7 4 5" xfId="29822" xr:uid="{D0C6849D-A3A1-4D8E-B3EB-9F142146A511}"/>
    <cellStyle name="Normal 2 3 2 7 4 6" xfId="37741" xr:uid="{D97CD50C-A2F8-4C23-BACB-4311FF7A1599}"/>
    <cellStyle name="Normal 2 3 2 7 5" xfId="7870" xr:uid="{00000000-0005-0000-0000-0000B3140000}"/>
    <cellStyle name="Normal 2 3 2 7 5 2" xfId="25353" xr:uid="{497B9982-36B4-4FFC-AE74-51B9AED0FA91}"/>
    <cellStyle name="Normal 2 3 2 7 5 3" xfId="19693" xr:uid="{E712AE67-A4F9-4A26-8292-8C202F8FF4A6}"/>
    <cellStyle name="Normal 2 3 2 7 5 4" xfId="31014" xr:uid="{949394A2-3012-419A-AE47-402F783CE17B}"/>
    <cellStyle name="Normal 2 3 2 7 5 5" xfId="37743" xr:uid="{29C4CCB1-0743-41C3-8321-57F9DDEEF77A}"/>
    <cellStyle name="Normal 2 3 2 7 6" xfId="22599" xr:uid="{187E3D7D-3E01-458F-A868-E91300606B7C}"/>
    <cellStyle name="Normal 2 3 2 7 7" xfId="16939" xr:uid="{19E5E298-8695-4031-BC20-F786AB4D945B}"/>
    <cellStyle name="Normal 2 3 2 7 8" xfId="28260" xr:uid="{29A27503-958C-455F-8F1D-190BD13DA9FF}"/>
    <cellStyle name="Normal 2 3 2 7 9" xfId="37732" xr:uid="{2B910AF7-0856-40A2-B927-F4C760982F77}"/>
    <cellStyle name="Normal 2 3 2 8" xfId="5013" xr:uid="{00000000-0005-0000-0000-0000B4140000}"/>
    <cellStyle name="Normal 2 3 2 8 2" xfId="5785" xr:uid="{00000000-0005-0000-0000-0000B5140000}"/>
    <cellStyle name="Normal 2 3 2 8 2 2" xfId="7296" xr:uid="{00000000-0005-0000-0000-0000B6140000}"/>
    <cellStyle name="Normal 2 3 2 8 2 2 2" xfId="15729" xr:uid="{00000000-0005-0000-0000-0000B7140000}"/>
    <cellStyle name="Normal 2 3 2 8 2 2 2 2" xfId="27623" xr:uid="{9B6E0538-1A91-4667-A095-BB9766C6ADC0}"/>
    <cellStyle name="Normal 2 3 2 8 2 2 2 3" xfId="21963" xr:uid="{0DA9C000-061B-407E-9371-6079C9F0162A}"/>
    <cellStyle name="Normal 2 3 2 8 2 2 2 4" xfId="33003" xr:uid="{6F00F052-23EF-418C-A366-729B5B00406B}"/>
    <cellStyle name="Normal 2 3 2 8 2 2 2 5" xfId="37747" xr:uid="{9A88481E-0C86-4AF0-8D17-9DB8BAC06172}"/>
    <cellStyle name="Normal 2 3 2 8 2 2 3" xfId="24790" xr:uid="{F35EB7FA-DC3B-497A-AC5D-3B29C769B175}"/>
    <cellStyle name="Normal 2 3 2 8 2 2 4" xfId="19130" xr:uid="{F87BAE67-B2A4-43B5-9B51-F26E6AFEA4D4}"/>
    <cellStyle name="Normal 2 3 2 8 2 2 5" xfId="30451" xr:uid="{7A9D5978-44BC-4503-BBA4-33464D129705}"/>
    <cellStyle name="Normal 2 3 2 8 2 2 6" xfId="37746" xr:uid="{7018392B-A781-41C8-864D-BD14B4924A98}"/>
    <cellStyle name="Normal 2 3 2 8 2 3" xfId="14371" xr:uid="{00000000-0005-0000-0000-0000B8140000}"/>
    <cellStyle name="Normal 2 3 2 8 2 3 2" xfId="26365" xr:uid="{F1BFE3A4-7AD0-49AA-9A5E-B9A9FDB56CA7}"/>
    <cellStyle name="Normal 2 3 2 8 2 3 3" xfId="20705" xr:uid="{4D6A35A6-4827-4D88-AF60-06F54D51B179}"/>
    <cellStyle name="Normal 2 3 2 8 2 3 4" xfId="31745" xr:uid="{E8B1C4A6-7D03-4661-9AF8-35A47CCB5603}"/>
    <cellStyle name="Normal 2 3 2 8 2 3 5" xfId="37748" xr:uid="{551A6A3E-A127-4E46-B315-F13E553D6260}"/>
    <cellStyle name="Normal 2 3 2 8 2 4" xfId="23449" xr:uid="{51A81539-DAD9-45BC-8899-CC0D9FB8FE5C}"/>
    <cellStyle name="Normal 2 3 2 8 2 5" xfId="17789" xr:uid="{0BF96E38-2EAF-42F5-A131-CC1CE9CA0B40}"/>
    <cellStyle name="Normal 2 3 2 8 2 6" xfId="29110" xr:uid="{EA98D34F-DD5C-4837-A56F-605B6DD05310}"/>
    <cellStyle name="Normal 2 3 2 8 2 7" xfId="37745" xr:uid="{019EB1BC-6A3E-4C8E-9E63-465F06A263DA}"/>
    <cellStyle name="Normal 2 3 2 8 3" xfId="6876" xr:uid="{00000000-0005-0000-0000-0000B9140000}"/>
    <cellStyle name="Normal 2 3 2 8 3 2" xfId="15309" xr:uid="{00000000-0005-0000-0000-0000BA140000}"/>
    <cellStyle name="Normal 2 3 2 8 3 2 2" xfId="27203" xr:uid="{38AC4879-85D1-4674-AAC1-5658FBD2E951}"/>
    <cellStyle name="Normal 2 3 2 8 3 2 3" xfId="21543" xr:uid="{94F15D31-AE2D-4623-8EF0-D5AC8162FF41}"/>
    <cellStyle name="Normal 2 3 2 8 3 2 4" xfId="32583" xr:uid="{DB503714-9953-42FA-8476-E93EC3D2F598}"/>
    <cellStyle name="Normal 2 3 2 8 3 2 5" xfId="37750" xr:uid="{9B85FAEB-D0DE-4C65-9AB0-12392D7F5FC6}"/>
    <cellStyle name="Normal 2 3 2 8 3 3" xfId="24370" xr:uid="{7A0CAC14-6824-4F0E-8F0A-58933F87245D}"/>
    <cellStyle name="Normal 2 3 2 8 3 4" xfId="18710" xr:uid="{5D61449C-EEAD-43D5-9C32-105E7011DDB8}"/>
    <cellStyle name="Normal 2 3 2 8 3 5" xfId="30031" xr:uid="{CB117E0E-059C-41B5-A835-6FF9D5E9884C}"/>
    <cellStyle name="Normal 2 3 2 8 3 6" xfId="37749" xr:uid="{8C1EDCFF-7AAA-4637-817F-07B9D0DD154F}"/>
    <cellStyle name="Normal 2 3 2 8 4" xfId="13925" xr:uid="{00000000-0005-0000-0000-0000BB140000}"/>
    <cellStyle name="Normal 2 3 2 8 4 2" xfId="25966" xr:uid="{D7A684E7-6399-4F32-9CB5-A0B9686E4269}"/>
    <cellStyle name="Normal 2 3 2 8 4 3" xfId="20306" xr:uid="{4F1A4575-6CF5-4F33-A67C-6BF62B174AA3}"/>
    <cellStyle name="Normal 2 3 2 8 4 4" xfId="31346" xr:uid="{43EEDC26-C8BB-43D8-99B2-35D3F14914B2}"/>
    <cellStyle name="Normal 2 3 2 8 4 5" xfId="37751" xr:uid="{2228DC35-F977-4FBC-9700-09FE19697BFE}"/>
    <cellStyle name="Normal 2 3 2 8 5" xfId="22808" xr:uid="{18AD22B8-1A33-4537-9BCA-1BD7F8A130D9}"/>
    <cellStyle name="Normal 2 3 2 8 6" xfId="17148" xr:uid="{A66A79DC-DA06-4978-9DB8-DC05706532DF}"/>
    <cellStyle name="Normal 2 3 2 8 7" xfId="28469" xr:uid="{63BCD0CE-32E3-45F9-BBA8-3D34C2D3076E}"/>
    <cellStyle name="Normal 2 3 2 8 8" xfId="37744" xr:uid="{D134425D-0425-465B-806B-1F17329BB0E2}"/>
    <cellStyle name="Normal 2 3 2 9" xfId="5662" xr:uid="{00000000-0005-0000-0000-0000BC140000}"/>
    <cellStyle name="Normal 2 3 2 9 2" xfId="37752" xr:uid="{9EBA4643-DBB3-479B-BCA5-4A3DAE10A261}"/>
    <cellStyle name="Normal 2 3 3" xfId="143" xr:uid="{00000000-0005-0000-0000-0000BD140000}"/>
    <cellStyle name="Normal 2 3 3 2" xfId="4183" xr:uid="{00000000-0005-0000-0000-0000BE140000}"/>
    <cellStyle name="Normal 2 3 3 2 10" xfId="37754" xr:uid="{CDADD9C8-8C76-43F2-8858-04ED21C67B9B}"/>
    <cellStyle name="Normal 2 3 3 2 2" xfId="4929" xr:uid="{00000000-0005-0000-0000-0000BF140000}"/>
    <cellStyle name="Normal 2 3 3 2 2 2" xfId="5348" xr:uid="{00000000-0005-0000-0000-0000C0140000}"/>
    <cellStyle name="Normal 2 3 3 2 2 2 2" xfId="7211" xr:uid="{00000000-0005-0000-0000-0000C1140000}"/>
    <cellStyle name="Normal 2 3 3 2 2 2 2 2" xfId="15644" xr:uid="{00000000-0005-0000-0000-0000C2140000}"/>
    <cellStyle name="Normal 2 3 3 2 2 2 2 2 2" xfId="27538" xr:uid="{90FFE418-F28D-4B45-9280-A8EE1ED4F78A}"/>
    <cellStyle name="Normal 2 3 3 2 2 2 2 2 3" xfId="21878" xr:uid="{38046087-76BC-4066-9C40-BD20559D8BE7}"/>
    <cellStyle name="Normal 2 3 3 2 2 2 2 2 4" xfId="32918" xr:uid="{D47B4132-5F80-4BE5-8333-40CC59072705}"/>
    <cellStyle name="Normal 2 3 3 2 2 2 2 2 5" xfId="37758" xr:uid="{BF406F28-F691-49A9-8512-132ABA8580D0}"/>
    <cellStyle name="Normal 2 3 3 2 2 2 2 3" xfId="24705" xr:uid="{5E9AA802-0DC5-4184-8B35-1EA50F01762B}"/>
    <cellStyle name="Normal 2 3 3 2 2 2 2 4" xfId="19045" xr:uid="{A1591B6D-8AF3-4054-B0D3-9A3B09EC3AF8}"/>
    <cellStyle name="Normal 2 3 3 2 2 2 2 5" xfId="30366" xr:uid="{C8C9983C-0034-4D45-9643-8C4159D803FE}"/>
    <cellStyle name="Normal 2 3 3 2 2 2 2 6" xfId="37757" xr:uid="{D529222D-A563-41C9-9208-25E51A0BA6BE}"/>
    <cellStyle name="Normal 2 3 3 2 2 2 3" xfId="14234" xr:uid="{00000000-0005-0000-0000-0000C3140000}"/>
    <cellStyle name="Normal 2 3 3 2 2 2 3 2" xfId="26273" xr:uid="{4973B317-05DE-4DB6-BF6A-09E67B3740B5}"/>
    <cellStyle name="Normal 2 3 3 2 2 2 3 3" xfId="20613" xr:uid="{4879A74D-6F45-4624-9898-1B7707328576}"/>
    <cellStyle name="Normal 2 3 3 2 2 2 3 4" xfId="31653" xr:uid="{2212C07D-504A-46D5-86A3-88AE5F9C5179}"/>
    <cellStyle name="Normal 2 3 3 2 2 2 3 5" xfId="37759" xr:uid="{4F500BA2-23AB-4D6B-B404-502F55C2703C}"/>
    <cellStyle name="Normal 2 3 3 2 2 2 4" xfId="23143" xr:uid="{421CDCC5-C9EF-4438-9FA1-93C247FE3A68}"/>
    <cellStyle name="Normal 2 3 3 2 2 2 5" xfId="17483" xr:uid="{02160B75-ECC8-412F-89A3-91C371AE3AD5}"/>
    <cellStyle name="Normal 2 3 3 2 2 2 6" xfId="28804" xr:uid="{0D7D8DC2-3814-4FF7-BCB1-1DC33380D4BF}"/>
    <cellStyle name="Normal 2 3 3 2 2 2 7" xfId="37756" xr:uid="{3268DD5C-32D5-4C6C-8239-13C377E107FB}"/>
    <cellStyle name="Normal 2 3 3 2 2 3" xfId="6104" xr:uid="{00000000-0005-0000-0000-0000C4140000}"/>
    <cellStyle name="Normal 2 3 3 2 2 3 2" xfId="7444" xr:uid="{00000000-0005-0000-0000-0000C5140000}"/>
    <cellStyle name="Normal 2 3 3 2 2 3 2 2" xfId="15877" xr:uid="{00000000-0005-0000-0000-0000C6140000}"/>
    <cellStyle name="Normal 2 3 3 2 2 3 2 2 2" xfId="27771" xr:uid="{1D60DDFF-CBA3-47F7-AE30-52F4F976E0B1}"/>
    <cellStyle name="Normal 2 3 3 2 2 3 2 2 3" xfId="22111" xr:uid="{65880E1C-87AE-44C2-BC31-34B7AD690CA9}"/>
    <cellStyle name="Normal 2 3 3 2 2 3 2 2 4" xfId="33151" xr:uid="{2AE8F9BE-1107-40BC-878F-4D0F9B168F90}"/>
    <cellStyle name="Normal 2 3 3 2 2 3 2 2 5" xfId="37762" xr:uid="{6D413BDB-91E2-40A2-BCD8-5F0943F07F9F}"/>
    <cellStyle name="Normal 2 3 3 2 2 3 2 3" xfId="24938" xr:uid="{E774A947-B809-4003-8EFD-2E26EACD3989}"/>
    <cellStyle name="Normal 2 3 3 2 2 3 2 4" xfId="19278" xr:uid="{F940CC15-C7B7-4C7F-B404-354ECDC30945}"/>
    <cellStyle name="Normal 2 3 3 2 2 3 2 5" xfId="30599" xr:uid="{CF4D9025-0370-4768-804E-94038F7A1CBE}"/>
    <cellStyle name="Normal 2 3 3 2 2 3 2 6" xfId="37761" xr:uid="{02D75561-585C-4E3F-A4AE-167CC8C21FC7}"/>
    <cellStyle name="Normal 2 3 3 2 2 3 3" xfId="14557" xr:uid="{00000000-0005-0000-0000-0000C7140000}"/>
    <cellStyle name="Normal 2 3 3 2 2 3 3 2" xfId="26515" xr:uid="{9F14A606-56B0-4EBE-9E7C-9480DF1079B9}"/>
    <cellStyle name="Normal 2 3 3 2 2 3 3 3" xfId="20855" xr:uid="{7B8309BB-9049-47F8-B525-D193886B88C4}"/>
    <cellStyle name="Normal 2 3 3 2 2 3 3 4" xfId="31895" xr:uid="{F2676668-0317-4E9A-8546-2607E5D38B4B}"/>
    <cellStyle name="Normal 2 3 3 2 2 3 3 5" xfId="37763" xr:uid="{46D9C977-04B0-4CAE-B150-DF9B1300261D}"/>
    <cellStyle name="Normal 2 3 3 2 2 3 4" xfId="23682" xr:uid="{4F3D5894-7B17-4890-8738-71AFD308E202}"/>
    <cellStyle name="Normal 2 3 3 2 2 3 5" xfId="18022" xr:uid="{BED3D5AD-081F-4A92-A0DC-08D69BE756BE}"/>
    <cellStyle name="Normal 2 3 3 2 2 3 6" xfId="29343" xr:uid="{26214616-C161-403D-9161-C5552CA94D02}"/>
    <cellStyle name="Normal 2 3 3 2 2 3 7" xfId="37760" xr:uid="{32DA5810-A65F-46B8-BEC2-674D655D8A53}"/>
    <cellStyle name="Normal 2 3 3 2 2 4" xfId="6793" xr:uid="{00000000-0005-0000-0000-0000C8140000}"/>
    <cellStyle name="Normal 2 3 3 2 2 4 2" xfId="15226" xr:uid="{00000000-0005-0000-0000-0000C9140000}"/>
    <cellStyle name="Normal 2 3 3 2 2 4 2 2" xfId="27120" xr:uid="{54F6D3F9-8E31-484C-A78E-9AE1A332EB96}"/>
    <cellStyle name="Normal 2 3 3 2 2 4 2 3" xfId="21460" xr:uid="{BBF2FC4E-DD89-4F9C-8AEE-8881F3D482AA}"/>
    <cellStyle name="Normal 2 3 3 2 2 4 2 4" xfId="32500" xr:uid="{2DB02989-022C-4199-B3D0-707AD8180D3D}"/>
    <cellStyle name="Normal 2 3 3 2 2 4 2 5" xfId="37765" xr:uid="{E72D383A-C199-41B4-A6E8-6FA2BDA0D729}"/>
    <cellStyle name="Normal 2 3 3 2 2 4 3" xfId="24287" xr:uid="{D8FCB255-58F0-49DE-B565-BF63FFF64804}"/>
    <cellStyle name="Normal 2 3 3 2 2 4 4" xfId="18627" xr:uid="{823EEDBB-931F-4D59-8459-7C1D1FC8DFF6}"/>
    <cellStyle name="Normal 2 3 3 2 2 4 5" xfId="29948" xr:uid="{8317E41E-8711-4222-B24B-02054AE3A39F}"/>
    <cellStyle name="Normal 2 3 3 2 2 4 6" xfId="37764" xr:uid="{F658F703-5FE1-4A31-9E89-DF63A6425848}"/>
    <cellStyle name="Normal 2 3 3 2 2 5" xfId="7873" xr:uid="{00000000-0005-0000-0000-0000CA140000}"/>
    <cellStyle name="Normal 2 3 3 2 2 5 2" xfId="25356" xr:uid="{8C123909-62BB-4C32-9454-9740488B9201}"/>
    <cellStyle name="Normal 2 3 3 2 2 5 3" xfId="19696" xr:uid="{E60BC7E7-D911-4A47-A184-51CE93F7C9A4}"/>
    <cellStyle name="Normal 2 3 3 2 2 5 4" xfId="31017" xr:uid="{D4519EA2-635C-4E14-B0F3-78DEC1A65F2B}"/>
    <cellStyle name="Normal 2 3 3 2 2 5 5" xfId="37766" xr:uid="{98ED8B09-A9F6-4920-92A7-8B5557441017}"/>
    <cellStyle name="Normal 2 3 3 2 2 6" xfId="22725" xr:uid="{17A655D6-03A8-42E2-A3DE-3418232F3E20}"/>
    <cellStyle name="Normal 2 3 3 2 2 7" xfId="17065" xr:uid="{8A96D07A-5836-4102-8971-E6FDA255C1AD}"/>
    <cellStyle name="Normal 2 3 3 2 2 8" xfId="28386" xr:uid="{2E095428-C2B4-49EF-AB64-C1D0C96CF47C}"/>
    <cellStyle name="Normal 2 3 3 2 2 9" xfId="37755" xr:uid="{28CC009E-AE4B-4C34-BB0B-04AA8783A1CA}"/>
    <cellStyle name="Normal 2 3 3 2 3" xfId="5139" xr:uid="{00000000-0005-0000-0000-0000CB140000}"/>
    <cellStyle name="Normal 2 3 3 2 3 2" xfId="7002" xr:uid="{00000000-0005-0000-0000-0000CC140000}"/>
    <cellStyle name="Normal 2 3 3 2 3 2 2" xfId="15435" xr:uid="{00000000-0005-0000-0000-0000CD140000}"/>
    <cellStyle name="Normal 2 3 3 2 3 2 2 2" xfId="27329" xr:uid="{DBCBE9AB-8245-49E8-A0C8-A30A9CEFB53C}"/>
    <cellStyle name="Normal 2 3 3 2 3 2 2 3" xfId="21669" xr:uid="{803BB03B-38C9-4792-8EE9-4681B0A562BD}"/>
    <cellStyle name="Normal 2 3 3 2 3 2 2 4" xfId="32709" xr:uid="{3E5EB251-6124-4D1B-8B66-E3149769A93E}"/>
    <cellStyle name="Normal 2 3 3 2 3 2 2 5" xfId="37769" xr:uid="{4CAE98A3-9FA2-48D3-9B77-16CC1CEC6CFE}"/>
    <cellStyle name="Normal 2 3 3 2 3 2 3" xfId="24496" xr:uid="{193F257C-355E-45A6-9810-3DFD38AB6798}"/>
    <cellStyle name="Normal 2 3 3 2 3 2 4" xfId="18836" xr:uid="{4193B911-0846-4EDA-B019-64139747F760}"/>
    <cellStyle name="Normal 2 3 3 2 3 2 5" xfId="30157" xr:uid="{0429F564-F661-46E3-B092-CF78499E863E}"/>
    <cellStyle name="Normal 2 3 3 2 3 2 6" xfId="37768" xr:uid="{1B231F4F-01A7-447E-A630-174CC435842A}"/>
    <cellStyle name="Normal 2 3 3 2 3 3" xfId="14026" xr:uid="{00000000-0005-0000-0000-0000CE140000}"/>
    <cellStyle name="Normal 2 3 3 2 3 3 2" xfId="26065" xr:uid="{AA485E3C-12AE-4A2B-8625-DC69B00F2B17}"/>
    <cellStyle name="Normal 2 3 3 2 3 3 3" xfId="20405" xr:uid="{AC10DBB1-6ACE-413C-85DB-D6C50455B616}"/>
    <cellStyle name="Normal 2 3 3 2 3 3 4" xfId="31445" xr:uid="{99A106C2-6357-4FFD-9126-E95FED2F6B52}"/>
    <cellStyle name="Normal 2 3 3 2 3 3 5" xfId="37770" xr:uid="{166E1CC0-043F-46DC-90E6-1039451D9847}"/>
    <cellStyle name="Normal 2 3 3 2 3 4" xfId="22934" xr:uid="{F86ECAE9-D868-40E5-91F2-2C909AC005FB}"/>
    <cellStyle name="Normal 2 3 3 2 3 5" xfId="17274" xr:uid="{9026C77A-84F1-4B22-BE0E-E5789F9C401D}"/>
    <cellStyle name="Normal 2 3 3 2 3 6" xfId="28595" xr:uid="{F5D72CA5-2444-4ABE-848B-54A081285DC8}"/>
    <cellStyle name="Normal 2 3 3 2 3 7" xfId="37767" xr:uid="{926BECCD-6E67-4B5E-84E8-C8C69E090D57}"/>
    <cellStyle name="Normal 2 3 3 2 4" xfId="6103" xr:uid="{00000000-0005-0000-0000-0000CF140000}"/>
    <cellStyle name="Normal 2 3 3 2 4 2" xfId="7443" xr:uid="{00000000-0005-0000-0000-0000D0140000}"/>
    <cellStyle name="Normal 2 3 3 2 4 2 2" xfId="15876" xr:uid="{00000000-0005-0000-0000-0000D1140000}"/>
    <cellStyle name="Normal 2 3 3 2 4 2 2 2" xfId="27770" xr:uid="{D91611B7-EF2A-4B4B-91B4-D18B2464C0F8}"/>
    <cellStyle name="Normal 2 3 3 2 4 2 2 3" xfId="22110" xr:uid="{F8E52382-2AA4-4596-9B38-3600A0A67C6F}"/>
    <cellStyle name="Normal 2 3 3 2 4 2 2 4" xfId="33150" xr:uid="{6532BD6B-33CB-4BE8-9FA2-09B6E2DA2049}"/>
    <cellStyle name="Normal 2 3 3 2 4 2 2 5" xfId="37773" xr:uid="{128C3739-3F20-472B-8B21-3F387DCF69E1}"/>
    <cellStyle name="Normal 2 3 3 2 4 2 3" xfId="24937" xr:uid="{6D36630F-70FC-4BE7-A051-6A5712737E1C}"/>
    <cellStyle name="Normal 2 3 3 2 4 2 4" xfId="19277" xr:uid="{BC05FB5E-B16F-4221-8488-1802E480802F}"/>
    <cellStyle name="Normal 2 3 3 2 4 2 5" xfId="30598" xr:uid="{97FA0EAA-EB6A-4146-8063-EB4B884E478D}"/>
    <cellStyle name="Normal 2 3 3 2 4 2 6" xfId="37772" xr:uid="{28E5A868-CAC7-4577-8ABA-17F6039086BB}"/>
    <cellStyle name="Normal 2 3 3 2 4 3" xfId="14556" xr:uid="{00000000-0005-0000-0000-0000D2140000}"/>
    <cellStyle name="Normal 2 3 3 2 4 3 2" xfId="26514" xr:uid="{1CD01054-2142-4377-BCF9-039FB2CF7044}"/>
    <cellStyle name="Normal 2 3 3 2 4 3 3" xfId="20854" xr:uid="{30C67290-A8B6-450E-99A0-7671615F6C03}"/>
    <cellStyle name="Normal 2 3 3 2 4 3 4" xfId="31894" xr:uid="{44B3841F-4F35-4DEE-8B21-382A5297B719}"/>
    <cellStyle name="Normal 2 3 3 2 4 3 5" xfId="37774" xr:uid="{A3C107A3-1A0E-4734-91B4-BD31390C7470}"/>
    <cellStyle name="Normal 2 3 3 2 4 4" xfId="23681" xr:uid="{1E02A3FC-66E8-4A6A-B9D0-2E47D6161A0B}"/>
    <cellStyle name="Normal 2 3 3 2 4 5" xfId="18021" xr:uid="{EA61DD77-3AD6-44BF-B4C4-6C4CD1772853}"/>
    <cellStyle name="Normal 2 3 3 2 4 6" xfId="29342" xr:uid="{F5EB6D23-9D17-4B63-9660-5D02ABE59E9C}"/>
    <cellStyle name="Normal 2 3 3 2 4 7" xfId="37771" xr:uid="{F86CD5DC-54B5-4B67-8E79-51C232830412}"/>
    <cellStyle name="Normal 2 3 3 2 5" xfId="6584" xr:uid="{00000000-0005-0000-0000-0000D3140000}"/>
    <cellStyle name="Normal 2 3 3 2 5 2" xfId="15017" xr:uid="{00000000-0005-0000-0000-0000D4140000}"/>
    <cellStyle name="Normal 2 3 3 2 5 2 2" xfId="26911" xr:uid="{AED5A450-C671-4E3B-8710-878468C27A18}"/>
    <cellStyle name="Normal 2 3 3 2 5 2 3" xfId="21251" xr:uid="{E6BF7554-F3F4-46D7-977C-FC6D45F77285}"/>
    <cellStyle name="Normal 2 3 3 2 5 2 4" xfId="32291" xr:uid="{9A0450D1-8922-44BB-A68E-CDF3764BB4DA}"/>
    <cellStyle name="Normal 2 3 3 2 5 2 5" xfId="37776" xr:uid="{6CD6AB21-DF86-4F6E-9980-56EB6C8AF12D}"/>
    <cellStyle name="Normal 2 3 3 2 5 3" xfId="24078" xr:uid="{E5075895-5BC7-482B-9B2E-30E9479292F1}"/>
    <cellStyle name="Normal 2 3 3 2 5 4" xfId="18418" xr:uid="{066DFA01-4720-473B-98F4-F5E106A52E48}"/>
    <cellStyle name="Normal 2 3 3 2 5 5" xfId="29739" xr:uid="{210CAA43-AA98-4DB2-A544-2339EA2C2875}"/>
    <cellStyle name="Normal 2 3 3 2 5 6" xfId="37775" xr:uid="{203E9651-328A-416F-9F40-EA2182E3C54F}"/>
    <cellStyle name="Normal 2 3 3 2 6" xfId="7872" xr:uid="{00000000-0005-0000-0000-0000D5140000}"/>
    <cellStyle name="Normal 2 3 3 2 6 2" xfId="25355" xr:uid="{7A3187FA-FD3E-4F7F-9AA6-4EE726436F0A}"/>
    <cellStyle name="Normal 2 3 3 2 6 3" xfId="19695" xr:uid="{30861E58-2D81-4302-8C3D-A69C47AF9DE6}"/>
    <cellStyle name="Normal 2 3 3 2 6 4" xfId="31016" xr:uid="{42DA47CA-A023-4A58-A32B-8945AE4CA71F}"/>
    <cellStyle name="Normal 2 3 3 2 6 5" xfId="37777" xr:uid="{4F51FAC2-CD3F-4385-88C5-DAE4EE284F86}"/>
    <cellStyle name="Normal 2 3 3 2 7" xfId="22516" xr:uid="{2CB49622-05D5-49BA-A917-9AFA72762CA2}"/>
    <cellStyle name="Normal 2 3 3 2 8" xfId="16856" xr:uid="{8FE37AEA-AC2C-4D37-8919-5C6D879A1E7C}"/>
    <cellStyle name="Normal 2 3 3 2 9" xfId="28177" xr:uid="{10544E70-16B2-494F-AB49-A5896F2C4666}"/>
    <cellStyle name="Normal 2 3 3 3" xfId="5786" xr:uid="{00000000-0005-0000-0000-0000D6140000}"/>
    <cellStyle name="Normal 2 3 3 3 2" xfId="37778" xr:uid="{2C678090-1B3A-4AD9-B935-A353BB3D1E5F}"/>
    <cellStyle name="Normal 2 3 3 4" xfId="5663" xr:uid="{00000000-0005-0000-0000-0000D7140000}"/>
    <cellStyle name="Normal 2 3 3 4 2" xfId="37779" xr:uid="{32BB7691-2C06-4F9A-AD0F-7B460235A0E4}"/>
    <cellStyle name="Normal 2 3 3 5" xfId="7871" xr:uid="{00000000-0005-0000-0000-0000D8140000}"/>
    <cellStyle name="Normal 2 3 3 5 2" xfId="25354" xr:uid="{6D00B878-4588-4DDC-A817-C21C4418721A}"/>
    <cellStyle name="Normal 2 3 3 5 3" xfId="19694" xr:uid="{12D93688-9DC8-487A-8BD3-B80D64B97403}"/>
    <cellStyle name="Normal 2 3 3 5 4" xfId="31015" xr:uid="{962D23D5-E0AC-400A-99F0-E1ABA5E07527}"/>
    <cellStyle name="Normal 2 3 3 5 5" xfId="37780" xr:uid="{AAAA9118-868A-49CE-9A99-D7EB32B21C19}"/>
    <cellStyle name="Normal 2 3 3 6" xfId="37753" xr:uid="{F5D6C1F5-4A33-4FE0-9C8C-A5D8BE564690}"/>
    <cellStyle name="Normal 2 3 4" xfId="144" xr:uid="{00000000-0005-0000-0000-0000D9140000}"/>
    <cellStyle name="Normal 2 3 4 10" xfId="7874" xr:uid="{00000000-0005-0000-0000-0000DA140000}"/>
    <cellStyle name="Normal 2 3 4 10 2" xfId="25357" xr:uid="{EF65E8E8-20FD-44EE-8CEF-8D6A3FB2B47E}"/>
    <cellStyle name="Normal 2 3 4 10 3" xfId="19697" xr:uid="{9A3A661F-6F3D-4D66-8851-D0181926F68E}"/>
    <cellStyle name="Normal 2 3 4 10 4" xfId="31018" xr:uid="{802BB9B1-430D-40F5-AD1B-16F37C85F378}"/>
    <cellStyle name="Normal 2 3 4 10 5" xfId="37782" xr:uid="{253AE766-1C3B-4782-AB35-AD198F923454}"/>
    <cellStyle name="Normal 2 3 4 11" xfId="22391" xr:uid="{73928134-9795-4882-B046-5815CCE6124B}"/>
    <cellStyle name="Normal 2 3 4 12" xfId="16731" xr:uid="{40E3C449-256F-49C0-BB53-23D8D2CD8F45}"/>
    <cellStyle name="Normal 2 3 4 13" xfId="28052" xr:uid="{A55A500A-AAFE-4553-9F98-0AE90CE22D50}"/>
    <cellStyle name="Normal 2 3 4 14" xfId="37781" xr:uid="{71DFE454-4881-42D4-8B55-8B6D40FA0A6C}"/>
    <cellStyle name="Normal 2 3 4 2" xfId="307" xr:uid="{00000000-0005-0000-0000-0000DB140000}"/>
    <cellStyle name="Normal 2 3 4 2 10" xfId="28071" xr:uid="{8418AFBC-9107-4312-BAB8-9F8532A33B0C}"/>
    <cellStyle name="Normal 2 3 4 2 11" xfId="37783" xr:uid="{73EBF2A1-595D-4569-A211-9924C1FB96C5}"/>
    <cellStyle name="Normal 2 3 4 2 2" xfId="4185" xr:uid="{00000000-0005-0000-0000-0000DC140000}"/>
    <cellStyle name="Normal 2 3 4 2 2 10" xfId="37784" xr:uid="{EBFEFD3A-A487-4CEF-8FDB-C926BE30EBF0}"/>
    <cellStyle name="Normal 2 3 4 2 2 2" xfId="4931" xr:uid="{00000000-0005-0000-0000-0000DD140000}"/>
    <cellStyle name="Normal 2 3 4 2 2 2 2" xfId="5350" xr:uid="{00000000-0005-0000-0000-0000DE140000}"/>
    <cellStyle name="Normal 2 3 4 2 2 2 2 2" xfId="7213" xr:uid="{00000000-0005-0000-0000-0000DF140000}"/>
    <cellStyle name="Normal 2 3 4 2 2 2 2 2 2" xfId="15646" xr:uid="{00000000-0005-0000-0000-0000E0140000}"/>
    <cellStyle name="Normal 2 3 4 2 2 2 2 2 2 2" xfId="27540" xr:uid="{37589DD7-E45D-4E6B-9089-2FF51FDDCF6C}"/>
    <cellStyle name="Normal 2 3 4 2 2 2 2 2 2 3" xfId="21880" xr:uid="{1E01F2EF-5020-4CB2-A270-198017CB589D}"/>
    <cellStyle name="Normal 2 3 4 2 2 2 2 2 2 4" xfId="32920" xr:uid="{D0A1D17C-5A57-419F-AC05-744927818ED9}"/>
    <cellStyle name="Normal 2 3 4 2 2 2 2 2 2 5" xfId="37788" xr:uid="{CF69DF1E-8C32-4ED8-ADF4-960F5EEAA7DF}"/>
    <cellStyle name="Normal 2 3 4 2 2 2 2 2 3" xfId="24707" xr:uid="{CC8BED75-65C0-47E1-9A31-381C96FED00B}"/>
    <cellStyle name="Normal 2 3 4 2 2 2 2 2 4" xfId="19047" xr:uid="{E2FD232B-6A5D-45E5-BC7D-AE26A8A238B0}"/>
    <cellStyle name="Normal 2 3 4 2 2 2 2 2 5" xfId="30368" xr:uid="{ED844D9E-02D6-4613-9D2A-0150AD37A81A}"/>
    <cellStyle name="Normal 2 3 4 2 2 2 2 2 6" xfId="37787" xr:uid="{EAB0398E-69F0-444B-95E2-33895076B27A}"/>
    <cellStyle name="Normal 2 3 4 2 2 2 2 3" xfId="14236" xr:uid="{00000000-0005-0000-0000-0000E1140000}"/>
    <cellStyle name="Normal 2 3 4 2 2 2 2 3 2" xfId="26275" xr:uid="{8CDCC226-08F3-432E-82CA-E1FCB9B9F5AC}"/>
    <cellStyle name="Normal 2 3 4 2 2 2 2 3 3" xfId="20615" xr:uid="{07CF04D7-DED9-4F79-AE02-F78580D4D2B6}"/>
    <cellStyle name="Normal 2 3 4 2 2 2 2 3 4" xfId="31655" xr:uid="{75400BDA-3538-45D1-97D6-4EE89436A91F}"/>
    <cellStyle name="Normal 2 3 4 2 2 2 2 3 5" xfId="37789" xr:uid="{0E6C9214-F36D-48B9-B808-3FD4984122C8}"/>
    <cellStyle name="Normal 2 3 4 2 2 2 2 4" xfId="23145" xr:uid="{94D69A56-4305-40E3-B1D9-8699B8FE4807}"/>
    <cellStyle name="Normal 2 3 4 2 2 2 2 5" xfId="17485" xr:uid="{F18B271B-7E67-452C-AF62-E79EB957DD4B}"/>
    <cellStyle name="Normal 2 3 4 2 2 2 2 6" xfId="28806" xr:uid="{40893B3B-6285-42D5-851D-AD361CFBEB92}"/>
    <cellStyle name="Normal 2 3 4 2 2 2 2 7" xfId="37786" xr:uid="{C6210FAB-399E-44CA-8B78-2BDB6A12C1DF}"/>
    <cellStyle name="Normal 2 3 4 2 2 2 3" xfId="6107" xr:uid="{00000000-0005-0000-0000-0000E2140000}"/>
    <cellStyle name="Normal 2 3 4 2 2 2 3 2" xfId="7447" xr:uid="{00000000-0005-0000-0000-0000E3140000}"/>
    <cellStyle name="Normal 2 3 4 2 2 2 3 2 2" xfId="15880" xr:uid="{00000000-0005-0000-0000-0000E4140000}"/>
    <cellStyle name="Normal 2 3 4 2 2 2 3 2 2 2" xfId="27774" xr:uid="{EB6806A3-40FE-44C1-9EE0-692B9D178DB6}"/>
    <cellStyle name="Normal 2 3 4 2 2 2 3 2 2 3" xfId="22114" xr:uid="{ECF7DE84-04D1-40C7-B6EF-30436FFCA921}"/>
    <cellStyle name="Normal 2 3 4 2 2 2 3 2 2 4" xfId="33154" xr:uid="{F7184E92-BD73-4B6F-A04C-A44C41D5D1FB}"/>
    <cellStyle name="Normal 2 3 4 2 2 2 3 2 2 5" xfId="37792" xr:uid="{8316E17F-2BD5-4720-8F85-3216FCC68958}"/>
    <cellStyle name="Normal 2 3 4 2 2 2 3 2 3" xfId="24941" xr:uid="{490054B2-C10A-4251-B972-941FC46715F7}"/>
    <cellStyle name="Normal 2 3 4 2 2 2 3 2 4" xfId="19281" xr:uid="{C9A873C9-352D-4008-BC17-003A22E380BD}"/>
    <cellStyle name="Normal 2 3 4 2 2 2 3 2 5" xfId="30602" xr:uid="{FE211CFB-A50E-4FA5-A517-9945DBE152A2}"/>
    <cellStyle name="Normal 2 3 4 2 2 2 3 2 6" xfId="37791" xr:uid="{723B5FC0-EC94-435D-8BA1-3523EBBF220B}"/>
    <cellStyle name="Normal 2 3 4 2 2 2 3 3" xfId="14560" xr:uid="{00000000-0005-0000-0000-0000E5140000}"/>
    <cellStyle name="Normal 2 3 4 2 2 2 3 3 2" xfId="26518" xr:uid="{00A94D21-5722-4345-B90B-568DBF0569CE}"/>
    <cellStyle name="Normal 2 3 4 2 2 2 3 3 3" xfId="20858" xr:uid="{7C81BCB6-17AC-4AD8-AD55-F27E95AAFF32}"/>
    <cellStyle name="Normal 2 3 4 2 2 2 3 3 4" xfId="31898" xr:uid="{6B7CFD53-3B00-4149-A824-AC430FBF5216}"/>
    <cellStyle name="Normal 2 3 4 2 2 2 3 3 5" xfId="37793" xr:uid="{80F64797-ED14-46B7-B910-EBA07EA6881F}"/>
    <cellStyle name="Normal 2 3 4 2 2 2 3 4" xfId="23685" xr:uid="{AA4CFFA7-F963-4D8B-A42F-D996966E11BC}"/>
    <cellStyle name="Normal 2 3 4 2 2 2 3 5" xfId="18025" xr:uid="{1404CE57-ED46-4774-88C9-8652F9968EBE}"/>
    <cellStyle name="Normal 2 3 4 2 2 2 3 6" xfId="29346" xr:uid="{6D43184A-1137-411E-9EFC-BB3F9B3A6195}"/>
    <cellStyle name="Normal 2 3 4 2 2 2 3 7" xfId="37790" xr:uid="{AB4941D4-4706-497A-AA99-63A580A4D252}"/>
    <cellStyle name="Normal 2 3 4 2 2 2 4" xfId="6795" xr:uid="{00000000-0005-0000-0000-0000E6140000}"/>
    <cellStyle name="Normal 2 3 4 2 2 2 4 2" xfId="15228" xr:uid="{00000000-0005-0000-0000-0000E7140000}"/>
    <cellStyle name="Normal 2 3 4 2 2 2 4 2 2" xfId="27122" xr:uid="{50446542-F761-48AA-9BC1-D9B68D8368DF}"/>
    <cellStyle name="Normal 2 3 4 2 2 2 4 2 3" xfId="21462" xr:uid="{3F4F8605-24BA-4D53-B0B0-AD049EE84C0F}"/>
    <cellStyle name="Normal 2 3 4 2 2 2 4 2 4" xfId="32502" xr:uid="{97976DC2-8CDD-483A-A9EA-7CF6ECCB9E37}"/>
    <cellStyle name="Normal 2 3 4 2 2 2 4 2 5" xfId="37795" xr:uid="{E917FE46-9D98-45FB-ACF1-682BFA2F5F77}"/>
    <cellStyle name="Normal 2 3 4 2 2 2 4 3" xfId="24289" xr:uid="{5A4C6414-E91E-447F-A3AE-B8AA8250C4E9}"/>
    <cellStyle name="Normal 2 3 4 2 2 2 4 4" xfId="18629" xr:uid="{9F589A81-C8ED-4F37-9C02-F096170C9757}"/>
    <cellStyle name="Normal 2 3 4 2 2 2 4 5" xfId="29950" xr:uid="{75C14E2E-19A7-4749-8973-01F312916030}"/>
    <cellStyle name="Normal 2 3 4 2 2 2 4 6" xfId="37794" xr:uid="{1C91B564-C5EC-470E-9C9A-0CFEC6DFD345}"/>
    <cellStyle name="Normal 2 3 4 2 2 2 5" xfId="7877" xr:uid="{00000000-0005-0000-0000-0000E8140000}"/>
    <cellStyle name="Normal 2 3 4 2 2 2 5 2" xfId="25360" xr:uid="{CB9D5560-F0D7-4805-A536-EBD400BB157A}"/>
    <cellStyle name="Normal 2 3 4 2 2 2 5 3" xfId="19700" xr:uid="{0F448F2E-C1F4-49E2-9C5A-E2E7ECA45EE0}"/>
    <cellStyle name="Normal 2 3 4 2 2 2 5 4" xfId="31021" xr:uid="{CC32140D-F821-4861-8A6E-1D59FDEAA68B}"/>
    <cellStyle name="Normal 2 3 4 2 2 2 5 5" xfId="37796" xr:uid="{B97C1B0A-8F4B-443E-BA22-5E51F101E67F}"/>
    <cellStyle name="Normal 2 3 4 2 2 2 6" xfId="22727" xr:uid="{D4E14C74-CB2D-4939-B248-ED950A4CFDED}"/>
    <cellStyle name="Normal 2 3 4 2 2 2 7" xfId="17067" xr:uid="{0DB3C59C-4063-436E-97CA-7F417B1D88EF}"/>
    <cellStyle name="Normal 2 3 4 2 2 2 8" xfId="28388" xr:uid="{13111F0F-CE9B-42E0-BE81-399F2C04A068}"/>
    <cellStyle name="Normal 2 3 4 2 2 2 9" xfId="37785" xr:uid="{BA8DA683-F04D-4B13-A8B6-233F50BB67E2}"/>
    <cellStyle name="Normal 2 3 4 2 2 3" xfId="5141" xr:uid="{00000000-0005-0000-0000-0000E9140000}"/>
    <cellStyle name="Normal 2 3 4 2 2 3 2" xfId="7004" xr:uid="{00000000-0005-0000-0000-0000EA140000}"/>
    <cellStyle name="Normal 2 3 4 2 2 3 2 2" xfId="15437" xr:uid="{00000000-0005-0000-0000-0000EB140000}"/>
    <cellStyle name="Normal 2 3 4 2 2 3 2 2 2" xfId="27331" xr:uid="{ED7612EA-6244-458B-97B8-D82345089BDC}"/>
    <cellStyle name="Normal 2 3 4 2 2 3 2 2 3" xfId="21671" xr:uid="{B5741EA4-D428-4C15-9BF5-EA8B31E5D5E5}"/>
    <cellStyle name="Normal 2 3 4 2 2 3 2 2 4" xfId="32711" xr:uid="{BD77AC8B-A329-4F85-A4A4-4ED1DD9CF29F}"/>
    <cellStyle name="Normal 2 3 4 2 2 3 2 2 5" xfId="37799" xr:uid="{FC5EE773-C1F4-4B5B-90B5-BC749877F0D3}"/>
    <cellStyle name="Normal 2 3 4 2 2 3 2 3" xfId="24498" xr:uid="{A71507CE-E52D-4656-8DBD-DAB9AFD257CE}"/>
    <cellStyle name="Normal 2 3 4 2 2 3 2 4" xfId="18838" xr:uid="{FCCBF4A0-7329-48B6-BBC4-6FAABDC344F7}"/>
    <cellStyle name="Normal 2 3 4 2 2 3 2 5" xfId="30159" xr:uid="{7461DEDA-9CE5-49A1-81B9-6316120BF622}"/>
    <cellStyle name="Normal 2 3 4 2 2 3 2 6" xfId="37798" xr:uid="{35CD3F7A-23C4-4276-B5A9-5E7DC5D313EF}"/>
    <cellStyle name="Normal 2 3 4 2 2 3 3" xfId="14028" xr:uid="{00000000-0005-0000-0000-0000EC140000}"/>
    <cellStyle name="Normal 2 3 4 2 2 3 3 2" xfId="26067" xr:uid="{94347C17-64EC-42A8-AA5C-60F62FE9BC6F}"/>
    <cellStyle name="Normal 2 3 4 2 2 3 3 3" xfId="20407" xr:uid="{FEB762F9-CBC2-4F51-AD17-9715530EA372}"/>
    <cellStyle name="Normal 2 3 4 2 2 3 3 4" xfId="31447" xr:uid="{9CD1CAE8-F7DA-4B7B-A972-EFE9718D55A1}"/>
    <cellStyle name="Normal 2 3 4 2 2 3 3 5" xfId="37800" xr:uid="{383EDBCF-79DC-4D4F-A48D-3B45E17D7099}"/>
    <cellStyle name="Normal 2 3 4 2 2 3 4" xfId="22936" xr:uid="{307DFF96-98A8-4B5E-8820-0F7D49689220}"/>
    <cellStyle name="Normal 2 3 4 2 2 3 5" xfId="17276" xr:uid="{7F60B6BE-6A24-4DE0-A7CB-0FB8201A8B50}"/>
    <cellStyle name="Normal 2 3 4 2 2 3 6" xfId="28597" xr:uid="{3435A4F0-3372-48A7-ACCE-1F97E7E6BAA3}"/>
    <cellStyle name="Normal 2 3 4 2 2 3 7" xfId="37797" xr:uid="{C6C75585-5AEF-415B-B583-7F8F40D9F17F}"/>
    <cellStyle name="Normal 2 3 4 2 2 4" xfId="6106" xr:uid="{00000000-0005-0000-0000-0000ED140000}"/>
    <cellStyle name="Normal 2 3 4 2 2 4 2" xfId="7446" xr:uid="{00000000-0005-0000-0000-0000EE140000}"/>
    <cellStyle name="Normal 2 3 4 2 2 4 2 2" xfId="15879" xr:uid="{00000000-0005-0000-0000-0000EF140000}"/>
    <cellStyle name="Normal 2 3 4 2 2 4 2 2 2" xfId="27773" xr:uid="{72B8B891-0F23-47A0-A2B7-68AEBA97BC29}"/>
    <cellStyle name="Normal 2 3 4 2 2 4 2 2 3" xfId="22113" xr:uid="{EDA7D15D-8FFC-4102-AABA-BF126C882C32}"/>
    <cellStyle name="Normal 2 3 4 2 2 4 2 2 4" xfId="33153" xr:uid="{AF84BDFC-3683-4210-8C0A-22CE4C9B7E7E}"/>
    <cellStyle name="Normal 2 3 4 2 2 4 2 2 5" xfId="37803" xr:uid="{F6BD394B-86E8-4752-85B0-CD5BA8622102}"/>
    <cellStyle name="Normal 2 3 4 2 2 4 2 3" xfId="24940" xr:uid="{664E4448-04B2-4E3F-B624-6BDE5978DDB4}"/>
    <cellStyle name="Normal 2 3 4 2 2 4 2 4" xfId="19280" xr:uid="{250D93FA-9FC7-4A06-8169-F8CD79F52F4B}"/>
    <cellStyle name="Normal 2 3 4 2 2 4 2 5" xfId="30601" xr:uid="{47199A76-0D2B-4065-8D53-92A4E3214642}"/>
    <cellStyle name="Normal 2 3 4 2 2 4 2 6" xfId="37802" xr:uid="{06B8C9C6-CA8A-4064-9FC0-31EA4B6B5402}"/>
    <cellStyle name="Normal 2 3 4 2 2 4 3" xfId="14559" xr:uid="{00000000-0005-0000-0000-0000F0140000}"/>
    <cellStyle name="Normal 2 3 4 2 2 4 3 2" xfId="26517" xr:uid="{771795DD-7CF3-4B7F-AC28-E6A6021E21FC}"/>
    <cellStyle name="Normal 2 3 4 2 2 4 3 3" xfId="20857" xr:uid="{7FDA7530-F462-48E0-B1BD-F25168C22358}"/>
    <cellStyle name="Normal 2 3 4 2 2 4 3 4" xfId="31897" xr:uid="{8D3C2C93-7D78-4FCF-AFE0-DD566BE3A706}"/>
    <cellStyle name="Normal 2 3 4 2 2 4 3 5" xfId="37804" xr:uid="{513DD498-B2F0-451F-A563-2EF8FBE95FBB}"/>
    <cellStyle name="Normal 2 3 4 2 2 4 4" xfId="23684" xr:uid="{7063BA9E-92BC-487F-92C3-58CACEDE427D}"/>
    <cellStyle name="Normal 2 3 4 2 2 4 5" xfId="18024" xr:uid="{7E92C47B-3DCD-4E1B-88DA-8BEE6AA57860}"/>
    <cellStyle name="Normal 2 3 4 2 2 4 6" xfId="29345" xr:uid="{1D4F0FD9-5C7A-4AFD-8213-02BB1E0A4CDC}"/>
    <cellStyle name="Normal 2 3 4 2 2 4 7" xfId="37801" xr:uid="{6E47633E-881B-49DC-9825-BD673CC4A299}"/>
    <cellStyle name="Normal 2 3 4 2 2 5" xfId="6586" xr:uid="{00000000-0005-0000-0000-0000F1140000}"/>
    <cellStyle name="Normal 2 3 4 2 2 5 2" xfId="15019" xr:uid="{00000000-0005-0000-0000-0000F2140000}"/>
    <cellStyle name="Normal 2 3 4 2 2 5 2 2" xfId="26913" xr:uid="{2E51F9DB-B9B5-42D3-AFF2-188BF52754DC}"/>
    <cellStyle name="Normal 2 3 4 2 2 5 2 3" xfId="21253" xr:uid="{C293A493-498D-4AC0-909F-C26079FD2897}"/>
    <cellStyle name="Normal 2 3 4 2 2 5 2 4" xfId="32293" xr:uid="{44CE8A6D-1CCB-4299-9B81-E529EEA515CD}"/>
    <cellStyle name="Normal 2 3 4 2 2 5 2 5" xfId="37806" xr:uid="{3E282307-BC8F-48D9-8385-BFAB0CC336BB}"/>
    <cellStyle name="Normal 2 3 4 2 2 5 3" xfId="24080" xr:uid="{AE9D039A-67D5-4BC9-BD2E-5EFC3D6AFCA8}"/>
    <cellStyle name="Normal 2 3 4 2 2 5 4" xfId="18420" xr:uid="{2B3B319E-49CC-44FB-AB13-C09222995104}"/>
    <cellStyle name="Normal 2 3 4 2 2 5 5" xfId="29741" xr:uid="{87153854-A63D-4228-8AFE-D182E5A3B5A8}"/>
    <cellStyle name="Normal 2 3 4 2 2 5 6" xfId="37805" xr:uid="{1CCFACEC-3074-469C-ADF4-F22D891475FA}"/>
    <cellStyle name="Normal 2 3 4 2 2 6" xfId="7876" xr:uid="{00000000-0005-0000-0000-0000F3140000}"/>
    <cellStyle name="Normal 2 3 4 2 2 6 2" xfId="25359" xr:uid="{D07269AE-3708-4046-AA4D-1F728F7AF284}"/>
    <cellStyle name="Normal 2 3 4 2 2 6 3" xfId="19699" xr:uid="{8B13DDB3-7C6C-41ED-820B-9148005F1622}"/>
    <cellStyle name="Normal 2 3 4 2 2 6 4" xfId="31020" xr:uid="{7815BBB9-8610-47AF-91CF-6BFA20DF2C5E}"/>
    <cellStyle name="Normal 2 3 4 2 2 6 5" xfId="37807" xr:uid="{68C0D8FC-A942-4BDA-82D4-76111D9B0A27}"/>
    <cellStyle name="Normal 2 3 4 2 2 7" xfId="22518" xr:uid="{01402507-C8C4-4354-ABF5-EE147D9D73DC}"/>
    <cellStyle name="Normal 2 3 4 2 2 8" xfId="16858" xr:uid="{1A7E1D81-BBB3-434E-9957-7CE461D33216}"/>
    <cellStyle name="Normal 2 3 4 2 2 9" xfId="28179" xr:uid="{890A7DC4-4E62-4AFB-9C22-57BE647BB7F4}"/>
    <cellStyle name="Normal 2 3 4 2 3" xfId="4821" xr:uid="{00000000-0005-0000-0000-0000F4140000}"/>
    <cellStyle name="Normal 2 3 4 2 3 2" xfId="5242" xr:uid="{00000000-0005-0000-0000-0000F5140000}"/>
    <cellStyle name="Normal 2 3 4 2 3 2 2" xfId="7105" xr:uid="{00000000-0005-0000-0000-0000F6140000}"/>
    <cellStyle name="Normal 2 3 4 2 3 2 2 2" xfId="15538" xr:uid="{00000000-0005-0000-0000-0000F7140000}"/>
    <cellStyle name="Normal 2 3 4 2 3 2 2 2 2" xfId="27432" xr:uid="{9D76B94A-644E-4CA2-A663-957D5F255B1D}"/>
    <cellStyle name="Normal 2 3 4 2 3 2 2 2 3" xfId="21772" xr:uid="{28BAB796-8568-421D-9E96-DA9486DFAC31}"/>
    <cellStyle name="Normal 2 3 4 2 3 2 2 2 4" xfId="32812" xr:uid="{727652C2-42D2-4874-9A15-FFE9BCA280C7}"/>
    <cellStyle name="Normal 2 3 4 2 3 2 2 2 5" xfId="37811" xr:uid="{EE77D6F7-6D3B-4C74-A207-C6E540A77894}"/>
    <cellStyle name="Normal 2 3 4 2 3 2 2 3" xfId="24599" xr:uid="{B4BD596D-4EC6-40DD-8A21-39CF0C7AC0D5}"/>
    <cellStyle name="Normal 2 3 4 2 3 2 2 4" xfId="18939" xr:uid="{5600E6FA-CB4E-48E5-BCE3-E8141AD06E6C}"/>
    <cellStyle name="Normal 2 3 4 2 3 2 2 5" xfId="30260" xr:uid="{157C4CF7-2C7B-493F-AB41-CE3B84290501}"/>
    <cellStyle name="Normal 2 3 4 2 3 2 2 6" xfId="37810" xr:uid="{03FF6FCF-56DE-4A19-A578-454CD5F312F1}"/>
    <cellStyle name="Normal 2 3 4 2 3 2 3" xfId="14128" xr:uid="{00000000-0005-0000-0000-0000F8140000}"/>
    <cellStyle name="Normal 2 3 4 2 3 2 3 2" xfId="26167" xr:uid="{2FB9EA61-DC8F-4362-92B1-E8EF2BD31E06}"/>
    <cellStyle name="Normal 2 3 4 2 3 2 3 3" xfId="20507" xr:uid="{D211763D-802B-4414-A52D-3A7C6058761A}"/>
    <cellStyle name="Normal 2 3 4 2 3 2 3 4" xfId="31547" xr:uid="{B1A46D9F-6C49-4439-953E-5F2A89BE81CF}"/>
    <cellStyle name="Normal 2 3 4 2 3 2 3 5" xfId="37812" xr:uid="{58D3D6EE-B29D-4A74-985E-1ED96D63E958}"/>
    <cellStyle name="Normal 2 3 4 2 3 2 4" xfId="23037" xr:uid="{54E00C4B-51F5-42BC-B45B-2C32CF6D7B9A}"/>
    <cellStyle name="Normal 2 3 4 2 3 2 5" xfId="17377" xr:uid="{0C8708E3-D43B-43C9-9AA2-B7B3533128A4}"/>
    <cellStyle name="Normal 2 3 4 2 3 2 6" xfId="28698" xr:uid="{E68F07B5-A2D6-4A94-BB46-5083FB65102D}"/>
    <cellStyle name="Normal 2 3 4 2 3 2 7" xfId="37809" xr:uid="{BF1485BF-3364-46A3-953A-509790C05736}"/>
    <cellStyle name="Normal 2 3 4 2 3 3" xfId="6108" xr:uid="{00000000-0005-0000-0000-0000F9140000}"/>
    <cellStyle name="Normal 2 3 4 2 3 3 2" xfId="7448" xr:uid="{00000000-0005-0000-0000-0000FA140000}"/>
    <cellStyle name="Normal 2 3 4 2 3 3 2 2" xfId="15881" xr:uid="{00000000-0005-0000-0000-0000FB140000}"/>
    <cellStyle name="Normal 2 3 4 2 3 3 2 2 2" xfId="27775" xr:uid="{E8772BFE-A9E8-4782-88E1-D011C0C751DC}"/>
    <cellStyle name="Normal 2 3 4 2 3 3 2 2 3" xfId="22115" xr:uid="{E5FAE4F7-1829-4294-AF4B-6B4D473B9EEF}"/>
    <cellStyle name="Normal 2 3 4 2 3 3 2 2 4" xfId="33155" xr:uid="{3DDBD076-6533-436A-B4D9-CA5138BC1E97}"/>
    <cellStyle name="Normal 2 3 4 2 3 3 2 2 5" xfId="37815" xr:uid="{119DF959-BB8A-46CE-BB1F-AD6B85D6E65C}"/>
    <cellStyle name="Normal 2 3 4 2 3 3 2 3" xfId="24942" xr:uid="{A9DB8B80-D31C-4D91-BCCC-1C247250F61D}"/>
    <cellStyle name="Normal 2 3 4 2 3 3 2 4" xfId="19282" xr:uid="{0811F8C9-B02C-49C2-9130-ECA67FA59C65}"/>
    <cellStyle name="Normal 2 3 4 2 3 3 2 5" xfId="30603" xr:uid="{29466C9E-EAA8-40C1-B80A-E5BE44E71552}"/>
    <cellStyle name="Normal 2 3 4 2 3 3 2 6" xfId="37814" xr:uid="{24B4CBD1-BACF-4AA5-8B89-49DF53196EDC}"/>
    <cellStyle name="Normal 2 3 4 2 3 3 3" xfId="14561" xr:uid="{00000000-0005-0000-0000-0000FC140000}"/>
    <cellStyle name="Normal 2 3 4 2 3 3 3 2" xfId="26519" xr:uid="{EA1B7B20-D763-40EB-B873-806C2E5A0CCA}"/>
    <cellStyle name="Normal 2 3 4 2 3 3 3 3" xfId="20859" xr:uid="{B97D5DB8-12E9-451A-9D20-2F85EA2EFDB4}"/>
    <cellStyle name="Normal 2 3 4 2 3 3 3 4" xfId="31899" xr:uid="{C2B20910-C00B-42B5-840D-D0D04A380740}"/>
    <cellStyle name="Normal 2 3 4 2 3 3 3 5" xfId="37816" xr:uid="{3CB9E28C-AA24-42C5-A0E6-4BEEB4A227AE}"/>
    <cellStyle name="Normal 2 3 4 2 3 3 4" xfId="23686" xr:uid="{33A71078-40E1-4FD0-A59D-0824E5E97125}"/>
    <cellStyle name="Normal 2 3 4 2 3 3 5" xfId="18026" xr:uid="{E2FAD846-7E11-4DC6-BBA9-00B9EFC4BF73}"/>
    <cellStyle name="Normal 2 3 4 2 3 3 6" xfId="29347" xr:uid="{0B4A0852-CB76-402B-A880-7D373E332B27}"/>
    <cellStyle name="Normal 2 3 4 2 3 3 7" xfId="37813" xr:uid="{7E974F66-4696-4610-8DB0-BC8C2046E3FA}"/>
    <cellStyle name="Normal 2 3 4 2 3 4" xfId="6687" xr:uid="{00000000-0005-0000-0000-0000FD140000}"/>
    <cellStyle name="Normal 2 3 4 2 3 4 2" xfId="15120" xr:uid="{00000000-0005-0000-0000-0000FE140000}"/>
    <cellStyle name="Normal 2 3 4 2 3 4 2 2" xfId="27014" xr:uid="{DD40F43D-F1F1-4189-B691-4E9B58AD2D98}"/>
    <cellStyle name="Normal 2 3 4 2 3 4 2 3" xfId="21354" xr:uid="{81B17E92-18B9-4811-BD7F-2D6ADA78513F}"/>
    <cellStyle name="Normal 2 3 4 2 3 4 2 4" xfId="32394" xr:uid="{D7E35973-2B5D-4D03-9C4D-64B99C3DCB2D}"/>
    <cellStyle name="Normal 2 3 4 2 3 4 2 5" xfId="37818" xr:uid="{33335812-D058-4641-B32F-FCE720EA47D4}"/>
    <cellStyle name="Normal 2 3 4 2 3 4 3" xfId="24181" xr:uid="{DC9A4556-A7B8-4AD6-9A51-4B1ADEB3EC86}"/>
    <cellStyle name="Normal 2 3 4 2 3 4 4" xfId="18521" xr:uid="{43F51B4D-ED39-40DE-9FE1-A57435583E30}"/>
    <cellStyle name="Normal 2 3 4 2 3 4 5" xfId="29842" xr:uid="{D3878928-40CA-45C4-B051-0D85476715D6}"/>
    <cellStyle name="Normal 2 3 4 2 3 4 6" xfId="37817" xr:uid="{2B0A65A7-6A79-4BBB-8063-F653C3B7E1EC}"/>
    <cellStyle name="Normal 2 3 4 2 3 5" xfId="7878" xr:uid="{00000000-0005-0000-0000-0000FF140000}"/>
    <cellStyle name="Normal 2 3 4 2 3 5 2" xfId="25361" xr:uid="{CED3F74C-252B-4419-8731-A599CD11686B}"/>
    <cellStyle name="Normal 2 3 4 2 3 5 3" xfId="19701" xr:uid="{05796542-87B8-4DFD-A7C8-2774EF2AA565}"/>
    <cellStyle name="Normal 2 3 4 2 3 5 4" xfId="31022" xr:uid="{BCC363CE-8247-48FC-ACBF-C243A9940ADF}"/>
    <cellStyle name="Normal 2 3 4 2 3 5 5" xfId="37819" xr:uid="{EBF43FC3-B291-452E-92BB-F680E00D56C3}"/>
    <cellStyle name="Normal 2 3 4 2 3 6" xfId="22619" xr:uid="{7637D8B1-7466-4B02-8826-D346EB5D5513}"/>
    <cellStyle name="Normal 2 3 4 2 3 7" xfId="16959" xr:uid="{717D82AD-7527-452F-8669-D3DD285427CC}"/>
    <cellStyle name="Normal 2 3 4 2 3 8" xfId="28280" xr:uid="{ADD4D80D-A81B-4910-9B89-9604B682AF50}"/>
    <cellStyle name="Normal 2 3 4 2 3 9" xfId="37808" xr:uid="{285E8DCB-A599-4AE0-9215-6CC9A64D2CBF}"/>
    <cellStyle name="Normal 2 3 4 2 4" xfId="5033" xr:uid="{00000000-0005-0000-0000-000000150000}"/>
    <cellStyle name="Normal 2 3 4 2 4 2" xfId="6896" xr:uid="{00000000-0005-0000-0000-000001150000}"/>
    <cellStyle name="Normal 2 3 4 2 4 2 2" xfId="15329" xr:uid="{00000000-0005-0000-0000-000002150000}"/>
    <cellStyle name="Normal 2 3 4 2 4 2 2 2" xfId="27223" xr:uid="{8E8043EC-A1D4-456E-AF68-50EACD2CB763}"/>
    <cellStyle name="Normal 2 3 4 2 4 2 2 3" xfId="21563" xr:uid="{F4D52F2F-476F-4D00-92D7-B9C9D181B58E}"/>
    <cellStyle name="Normal 2 3 4 2 4 2 2 4" xfId="32603" xr:uid="{920E8E3A-F3A6-4FBC-A77B-35F85B00993E}"/>
    <cellStyle name="Normal 2 3 4 2 4 2 2 5" xfId="37822" xr:uid="{2E7803A0-6A07-456D-94B5-500DE99D7F98}"/>
    <cellStyle name="Normal 2 3 4 2 4 2 3" xfId="24390" xr:uid="{AD936F2B-BA96-48CC-8224-0630FED62F06}"/>
    <cellStyle name="Normal 2 3 4 2 4 2 4" xfId="18730" xr:uid="{40AEBB10-7483-4D82-9189-F5173D68C19A}"/>
    <cellStyle name="Normal 2 3 4 2 4 2 5" xfId="30051" xr:uid="{9A960789-A291-4842-AB61-8DFA05E425F8}"/>
    <cellStyle name="Normal 2 3 4 2 4 2 6" xfId="37821" xr:uid="{9B0C9345-80DE-40AA-83CE-125799D8A988}"/>
    <cellStyle name="Normal 2 3 4 2 4 3" xfId="13937" xr:uid="{00000000-0005-0000-0000-000003150000}"/>
    <cellStyle name="Normal 2 3 4 2 4 3 2" xfId="25978" xr:uid="{EB05FAF6-B7B7-43BD-91ED-3EA25BE05910}"/>
    <cellStyle name="Normal 2 3 4 2 4 3 3" xfId="20318" xr:uid="{82A42795-3E42-4EE5-A205-7F9D6A907286}"/>
    <cellStyle name="Normal 2 3 4 2 4 3 4" xfId="31358" xr:uid="{DD8CB595-41CC-48E2-AFE2-F7603321B833}"/>
    <cellStyle name="Normal 2 3 4 2 4 3 5" xfId="37823" xr:uid="{3BA96370-A0CE-4C71-ACEE-7D1522D25A06}"/>
    <cellStyle name="Normal 2 3 4 2 4 4" xfId="22828" xr:uid="{E88146FB-281B-4740-A8FF-B0555B2FD4C7}"/>
    <cellStyle name="Normal 2 3 4 2 4 5" xfId="17168" xr:uid="{92F16CF4-0752-4C89-B84B-4D88DFF07EB3}"/>
    <cellStyle name="Normal 2 3 4 2 4 6" xfId="28489" xr:uid="{79E32EF5-F51E-4B7F-B4BB-A0CE7B3EEFCC}"/>
    <cellStyle name="Normal 2 3 4 2 4 7" xfId="37820" xr:uid="{7B89406B-4C3C-4B7F-8D97-F9C08E205093}"/>
    <cellStyle name="Normal 2 3 4 2 5" xfId="6105" xr:uid="{00000000-0005-0000-0000-000004150000}"/>
    <cellStyle name="Normal 2 3 4 2 5 2" xfId="7445" xr:uid="{00000000-0005-0000-0000-000005150000}"/>
    <cellStyle name="Normal 2 3 4 2 5 2 2" xfId="15878" xr:uid="{00000000-0005-0000-0000-000006150000}"/>
    <cellStyle name="Normal 2 3 4 2 5 2 2 2" xfId="27772" xr:uid="{7C1D50DA-03AF-46E9-A020-6AD694969E77}"/>
    <cellStyle name="Normal 2 3 4 2 5 2 2 3" xfId="22112" xr:uid="{A7836535-2D1A-4367-AE24-ECF12E429A9F}"/>
    <cellStyle name="Normal 2 3 4 2 5 2 2 4" xfId="33152" xr:uid="{F995D370-9157-4D1C-A7BF-6960C6215111}"/>
    <cellStyle name="Normal 2 3 4 2 5 2 2 5" xfId="37826" xr:uid="{49FD6B36-8A74-402B-BB14-74269E00A554}"/>
    <cellStyle name="Normal 2 3 4 2 5 2 3" xfId="24939" xr:uid="{8573B565-3D5A-4071-8625-389BC3AC3C86}"/>
    <cellStyle name="Normal 2 3 4 2 5 2 4" xfId="19279" xr:uid="{037A0B26-BD5E-4946-B020-67EDF6438F62}"/>
    <cellStyle name="Normal 2 3 4 2 5 2 5" xfId="30600" xr:uid="{809B48F5-D55A-45D1-AD35-5C0B1AC8E26A}"/>
    <cellStyle name="Normal 2 3 4 2 5 2 6" xfId="37825" xr:uid="{329D93D0-2AF1-4CDF-A607-B4C058F4FC27}"/>
    <cellStyle name="Normal 2 3 4 2 5 3" xfId="14558" xr:uid="{00000000-0005-0000-0000-000007150000}"/>
    <cellStyle name="Normal 2 3 4 2 5 3 2" xfId="26516" xr:uid="{B431B5BB-5287-4F6C-8C90-B360C8E683B2}"/>
    <cellStyle name="Normal 2 3 4 2 5 3 3" xfId="20856" xr:uid="{2F4D1810-D1AA-4040-9597-9AACC413F12C}"/>
    <cellStyle name="Normal 2 3 4 2 5 3 4" xfId="31896" xr:uid="{23DEAED2-5F96-4C14-89E2-5CFB75F991AD}"/>
    <cellStyle name="Normal 2 3 4 2 5 3 5" xfId="37827" xr:uid="{39741E4B-5DF0-43C5-AE93-5919AB1F7D25}"/>
    <cellStyle name="Normal 2 3 4 2 5 4" xfId="23683" xr:uid="{5C28BF26-CAB9-4990-80F0-D41632DE6EC0}"/>
    <cellStyle name="Normal 2 3 4 2 5 5" xfId="18023" xr:uid="{6928285A-E751-4624-8C2E-1F63D9CA5EDE}"/>
    <cellStyle name="Normal 2 3 4 2 5 6" xfId="29344" xr:uid="{F73BC913-D354-4036-BAF0-57743E0A4EF1}"/>
    <cellStyle name="Normal 2 3 4 2 5 7" xfId="37824" xr:uid="{075472F6-0B76-49AE-BFE4-36EC92A08373}"/>
    <cellStyle name="Normal 2 3 4 2 6" xfId="6478" xr:uid="{00000000-0005-0000-0000-000008150000}"/>
    <cellStyle name="Normal 2 3 4 2 6 2" xfId="14911" xr:uid="{00000000-0005-0000-0000-000009150000}"/>
    <cellStyle name="Normal 2 3 4 2 6 2 2" xfId="26805" xr:uid="{B13A17CA-D0C6-4486-A3B1-277D047230B4}"/>
    <cellStyle name="Normal 2 3 4 2 6 2 3" xfId="21145" xr:uid="{A775EEBA-6119-406B-8156-34E1EF9B4E82}"/>
    <cellStyle name="Normal 2 3 4 2 6 2 4" xfId="32185" xr:uid="{D1C45A14-F872-4C6B-A269-C8ED58AE1851}"/>
    <cellStyle name="Normal 2 3 4 2 6 2 5" xfId="37829" xr:uid="{6F945F44-4EFD-430F-861D-C3C51EBE0820}"/>
    <cellStyle name="Normal 2 3 4 2 6 3" xfId="23972" xr:uid="{4EFA511A-2C00-458C-9235-4C350E139BF5}"/>
    <cellStyle name="Normal 2 3 4 2 6 4" xfId="18312" xr:uid="{5803E736-A27E-487E-83D8-16344582D3D6}"/>
    <cellStyle name="Normal 2 3 4 2 6 5" xfId="29633" xr:uid="{77F6C7C4-5198-40FB-A660-23A70F7C63C2}"/>
    <cellStyle name="Normal 2 3 4 2 6 6" xfId="37828" xr:uid="{AE8E8D8E-C840-471F-9029-4F98540CA453}"/>
    <cellStyle name="Normal 2 3 4 2 7" xfId="7875" xr:uid="{00000000-0005-0000-0000-00000A150000}"/>
    <cellStyle name="Normal 2 3 4 2 7 2" xfId="25358" xr:uid="{F0DFCBD3-310D-45EB-A4F4-B44745D98DE0}"/>
    <cellStyle name="Normal 2 3 4 2 7 3" xfId="19698" xr:uid="{B1AC5228-0BB5-4C03-A5CF-98A0717A044C}"/>
    <cellStyle name="Normal 2 3 4 2 7 4" xfId="31019" xr:uid="{B361D027-3AC5-4741-AA07-7F6633DE7856}"/>
    <cellStyle name="Normal 2 3 4 2 7 5" xfId="37830" xr:uid="{5D0D0813-87E9-48B4-BA00-1F5DDE3DFCC7}"/>
    <cellStyle name="Normal 2 3 4 2 8" xfId="22410" xr:uid="{E35BFBDE-8E31-4B0A-8714-95918851D7C6}"/>
    <cellStyle name="Normal 2 3 4 2 9" xfId="16750" xr:uid="{A1A66907-BE6B-49CB-BDC2-CE8C4FB495F8}"/>
    <cellStyle name="Normal 2 3 4 3" xfId="2060" xr:uid="{00000000-0005-0000-0000-00000B150000}"/>
    <cellStyle name="Normal 2 3 4 3 10" xfId="37831" xr:uid="{644B4622-4A85-4E18-A8E5-B65B0DA38FC0}"/>
    <cellStyle name="Normal 2 3 4 3 2" xfId="4850" xr:uid="{00000000-0005-0000-0000-00000C150000}"/>
    <cellStyle name="Normal 2 3 4 3 2 2" xfId="5269" xr:uid="{00000000-0005-0000-0000-00000D150000}"/>
    <cellStyle name="Normal 2 3 4 3 2 2 2" xfId="7132" xr:uid="{00000000-0005-0000-0000-00000E150000}"/>
    <cellStyle name="Normal 2 3 4 3 2 2 2 2" xfId="15565" xr:uid="{00000000-0005-0000-0000-00000F150000}"/>
    <cellStyle name="Normal 2 3 4 3 2 2 2 2 2" xfId="27459" xr:uid="{D74EE645-E450-40EB-805E-9B489C8E5619}"/>
    <cellStyle name="Normal 2 3 4 3 2 2 2 2 3" xfId="21799" xr:uid="{75AD4C49-C544-4964-B474-7A02615622B4}"/>
    <cellStyle name="Normal 2 3 4 3 2 2 2 2 4" xfId="32839" xr:uid="{22FDA34E-C574-4A07-AF65-6211ADA9F7E8}"/>
    <cellStyle name="Normal 2 3 4 3 2 2 2 2 5" xfId="37835" xr:uid="{FB918490-5EAC-43EA-AD02-4992FA70EF25}"/>
    <cellStyle name="Normal 2 3 4 3 2 2 2 3" xfId="24626" xr:uid="{85A5B9CE-7792-423A-A298-3D7B63831973}"/>
    <cellStyle name="Normal 2 3 4 3 2 2 2 4" xfId="18966" xr:uid="{AD044E4D-54F5-46F2-B81F-87EE58317C5B}"/>
    <cellStyle name="Normal 2 3 4 3 2 2 2 5" xfId="30287" xr:uid="{EB8F234B-B9EE-489A-A3E6-3C61C44F20D9}"/>
    <cellStyle name="Normal 2 3 4 3 2 2 2 6" xfId="37834" xr:uid="{29F96C6C-A250-42B3-B87B-ACF5211B380A}"/>
    <cellStyle name="Normal 2 3 4 3 2 2 3" xfId="14155" xr:uid="{00000000-0005-0000-0000-000010150000}"/>
    <cellStyle name="Normal 2 3 4 3 2 2 3 2" xfId="26194" xr:uid="{2CB012C2-76BD-444F-9656-C4B8F2944BB5}"/>
    <cellStyle name="Normal 2 3 4 3 2 2 3 3" xfId="20534" xr:uid="{A3E9CC68-2AFF-4457-BA85-BDD31E12447E}"/>
    <cellStyle name="Normal 2 3 4 3 2 2 3 4" xfId="31574" xr:uid="{D7C42FEB-CC17-4666-84F1-925989D8BFB1}"/>
    <cellStyle name="Normal 2 3 4 3 2 2 3 5" xfId="37836" xr:uid="{ABA5DAE9-699C-4E7B-937C-D791854417EA}"/>
    <cellStyle name="Normal 2 3 4 3 2 2 4" xfId="23064" xr:uid="{C192C3AD-81BF-494A-9260-2354E4DB58CE}"/>
    <cellStyle name="Normal 2 3 4 3 2 2 5" xfId="17404" xr:uid="{C0F3AF30-5E50-4366-ACFC-17F2FDB1DC91}"/>
    <cellStyle name="Normal 2 3 4 3 2 2 6" xfId="28725" xr:uid="{F864E433-92B5-4614-85CD-08776B294F5F}"/>
    <cellStyle name="Normal 2 3 4 3 2 2 7" xfId="37833" xr:uid="{2DD7274A-6E5C-4914-8E9A-40B6CA06339B}"/>
    <cellStyle name="Normal 2 3 4 3 2 3" xfId="6110" xr:uid="{00000000-0005-0000-0000-000011150000}"/>
    <cellStyle name="Normal 2 3 4 3 2 3 2" xfId="7450" xr:uid="{00000000-0005-0000-0000-000012150000}"/>
    <cellStyle name="Normal 2 3 4 3 2 3 2 2" xfId="15883" xr:uid="{00000000-0005-0000-0000-000013150000}"/>
    <cellStyle name="Normal 2 3 4 3 2 3 2 2 2" xfId="27777" xr:uid="{C09364A3-B8DB-4EA1-8ACC-55EA5AC157A3}"/>
    <cellStyle name="Normal 2 3 4 3 2 3 2 2 3" xfId="22117" xr:uid="{D7B30FE8-0442-479F-B59E-398E122389B7}"/>
    <cellStyle name="Normal 2 3 4 3 2 3 2 2 4" xfId="33157" xr:uid="{DC2A27D6-E351-42AF-A5B8-933000BF1869}"/>
    <cellStyle name="Normal 2 3 4 3 2 3 2 2 5" xfId="37839" xr:uid="{2ED847F0-4063-4A26-AA5E-A167B0866334}"/>
    <cellStyle name="Normal 2 3 4 3 2 3 2 3" xfId="24944" xr:uid="{60EEFBD0-725C-46E1-975C-FE1D5B5862E8}"/>
    <cellStyle name="Normal 2 3 4 3 2 3 2 4" xfId="19284" xr:uid="{BC965040-8738-4657-8087-045CBA64E86A}"/>
    <cellStyle name="Normal 2 3 4 3 2 3 2 5" xfId="30605" xr:uid="{A6AD2929-2296-4F23-A301-488D43AA92B4}"/>
    <cellStyle name="Normal 2 3 4 3 2 3 2 6" xfId="37838" xr:uid="{3C85AA7E-89EA-4FF2-8251-73FCFF21103D}"/>
    <cellStyle name="Normal 2 3 4 3 2 3 3" xfId="14563" xr:uid="{00000000-0005-0000-0000-000014150000}"/>
    <cellStyle name="Normal 2 3 4 3 2 3 3 2" xfId="26521" xr:uid="{AC5EB3A7-660B-4EC0-BB40-5932B9AB277D}"/>
    <cellStyle name="Normal 2 3 4 3 2 3 3 3" xfId="20861" xr:uid="{AF09A6B8-5E87-4B76-B7B6-59583E33A5D4}"/>
    <cellStyle name="Normal 2 3 4 3 2 3 3 4" xfId="31901" xr:uid="{D2538D34-9363-4AC5-B55F-61F3EC8A97F3}"/>
    <cellStyle name="Normal 2 3 4 3 2 3 3 5" xfId="37840" xr:uid="{9220590E-BCAE-49F1-948E-AE3598BFE7D3}"/>
    <cellStyle name="Normal 2 3 4 3 2 3 4" xfId="23688" xr:uid="{17FF66C1-7F1F-4111-BA4A-01612721264B}"/>
    <cellStyle name="Normal 2 3 4 3 2 3 5" xfId="18028" xr:uid="{B8BA1AC3-857C-4EE9-85BE-7EBDE541A084}"/>
    <cellStyle name="Normal 2 3 4 3 2 3 6" xfId="29349" xr:uid="{A563D256-7E82-4125-A11E-A7C3C083CFCB}"/>
    <cellStyle name="Normal 2 3 4 3 2 3 7" xfId="37837" xr:uid="{9D912114-12D9-4A63-86B7-D7032D43140B}"/>
    <cellStyle name="Normal 2 3 4 3 2 4" xfId="6714" xr:uid="{00000000-0005-0000-0000-000015150000}"/>
    <cellStyle name="Normal 2 3 4 3 2 4 2" xfId="15147" xr:uid="{00000000-0005-0000-0000-000016150000}"/>
    <cellStyle name="Normal 2 3 4 3 2 4 2 2" xfId="27041" xr:uid="{533E136B-C145-43C8-8703-6D599905D889}"/>
    <cellStyle name="Normal 2 3 4 3 2 4 2 3" xfId="21381" xr:uid="{1ACABAAE-9D98-4885-9FBA-A4DF2387ECC9}"/>
    <cellStyle name="Normal 2 3 4 3 2 4 2 4" xfId="32421" xr:uid="{02AE3994-5BCB-4372-8CDD-74B70E2F808B}"/>
    <cellStyle name="Normal 2 3 4 3 2 4 2 5" xfId="37842" xr:uid="{B74CEE69-3EFF-4480-8E18-E95519260039}"/>
    <cellStyle name="Normal 2 3 4 3 2 4 3" xfId="24208" xr:uid="{5A230079-71DE-4E5B-8E26-523D7EF0923D}"/>
    <cellStyle name="Normal 2 3 4 3 2 4 4" xfId="18548" xr:uid="{24BFEB93-7A8F-4035-9461-3745B3540004}"/>
    <cellStyle name="Normal 2 3 4 3 2 4 5" xfId="29869" xr:uid="{192F30BB-1382-48DF-A737-16ABF6A3B662}"/>
    <cellStyle name="Normal 2 3 4 3 2 4 6" xfId="37841" xr:uid="{A1308463-BE77-4ED8-9089-7C06062CFCA1}"/>
    <cellStyle name="Normal 2 3 4 3 2 5" xfId="7880" xr:uid="{00000000-0005-0000-0000-000017150000}"/>
    <cellStyle name="Normal 2 3 4 3 2 5 2" xfId="25363" xr:uid="{A6E6598F-ED63-4406-8758-B6B675A26FB8}"/>
    <cellStyle name="Normal 2 3 4 3 2 5 3" xfId="19703" xr:uid="{AA2327C6-64D5-4002-9209-AD332B5A6A08}"/>
    <cellStyle name="Normal 2 3 4 3 2 5 4" xfId="31024" xr:uid="{6B44A11A-016C-430B-9F30-53BC54512B2F}"/>
    <cellStyle name="Normal 2 3 4 3 2 5 5" xfId="37843" xr:uid="{A54BCE77-73AC-4047-B1D0-0461E906C65E}"/>
    <cellStyle name="Normal 2 3 4 3 2 6" xfId="22646" xr:uid="{4D18CE4F-4178-4931-8AC4-BABC0EF3C338}"/>
    <cellStyle name="Normal 2 3 4 3 2 7" xfId="16986" xr:uid="{BC9F2708-5877-49C1-B765-036C82FC8340}"/>
    <cellStyle name="Normal 2 3 4 3 2 8" xfId="28307" xr:uid="{2B256B87-1D6F-427F-9325-B1DD6CA7AF0C}"/>
    <cellStyle name="Normal 2 3 4 3 2 9" xfId="37832" xr:uid="{4D239B9B-87BE-4673-8883-072869629391}"/>
    <cellStyle name="Normal 2 3 4 3 3" xfId="5060" xr:uid="{00000000-0005-0000-0000-000018150000}"/>
    <cellStyle name="Normal 2 3 4 3 3 2" xfId="6923" xr:uid="{00000000-0005-0000-0000-000019150000}"/>
    <cellStyle name="Normal 2 3 4 3 3 2 2" xfId="15356" xr:uid="{00000000-0005-0000-0000-00001A150000}"/>
    <cellStyle name="Normal 2 3 4 3 3 2 2 2" xfId="27250" xr:uid="{F878424B-1982-40DD-8B75-6338DBD68DF9}"/>
    <cellStyle name="Normal 2 3 4 3 3 2 2 3" xfId="21590" xr:uid="{FEEF8453-FF8A-4A37-9428-20CF49C67FD4}"/>
    <cellStyle name="Normal 2 3 4 3 3 2 2 4" xfId="32630" xr:uid="{B39DD23C-2D63-4E9C-93BE-54D443152BA0}"/>
    <cellStyle name="Normal 2 3 4 3 3 2 2 5" xfId="37846" xr:uid="{1502F406-2908-468F-A445-26E66A322327}"/>
    <cellStyle name="Normal 2 3 4 3 3 2 3" xfId="24417" xr:uid="{BEA78108-1B0C-4D8A-8314-B46DE6831946}"/>
    <cellStyle name="Normal 2 3 4 3 3 2 4" xfId="18757" xr:uid="{2FAD611C-3577-43C4-AA6A-4A70C153B9EA}"/>
    <cellStyle name="Normal 2 3 4 3 3 2 5" xfId="30078" xr:uid="{18EBB2C3-6F89-4048-A8EA-DD7D127F5CCF}"/>
    <cellStyle name="Normal 2 3 4 3 3 2 6" xfId="37845" xr:uid="{32BEBCAA-D732-47BE-8C60-D930DB82F035}"/>
    <cellStyle name="Normal 2 3 4 3 3 3" xfId="13955" xr:uid="{00000000-0005-0000-0000-00001B150000}"/>
    <cellStyle name="Normal 2 3 4 3 3 3 2" xfId="25996" xr:uid="{FFC6CFBA-26DC-4471-8884-31DA056BE6C6}"/>
    <cellStyle name="Normal 2 3 4 3 3 3 3" xfId="20336" xr:uid="{E504157E-0473-4F89-8904-202994CAA540}"/>
    <cellStyle name="Normal 2 3 4 3 3 3 4" xfId="31376" xr:uid="{3C731D73-63A8-4BDB-AD02-E0D017EA813D}"/>
    <cellStyle name="Normal 2 3 4 3 3 3 5" xfId="37847" xr:uid="{6711DDC2-90B6-4394-ADB2-E107ED08DDC3}"/>
    <cellStyle name="Normal 2 3 4 3 3 4" xfId="22855" xr:uid="{D9D44395-277E-4020-971A-E2AC10B55300}"/>
    <cellStyle name="Normal 2 3 4 3 3 5" xfId="17195" xr:uid="{EDC9398C-87F5-4942-A98C-68B21F0DFCF3}"/>
    <cellStyle name="Normal 2 3 4 3 3 6" xfId="28516" xr:uid="{4A1DDD48-FCE3-47D8-B079-049044023860}"/>
    <cellStyle name="Normal 2 3 4 3 3 7" xfId="37844" xr:uid="{01EE7E2E-1314-4D99-9F73-59AC5FBD6CE0}"/>
    <cellStyle name="Normal 2 3 4 3 4" xfId="6109" xr:uid="{00000000-0005-0000-0000-00001C150000}"/>
    <cellStyle name="Normal 2 3 4 3 4 2" xfId="7449" xr:uid="{00000000-0005-0000-0000-00001D150000}"/>
    <cellStyle name="Normal 2 3 4 3 4 2 2" xfId="15882" xr:uid="{00000000-0005-0000-0000-00001E150000}"/>
    <cellStyle name="Normal 2 3 4 3 4 2 2 2" xfId="27776" xr:uid="{604FC219-8318-4F9E-B7CD-34F3B561DA2A}"/>
    <cellStyle name="Normal 2 3 4 3 4 2 2 3" xfId="22116" xr:uid="{04E54F18-20D6-4724-BFB1-0EB14D123C7C}"/>
    <cellStyle name="Normal 2 3 4 3 4 2 2 4" xfId="33156" xr:uid="{E5F55C3D-43EB-4A8A-B78F-01D1C87B62AB}"/>
    <cellStyle name="Normal 2 3 4 3 4 2 2 5" xfId="37850" xr:uid="{5D18C270-12FC-447F-81BB-47BA35721D01}"/>
    <cellStyle name="Normal 2 3 4 3 4 2 3" xfId="24943" xr:uid="{E0EE1D29-2BF5-4893-9C65-F59EFA59CB69}"/>
    <cellStyle name="Normal 2 3 4 3 4 2 4" xfId="19283" xr:uid="{80F1FF23-B857-44B5-91C0-34F23B0FB406}"/>
    <cellStyle name="Normal 2 3 4 3 4 2 5" xfId="30604" xr:uid="{56B7FE5F-227B-4B0B-83C9-226F25000119}"/>
    <cellStyle name="Normal 2 3 4 3 4 2 6" xfId="37849" xr:uid="{45453865-FE6C-44CF-A2EB-8013C7DD1830}"/>
    <cellStyle name="Normal 2 3 4 3 4 3" xfId="14562" xr:uid="{00000000-0005-0000-0000-00001F150000}"/>
    <cellStyle name="Normal 2 3 4 3 4 3 2" xfId="26520" xr:uid="{5D3F64E3-0ECB-4E25-9C62-ADCBF694C1B3}"/>
    <cellStyle name="Normal 2 3 4 3 4 3 3" xfId="20860" xr:uid="{10956D22-4CDA-4739-9815-90BD42D15589}"/>
    <cellStyle name="Normal 2 3 4 3 4 3 4" xfId="31900" xr:uid="{2CB5621B-DD74-40B0-BB59-C902C3C720C7}"/>
    <cellStyle name="Normal 2 3 4 3 4 3 5" xfId="37851" xr:uid="{C6F5569B-55F4-49EA-BC7F-A577AB75B2E3}"/>
    <cellStyle name="Normal 2 3 4 3 4 4" xfId="23687" xr:uid="{ACEA1EE3-A038-4890-A998-5B61E9437215}"/>
    <cellStyle name="Normal 2 3 4 3 4 5" xfId="18027" xr:uid="{ABC29C2C-FED3-4793-9EB0-A6C7B3E493D3}"/>
    <cellStyle name="Normal 2 3 4 3 4 6" xfId="29348" xr:uid="{B93D3803-05F4-4648-B08D-DC406F173E3D}"/>
    <cellStyle name="Normal 2 3 4 3 4 7" xfId="37848" xr:uid="{F4D44BEF-4F56-4885-A028-84604F43BFC7}"/>
    <cellStyle name="Normal 2 3 4 3 5" xfId="6505" xr:uid="{00000000-0005-0000-0000-000020150000}"/>
    <cellStyle name="Normal 2 3 4 3 5 2" xfId="14938" xr:uid="{00000000-0005-0000-0000-000021150000}"/>
    <cellStyle name="Normal 2 3 4 3 5 2 2" xfId="26832" xr:uid="{91DE72B7-EABC-48E1-AD32-5A963D6D4618}"/>
    <cellStyle name="Normal 2 3 4 3 5 2 3" xfId="21172" xr:uid="{9CC18ED4-4E67-482B-BF10-9E0B15BB04A7}"/>
    <cellStyle name="Normal 2 3 4 3 5 2 4" xfId="32212" xr:uid="{BB354A0E-7A32-4C58-B818-D2031DD71A38}"/>
    <cellStyle name="Normal 2 3 4 3 5 2 5" xfId="37853" xr:uid="{8E6151F0-EFC9-4C0B-BA84-64E42B9A4EAB}"/>
    <cellStyle name="Normal 2 3 4 3 5 3" xfId="23999" xr:uid="{28365801-0336-4877-AE34-3F8E9A06A05C}"/>
    <cellStyle name="Normal 2 3 4 3 5 4" xfId="18339" xr:uid="{8FD5344F-F3B9-4117-95BD-250EA7A9D662}"/>
    <cellStyle name="Normal 2 3 4 3 5 5" xfId="29660" xr:uid="{69033F89-416F-49D9-A5C6-38C8DF0A9807}"/>
    <cellStyle name="Normal 2 3 4 3 5 6" xfId="37852" xr:uid="{B6D1C356-7ACC-44EE-923B-67419D0D4231}"/>
    <cellStyle name="Normal 2 3 4 3 6" xfId="7879" xr:uid="{00000000-0005-0000-0000-000022150000}"/>
    <cellStyle name="Normal 2 3 4 3 6 2" xfId="25362" xr:uid="{77D8E8B4-6A3A-41B5-872F-EC0E7A7F1A12}"/>
    <cellStyle name="Normal 2 3 4 3 6 3" xfId="19702" xr:uid="{BB321E23-09A6-4C37-B9EA-C22551A42E70}"/>
    <cellStyle name="Normal 2 3 4 3 6 4" xfId="31023" xr:uid="{A7C49952-D060-415E-BF9F-CAC1B50AB0A7}"/>
    <cellStyle name="Normal 2 3 4 3 6 5" xfId="37854" xr:uid="{04388512-7BB5-4808-97FD-7B3BA0CCE4F5}"/>
    <cellStyle name="Normal 2 3 4 3 7" xfId="22437" xr:uid="{38D992EA-D0C4-439A-859A-8E79BAAA9B81}"/>
    <cellStyle name="Normal 2 3 4 3 8" xfId="16777" xr:uid="{F8CCF8E8-2771-4866-858A-7E056A474AB5}"/>
    <cellStyle name="Normal 2 3 4 3 9" xfId="28098" xr:uid="{1607D658-61EE-4A9E-9022-58763C94B2D4}"/>
    <cellStyle name="Normal 2 3 4 4" xfId="4184" xr:uid="{00000000-0005-0000-0000-000023150000}"/>
    <cellStyle name="Normal 2 3 4 4 10" xfId="37855" xr:uid="{EED9CDD5-C636-4F50-B715-C4D5414C379B}"/>
    <cellStyle name="Normal 2 3 4 4 2" xfId="4930" xr:uid="{00000000-0005-0000-0000-000024150000}"/>
    <cellStyle name="Normal 2 3 4 4 2 2" xfId="5349" xr:uid="{00000000-0005-0000-0000-000025150000}"/>
    <cellStyle name="Normal 2 3 4 4 2 2 2" xfId="7212" xr:uid="{00000000-0005-0000-0000-000026150000}"/>
    <cellStyle name="Normal 2 3 4 4 2 2 2 2" xfId="15645" xr:uid="{00000000-0005-0000-0000-000027150000}"/>
    <cellStyle name="Normal 2 3 4 4 2 2 2 2 2" xfId="27539" xr:uid="{7F03045D-0D41-405E-A02F-2013FD08DBED}"/>
    <cellStyle name="Normal 2 3 4 4 2 2 2 2 3" xfId="21879" xr:uid="{9E067A58-44F7-4683-8B29-BCD07B9814B5}"/>
    <cellStyle name="Normal 2 3 4 4 2 2 2 2 4" xfId="32919" xr:uid="{F5F56DF2-DE9A-4288-A694-5ED0C80E5AAD}"/>
    <cellStyle name="Normal 2 3 4 4 2 2 2 2 5" xfId="37859" xr:uid="{B4CFA4FB-8DEB-41FA-83F8-324DC09ACFEA}"/>
    <cellStyle name="Normal 2 3 4 4 2 2 2 3" xfId="24706" xr:uid="{AEE8991A-D844-4C72-9E11-CEC34C1AFF7B}"/>
    <cellStyle name="Normal 2 3 4 4 2 2 2 4" xfId="19046" xr:uid="{DA9893D2-C69C-4654-83FC-CA69C304B558}"/>
    <cellStyle name="Normal 2 3 4 4 2 2 2 5" xfId="30367" xr:uid="{5FBB682A-0CDB-497A-9C9E-BBEF86A8FBF5}"/>
    <cellStyle name="Normal 2 3 4 4 2 2 2 6" xfId="37858" xr:uid="{4D63B32C-3E0A-4687-829B-630426E3D7FB}"/>
    <cellStyle name="Normal 2 3 4 4 2 2 3" xfId="14235" xr:uid="{00000000-0005-0000-0000-000028150000}"/>
    <cellStyle name="Normal 2 3 4 4 2 2 3 2" xfId="26274" xr:uid="{98BC0140-7910-472D-A108-AE61BEF63F42}"/>
    <cellStyle name="Normal 2 3 4 4 2 2 3 3" xfId="20614" xr:uid="{7F624382-475B-4B57-BADF-9A5EE2852DE6}"/>
    <cellStyle name="Normal 2 3 4 4 2 2 3 4" xfId="31654" xr:uid="{60F934B7-EA6B-40AE-8B54-EDAFF3D8E792}"/>
    <cellStyle name="Normal 2 3 4 4 2 2 3 5" xfId="37860" xr:uid="{C94B30A1-252B-4EEC-BA84-787EA4500114}"/>
    <cellStyle name="Normal 2 3 4 4 2 2 4" xfId="23144" xr:uid="{C0A107C6-B957-48C4-9CBC-FE3FAD729F4D}"/>
    <cellStyle name="Normal 2 3 4 4 2 2 5" xfId="17484" xr:uid="{65C7B8EE-07B1-4FC8-82BF-BB822A1971C2}"/>
    <cellStyle name="Normal 2 3 4 4 2 2 6" xfId="28805" xr:uid="{E853978C-3669-4EB3-A647-D0DEA964846F}"/>
    <cellStyle name="Normal 2 3 4 4 2 2 7" xfId="37857" xr:uid="{43B967E3-B77A-4415-BB7A-8DCF82B032F9}"/>
    <cellStyle name="Normal 2 3 4 4 2 3" xfId="6112" xr:uid="{00000000-0005-0000-0000-000029150000}"/>
    <cellStyle name="Normal 2 3 4 4 2 3 2" xfId="7452" xr:uid="{00000000-0005-0000-0000-00002A150000}"/>
    <cellStyle name="Normal 2 3 4 4 2 3 2 2" xfId="15885" xr:uid="{00000000-0005-0000-0000-00002B150000}"/>
    <cellStyle name="Normal 2 3 4 4 2 3 2 2 2" xfId="27779" xr:uid="{D705EDAD-1456-4D96-8E45-31B7CAA98225}"/>
    <cellStyle name="Normal 2 3 4 4 2 3 2 2 3" xfId="22119" xr:uid="{9F30CA71-7517-43B1-BD85-F30F9951EDDF}"/>
    <cellStyle name="Normal 2 3 4 4 2 3 2 2 4" xfId="33159" xr:uid="{9A2E26FA-3F0C-4579-813D-5E8A39EC5DDA}"/>
    <cellStyle name="Normal 2 3 4 4 2 3 2 2 5" xfId="37863" xr:uid="{A9D90314-DB18-490C-A6D9-60864B828307}"/>
    <cellStyle name="Normal 2 3 4 4 2 3 2 3" xfId="24946" xr:uid="{DDF41D32-E208-4BFE-BFF1-D1DCDFF8E06E}"/>
    <cellStyle name="Normal 2 3 4 4 2 3 2 4" xfId="19286" xr:uid="{E8B6FD58-F9D1-4369-A9FA-988E5FA1E25D}"/>
    <cellStyle name="Normal 2 3 4 4 2 3 2 5" xfId="30607" xr:uid="{FBB46B49-4992-445D-B152-6F7848BC886C}"/>
    <cellStyle name="Normal 2 3 4 4 2 3 2 6" xfId="37862" xr:uid="{BC743448-3CEA-4206-B214-DF7F2FA09967}"/>
    <cellStyle name="Normal 2 3 4 4 2 3 3" xfId="14565" xr:uid="{00000000-0005-0000-0000-00002C150000}"/>
    <cellStyle name="Normal 2 3 4 4 2 3 3 2" xfId="26523" xr:uid="{B3B65AF4-D580-4CF7-9292-0606A82FCA55}"/>
    <cellStyle name="Normal 2 3 4 4 2 3 3 3" xfId="20863" xr:uid="{B6BA988C-286B-4735-99C7-25681194366D}"/>
    <cellStyle name="Normal 2 3 4 4 2 3 3 4" xfId="31903" xr:uid="{866D46C5-B084-4D65-B0E9-B765ED4C3594}"/>
    <cellStyle name="Normal 2 3 4 4 2 3 3 5" xfId="37864" xr:uid="{A2FCA682-C314-46B7-B7FA-B0B14C9BA4D6}"/>
    <cellStyle name="Normal 2 3 4 4 2 3 4" xfId="23690" xr:uid="{D65417A7-5891-4AF5-88B5-EBDC8DD209F7}"/>
    <cellStyle name="Normal 2 3 4 4 2 3 5" xfId="18030" xr:uid="{AD90382E-B70A-40E0-A560-EA843B826A64}"/>
    <cellStyle name="Normal 2 3 4 4 2 3 6" xfId="29351" xr:uid="{E440C5D0-2B16-47DD-976D-67C65B21A6A2}"/>
    <cellStyle name="Normal 2 3 4 4 2 3 7" xfId="37861" xr:uid="{D8A0D774-9829-47C1-8A0F-9F30EBA2C67D}"/>
    <cellStyle name="Normal 2 3 4 4 2 4" xfId="6794" xr:uid="{00000000-0005-0000-0000-00002D150000}"/>
    <cellStyle name="Normal 2 3 4 4 2 4 2" xfId="15227" xr:uid="{00000000-0005-0000-0000-00002E150000}"/>
    <cellStyle name="Normal 2 3 4 4 2 4 2 2" xfId="27121" xr:uid="{EF1B4E64-A2D7-4291-8D5A-6CD72068B39C}"/>
    <cellStyle name="Normal 2 3 4 4 2 4 2 3" xfId="21461" xr:uid="{261D241F-B76A-4D23-8AA3-68633D1D1192}"/>
    <cellStyle name="Normal 2 3 4 4 2 4 2 4" xfId="32501" xr:uid="{8FD207E7-88AE-4930-943B-EC75E8563923}"/>
    <cellStyle name="Normal 2 3 4 4 2 4 2 5" xfId="37866" xr:uid="{9AE4C0E4-840B-48B4-AB5C-9F920DE1B40D}"/>
    <cellStyle name="Normal 2 3 4 4 2 4 3" xfId="24288" xr:uid="{92BAF295-2F9E-4087-91D8-CB6ED6507EC9}"/>
    <cellStyle name="Normal 2 3 4 4 2 4 4" xfId="18628" xr:uid="{EF51D0F0-59A1-44DA-A70C-5F8B2DF2F39A}"/>
    <cellStyle name="Normal 2 3 4 4 2 4 5" xfId="29949" xr:uid="{AD903540-F9CF-4F9A-ACF7-8B50BDDEB656}"/>
    <cellStyle name="Normal 2 3 4 4 2 4 6" xfId="37865" xr:uid="{02E2EE67-55E6-4586-8939-16A92049F2C6}"/>
    <cellStyle name="Normal 2 3 4 4 2 5" xfId="7882" xr:uid="{00000000-0005-0000-0000-00002F150000}"/>
    <cellStyle name="Normal 2 3 4 4 2 5 2" xfId="25365" xr:uid="{6ABC80C2-8165-4E93-9B51-967C25A45713}"/>
    <cellStyle name="Normal 2 3 4 4 2 5 3" xfId="19705" xr:uid="{DF646E03-6C85-4107-ABF6-54296FC7BC7D}"/>
    <cellStyle name="Normal 2 3 4 4 2 5 4" xfId="31026" xr:uid="{7BAF2960-578F-4F96-BDD1-40B7E4B81DB8}"/>
    <cellStyle name="Normal 2 3 4 4 2 5 5" xfId="37867" xr:uid="{CF226002-349A-4B89-A2AB-797C7C9142D7}"/>
    <cellStyle name="Normal 2 3 4 4 2 6" xfId="22726" xr:uid="{F8D6928E-116B-46DC-B177-C42785C59D02}"/>
    <cellStyle name="Normal 2 3 4 4 2 7" xfId="17066" xr:uid="{92926C99-3EDB-48F3-8676-928CB1ECB91D}"/>
    <cellStyle name="Normal 2 3 4 4 2 8" xfId="28387" xr:uid="{A43F581C-9C13-4620-A43D-1DF0CAFD16D3}"/>
    <cellStyle name="Normal 2 3 4 4 2 9" xfId="37856" xr:uid="{B5183E4B-FBCC-47D3-AC87-9BC50CD5D20F}"/>
    <cellStyle name="Normal 2 3 4 4 3" xfId="5140" xr:uid="{00000000-0005-0000-0000-000030150000}"/>
    <cellStyle name="Normal 2 3 4 4 3 2" xfId="7003" xr:uid="{00000000-0005-0000-0000-000031150000}"/>
    <cellStyle name="Normal 2 3 4 4 3 2 2" xfId="15436" xr:uid="{00000000-0005-0000-0000-000032150000}"/>
    <cellStyle name="Normal 2 3 4 4 3 2 2 2" xfId="27330" xr:uid="{BF5EBD47-0B07-4E2F-A215-FBE7294F27C9}"/>
    <cellStyle name="Normal 2 3 4 4 3 2 2 3" xfId="21670" xr:uid="{87AB13C9-1AE3-4782-A1F8-195B0596750F}"/>
    <cellStyle name="Normal 2 3 4 4 3 2 2 4" xfId="32710" xr:uid="{D93AB23B-06A7-48E1-BAE6-3AFA609D6C40}"/>
    <cellStyle name="Normal 2 3 4 4 3 2 2 5" xfId="37870" xr:uid="{87EEC991-BDD1-4CA4-B992-63ECBC77D865}"/>
    <cellStyle name="Normal 2 3 4 4 3 2 3" xfId="24497" xr:uid="{D2DAB7E9-1603-4FE8-BA96-0D14326D4AD8}"/>
    <cellStyle name="Normal 2 3 4 4 3 2 4" xfId="18837" xr:uid="{008C1074-5CFA-4DBA-9377-986BE4EDC2C0}"/>
    <cellStyle name="Normal 2 3 4 4 3 2 5" xfId="30158" xr:uid="{6D9EECDD-F408-4347-9F76-32F678DD141C}"/>
    <cellStyle name="Normal 2 3 4 4 3 2 6" xfId="37869" xr:uid="{398EB99B-384C-493B-BBC9-929F481E4017}"/>
    <cellStyle name="Normal 2 3 4 4 3 3" xfId="14027" xr:uid="{00000000-0005-0000-0000-000033150000}"/>
    <cellStyle name="Normal 2 3 4 4 3 3 2" xfId="26066" xr:uid="{32770991-ACBF-4985-AA36-9BEB060A6BC5}"/>
    <cellStyle name="Normal 2 3 4 4 3 3 3" xfId="20406" xr:uid="{37CAF253-159D-41BF-AD3B-CB956C17476B}"/>
    <cellStyle name="Normal 2 3 4 4 3 3 4" xfId="31446" xr:uid="{DDF12CEE-ED0D-4467-B501-2B6F45B00206}"/>
    <cellStyle name="Normal 2 3 4 4 3 3 5" xfId="37871" xr:uid="{88B9E5BD-390C-4B77-BB34-252EC3001BB7}"/>
    <cellStyle name="Normal 2 3 4 4 3 4" xfId="22935" xr:uid="{6FDE7F05-B6FC-4C87-8CD0-4C7F525B7231}"/>
    <cellStyle name="Normal 2 3 4 4 3 5" xfId="17275" xr:uid="{7DC98186-35D3-4ED3-B306-CC451ACEF712}"/>
    <cellStyle name="Normal 2 3 4 4 3 6" xfId="28596" xr:uid="{69BC1259-9947-4855-B5E9-B4804DE06FDE}"/>
    <cellStyle name="Normal 2 3 4 4 3 7" xfId="37868" xr:uid="{53DB142A-7E57-4E0D-B8BF-0B61BD28C025}"/>
    <cellStyle name="Normal 2 3 4 4 4" xfId="6111" xr:uid="{00000000-0005-0000-0000-000034150000}"/>
    <cellStyle name="Normal 2 3 4 4 4 2" xfId="7451" xr:uid="{00000000-0005-0000-0000-000035150000}"/>
    <cellStyle name="Normal 2 3 4 4 4 2 2" xfId="15884" xr:uid="{00000000-0005-0000-0000-000036150000}"/>
    <cellStyle name="Normal 2 3 4 4 4 2 2 2" xfId="27778" xr:uid="{951B5EBD-76EA-470C-80B6-5F49044AB8A5}"/>
    <cellStyle name="Normal 2 3 4 4 4 2 2 3" xfId="22118" xr:uid="{BB29A104-D651-4356-AD63-D105BB4302B1}"/>
    <cellStyle name="Normal 2 3 4 4 4 2 2 4" xfId="33158" xr:uid="{4B53DEAD-44A6-4B2A-A028-6254216CE56C}"/>
    <cellStyle name="Normal 2 3 4 4 4 2 2 5" xfId="37874" xr:uid="{87975C66-04D3-46F8-A59D-6074EF6F9D1B}"/>
    <cellStyle name="Normal 2 3 4 4 4 2 3" xfId="24945" xr:uid="{07C483F5-5B88-45E0-89D5-6DFCE985C167}"/>
    <cellStyle name="Normal 2 3 4 4 4 2 4" xfId="19285" xr:uid="{824CD3FA-F1CE-44BB-90F1-6273EA57ABED}"/>
    <cellStyle name="Normal 2 3 4 4 4 2 5" xfId="30606" xr:uid="{51AFAC38-B465-4C18-B9D8-1A0CB6E24D2A}"/>
    <cellStyle name="Normal 2 3 4 4 4 2 6" xfId="37873" xr:uid="{DFA32DC2-C60C-4681-AB5B-D999933769C9}"/>
    <cellStyle name="Normal 2 3 4 4 4 3" xfId="14564" xr:uid="{00000000-0005-0000-0000-000037150000}"/>
    <cellStyle name="Normal 2 3 4 4 4 3 2" xfId="26522" xr:uid="{518D3DB7-98FC-4ADD-BDE5-8444772C34AB}"/>
    <cellStyle name="Normal 2 3 4 4 4 3 3" xfId="20862" xr:uid="{F4E6C789-DFA7-4164-A02E-36F61496CD85}"/>
    <cellStyle name="Normal 2 3 4 4 4 3 4" xfId="31902" xr:uid="{EFFF9FF4-4608-4907-8A20-D446F237C77A}"/>
    <cellStyle name="Normal 2 3 4 4 4 3 5" xfId="37875" xr:uid="{F7AB11E9-D83F-4FBC-A69C-23631517A423}"/>
    <cellStyle name="Normal 2 3 4 4 4 4" xfId="23689" xr:uid="{58503F01-BE24-47C1-8A90-B15B716D46ED}"/>
    <cellStyle name="Normal 2 3 4 4 4 5" xfId="18029" xr:uid="{6C55A03A-159F-4548-BC27-AD28A004ACBA}"/>
    <cellStyle name="Normal 2 3 4 4 4 6" xfId="29350" xr:uid="{E49F03C7-5D34-4B1D-A835-EF6F568E6E92}"/>
    <cellStyle name="Normal 2 3 4 4 4 7" xfId="37872" xr:uid="{9268E14C-A535-473C-BBCE-F5DB2CDAF5B1}"/>
    <cellStyle name="Normal 2 3 4 4 5" xfId="6585" xr:uid="{00000000-0005-0000-0000-000038150000}"/>
    <cellStyle name="Normal 2 3 4 4 5 2" xfId="15018" xr:uid="{00000000-0005-0000-0000-000039150000}"/>
    <cellStyle name="Normal 2 3 4 4 5 2 2" xfId="26912" xr:uid="{837F7D98-7E9F-4A76-B58C-D0837B482FC6}"/>
    <cellStyle name="Normal 2 3 4 4 5 2 3" xfId="21252" xr:uid="{BF88E1FC-B7FE-4AF2-BF6E-81DFF55FD45F}"/>
    <cellStyle name="Normal 2 3 4 4 5 2 4" xfId="32292" xr:uid="{D4FB45C4-E448-4D90-B472-67B672F3FC55}"/>
    <cellStyle name="Normal 2 3 4 4 5 2 5" xfId="37877" xr:uid="{666418E4-0ACC-4CFC-B3BC-A6B171BC2B96}"/>
    <cellStyle name="Normal 2 3 4 4 5 3" xfId="24079" xr:uid="{E696F987-18BC-4BD0-9908-E7CA305BC357}"/>
    <cellStyle name="Normal 2 3 4 4 5 4" xfId="18419" xr:uid="{276AE9E3-D2E1-4C83-AAB8-BC74A920BC74}"/>
    <cellStyle name="Normal 2 3 4 4 5 5" xfId="29740" xr:uid="{F9365D2F-52E1-41EC-B90F-193B734CC114}"/>
    <cellStyle name="Normal 2 3 4 4 5 6" xfId="37876" xr:uid="{E360AB15-DBBF-42C0-8422-FCC4F74FDCB5}"/>
    <cellStyle name="Normal 2 3 4 4 6" xfId="7881" xr:uid="{00000000-0005-0000-0000-00003A150000}"/>
    <cellStyle name="Normal 2 3 4 4 6 2" xfId="25364" xr:uid="{7F610CA1-5618-49A1-9274-973E07EF8C29}"/>
    <cellStyle name="Normal 2 3 4 4 6 3" xfId="19704" xr:uid="{6BF700DC-C327-41E9-9911-BC2C5C591C72}"/>
    <cellStyle name="Normal 2 3 4 4 6 4" xfId="31025" xr:uid="{0DF1742A-8709-4D6E-929C-47FC3E43059A}"/>
    <cellStyle name="Normal 2 3 4 4 6 5" xfId="37878" xr:uid="{B60887C1-2A2F-4BD6-8F04-23880B0456DA}"/>
    <cellStyle name="Normal 2 3 4 4 7" xfId="22517" xr:uid="{9AFEBDA4-9985-4E9E-AA18-11F0C7B269BA}"/>
    <cellStyle name="Normal 2 3 4 4 8" xfId="16857" xr:uid="{4AC71344-B290-42CF-9757-3A3588EE8996}"/>
    <cellStyle name="Normal 2 3 4 4 9" xfId="28178" xr:uid="{086271CE-A4A8-45E3-9C6E-0E39995513E5}"/>
    <cellStyle name="Normal 2 3 4 5" xfId="4784" xr:uid="{00000000-0005-0000-0000-00003B150000}"/>
    <cellStyle name="Normal 2 3 4 5 10" xfId="37879" xr:uid="{E77DED9B-1E50-4F71-B8B2-AF1684F8770E}"/>
    <cellStyle name="Normal 2 3 4 5 2" xfId="4998" xr:uid="{00000000-0005-0000-0000-00003C150000}"/>
    <cellStyle name="Normal 2 3 4 5 2 2" xfId="5416" xr:uid="{00000000-0005-0000-0000-00003D150000}"/>
    <cellStyle name="Normal 2 3 4 5 2 2 2" xfId="7279" xr:uid="{00000000-0005-0000-0000-00003E150000}"/>
    <cellStyle name="Normal 2 3 4 5 2 2 2 2" xfId="15712" xr:uid="{00000000-0005-0000-0000-00003F150000}"/>
    <cellStyle name="Normal 2 3 4 5 2 2 2 2 2" xfId="27606" xr:uid="{8C5530E9-B436-4474-B336-3BCEE21FA4CF}"/>
    <cellStyle name="Normal 2 3 4 5 2 2 2 2 3" xfId="21946" xr:uid="{1250C4F5-3F6E-4C5C-9F67-E16AAA481073}"/>
    <cellStyle name="Normal 2 3 4 5 2 2 2 2 4" xfId="32986" xr:uid="{38328378-9919-49BB-85C6-30C3B74A24E4}"/>
    <cellStyle name="Normal 2 3 4 5 2 2 2 2 5" xfId="37883" xr:uid="{016BADB6-867F-4022-BBEB-DA51E0E1D0E6}"/>
    <cellStyle name="Normal 2 3 4 5 2 2 2 3" xfId="24773" xr:uid="{8569BA8E-2F0A-4983-B1D4-0DB8791F9B0A}"/>
    <cellStyle name="Normal 2 3 4 5 2 2 2 4" xfId="19113" xr:uid="{AEE2FAE9-009B-48DF-AA49-17F361BDE465}"/>
    <cellStyle name="Normal 2 3 4 5 2 2 2 5" xfId="30434" xr:uid="{C0E67C92-A577-4535-B014-529B9FC115C1}"/>
    <cellStyle name="Normal 2 3 4 5 2 2 2 6" xfId="37882" xr:uid="{A3679C76-BC9C-45BA-9CF1-64BF8EB37182}"/>
    <cellStyle name="Normal 2 3 4 5 2 2 3" xfId="14302" xr:uid="{00000000-0005-0000-0000-000040150000}"/>
    <cellStyle name="Normal 2 3 4 5 2 2 3 2" xfId="26341" xr:uid="{D281254E-CEB9-43F7-9D1E-4590BAEBBAE6}"/>
    <cellStyle name="Normal 2 3 4 5 2 2 3 3" xfId="20681" xr:uid="{B054AC21-5E18-4C17-9902-47565DA42E75}"/>
    <cellStyle name="Normal 2 3 4 5 2 2 3 4" xfId="31721" xr:uid="{2FE04924-EE4A-4899-ACC8-F10438757F8B}"/>
    <cellStyle name="Normal 2 3 4 5 2 2 3 5" xfId="37884" xr:uid="{D1AF6CC8-5CEE-48DA-8A6D-4E6510FB5B56}"/>
    <cellStyle name="Normal 2 3 4 5 2 2 4" xfId="23211" xr:uid="{7BB7843D-19C8-44C5-BA0E-0031FE00BBBB}"/>
    <cellStyle name="Normal 2 3 4 5 2 2 5" xfId="17551" xr:uid="{F61F886E-F5F7-47F6-880A-6D11482B67FE}"/>
    <cellStyle name="Normal 2 3 4 5 2 2 6" xfId="28872" xr:uid="{4B1BC686-AE1B-457E-98A9-A90F2DA0062A}"/>
    <cellStyle name="Normal 2 3 4 5 2 2 7" xfId="37881" xr:uid="{460FA420-1772-4B03-B96A-70B078D36E34}"/>
    <cellStyle name="Normal 2 3 4 5 2 3" xfId="6114" xr:uid="{00000000-0005-0000-0000-000041150000}"/>
    <cellStyle name="Normal 2 3 4 5 2 3 2" xfId="7454" xr:uid="{00000000-0005-0000-0000-000042150000}"/>
    <cellStyle name="Normal 2 3 4 5 2 3 2 2" xfId="15887" xr:uid="{00000000-0005-0000-0000-000043150000}"/>
    <cellStyle name="Normal 2 3 4 5 2 3 2 2 2" xfId="27781" xr:uid="{61176779-4EC6-4761-A0B1-4C83F58E7672}"/>
    <cellStyle name="Normal 2 3 4 5 2 3 2 2 3" xfId="22121" xr:uid="{56BEECD8-47EB-4A5E-8B94-92474F8FCCD0}"/>
    <cellStyle name="Normal 2 3 4 5 2 3 2 2 4" xfId="33161" xr:uid="{C90433CF-EC5B-4A81-913E-E1F87738D773}"/>
    <cellStyle name="Normal 2 3 4 5 2 3 2 2 5" xfId="37887" xr:uid="{23E8E6ED-8407-4E4E-B5B5-0120278484AB}"/>
    <cellStyle name="Normal 2 3 4 5 2 3 2 3" xfId="24948" xr:uid="{41C21016-BD73-4A01-B6E8-87AB7637EAA2}"/>
    <cellStyle name="Normal 2 3 4 5 2 3 2 4" xfId="19288" xr:uid="{D25E4B54-2C97-43E9-8DCE-0D592AE05C1B}"/>
    <cellStyle name="Normal 2 3 4 5 2 3 2 5" xfId="30609" xr:uid="{4618A6B0-C26E-44A6-AA5F-13B2972234AD}"/>
    <cellStyle name="Normal 2 3 4 5 2 3 2 6" xfId="37886" xr:uid="{000BA952-C671-4727-831B-E34F0055E2D1}"/>
    <cellStyle name="Normal 2 3 4 5 2 3 3" xfId="14567" xr:uid="{00000000-0005-0000-0000-000044150000}"/>
    <cellStyle name="Normal 2 3 4 5 2 3 3 2" xfId="26525" xr:uid="{902DCF40-CBE5-4A94-9E82-03D4C78A9928}"/>
    <cellStyle name="Normal 2 3 4 5 2 3 3 3" xfId="20865" xr:uid="{1243405B-CFD8-4AB1-AF71-A9AD1E03504C}"/>
    <cellStyle name="Normal 2 3 4 5 2 3 3 4" xfId="31905" xr:uid="{4461BA59-1533-4052-B237-6E7451093645}"/>
    <cellStyle name="Normal 2 3 4 5 2 3 3 5" xfId="37888" xr:uid="{4B85A2FA-C099-4306-B099-0A6A49770D5F}"/>
    <cellStyle name="Normal 2 3 4 5 2 3 4" xfId="23692" xr:uid="{226C90B2-CA8F-47DF-80BF-9CF35F46ADBF}"/>
    <cellStyle name="Normal 2 3 4 5 2 3 5" xfId="18032" xr:uid="{0D93C124-37D8-4FD3-BB00-D11976F7F3E7}"/>
    <cellStyle name="Normal 2 3 4 5 2 3 6" xfId="29353" xr:uid="{E4BE7218-320D-43ED-9EF7-0D9EDE855329}"/>
    <cellStyle name="Normal 2 3 4 5 2 3 7" xfId="37885" xr:uid="{77E200D7-9E5D-4DD6-9174-E96E727A4D62}"/>
    <cellStyle name="Normal 2 3 4 5 2 4" xfId="6861" xr:uid="{00000000-0005-0000-0000-000045150000}"/>
    <cellStyle name="Normal 2 3 4 5 2 4 2" xfId="15294" xr:uid="{00000000-0005-0000-0000-000046150000}"/>
    <cellStyle name="Normal 2 3 4 5 2 4 2 2" xfId="27188" xr:uid="{14925703-66E6-41C0-A562-075D67515D87}"/>
    <cellStyle name="Normal 2 3 4 5 2 4 2 3" xfId="21528" xr:uid="{A1352F2D-2599-4484-8583-1A533DE9D545}"/>
    <cellStyle name="Normal 2 3 4 5 2 4 2 4" xfId="32568" xr:uid="{58A88D62-CC12-4042-8068-BF0939BF1EF3}"/>
    <cellStyle name="Normal 2 3 4 5 2 4 2 5" xfId="37890" xr:uid="{8885C7A9-1CEA-4672-8E66-F59A49E984DB}"/>
    <cellStyle name="Normal 2 3 4 5 2 4 3" xfId="24355" xr:uid="{6A18F035-A4F4-4F27-885E-6725B3C9FEC3}"/>
    <cellStyle name="Normal 2 3 4 5 2 4 4" xfId="18695" xr:uid="{33734C15-19F9-4CF2-A949-EA3A6765D022}"/>
    <cellStyle name="Normal 2 3 4 5 2 4 5" xfId="30016" xr:uid="{76F43BDE-9647-4637-BEF6-B27536022B60}"/>
    <cellStyle name="Normal 2 3 4 5 2 4 6" xfId="37889" xr:uid="{77D73A87-D0FC-457A-9658-8FF30E8B292B}"/>
    <cellStyle name="Normal 2 3 4 5 2 5" xfId="7884" xr:uid="{00000000-0005-0000-0000-000047150000}"/>
    <cellStyle name="Normal 2 3 4 5 2 5 2" xfId="25367" xr:uid="{B1772A87-7D0A-428B-8211-30B5FB7BDC7E}"/>
    <cellStyle name="Normal 2 3 4 5 2 5 3" xfId="19707" xr:uid="{78689161-2FEE-4D80-9E3C-57EAE203056F}"/>
    <cellStyle name="Normal 2 3 4 5 2 5 4" xfId="31028" xr:uid="{AF8757DF-42EE-407A-9918-FE9CB8927926}"/>
    <cellStyle name="Normal 2 3 4 5 2 5 5" xfId="37891" xr:uid="{A1BCA168-98A8-440A-AC09-67E0234A7432}"/>
    <cellStyle name="Normal 2 3 4 5 2 6" xfId="22793" xr:uid="{6CDB0298-92D6-4A85-9A00-EEA73330B94B}"/>
    <cellStyle name="Normal 2 3 4 5 2 7" xfId="17133" xr:uid="{336D88E3-7915-493A-AC3D-42CA37A88D04}"/>
    <cellStyle name="Normal 2 3 4 5 2 8" xfId="28454" xr:uid="{CB1CCF33-44FF-4DC1-87A9-9F06148C8CFE}"/>
    <cellStyle name="Normal 2 3 4 5 2 9" xfId="37880" xr:uid="{61DEC318-407E-432C-8BC9-FED551548EAE}"/>
    <cellStyle name="Normal 2 3 4 5 3" xfId="5207" xr:uid="{00000000-0005-0000-0000-000048150000}"/>
    <cellStyle name="Normal 2 3 4 5 3 2" xfId="7070" xr:uid="{00000000-0005-0000-0000-000049150000}"/>
    <cellStyle name="Normal 2 3 4 5 3 2 2" xfId="15503" xr:uid="{00000000-0005-0000-0000-00004A150000}"/>
    <cellStyle name="Normal 2 3 4 5 3 2 2 2" xfId="27397" xr:uid="{D10784FE-91F8-46E3-93FB-5F015255D844}"/>
    <cellStyle name="Normal 2 3 4 5 3 2 2 3" xfId="21737" xr:uid="{EE518DE2-60AA-44AA-B25D-527F3884C460}"/>
    <cellStyle name="Normal 2 3 4 5 3 2 2 4" xfId="32777" xr:uid="{C16BC951-4810-4CC1-A85A-9D09A7D5061C}"/>
    <cellStyle name="Normal 2 3 4 5 3 2 2 5" xfId="37894" xr:uid="{58DBB1E0-3CDA-4B3D-8548-F2EEB7455EB2}"/>
    <cellStyle name="Normal 2 3 4 5 3 2 3" xfId="24564" xr:uid="{83101211-7388-4D8C-86D9-C1427162A3BC}"/>
    <cellStyle name="Normal 2 3 4 5 3 2 4" xfId="18904" xr:uid="{2D111C11-5CAD-4244-9180-39CBAD3BE436}"/>
    <cellStyle name="Normal 2 3 4 5 3 2 5" xfId="30225" xr:uid="{9A05905D-1EF8-4DF7-9A01-F04AB3FF9971}"/>
    <cellStyle name="Normal 2 3 4 5 3 2 6" xfId="37893" xr:uid="{FE8DA438-5C75-4986-B295-5F043A31F526}"/>
    <cellStyle name="Normal 2 3 4 5 3 3" xfId="14093" xr:uid="{00000000-0005-0000-0000-00004B150000}"/>
    <cellStyle name="Normal 2 3 4 5 3 3 2" xfId="26132" xr:uid="{2F6D1452-4E5A-4E0F-911F-BE6BE3CF4775}"/>
    <cellStyle name="Normal 2 3 4 5 3 3 3" xfId="20472" xr:uid="{0B6EC735-00BF-46D1-BEFB-AB2F88138263}"/>
    <cellStyle name="Normal 2 3 4 5 3 3 4" xfId="31512" xr:uid="{DEEFBB87-F266-482B-A159-5742BA514839}"/>
    <cellStyle name="Normal 2 3 4 5 3 3 5" xfId="37895" xr:uid="{D206A29E-219F-4740-973D-999650570920}"/>
    <cellStyle name="Normal 2 3 4 5 3 4" xfId="23002" xr:uid="{A087E19D-7461-4869-B54B-A631D853F279}"/>
    <cellStyle name="Normal 2 3 4 5 3 5" xfId="17342" xr:uid="{244BBBC3-F272-403D-BA4A-F7E1FEF85673}"/>
    <cellStyle name="Normal 2 3 4 5 3 6" xfId="28663" xr:uid="{3AF6F67C-F1E7-438B-B4F9-0E1A65F67E92}"/>
    <cellStyle name="Normal 2 3 4 5 3 7" xfId="37892" xr:uid="{D711605A-085B-4427-855C-ED0869F41704}"/>
    <cellStyle name="Normal 2 3 4 5 4" xfId="6113" xr:uid="{00000000-0005-0000-0000-00004C150000}"/>
    <cellStyle name="Normal 2 3 4 5 4 2" xfId="7453" xr:uid="{00000000-0005-0000-0000-00004D150000}"/>
    <cellStyle name="Normal 2 3 4 5 4 2 2" xfId="15886" xr:uid="{00000000-0005-0000-0000-00004E150000}"/>
    <cellStyle name="Normal 2 3 4 5 4 2 2 2" xfId="27780" xr:uid="{6462C520-610D-43A7-BDE5-A8E3EEAFA8CF}"/>
    <cellStyle name="Normal 2 3 4 5 4 2 2 3" xfId="22120" xr:uid="{8661AB07-C826-45D6-B275-98FF1B8EE0F9}"/>
    <cellStyle name="Normal 2 3 4 5 4 2 2 4" xfId="33160" xr:uid="{0F14F846-46A8-4238-B855-0D67A3971527}"/>
    <cellStyle name="Normal 2 3 4 5 4 2 2 5" xfId="37898" xr:uid="{CB10DF6F-1F33-4352-B17F-28C2888354D1}"/>
    <cellStyle name="Normal 2 3 4 5 4 2 3" xfId="24947" xr:uid="{5B36CDF1-04E1-49B0-A37D-FAC2DC126D45}"/>
    <cellStyle name="Normal 2 3 4 5 4 2 4" xfId="19287" xr:uid="{7148646C-2541-4A1C-93CF-019AEF7736B5}"/>
    <cellStyle name="Normal 2 3 4 5 4 2 5" xfId="30608" xr:uid="{7541F752-8E62-496B-8CBB-ABDA73269BA6}"/>
    <cellStyle name="Normal 2 3 4 5 4 2 6" xfId="37897" xr:uid="{FBDAE4C6-54AC-4DD7-A966-19AD2FC7D70F}"/>
    <cellStyle name="Normal 2 3 4 5 4 3" xfId="14566" xr:uid="{00000000-0005-0000-0000-00004F150000}"/>
    <cellStyle name="Normal 2 3 4 5 4 3 2" xfId="26524" xr:uid="{1253A309-D860-4ABC-91D6-840AAD6B6789}"/>
    <cellStyle name="Normal 2 3 4 5 4 3 3" xfId="20864" xr:uid="{43C7AC08-6675-4488-B72F-729C371A449D}"/>
    <cellStyle name="Normal 2 3 4 5 4 3 4" xfId="31904" xr:uid="{4A3D71B6-AE54-4434-98A5-015DB6FDD678}"/>
    <cellStyle name="Normal 2 3 4 5 4 3 5" xfId="37899" xr:uid="{3896FD45-0C73-439F-AB19-C5BCEC248646}"/>
    <cellStyle name="Normal 2 3 4 5 4 4" xfId="23691" xr:uid="{4561F6FA-E1A2-4D87-9421-3A9CA94E876F}"/>
    <cellStyle name="Normal 2 3 4 5 4 5" xfId="18031" xr:uid="{F0A1134B-E1B9-49F2-B166-192F5839D53A}"/>
    <cellStyle name="Normal 2 3 4 5 4 6" xfId="29352" xr:uid="{75E3C4DA-9A71-40A6-BACA-F04E0E265550}"/>
    <cellStyle name="Normal 2 3 4 5 4 7" xfId="37896" xr:uid="{1D84261F-13BD-4106-B881-06AEA2EF9C4C}"/>
    <cellStyle name="Normal 2 3 4 5 5" xfId="6652" xr:uid="{00000000-0005-0000-0000-000050150000}"/>
    <cellStyle name="Normal 2 3 4 5 5 2" xfId="15085" xr:uid="{00000000-0005-0000-0000-000051150000}"/>
    <cellStyle name="Normal 2 3 4 5 5 2 2" xfId="26979" xr:uid="{E9BD34B1-B2B7-4A17-9E0A-4C8D4877E618}"/>
    <cellStyle name="Normal 2 3 4 5 5 2 3" xfId="21319" xr:uid="{131286B1-DD2C-4873-A2AA-EDE0C303B86D}"/>
    <cellStyle name="Normal 2 3 4 5 5 2 4" xfId="32359" xr:uid="{B671E13E-0E80-42BB-A00F-F3FCA6E0F6A2}"/>
    <cellStyle name="Normal 2 3 4 5 5 2 5" xfId="37901" xr:uid="{7A8652AF-656D-42BD-993D-0C8481CC9A51}"/>
    <cellStyle name="Normal 2 3 4 5 5 3" xfId="24146" xr:uid="{4EB8E7CD-57A2-4BB8-B415-B5FEA4F2A851}"/>
    <cellStyle name="Normal 2 3 4 5 5 4" xfId="18486" xr:uid="{4291D94C-CD2E-4F25-987D-C39F814423A1}"/>
    <cellStyle name="Normal 2 3 4 5 5 5" xfId="29807" xr:uid="{E0C25133-952F-41A5-9564-DBA17048F887}"/>
    <cellStyle name="Normal 2 3 4 5 5 6" xfId="37900" xr:uid="{67FFF4EB-EA0E-4A29-8C88-EB4A7209873A}"/>
    <cellStyle name="Normal 2 3 4 5 6" xfId="7883" xr:uid="{00000000-0005-0000-0000-000052150000}"/>
    <cellStyle name="Normal 2 3 4 5 6 2" xfId="25366" xr:uid="{063DF928-E892-4F2B-86D7-261547A92E7F}"/>
    <cellStyle name="Normal 2 3 4 5 6 3" xfId="19706" xr:uid="{1B418B60-94BE-497F-B5AB-CA3198F0F5F4}"/>
    <cellStyle name="Normal 2 3 4 5 6 4" xfId="31027" xr:uid="{2E1936A4-555B-4319-93DF-93DFA8934B47}"/>
    <cellStyle name="Normal 2 3 4 5 6 5" xfId="37902" xr:uid="{40D398D4-80E8-4A10-ACCF-6383958C1AFA}"/>
    <cellStyle name="Normal 2 3 4 5 7" xfId="22584" xr:uid="{F0B8DB02-4259-48B7-B729-DA8CAA465537}"/>
    <cellStyle name="Normal 2 3 4 5 8" xfId="16924" xr:uid="{D5FC0000-2732-4667-B2A9-A0C288A842CF}"/>
    <cellStyle name="Normal 2 3 4 5 9" xfId="28245" xr:uid="{107AECD8-839F-4301-87FD-B64ED6D9CAD1}"/>
    <cellStyle name="Normal 2 3 4 6" xfId="4801" xr:uid="{00000000-0005-0000-0000-000053150000}"/>
    <cellStyle name="Normal 2 3 4 6 2" xfId="5223" xr:uid="{00000000-0005-0000-0000-000054150000}"/>
    <cellStyle name="Normal 2 3 4 6 2 2" xfId="7086" xr:uid="{00000000-0005-0000-0000-000055150000}"/>
    <cellStyle name="Normal 2 3 4 6 2 2 2" xfId="15519" xr:uid="{00000000-0005-0000-0000-000056150000}"/>
    <cellStyle name="Normal 2 3 4 6 2 2 2 2" xfId="27413" xr:uid="{E976F2F9-5333-47E4-A0CA-3E9110B57768}"/>
    <cellStyle name="Normal 2 3 4 6 2 2 2 3" xfId="21753" xr:uid="{BEEF5095-CB55-4EC9-88D4-956E248A6212}"/>
    <cellStyle name="Normal 2 3 4 6 2 2 2 4" xfId="32793" xr:uid="{B6F1B201-2D5D-4E35-B9EF-C1AA44F6A9EF}"/>
    <cellStyle name="Normal 2 3 4 6 2 2 2 5" xfId="37906" xr:uid="{707C16AD-C8F2-4993-963E-057107F5F330}"/>
    <cellStyle name="Normal 2 3 4 6 2 2 3" xfId="24580" xr:uid="{EFBBE7EB-8CD6-4E7D-B5EB-F942997690F5}"/>
    <cellStyle name="Normal 2 3 4 6 2 2 4" xfId="18920" xr:uid="{99C7C913-84F3-4E16-8A26-F92E457EF4AA}"/>
    <cellStyle name="Normal 2 3 4 6 2 2 5" xfId="30241" xr:uid="{0D6B69D0-0CF8-478D-918E-9CEB8036F497}"/>
    <cellStyle name="Normal 2 3 4 6 2 2 6" xfId="37905" xr:uid="{39C6B294-9FDB-4EE4-B86D-B431AA66654A}"/>
    <cellStyle name="Normal 2 3 4 6 2 3" xfId="14109" xr:uid="{00000000-0005-0000-0000-000057150000}"/>
    <cellStyle name="Normal 2 3 4 6 2 3 2" xfId="26148" xr:uid="{C7A9EF2F-1557-4BC1-A5A9-0522D8440901}"/>
    <cellStyle name="Normal 2 3 4 6 2 3 3" xfId="20488" xr:uid="{A020D8CE-E09F-441F-918F-03D1F3EFA35E}"/>
    <cellStyle name="Normal 2 3 4 6 2 3 4" xfId="31528" xr:uid="{78981C80-A974-4B3C-A83B-9980DFEB5BA5}"/>
    <cellStyle name="Normal 2 3 4 6 2 3 5" xfId="37907" xr:uid="{B9100941-9F60-4A7E-8519-691E68E03017}"/>
    <cellStyle name="Normal 2 3 4 6 2 4" xfId="23018" xr:uid="{3DEB3A28-C2E1-4D81-9394-829C75D896EB}"/>
    <cellStyle name="Normal 2 3 4 6 2 5" xfId="17358" xr:uid="{342B0F0C-1BDE-418A-A040-C163A8829EC5}"/>
    <cellStyle name="Normal 2 3 4 6 2 6" xfId="28679" xr:uid="{DB7C603C-79ED-4E65-90CB-5B018966ABB1}"/>
    <cellStyle name="Normal 2 3 4 6 2 7" xfId="37904" xr:uid="{D2EA86DE-9087-4AA9-B20E-87CC7EB8D358}"/>
    <cellStyle name="Normal 2 3 4 6 3" xfId="6115" xr:uid="{00000000-0005-0000-0000-000058150000}"/>
    <cellStyle name="Normal 2 3 4 6 3 2" xfId="7455" xr:uid="{00000000-0005-0000-0000-000059150000}"/>
    <cellStyle name="Normal 2 3 4 6 3 2 2" xfId="15888" xr:uid="{00000000-0005-0000-0000-00005A150000}"/>
    <cellStyle name="Normal 2 3 4 6 3 2 2 2" xfId="27782" xr:uid="{1087B89D-9E8C-4DEA-B253-B20A01409350}"/>
    <cellStyle name="Normal 2 3 4 6 3 2 2 3" xfId="22122" xr:uid="{719220EB-B7D0-463C-80FA-FD2931ABDF89}"/>
    <cellStyle name="Normal 2 3 4 6 3 2 2 4" xfId="33162" xr:uid="{5DF311FF-FC7B-42E7-8B04-BD553950A07B}"/>
    <cellStyle name="Normal 2 3 4 6 3 2 2 5" xfId="37910" xr:uid="{DC72BCBF-BEF7-408D-86AF-D74FA3334719}"/>
    <cellStyle name="Normal 2 3 4 6 3 2 3" xfId="24949" xr:uid="{8FE6CC79-4AAB-46A3-A5C7-201D8B72B5CC}"/>
    <cellStyle name="Normal 2 3 4 6 3 2 4" xfId="19289" xr:uid="{BF68BA8B-2BD0-43AE-A64C-6994DDE39945}"/>
    <cellStyle name="Normal 2 3 4 6 3 2 5" xfId="30610" xr:uid="{A60EA76A-6120-4FBD-B598-DF4278163BA9}"/>
    <cellStyle name="Normal 2 3 4 6 3 2 6" xfId="37909" xr:uid="{9D05588D-AA09-49B8-AD64-62C794C1E938}"/>
    <cellStyle name="Normal 2 3 4 6 3 3" xfId="14568" xr:uid="{00000000-0005-0000-0000-00005B150000}"/>
    <cellStyle name="Normal 2 3 4 6 3 3 2" xfId="26526" xr:uid="{8E98B26E-A1B7-41AD-A471-E1E79DF3A7A7}"/>
    <cellStyle name="Normal 2 3 4 6 3 3 3" xfId="20866" xr:uid="{EC15C277-3A33-4523-AE54-33C8F9D24FC8}"/>
    <cellStyle name="Normal 2 3 4 6 3 3 4" xfId="31906" xr:uid="{3A418C85-BBCA-4822-BDEB-33D8FAF7B519}"/>
    <cellStyle name="Normal 2 3 4 6 3 3 5" xfId="37911" xr:uid="{A3978559-7895-4543-9A6E-545C522AED96}"/>
    <cellStyle name="Normal 2 3 4 6 3 4" xfId="23693" xr:uid="{5FBF237F-5D83-4E14-B84B-FFEDDF66B5D4}"/>
    <cellStyle name="Normal 2 3 4 6 3 5" xfId="18033" xr:uid="{0FA15880-3E73-401A-AF1F-2DCE21532A0C}"/>
    <cellStyle name="Normal 2 3 4 6 3 6" xfId="29354" xr:uid="{CDE0EC07-0F53-44D3-ACF4-3EF111C56914}"/>
    <cellStyle name="Normal 2 3 4 6 3 7" xfId="37908" xr:uid="{586D1392-B1E2-46C7-9AC3-9E430A42CAC0}"/>
    <cellStyle name="Normal 2 3 4 6 4" xfId="6668" xr:uid="{00000000-0005-0000-0000-00005C150000}"/>
    <cellStyle name="Normal 2 3 4 6 4 2" xfId="15101" xr:uid="{00000000-0005-0000-0000-00005D150000}"/>
    <cellStyle name="Normal 2 3 4 6 4 2 2" xfId="26995" xr:uid="{F36A51FA-8F12-4B22-A149-AABB6B316E40}"/>
    <cellStyle name="Normal 2 3 4 6 4 2 3" xfId="21335" xr:uid="{E3EE9BE2-36D0-4AED-A8F4-078DDE5DC406}"/>
    <cellStyle name="Normal 2 3 4 6 4 2 4" xfId="32375" xr:uid="{62AA54A0-A6DE-4245-AF1D-F59C9A7CAEBC}"/>
    <cellStyle name="Normal 2 3 4 6 4 2 5" xfId="37913" xr:uid="{8CD58376-B58F-4F1C-B695-6FB3DFB3A356}"/>
    <cellStyle name="Normal 2 3 4 6 4 3" xfId="24162" xr:uid="{7F9A5F7E-E6EF-48E2-AEE7-6EDBA44A2797}"/>
    <cellStyle name="Normal 2 3 4 6 4 4" xfId="18502" xr:uid="{4A756507-A949-4E7F-B770-ADA2C7B94232}"/>
    <cellStyle name="Normal 2 3 4 6 4 5" xfId="29823" xr:uid="{FEE4CC2D-F182-4E3A-A23A-9A848EB05540}"/>
    <cellStyle name="Normal 2 3 4 6 4 6" xfId="37912" xr:uid="{B97D192B-8FDF-4C7A-8987-36B961409FB6}"/>
    <cellStyle name="Normal 2 3 4 6 5" xfId="7885" xr:uid="{00000000-0005-0000-0000-00005E150000}"/>
    <cellStyle name="Normal 2 3 4 6 5 2" xfId="25368" xr:uid="{4A9C3C12-3074-4446-917C-9F45237754FF}"/>
    <cellStyle name="Normal 2 3 4 6 5 3" xfId="19708" xr:uid="{C2CCA81C-7841-4DE1-942C-6A6992C4FC12}"/>
    <cellStyle name="Normal 2 3 4 6 5 4" xfId="31029" xr:uid="{1EF36F9C-88D2-409D-9F9A-2B55A56D2FAE}"/>
    <cellStyle name="Normal 2 3 4 6 5 5" xfId="37914" xr:uid="{C73715F9-9B59-415A-A0CD-47187E4FED72}"/>
    <cellStyle name="Normal 2 3 4 6 6" xfId="22600" xr:uid="{33628FD6-2737-4018-8591-9F820E273072}"/>
    <cellStyle name="Normal 2 3 4 6 7" xfId="16940" xr:uid="{0CD39368-988D-41AD-844B-42B7A41A41EF}"/>
    <cellStyle name="Normal 2 3 4 6 8" xfId="28261" xr:uid="{3225B7A3-EC43-40FB-B242-AED200C41B61}"/>
    <cellStyle name="Normal 2 3 4 6 9" xfId="37903" xr:uid="{B66B05F4-BD25-4A93-9210-923090D8CC94}"/>
    <cellStyle name="Normal 2 3 4 7" xfId="5014" xr:uid="{00000000-0005-0000-0000-00005F150000}"/>
    <cellStyle name="Normal 2 3 4 7 2" xfId="5787" xr:uid="{00000000-0005-0000-0000-000060150000}"/>
    <cellStyle name="Normal 2 3 4 7 2 2" xfId="7297" xr:uid="{00000000-0005-0000-0000-000061150000}"/>
    <cellStyle name="Normal 2 3 4 7 2 2 2" xfId="15730" xr:uid="{00000000-0005-0000-0000-000062150000}"/>
    <cellStyle name="Normal 2 3 4 7 2 2 2 2" xfId="27624" xr:uid="{43095AA8-BF43-4B20-9976-38C13736A48C}"/>
    <cellStyle name="Normal 2 3 4 7 2 2 2 3" xfId="21964" xr:uid="{2254A41D-2F69-415F-A03E-CF7FFEF5E8FD}"/>
    <cellStyle name="Normal 2 3 4 7 2 2 2 4" xfId="33004" xr:uid="{628D4EBF-1431-4D23-A876-759D56597B86}"/>
    <cellStyle name="Normal 2 3 4 7 2 2 2 5" xfId="37918" xr:uid="{74DB772B-58B6-4038-8284-4D6968C84C06}"/>
    <cellStyle name="Normal 2 3 4 7 2 2 3" xfId="24791" xr:uid="{BB2834AE-8D48-4DE5-829D-844792E22EF6}"/>
    <cellStyle name="Normal 2 3 4 7 2 2 4" xfId="19131" xr:uid="{BB3474EB-6209-4447-92CB-CFF99CAB85C8}"/>
    <cellStyle name="Normal 2 3 4 7 2 2 5" xfId="30452" xr:uid="{3D25A2F2-43B4-41AB-AF70-98952CA9E2ED}"/>
    <cellStyle name="Normal 2 3 4 7 2 2 6" xfId="37917" xr:uid="{2C07D2C6-89A4-4EF6-84D8-AAB47CB63186}"/>
    <cellStyle name="Normal 2 3 4 7 2 3" xfId="14372" xr:uid="{00000000-0005-0000-0000-000063150000}"/>
    <cellStyle name="Normal 2 3 4 7 2 3 2" xfId="26366" xr:uid="{5988187C-93C6-4955-98B8-6C98C83D6B49}"/>
    <cellStyle name="Normal 2 3 4 7 2 3 3" xfId="20706" xr:uid="{3093DC96-7F81-4488-A7AA-D3AD65032E8E}"/>
    <cellStyle name="Normal 2 3 4 7 2 3 4" xfId="31746" xr:uid="{1384BAF7-4FA4-412F-B336-8909D87D294B}"/>
    <cellStyle name="Normal 2 3 4 7 2 3 5" xfId="37919" xr:uid="{75D4128F-D421-4D6F-9BF0-E0449775EDB8}"/>
    <cellStyle name="Normal 2 3 4 7 2 4" xfId="23450" xr:uid="{72B1DD7D-9CD3-472A-A42A-6C47B8159C46}"/>
    <cellStyle name="Normal 2 3 4 7 2 5" xfId="17790" xr:uid="{3F9F6ACF-4F2B-4F49-B156-6DD33758B777}"/>
    <cellStyle name="Normal 2 3 4 7 2 6" xfId="29111" xr:uid="{8342DB80-B236-46CD-B0DD-6483837D3FBF}"/>
    <cellStyle name="Normal 2 3 4 7 2 7" xfId="37916" xr:uid="{A89B61EC-9554-4476-B7F9-E9E1530984BD}"/>
    <cellStyle name="Normal 2 3 4 7 3" xfId="6877" xr:uid="{00000000-0005-0000-0000-000064150000}"/>
    <cellStyle name="Normal 2 3 4 7 3 2" xfId="15310" xr:uid="{00000000-0005-0000-0000-000065150000}"/>
    <cellStyle name="Normal 2 3 4 7 3 2 2" xfId="27204" xr:uid="{E7A60571-6D27-4E9E-9785-A0AF3ADD7DED}"/>
    <cellStyle name="Normal 2 3 4 7 3 2 3" xfId="21544" xr:uid="{B1CF8DBA-B6F9-4D28-985F-F9BB97B88B44}"/>
    <cellStyle name="Normal 2 3 4 7 3 2 4" xfId="32584" xr:uid="{28ACCB85-7448-4D85-A5B1-A5CAE36A63FE}"/>
    <cellStyle name="Normal 2 3 4 7 3 2 5" xfId="37921" xr:uid="{BA5A932A-EECA-403B-ACC3-D073BB21DFA8}"/>
    <cellStyle name="Normal 2 3 4 7 3 3" xfId="24371" xr:uid="{8590B21D-5698-4E34-A25C-66F5E954E94A}"/>
    <cellStyle name="Normal 2 3 4 7 3 4" xfId="18711" xr:uid="{A7435D3D-258C-4230-A739-FBC027E92506}"/>
    <cellStyle name="Normal 2 3 4 7 3 5" xfId="30032" xr:uid="{4F6630A8-865F-47D2-BD32-77AEDF6AD808}"/>
    <cellStyle name="Normal 2 3 4 7 3 6" xfId="37920" xr:uid="{48873ABB-B104-4175-B9F6-FF9F706FEEAA}"/>
    <cellStyle name="Normal 2 3 4 7 4" xfId="13926" xr:uid="{00000000-0005-0000-0000-000066150000}"/>
    <cellStyle name="Normal 2 3 4 7 4 2" xfId="25967" xr:uid="{C6419E33-CC94-4663-BB56-92D6D30E0CDB}"/>
    <cellStyle name="Normal 2 3 4 7 4 3" xfId="20307" xr:uid="{436CEE6F-7EE3-4409-82A2-B7EDB6A23394}"/>
    <cellStyle name="Normal 2 3 4 7 4 4" xfId="31347" xr:uid="{E24E8CF5-F08A-40F4-BDFC-3D975F3D2258}"/>
    <cellStyle name="Normal 2 3 4 7 4 5" xfId="37922" xr:uid="{57EB3766-4E19-43D1-A2C7-721AE9054D34}"/>
    <cellStyle name="Normal 2 3 4 7 5" xfId="22809" xr:uid="{B1FFC67C-9481-4265-9C50-86816AA59E80}"/>
    <cellStyle name="Normal 2 3 4 7 6" xfId="17149" xr:uid="{D12A25AD-3185-4077-A801-A11BFB797F7A}"/>
    <cellStyle name="Normal 2 3 4 7 7" xfId="28470" xr:uid="{3F749F98-26F6-445E-BF13-A4D9A5776F15}"/>
    <cellStyle name="Normal 2 3 4 7 8" xfId="37915" xr:uid="{35F25B8B-F66E-4B5D-A46C-0568498A5042}"/>
    <cellStyle name="Normal 2 3 4 8" xfId="5664" xr:uid="{00000000-0005-0000-0000-000067150000}"/>
    <cellStyle name="Normal 2 3 4 8 2" xfId="37923" xr:uid="{AF06440C-B41C-435A-8C44-A307D4A76BF8}"/>
    <cellStyle name="Normal 2 3 4 9" xfId="6459" xr:uid="{00000000-0005-0000-0000-000068150000}"/>
    <cellStyle name="Normal 2 3 4 9 2" xfId="14892" xr:uid="{00000000-0005-0000-0000-000069150000}"/>
    <cellStyle name="Normal 2 3 4 9 2 2" xfId="26786" xr:uid="{A540A901-A0C7-41BD-A64F-B100DE06BFA0}"/>
    <cellStyle name="Normal 2 3 4 9 2 3" xfId="21126" xr:uid="{7526A5EE-F6EF-4052-ABE4-B73800B4C601}"/>
    <cellStyle name="Normal 2 3 4 9 2 4" xfId="32166" xr:uid="{8423602E-40E0-4CF0-98D0-D3A5A59F17D6}"/>
    <cellStyle name="Normal 2 3 4 9 2 5" xfId="37925" xr:uid="{64EF4052-444F-4AEA-9229-2BE0B815A121}"/>
    <cellStyle name="Normal 2 3 4 9 3" xfId="23953" xr:uid="{BCF96B94-2F04-4C87-BBF0-B719F863B1C0}"/>
    <cellStyle name="Normal 2 3 4 9 4" xfId="18293" xr:uid="{315D3723-999B-4DE7-9D62-9BF2BB3E2CF6}"/>
    <cellStyle name="Normal 2 3 4 9 5" xfId="29614" xr:uid="{A47A30CE-6B42-404E-91EC-87F81EB2FCF9}"/>
    <cellStyle name="Normal 2 3 4 9 6" xfId="37924" xr:uid="{9C5047C5-BE6E-4ED8-869E-BB5C268D15C0}"/>
    <cellStyle name="Normal 2 3 5" xfId="308" xr:uid="{00000000-0005-0000-0000-00006A150000}"/>
    <cellStyle name="Normal 2 3 5 10" xfId="16751" xr:uid="{433ABEFF-3BA2-4932-818D-01C050E99323}"/>
    <cellStyle name="Normal 2 3 5 11" xfId="28072" xr:uid="{61150FA0-138A-4987-A7DA-FDFB57EAC7C0}"/>
    <cellStyle name="Normal 2 3 5 12" xfId="37926" xr:uid="{B4B18123-F6E9-4A04-BCC6-9E0119B0F136}"/>
    <cellStyle name="Normal 2 3 5 2" xfId="2061" xr:uid="{00000000-0005-0000-0000-00006B150000}"/>
    <cellStyle name="Normal 2 3 5 2 10" xfId="37927" xr:uid="{DC2D4CC0-7B2B-4C1C-9BAB-6196422DAEA8}"/>
    <cellStyle name="Normal 2 3 5 2 2" xfId="4851" xr:uid="{00000000-0005-0000-0000-00006C150000}"/>
    <cellStyle name="Normal 2 3 5 2 2 2" xfId="5270" xr:uid="{00000000-0005-0000-0000-00006D150000}"/>
    <cellStyle name="Normal 2 3 5 2 2 2 2" xfId="7133" xr:uid="{00000000-0005-0000-0000-00006E150000}"/>
    <cellStyle name="Normal 2 3 5 2 2 2 2 2" xfId="15566" xr:uid="{00000000-0005-0000-0000-00006F150000}"/>
    <cellStyle name="Normal 2 3 5 2 2 2 2 2 2" xfId="27460" xr:uid="{2DAF6B90-B20F-474D-854F-401AFAA46600}"/>
    <cellStyle name="Normal 2 3 5 2 2 2 2 2 3" xfId="21800" xr:uid="{FDEA209B-F04D-45F7-94A2-91FBD83B8DF1}"/>
    <cellStyle name="Normal 2 3 5 2 2 2 2 2 4" xfId="32840" xr:uid="{E07F75D8-A59D-4F35-9255-84822469D5C2}"/>
    <cellStyle name="Normal 2 3 5 2 2 2 2 2 5" xfId="37931" xr:uid="{DBC580CB-6B29-442B-B1C8-FF99DEC3A5FB}"/>
    <cellStyle name="Normal 2 3 5 2 2 2 2 3" xfId="24627" xr:uid="{F1CF5E07-3828-47CF-ACD4-EE47E4CF5E33}"/>
    <cellStyle name="Normal 2 3 5 2 2 2 2 4" xfId="18967" xr:uid="{66254372-CE07-43DA-ABD5-8DE06DA1266A}"/>
    <cellStyle name="Normal 2 3 5 2 2 2 2 5" xfId="30288" xr:uid="{C7E7128F-24A1-4515-84C6-691B3B74954E}"/>
    <cellStyle name="Normal 2 3 5 2 2 2 2 6" xfId="37930" xr:uid="{AEF3DCA1-2AF5-43B5-8B72-2DB3DAAEF5B6}"/>
    <cellStyle name="Normal 2 3 5 2 2 2 3" xfId="14156" xr:uid="{00000000-0005-0000-0000-000070150000}"/>
    <cellStyle name="Normal 2 3 5 2 2 2 3 2" xfId="26195" xr:uid="{F9E4FC56-6116-48F5-9141-4049AF9C6E21}"/>
    <cellStyle name="Normal 2 3 5 2 2 2 3 3" xfId="20535" xr:uid="{663E80CB-AC7D-4221-8ADD-0D688F20E6BC}"/>
    <cellStyle name="Normal 2 3 5 2 2 2 3 4" xfId="31575" xr:uid="{8DEB76CA-9F37-464D-90D9-36E93A33F21C}"/>
    <cellStyle name="Normal 2 3 5 2 2 2 3 5" xfId="37932" xr:uid="{54B28AD0-1E30-435D-8FF1-9FAC79F4B7F5}"/>
    <cellStyle name="Normal 2 3 5 2 2 2 4" xfId="23065" xr:uid="{4A8BD781-C550-45F7-AAD4-0FBB7C9E84F9}"/>
    <cellStyle name="Normal 2 3 5 2 2 2 5" xfId="17405" xr:uid="{D888CBDC-56AF-4BBC-BAEE-C6AC80337F1A}"/>
    <cellStyle name="Normal 2 3 5 2 2 2 6" xfId="28726" xr:uid="{AFF4E6D2-BB1A-4B19-878A-D21A574A8AA8}"/>
    <cellStyle name="Normal 2 3 5 2 2 2 7" xfId="37929" xr:uid="{5D93ADCD-7764-42F1-8DD7-EC460CD24AC4}"/>
    <cellStyle name="Normal 2 3 5 2 2 3" xfId="6118" xr:uid="{00000000-0005-0000-0000-000071150000}"/>
    <cellStyle name="Normal 2 3 5 2 2 3 2" xfId="7458" xr:uid="{00000000-0005-0000-0000-000072150000}"/>
    <cellStyle name="Normal 2 3 5 2 2 3 2 2" xfId="15891" xr:uid="{00000000-0005-0000-0000-000073150000}"/>
    <cellStyle name="Normal 2 3 5 2 2 3 2 2 2" xfId="27785" xr:uid="{D245F6C3-F928-4E60-9336-DA42D9E3B8C3}"/>
    <cellStyle name="Normal 2 3 5 2 2 3 2 2 3" xfId="22125" xr:uid="{BAE69755-3B17-4C9F-B9F5-6F8689AA822A}"/>
    <cellStyle name="Normal 2 3 5 2 2 3 2 2 4" xfId="33165" xr:uid="{CB33D11B-4806-4BB2-A206-CD4DD48D65AD}"/>
    <cellStyle name="Normal 2 3 5 2 2 3 2 2 5" xfId="37935" xr:uid="{8590B71D-3D7B-4342-B0FF-8DF34DE30C8F}"/>
    <cellStyle name="Normal 2 3 5 2 2 3 2 3" xfId="24952" xr:uid="{60890037-BA96-4CC1-B6A5-60F1EB524FF9}"/>
    <cellStyle name="Normal 2 3 5 2 2 3 2 4" xfId="19292" xr:uid="{425ABA94-FC71-4381-90CD-0EE9CE217E9C}"/>
    <cellStyle name="Normal 2 3 5 2 2 3 2 5" xfId="30613" xr:uid="{F2F658D7-E8BF-447A-8373-585DD56C3625}"/>
    <cellStyle name="Normal 2 3 5 2 2 3 2 6" xfId="37934" xr:uid="{826A8914-E1B2-4B7D-A6EC-A742634364B5}"/>
    <cellStyle name="Normal 2 3 5 2 2 3 3" xfId="14571" xr:uid="{00000000-0005-0000-0000-000074150000}"/>
    <cellStyle name="Normal 2 3 5 2 2 3 3 2" xfId="26529" xr:uid="{47D61904-E5A0-4AD0-946C-FBD14A2AB5D4}"/>
    <cellStyle name="Normal 2 3 5 2 2 3 3 3" xfId="20869" xr:uid="{D5F787F6-04AC-4EB7-8F08-7588D6CD9B5D}"/>
    <cellStyle name="Normal 2 3 5 2 2 3 3 4" xfId="31909" xr:uid="{922D4A92-6305-47A0-8669-6AE3849536DD}"/>
    <cellStyle name="Normal 2 3 5 2 2 3 3 5" xfId="37936" xr:uid="{DC0AE401-F0D9-439B-8FFD-0A885290903E}"/>
    <cellStyle name="Normal 2 3 5 2 2 3 4" xfId="23696" xr:uid="{A614A642-AF77-4225-81F2-30BE749C9D83}"/>
    <cellStyle name="Normal 2 3 5 2 2 3 5" xfId="18036" xr:uid="{4EA3107D-DF97-47A3-AAA0-11B94829D444}"/>
    <cellStyle name="Normal 2 3 5 2 2 3 6" xfId="29357" xr:uid="{B8E4228A-0A48-47A8-A88E-F79FA84BA1B5}"/>
    <cellStyle name="Normal 2 3 5 2 2 3 7" xfId="37933" xr:uid="{C5C25C7C-4FD2-42A9-9516-767B0F64B9AB}"/>
    <cellStyle name="Normal 2 3 5 2 2 4" xfId="6715" xr:uid="{00000000-0005-0000-0000-000075150000}"/>
    <cellStyle name="Normal 2 3 5 2 2 4 2" xfId="15148" xr:uid="{00000000-0005-0000-0000-000076150000}"/>
    <cellStyle name="Normal 2 3 5 2 2 4 2 2" xfId="27042" xr:uid="{156D35AE-4B27-42ED-BC7C-37C78D23ACA1}"/>
    <cellStyle name="Normal 2 3 5 2 2 4 2 3" xfId="21382" xr:uid="{BEC89568-6DAA-4747-9094-A1E044AB57C1}"/>
    <cellStyle name="Normal 2 3 5 2 2 4 2 4" xfId="32422" xr:uid="{A9198923-B720-4B77-86E5-744CB9F23A7D}"/>
    <cellStyle name="Normal 2 3 5 2 2 4 2 5" xfId="37938" xr:uid="{2F2F6E09-B560-490E-A21E-DAE629D18692}"/>
    <cellStyle name="Normal 2 3 5 2 2 4 3" xfId="24209" xr:uid="{BF64222C-5B0E-487E-9104-742FDA4472BC}"/>
    <cellStyle name="Normal 2 3 5 2 2 4 4" xfId="18549" xr:uid="{B27A83FC-929E-47BD-91AC-EBD7AE2DC54B}"/>
    <cellStyle name="Normal 2 3 5 2 2 4 5" xfId="29870" xr:uid="{232D642A-7722-46BE-B2EA-FE3C3503283F}"/>
    <cellStyle name="Normal 2 3 5 2 2 4 6" xfId="37937" xr:uid="{CD6623EE-8F83-4482-9C30-17DC10CBEDCC}"/>
    <cellStyle name="Normal 2 3 5 2 2 5" xfId="7888" xr:uid="{00000000-0005-0000-0000-000077150000}"/>
    <cellStyle name="Normal 2 3 5 2 2 5 2" xfId="25371" xr:uid="{4CF8321E-17C6-4092-8751-CCBD7903841C}"/>
    <cellStyle name="Normal 2 3 5 2 2 5 3" xfId="19711" xr:uid="{B0FB0EEC-6595-4C54-AF3A-B8D4AA283525}"/>
    <cellStyle name="Normal 2 3 5 2 2 5 4" xfId="31032" xr:uid="{5369B7CC-2314-4EB1-A63C-7D39BA497D7B}"/>
    <cellStyle name="Normal 2 3 5 2 2 5 5" xfId="37939" xr:uid="{FD87145F-5259-4162-97E6-E14AB08FF702}"/>
    <cellStyle name="Normal 2 3 5 2 2 6" xfId="22647" xr:uid="{39890E30-9A4E-418B-859C-3904AD33B2FD}"/>
    <cellStyle name="Normal 2 3 5 2 2 7" xfId="16987" xr:uid="{DBBD2C0F-B4C3-426A-9B18-C4F09E024796}"/>
    <cellStyle name="Normal 2 3 5 2 2 8" xfId="28308" xr:uid="{2F4706AF-500E-41C1-8C1C-BAF0DEFCF1ED}"/>
    <cellStyle name="Normal 2 3 5 2 2 9" xfId="37928" xr:uid="{2ED123C6-E5E2-4C2D-AC5F-075AF907406B}"/>
    <cellStyle name="Normal 2 3 5 2 3" xfId="5061" xr:uid="{00000000-0005-0000-0000-000078150000}"/>
    <cellStyle name="Normal 2 3 5 2 3 2" xfId="6924" xr:uid="{00000000-0005-0000-0000-000079150000}"/>
    <cellStyle name="Normal 2 3 5 2 3 2 2" xfId="15357" xr:uid="{00000000-0005-0000-0000-00007A150000}"/>
    <cellStyle name="Normal 2 3 5 2 3 2 2 2" xfId="27251" xr:uid="{EFB0FB92-254A-4BE1-9CB9-3D00C3DDB86C}"/>
    <cellStyle name="Normal 2 3 5 2 3 2 2 3" xfId="21591" xr:uid="{D1D7F1E0-6B12-4538-8B0D-26D1AA3A44CD}"/>
    <cellStyle name="Normal 2 3 5 2 3 2 2 4" xfId="32631" xr:uid="{F685801A-5947-4E81-B255-8BD4683A74DB}"/>
    <cellStyle name="Normal 2 3 5 2 3 2 2 5" xfId="37942" xr:uid="{88CD0D2B-77F3-432B-B3FF-8A147CD83792}"/>
    <cellStyle name="Normal 2 3 5 2 3 2 3" xfId="24418" xr:uid="{F7BBE0C5-5D00-408D-A619-047F9F82ABE1}"/>
    <cellStyle name="Normal 2 3 5 2 3 2 4" xfId="18758" xr:uid="{5B529A2E-8A37-4998-BA49-0AF73F1F0207}"/>
    <cellStyle name="Normal 2 3 5 2 3 2 5" xfId="30079" xr:uid="{F396322B-54AF-424D-A137-B38B29C10D3E}"/>
    <cellStyle name="Normal 2 3 5 2 3 2 6" xfId="37941" xr:uid="{46B3028F-EC44-4BC7-B298-40B14FA64645}"/>
    <cellStyle name="Normal 2 3 5 2 3 3" xfId="13956" xr:uid="{00000000-0005-0000-0000-00007B150000}"/>
    <cellStyle name="Normal 2 3 5 2 3 3 2" xfId="25997" xr:uid="{29957F80-79A5-4C03-AC2C-FD521A51107F}"/>
    <cellStyle name="Normal 2 3 5 2 3 3 3" xfId="20337" xr:uid="{5DC37E7E-7F47-412B-8A7C-D2A63A445902}"/>
    <cellStyle name="Normal 2 3 5 2 3 3 4" xfId="31377" xr:uid="{05A21F7D-A6D1-4537-809A-BA02CB9008D6}"/>
    <cellStyle name="Normal 2 3 5 2 3 3 5" xfId="37943" xr:uid="{E1C77022-7258-4D2C-8740-691076F87A69}"/>
    <cellStyle name="Normal 2 3 5 2 3 4" xfId="22856" xr:uid="{DF407168-A612-4BC8-9ED4-0E5054EB9988}"/>
    <cellStyle name="Normal 2 3 5 2 3 5" xfId="17196" xr:uid="{B2467B62-ADA0-4C1A-B830-4582E7A8323F}"/>
    <cellStyle name="Normal 2 3 5 2 3 6" xfId="28517" xr:uid="{771F63D2-30A2-48FE-8E69-73B396643A27}"/>
    <cellStyle name="Normal 2 3 5 2 3 7" xfId="37940" xr:uid="{BD370C2E-38CA-4BE4-A10E-59421B017A37}"/>
    <cellStyle name="Normal 2 3 5 2 4" xfId="6117" xr:uid="{00000000-0005-0000-0000-00007C150000}"/>
    <cellStyle name="Normal 2 3 5 2 4 2" xfId="7457" xr:uid="{00000000-0005-0000-0000-00007D150000}"/>
    <cellStyle name="Normal 2 3 5 2 4 2 2" xfId="15890" xr:uid="{00000000-0005-0000-0000-00007E150000}"/>
    <cellStyle name="Normal 2 3 5 2 4 2 2 2" xfId="27784" xr:uid="{21871418-D58A-4216-9D04-3804EEE07802}"/>
    <cellStyle name="Normal 2 3 5 2 4 2 2 3" xfId="22124" xr:uid="{2346220F-E499-46D6-B5DB-7A95CFBD3DD6}"/>
    <cellStyle name="Normal 2 3 5 2 4 2 2 4" xfId="33164" xr:uid="{6078F866-AE0B-4D21-9422-C9DF341201D5}"/>
    <cellStyle name="Normal 2 3 5 2 4 2 2 5" xfId="37946" xr:uid="{A07AA7EE-8EF6-457C-9D6C-180834EE5050}"/>
    <cellStyle name="Normal 2 3 5 2 4 2 3" xfId="24951" xr:uid="{868BE2BF-FB19-48D4-BF55-385478BB993E}"/>
    <cellStyle name="Normal 2 3 5 2 4 2 4" xfId="19291" xr:uid="{D530D433-B3D0-4A44-829B-0F3B2DBD3E59}"/>
    <cellStyle name="Normal 2 3 5 2 4 2 5" xfId="30612" xr:uid="{6906E774-31D1-4A5E-8C5A-81366AC699C3}"/>
    <cellStyle name="Normal 2 3 5 2 4 2 6" xfId="37945" xr:uid="{C1D4CD73-B29A-48AB-A452-0224B6C650F7}"/>
    <cellStyle name="Normal 2 3 5 2 4 3" xfId="14570" xr:uid="{00000000-0005-0000-0000-00007F150000}"/>
    <cellStyle name="Normal 2 3 5 2 4 3 2" xfId="26528" xr:uid="{98C4B145-1986-4D22-863F-2D25D576EB07}"/>
    <cellStyle name="Normal 2 3 5 2 4 3 3" xfId="20868" xr:uid="{4181F77A-4316-4BED-B040-08EECC3984BF}"/>
    <cellStyle name="Normal 2 3 5 2 4 3 4" xfId="31908" xr:uid="{DE113CF6-373A-4C8D-B3C9-72621BD782FA}"/>
    <cellStyle name="Normal 2 3 5 2 4 3 5" xfId="37947" xr:uid="{8C54DF7F-D00A-4B76-9D37-61EAEFE2F3CB}"/>
    <cellStyle name="Normal 2 3 5 2 4 4" xfId="23695" xr:uid="{3CAC1BD2-B168-4A80-A0C4-AA11D5619BFF}"/>
    <cellStyle name="Normal 2 3 5 2 4 5" xfId="18035" xr:uid="{7AA065E9-CCE5-47F1-9CFD-E96D226E40C1}"/>
    <cellStyle name="Normal 2 3 5 2 4 6" xfId="29356" xr:uid="{7BB9C2FC-2AFD-4A98-A53D-F34043BED229}"/>
    <cellStyle name="Normal 2 3 5 2 4 7" xfId="37944" xr:uid="{96524ABF-A93B-4024-8505-C6A109DDC437}"/>
    <cellStyle name="Normal 2 3 5 2 5" xfId="6506" xr:uid="{00000000-0005-0000-0000-000080150000}"/>
    <cellStyle name="Normal 2 3 5 2 5 2" xfId="14939" xr:uid="{00000000-0005-0000-0000-000081150000}"/>
    <cellStyle name="Normal 2 3 5 2 5 2 2" xfId="26833" xr:uid="{51688FAF-6DEF-48C9-A340-54EF6C5F6205}"/>
    <cellStyle name="Normal 2 3 5 2 5 2 3" xfId="21173" xr:uid="{120728E7-AFAA-45A5-BDD0-89E55F303292}"/>
    <cellStyle name="Normal 2 3 5 2 5 2 4" xfId="32213" xr:uid="{3950636F-CF21-41D2-8CAB-D28646AE7EA4}"/>
    <cellStyle name="Normal 2 3 5 2 5 2 5" xfId="37949" xr:uid="{CE450411-360F-4BEA-A801-4C2FC8B743D6}"/>
    <cellStyle name="Normal 2 3 5 2 5 3" xfId="24000" xr:uid="{AB2BF365-4F75-4CCE-9DF4-6F81DDE6C146}"/>
    <cellStyle name="Normal 2 3 5 2 5 4" xfId="18340" xr:uid="{C99DB330-2B12-4F2D-9983-A2EB0F8F8087}"/>
    <cellStyle name="Normal 2 3 5 2 5 5" xfId="29661" xr:uid="{5C91E337-146C-4340-AEA3-9BDDC82F11A8}"/>
    <cellStyle name="Normal 2 3 5 2 5 6" xfId="37948" xr:uid="{E39B6DA3-6994-4B37-A094-75FAE81206CC}"/>
    <cellStyle name="Normal 2 3 5 2 6" xfId="7887" xr:uid="{00000000-0005-0000-0000-000082150000}"/>
    <cellStyle name="Normal 2 3 5 2 6 2" xfId="25370" xr:uid="{0742DE63-1EA0-4E36-BD5E-707E904F031B}"/>
    <cellStyle name="Normal 2 3 5 2 6 3" xfId="19710" xr:uid="{CDB1D5D6-7180-49B7-95F9-C1007298693F}"/>
    <cellStyle name="Normal 2 3 5 2 6 4" xfId="31031" xr:uid="{F4EEFFA9-C4EC-400B-951F-14C42A680771}"/>
    <cellStyle name="Normal 2 3 5 2 6 5" xfId="37950" xr:uid="{D5F06FA2-8D0A-4C6C-B90B-044FDCE060D3}"/>
    <cellStyle name="Normal 2 3 5 2 7" xfId="22438" xr:uid="{028C9B4C-612C-4F14-ABD5-9B8531C1248C}"/>
    <cellStyle name="Normal 2 3 5 2 8" xfId="16778" xr:uid="{1FC9EB8A-5B17-4A5F-9F70-9232724B44FD}"/>
    <cellStyle name="Normal 2 3 5 2 9" xfId="28099" xr:uid="{2A7E94A9-ADD9-47FC-8D78-44BD1A01E309}"/>
    <cellStyle name="Normal 2 3 5 3" xfId="4186" xr:uid="{00000000-0005-0000-0000-000083150000}"/>
    <cellStyle name="Normal 2 3 5 3 10" xfId="37951" xr:uid="{49AEB76A-3232-41C6-917A-560BD640B9B7}"/>
    <cellStyle name="Normal 2 3 5 3 2" xfId="4932" xr:uid="{00000000-0005-0000-0000-000084150000}"/>
    <cellStyle name="Normal 2 3 5 3 2 2" xfId="5351" xr:uid="{00000000-0005-0000-0000-000085150000}"/>
    <cellStyle name="Normal 2 3 5 3 2 2 2" xfId="7214" xr:uid="{00000000-0005-0000-0000-000086150000}"/>
    <cellStyle name="Normal 2 3 5 3 2 2 2 2" xfId="15647" xr:uid="{00000000-0005-0000-0000-000087150000}"/>
    <cellStyle name="Normal 2 3 5 3 2 2 2 2 2" xfId="27541" xr:uid="{60AFBC2E-2CBF-46AF-A9A8-C9A5E2EDAEC9}"/>
    <cellStyle name="Normal 2 3 5 3 2 2 2 2 3" xfId="21881" xr:uid="{95EDD035-EF08-44AA-935E-656C1FCB2623}"/>
    <cellStyle name="Normal 2 3 5 3 2 2 2 2 4" xfId="32921" xr:uid="{2515A27D-B985-4461-B267-3C4A0A8F4975}"/>
    <cellStyle name="Normal 2 3 5 3 2 2 2 2 5" xfId="37955" xr:uid="{50A8B022-59F9-4B3A-886F-63323E4F7CD6}"/>
    <cellStyle name="Normal 2 3 5 3 2 2 2 3" xfId="24708" xr:uid="{76E2FAFA-34D1-4983-8708-1A418831EAF9}"/>
    <cellStyle name="Normal 2 3 5 3 2 2 2 4" xfId="19048" xr:uid="{23EE6BD8-79EE-4487-AAEA-4E56F7A1F595}"/>
    <cellStyle name="Normal 2 3 5 3 2 2 2 5" xfId="30369" xr:uid="{1BD57406-2FEE-4BA9-AD44-F2A0F522BA66}"/>
    <cellStyle name="Normal 2 3 5 3 2 2 2 6" xfId="37954" xr:uid="{9A407D38-9455-49D7-AC6D-B941FBD0974C}"/>
    <cellStyle name="Normal 2 3 5 3 2 2 3" xfId="14237" xr:uid="{00000000-0005-0000-0000-000088150000}"/>
    <cellStyle name="Normal 2 3 5 3 2 2 3 2" xfId="26276" xr:uid="{AE8978BF-1E20-4661-9E6F-D69C791EECDC}"/>
    <cellStyle name="Normal 2 3 5 3 2 2 3 3" xfId="20616" xr:uid="{97793D72-23A9-4FF7-8A47-A31E71145A8B}"/>
    <cellStyle name="Normal 2 3 5 3 2 2 3 4" xfId="31656" xr:uid="{6B0F6C63-7BC0-429F-BCAA-CC02B18B9AE2}"/>
    <cellStyle name="Normal 2 3 5 3 2 2 3 5" xfId="37956" xr:uid="{634EBE5D-21EC-4EFF-A125-95E5D6D06636}"/>
    <cellStyle name="Normal 2 3 5 3 2 2 4" xfId="23146" xr:uid="{D3BD8EAE-30B4-4508-9C55-2DC67D799388}"/>
    <cellStyle name="Normal 2 3 5 3 2 2 5" xfId="17486" xr:uid="{387F68D8-4577-4548-A657-C95205AF4254}"/>
    <cellStyle name="Normal 2 3 5 3 2 2 6" xfId="28807" xr:uid="{2E9093A7-F816-47CF-AEE8-B1ADEC60652C}"/>
    <cellStyle name="Normal 2 3 5 3 2 2 7" xfId="37953" xr:uid="{ECDE7FD0-F706-46ED-A341-74CF96206E3B}"/>
    <cellStyle name="Normal 2 3 5 3 2 3" xfId="6120" xr:uid="{00000000-0005-0000-0000-000089150000}"/>
    <cellStyle name="Normal 2 3 5 3 2 3 2" xfId="7460" xr:uid="{00000000-0005-0000-0000-00008A150000}"/>
    <cellStyle name="Normal 2 3 5 3 2 3 2 2" xfId="15893" xr:uid="{00000000-0005-0000-0000-00008B150000}"/>
    <cellStyle name="Normal 2 3 5 3 2 3 2 2 2" xfId="27787" xr:uid="{CE473271-DCEE-4678-A053-5130FD9BCFA6}"/>
    <cellStyle name="Normal 2 3 5 3 2 3 2 2 3" xfId="22127" xr:uid="{FE293B41-72A7-4C6C-9A86-43E383AD8D41}"/>
    <cellStyle name="Normal 2 3 5 3 2 3 2 2 4" xfId="33167" xr:uid="{5CCCE989-52C3-4DC4-8C1A-C34AD7F92CF1}"/>
    <cellStyle name="Normal 2 3 5 3 2 3 2 2 5" xfId="37959" xr:uid="{2DB4BCB0-14B6-4EF0-9F30-0A65FF780765}"/>
    <cellStyle name="Normal 2 3 5 3 2 3 2 3" xfId="24954" xr:uid="{E09922C1-CFF6-4F09-ACB2-F65AACE771CC}"/>
    <cellStyle name="Normal 2 3 5 3 2 3 2 4" xfId="19294" xr:uid="{AD3FDBCA-B79D-40F7-9A9C-43E0FCD9FF15}"/>
    <cellStyle name="Normal 2 3 5 3 2 3 2 5" xfId="30615" xr:uid="{9293A403-D03D-4A1C-914D-8D0E630FCC5D}"/>
    <cellStyle name="Normal 2 3 5 3 2 3 2 6" xfId="37958" xr:uid="{0C027F35-339E-4EB4-B0DA-F9324B5F2743}"/>
    <cellStyle name="Normal 2 3 5 3 2 3 3" xfId="14573" xr:uid="{00000000-0005-0000-0000-00008C150000}"/>
    <cellStyle name="Normal 2 3 5 3 2 3 3 2" xfId="26531" xr:uid="{98370064-8AB4-4CE0-BA9C-0937B8929866}"/>
    <cellStyle name="Normal 2 3 5 3 2 3 3 3" xfId="20871" xr:uid="{C6D5D66F-2E10-4243-86CB-9645195709CD}"/>
    <cellStyle name="Normal 2 3 5 3 2 3 3 4" xfId="31911" xr:uid="{8D3EE8F5-6ABB-4A2C-AB1A-3995BE7ED219}"/>
    <cellStyle name="Normal 2 3 5 3 2 3 3 5" xfId="37960" xr:uid="{752952B6-6E92-4079-AC88-ABE35BF66E88}"/>
    <cellStyle name="Normal 2 3 5 3 2 3 4" xfId="23698" xr:uid="{76D633B5-13E9-4D43-9DAF-FC6208AC48A3}"/>
    <cellStyle name="Normal 2 3 5 3 2 3 5" xfId="18038" xr:uid="{B47D762C-DDD5-429C-95E9-85949D6543B7}"/>
    <cellStyle name="Normal 2 3 5 3 2 3 6" xfId="29359" xr:uid="{B164673A-E5D9-463A-80AD-9FFD49AB51FD}"/>
    <cellStyle name="Normal 2 3 5 3 2 3 7" xfId="37957" xr:uid="{BFFC7539-818D-468D-BB8F-4ACB0ABEF1B6}"/>
    <cellStyle name="Normal 2 3 5 3 2 4" xfId="6796" xr:uid="{00000000-0005-0000-0000-00008D150000}"/>
    <cellStyle name="Normal 2 3 5 3 2 4 2" xfId="15229" xr:uid="{00000000-0005-0000-0000-00008E150000}"/>
    <cellStyle name="Normal 2 3 5 3 2 4 2 2" xfId="27123" xr:uid="{1D3269E0-EDBD-4997-BCD5-4C558DD4A986}"/>
    <cellStyle name="Normal 2 3 5 3 2 4 2 3" xfId="21463" xr:uid="{F2FFF85D-E371-4BD5-9CDC-77E292D360F4}"/>
    <cellStyle name="Normal 2 3 5 3 2 4 2 4" xfId="32503" xr:uid="{1624081D-1D38-4C25-A04E-8437D2B4995B}"/>
    <cellStyle name="Normal 2 3 5 3 2 4 2 5" xfId="37962" xr:uid="{0EF1BFC9-C599-4B5D-8599-71D2B9795F5E}"/>
    <cellStyle name="Normal 2 3 5 3 2 4 3" xfId="24290" xr:uid="{691A84C0-370B-4CCA-931A-48DC5EDBDFC6}"/>
    <cellStyle name="Normal 2 3 5 3 2 4 4" xfId="18630" xr:uid="{E9CBC4F6-5882-467A-89B7-B037633FA130}"/>
    <cellStyle name="Normal 2 3 5 3 2 4 5" xfId="29951" xr:uid="{1E31D312-6DE8-4553-B205-365D2977B0BF}"/>
    <cellStyle name="Normal 2 3 5 3 2 4 6" xfId="37961" xr:uid="{B663CDA7-93D0-4E06-AB8C-1145A1AF79C6}"/>
    <cellStyle name="Normal 2 3 5 3 2 5" xfId="7890" xr:uid="{00000000-0005-0000-0000-00008F150000}"/>
    <cellStyle name="Normal 2 3 5 3 2 5 2" xfId="25373" xr:uid="{456DC94B-1120-4000-A32E-BEAA401EF956}"/>
    <cellStyle name="Normal 2 3 5 3 2 5 3" xfId="19713" xr:uid="{54E4A8B6-A6A8-4AEF-9B18-1030337EC301}"/>
    <cellStyle name="Normal 2 3 5 3 2 5 4" xfId="31034" xr:uid="{22316E12-1589-4949-B44A-320A5FD62CBC}"/>
    <cellStyle name="Normal 2 3 5 3 2 5 5" xfId="37963" xr:uid="{D00A55A9-8BD4-49D7-9B7C-11293073D160}"/>
    <cellStyle name="Normal 2 3 5 3 2 6" xfId="22728" xr:uid="{D52A5F7D-7B44-4EB4-AF46-413E1543D711}"/>
    <cellStyle name="Normal 2 3 5 3 2 7" xfId="17068" xr:uid="{A1FB9426-375C-4583-9E2C-2F5721432CA0}"/>
    <cellStyle name="Normal 2 3 5 3 2 8" xfId="28389" xr:uid="{D48A3537-575F-410D-8F93-2770D6CA6B9A}"/>
    <cellStyle name="Normal 2 3 5 3 2 9" xfId="37952" xr:uid="{A899F6A5-83AE-44AC-B94F-EBA6BAAA786D}"/>
    <cellStyle name="Normal 2 3 5 3 3" xfId="5142" xr:uid="{00000000-0005-0000-0000-000090150000}"/>
    <cellStyle name="Normal 2 3 5 3 3 2" xfId="7005" xr:uid="{00000000-0005-0000-0000-000091150000}"/>
    <cellStyle name="Normal 2 3 5 3 3 2 2" xfId="15438" xr:uid="{00000000-0005-0000-0000-000092150000}"/>
    <cellStyle name="Normal 2 3 5 3 3 2 2 2" xfId="27332" xr:uid="{E1419E53-E9BD-4711-B07D-9ADC8C40BA63}"/>
    <cellStyle name="Normal 2 3 5 3 3 2 2 3" xfId="21672" xr:uid="{118701D9-D207-4239-AE22-8A4C58221E78}"/>
    <cellStyle name="Normal 2 3 5 3 3 2 2 4" xfId="32712" xr:uid="{8217F6AB-6113-410E-B20B-0788240EA9F5}"/>
    <cellStyle name="Normal 2 3 5 3 3 2 2 5" xfId="37966" xr:uid="{75BEE73B-9558-4106-B2C8-B4D8D7880E92}"/>
    <cellStyle name="Normal 2 3 5 3 3 2 3" xfId="24499" xr:uid="{DA2D494F-86E1-4943-B07E-E17B570B8B30}"/>
    <cellStyle name="Normal 2 3 5 3 3 2 4" xfId="18839" xr:uid="{32E8BCBD-CD90-4044-BD0A-3E1A1C34A2D6}"/>
    <cellStyle name="Normal 2 3 5 3 3 2 5" xfId="30160" xr:uid="{DDCDDA5A-31E0-4F18-AA5C-A77E064CC9B7}"/>
    <cellStyle name="Normal 2 3 5 3 3 2 6" xfId="37965" xr:uid="{F08EE5CC-5E0C-4533-9217-0D00FE1F7157}"/>
    <cellStyle name="Normal 2 3 5 3 3 3" xfId="14029" xr:uid="{00000000-0005-0000-0000-000093150000}"/>
    <cellStyle name="Normal 2 3 5 3 3 3 2" xfId="26068" xr:uid="{9A1CEA30-2F25-40E1-993F-CC4B6A49E8B9}"/>
    <cellStyle name="Normal 2 3 5 3 3 3 3" xfId="20408" xr:uid="{9D54FDB3-690F-4413-8809-72562C3938E4}"/>
    <cellStyle name="Normal 2 3 5 3 3 3 4" xfId="31448" xr:uid="{E674C561-3979-4816-A812-B9509010448E}"/>
    <cellStyle name="Normal 2 3 5 3 3 3 5" xfId="37967" xr:uid="{2A86AB62-81F5-40D4-A30F-4C7F14813664}"/>
    <cellStyle name="Normal 2 3 5 3 3 4" xfId="22937" xr:uid="{6C683965-2D90-4403-840C-B42136577CB4}"/>
    <cellStyle name="Normal 2 3 5 3 3 5" xfId="17277" xr:uid="{B350A2E6-A1AE-4F32-B235-00C83DAA1332}"/>
    <cellStyle name="Normal 2 3 5 3 3 6" xfId="28598" xr:uid="{79BCC979-5C72-4242-BA46-93A1CBB82193}"/>
    <cellStyle name="Normal 2 3 5 3 3 7" xfId="37964" xr:uid="{C6A39260-A3A1-43B5-9890-BCD0073A3BF1}"/>
    <cellStyle name="Normal 2 3 5 3 4" xfId="6119" xr:uid="{00000000-0005-0000-0000-000094150000}"/>
    <cellStyle name="Normal 2 3 5 3 4 2" xfId="7459" xr:uid="{00000000-0005-0000-0000-000095150000}"/>
    <cellStyle name="Normal 2 3 5 3 4 2 2" xfId="15892" xr:uid="{00000000-0005-0000-0000-000096150000}"/>
    <cellStyle name="Normal 2 3 5 3 4 2 2 2" xfId="27786" xr:uid="{335823FD-C7C0-4304-8B97-A2A4E0948743}"/>
    <cellStyle name="Normal 2 3 5 3 4 2 2 3" xfId="22126" xr:uid="{A3B4BA20-B2FD-4B1F-A75D-2913BB0D802D}"/>
    <cellStyle name="Normal 2 3 5 3 4 2 2 4" xfId="33166" xr:uid="{DDF26336-2AAA-4B37-AC17-FA2B51BAF5D0}"/>
    <cellStyle name="Normal 2 3 5 3 4 2 2 5" xfId="37970" xr:uid="{486A69BE-2B67-4C6F-9DAB-CA16FA469034}"/>
    <cellStyle name="Normal 2 3 5 3 4 2 3" xfId="24953" xr:uid="{15333000-4FBA-4093-A554-1FB100265EA7}"/>
    <cellStyle name="Normal 2 3 5 3 4 2 4" xfId="19293" xr:uid="{08AD597D-82E3-435D-A04B-48AFF71E7434}"/>
    <cellStyle name="Normal 2 3 5 3 4 2 5" xfId="30614" xr:uid="{2FFE478C-2DEB-42AD-BA8A-C22409E76087}"/>
    <cellStyle name="Normal 2 3 5 3 4 2 6" xfId="37969" xr:uid="{06533368-EBB2-4481-ABFB-FE350E887A11}"/>
    <cellStyle name="Normal 2 3 5 3 4 3" xfId="14572" xr:uid="{00000000-0005-0000-0000-000097150000}"/>
    <cellStyle name="Normal 2 3 5 3 4 3 2" xfId="26530" xr:uid="{D46B8997-A15E-4B5B-864F-FD94D3EB3051}"/>
    <cellStyle name="Normal 2 3 5 3 4 3 3" xfId="20870" xr:uid="{18677E65-E098-4B2A-AF0D-16F83CAFDA39}"/>
    <cellStyle name="Normal 2 3 5 3 4 3 4" xfId="31910" xr:uid="{4F732883-54E9-42AF-B845-2D2180E665BF}"/>
    <cellStyle name="Normal 2 3 5 3 4 3 5" xfId="37971" xr:uid="{2875C877-ABF1-467C-93EC-A43F50EE3E5E}"/>
    <cellStyle name="Normal 2 3 5 3 4 4" xfId="23697" xr:uid="{9CE2B9CB-E69E-43B5-B74F-E24FE686B6DC}"/>
    <cellStyle name="Normal 2 3 5 3 4 5" xfId="18037" xr:uid="{B0B78B2A-BD80-459E-A209-9E72DD7D84E3}"/>
    <cellStyle name="Normal 2 3 5 3 4 6" xfId="29358" xr:uid="{331AB558-E1B0-470E-95DE-DD0107BA3D06}"/>
    <cellStyle name="Normal 2 3 5 3 4 7" xfId="37968" xr:uid="{7CDCD5BF-B6E8-4AF5-8F1E-BD021FA9696A}"/>
    <cellStyle name="Normal 2 3 5 3 5" xfId="6587" xr:uid="{00000000-0005-0000-0000-000098150000}"/>
    <cellStyle name="Normal 2 3 5 3 5 2" xfId="15020" xr:uid="{00000000-0005-0000-0000-000099150000}"/>
    <cellStyle name="Normal 2 3 5 3 5 2 2" xfId="26914" xr:uid="{1C1F7D29-2810-4294-B765-24CC61F20A3D}"/>
    <cellStyle name="Normal 2 3 5 3 5 2 3" xfId="21254" xr:uid="{650FACF5-83CF-4203-B9BC-E824B6BB8903}"/>
    <cellStyle name="Normal 2 3 5 3 5 2 4" xfId="32294" xr:uid="{15C9382D-3715-4CDC-9CDD-12A259B88869}"/>
    <cellStyle name="Normal 2 3 5 3 5 2 5" xfId="37973" xr:uid="{B6EDD6D1-D0FA-4BE4-BE08-6F8875B3AD46}"/>
    <cellStyle name="Normal 2 3 5 3 5 3" xfId="24081" xr:uid="{74343986-FC14-4468-ADD9-FD9ED0021A28}"/>
    <cellStyle name="Normal 2 3 5 3 5 4" xfId="18421" xr:uid="{9AE065D5-FEFA-415E-96E1-F8252195BB0B}"/>
    <cellStyle name="Normal 2 3 5 3 5 5" xfId="29742" xr:uid="{9907FC5D-578E-4A6B-BA8B-F5D5CF4E822A}"/>
    <cellStyle name="Normal 2 3 5 3 5 6" xfId="37972" xr:uid="{4624152E-DD65-46AC-BF1F-838C883508E4}"/>
    <cellStyle name="Normal 2 3 5 3 6" xfId="7889" xr:uid="{00000000-0005-0000-0000-00009A150000}"/>
    <cellStyle name="Normal 2 3 5 3 6 2" xfId="25372" xr:uid="{0580B2D5-AAEC-4B72-B0BF-B716A87BBDDF}"/>
    <cellStyle name="Normal 2 3 5 3 6 3" xfId="19712" xr:uid="{37971CDB-DFEA-4AF1-85DA-8C69C2F3AB13}"/>
    <cellStyle name="Normal 2 3 5 3 6 4" xfId="31033" xr:uid="{82589466-331F-4607-A90F-7032E0EE842D}"/>
    <cellStyle name="Normal 2 3 5 3 6 5" xfId="37974" xr:uid="{0D6BEC3E-4F3C-4771-AEC5-7419A07D712E}"/>
    <cellStyle name="Normal 2 3 5 3 7" xfId="22519" xr:uid="{CB3FD7AD-ACF1-4974-8700-6CD96965094D}"/>
    <cellStyle name="Normal 2 3 5 3 8" xfId="16859" xr:uid="{8CBD4A95-4850-47EB-B99A-23FEB8A34492}"/>
    <cellStyle name="Normal 2 3 5 3 9" xfId="28180" xr:uid="{BB036D00-5037-4773-95B9-621604F12AEE}"/>
    <cellStyle name="Normal 2 3 5 4" xfId="4822" xr:uid="{00000000-0005-0000-0000-00009B150000}"/>
    <cellStyle name="Normal 2 3 5 4 2" xfId="5243" xr:uid="{00000000-0005-0000-0000-00009C150000}"/>
    <cellStyle name="Normal 2 3 5 4 2 2" xfId="7106" xr:uid="{00000000-0005-0000-0000-00009D150000}"/>
    <cellStyle name="Normal 2 3 5 4 2 2 2" xfId="15539" xr:uid="{00000000-0005-0000-0000-00009E150000}"/>
    <cellStyle name="Normal 2 3 5 4 2 2 2 2" xfId="27433" xr:uid="{B26E0D5B-7E80-4FE5-82C7-5FAFE8A0E13E}"/>
    <cellStyle name="Normal 2 3 5 4 2 2 2 3" xfId="21773" xr:uid="{84158173-F923-4900-B811-3A8E3613DB0B}"/>
    <cellStyle name="Normal 2 3 5 4 2 2 2 4" xfId="32813" xr:uid="{DD1E5F7A-48B5-4ECD-A3D4-626499AFF061}"/>
    <cellStyle name="Normal 2 3 5 4 2 2 2 5" xfId="37978" xr:uid="{A0E7A286-BFBC-4BB9-B792-6DEA318DEE82}"/>
    <cellStyle name="Normal 2 3 5 4 2 2 3" xfId="24600" xr:uid="{7A42643C-DC92-4641-A4D7-FB7CA1788CDF}"/>
    <cellStyle name="Normal 2 3 5 4 2 2 4" xfId="18940" xr:uid="{42C655F9-D8DA-44F5-A411-728828BAEDCE}"/>
    <cellStyle name="Normal 2 3 5 4 2 2 5" xfId="30261" xr:uid="{F206417C-A6FC-44D0-A560-1995D69A6875}"/>
    <cellStyle name="Normal 2 3 5 4 2 2 6" xfId="37977" xr:uid="{4E6452BA-4510-4AF5-B993-B1109C8B5B85}"/>
    <cellStyle name="Normal 2 3 5 4 2 3" xfId="14129" xr:uid="{00000000-0005-0000-0000-00009F150000}"/>
    <cellStyle name="Normal 2 3 5 4 2 3 2" xfId="26168" xr:uid="{0486C205-7EE5-4532-99A5-837CBA17ECCC}"/>
    <cellStyle name="Normal 2 3 5 4 2 3 3" xfId="20508" xr:uid="{0514182A-25C8-4236-960A-C0911620FB1B}"/>
    <cellStyle name="Normal 2 3 5 4 2 3 4" xfId="31548" xr:uid="{71237C02-B3B6-433C-80DA-969CE983EFF7}"/>
    <cellStyle name="Normal 2 3 5 4 2 3 5" xfId="37979" xr:uid="{5D7D8635-4794-4253-A64D-C6E8EBF5998E}"/>
    <cellStyle name="Normal 2 3 5 4 2 4" xfId="23038" xr:uid="{601DC9AD-83CC-4508-B268-CAABAC9823EA}"/>
    <cellStyle name="Normal 2 3 5 4 2 5" xfId="17378" xr:uid="{3704F4C7-FD21-4F24-8F64-4ACB26DBC447}"/>
    <cellStyle name="Normal 2 3 5 4 2 6" xfId="28699" xr:uid="{3CE861CB-5A21-48C8-ACA8-E38CC28E4F8F}"/>
    <cellStyle name="Normal 2 3 5 4 2 7" xfId="37976" xr:uid="{47B7895C-605C-42FD-B258-EE658435EEF4}"/>
    <cellStyle name="Normal 2 3 5 4 3" xfId="6121" xr:uid="{00000000-0005-0000-0000-0000A0150000}"/>
    <cellStyle name="Normal 2 3 5 4 3 2" xfId="7461" xr:uid="{00000000-0005-0000-0000-0000A1150000}"/>
    <cellStyle name="Normal 2 3 5 4 3 2 2" xfId="15894" xr:uid="{00000000-0005-0000-0000-0000A2150000}"/>
    <cellStyle name="Normal 2 3 5 4 3 2 2 2" xfId="27788" xr:uid="{C510F19F-5CD6-4E4F-8AB5-3BC24851D038}"/>
    <cellStyle name="Normal 2 3 5 4 3 2 2 3" xfId="22128" xr:uid="{61DC2DB2-D6EA-429F-8C81-BBDB214B5206}"/>
    <cellStyle name="Normal 2 3 5 4 3 2 2 4" xfId="33168" xr:uid="{F36A8788-06A6-4850-BFC4-170520864050}"/>
    <cellStyle name="Normal 2 3 5 4 3 2 2 5" xfId="37982" xr:uid="{6B842CA9-A9B3-441A-80FA-ABC73E1BDCCD}"/>
    <cellStyle name="Normal 2 3 5 4 3 2 3" xfId="24955" xr:uid="{E8B1DD40-05C1-41C4-86E9-25C3AF72BB1E}"/>
    <cellStyle name="Normal 2 3 5 4 3 2 4" xfId="19295" xr:uid="{D6161609-6A3A-4067-B4BC-99BC7AA29819}"/>
    <cellStyle name="Normal 2 3 5 4 3 2 5" xfId="30616" xr:uid="{4F24C971-D44F-4B13-A47C-6CCF263F6632}"/>
    <cellStyle name="Normal 2 3 5 4 3 2 6" xfId="37981" xr:uid="{F6BB26A6-9CB3-4865-BBB4-DCCA617C73B1}"/>
    <cellStyle name="Normal 2 3 5 4 3 3" xfId="14574" xr:uid="{00000000-0005-0000-0000-0000A3150000}"/>
    <cellStyle name="Normal 2 3 5 4 3 3 2" xfId="26532" xr:uid="{49DDC0E7-8CB3-4150-85C3-8A0CCEB2182E}"/>
    <cellStyle name="Normal 2 3 5 4 3 3 3" xfId="20872" xr:uid="{FCBDB1C8-A048-4EA8-BE3A-D3E99E1547B6}"/>
    <cellStyle name="Normal 2 3 5 4 3 3 4" xfId="31912" xr:uid="{E98AB17F-A38E-4837-99E8-17A230751E5F}"/>
    <cellStyle name="Normal 2 3 5 4 3 3 5" xfId="37983" xr:uid="{582CE158-ECE3-4E87-870B-73DB07948E27}"/>
    <cellStyle name="Normal 2 3 5 4 3 4" xfId="23699" xr:uid="{7411356A-B473-41BC-A9BB-56CE0E589625}"/>
    <cellStyle name="Normal 2 3 5 4 3 5" xfId="18039" xr:uid="{9836D943-7E21-4485-82B9-FC30DEE8D2AE}"/>
    <cellStyle name="Normal 2 3 5 4 3 6" xfId="29360" xr:uid="{E612779B-99C2-45AE-B135-4690C4BDE4C5}"/>
    <cellStyle name="Normal 2 3 5 4 3 7" xfId="37980" xr:uid="{DA8A0365-DE30-4BE1-AE42-FDE5169E9B80}"/>
    <cellStyle name="Normal 2 3 5 4 4" xfId="6688" xr:uid="{00000000-0005-0000-0000-0000A4150000}"/>
    <cellStyle name="Normal 2 3 5 4 4 2" xfId="15121" xr:uid="{00000000-0005-0000-0000-0000A5150000}"/>
    <cellStyle name="Normal 2 3 5 4 4 2 2" xfId="27015" xr:uid="{E1069215-FF5E-4690-AE01-A994A4EF31B8}"/>
    <cellStyle name="Normal 2 3 5 4 4 2 3" xfId="21355" xr:uid="{A58A4F2E-C254-4AC3-BFB0-215036F7581D}"/>
    <cellStyle name="Normal 2 3 5 4 4 2 4" xfId="32395" xr:uid="{4AA3F588-23CC-4107-AF11-77D2461638D1}"/>
    <cellStyle name="Normal 2 3 5 4 4 2 5" xfId="37985" xr:uid="{8BEDDD7C-8AAE-4D63-BE13-77E7A48828AC}"/>
    <cellStyle name="Normal 2 3 5 4 4 3" xfId="24182" xr:uid="{C1338D2D-29F2-4A63-8FA6-D3B807AD1A20}"/>
    <cellStyle name="Normal 2 3 5 4 4 4" xfId="18522" xr:uid="{699D8019-A53A-4525-8E23-52B1B5FA04E2}"/>
    <cellStyle name="Normal 2 3 5 4 4 5" xfId="29843" xr:uid="{1584B47A-3E3D-4F70-BB9C-344E606B79B4}"/>
    <cellStyle name="Normal 2 3 5 4 4 6" xfId="37984" xr:uid="{591E993E-459E-439A-80D8-A97646F86503}"/>
    <cellStyle name="Normal 2 3 5 4 5" xfId="7891" xr:uid="{00000000-0005-0000-0000-0000A6150000}"/>
    <cellStyle name="Normal 2 3 5 4 5 2" xfId="25374" xr:uid="{A6533EAF-FBDD-4BE3-A737-425B9C056837}"/>
    <cellStyle name="Normal 2 3 5 4 5 3" xfId="19714" xr:uid="{99CA6F67-2E6D-4F4C-B498-7DFC1811DF25}"/>
    <cellStyle name="Normal 2 3 5 4 5 4" xfId="31035" xr:uid="{0A226B74-F467-449A-9A24-481FE387EAF7}"/>
    <cellStyle name="Normal 2 3 5 4 5 5" xfId="37986" xr:uid="{FD556176-D128-4197-B181-FA82786994A9}"/>
    <cellStyle name="Normal 2 3 5 4 6" xfId="22620" xr:uid="{29360DF4-E390-47E3-B80F-FB09F89C1976}"/>
    <cellStyle name="Normal 2 3 5 4 7" xfId="16960" xr:uid="{8D5BD6F3-E767-45EC-984E-ABBF5604E48C}"/>
    <cellStyle name="Normal 2 3 5 4 8" xfId="28281" xr:uid="{D10FDF12-C102-4BB2-BEA3-FD4AC98AE305}"/>
    <cellStyle name="Normal 2 3 5 4 9" xfId="37975" xr:uid="{3C2308B2-FBB3-4B03-BB95-E8CE537EC0D0}"/>
    <cellStyle name="Normal 2 3 5 5" xfId="5034" xr:uid="{00000000-0005-0000-0000-0000A7150000}"/>
    <cellStyle name="Normal 2 3 5 5 2" xfId="6116" xr:uid="{00000000-0005-0000-0000-0000A8150000}"/>
    <cellStyle name="Normal 2 3 5 5 2 2" xfId="7456" xr:uid="{00000000-0005-0000-0000-0000A9150000}"/>
    <cellStyle name="Normal 2 3 5 5 2 2 2" xfId="15889" xr:uid="{00000000-0005-0000-0000-0000AA150000}"/>
    <cellStyle name="Normal 2 3 5 5 2 2 2 2" xfId="27783" xr:uid="{11717486-C148-437C-B98D-DFC3BA4019E1}"/>
    <cellStyle name="Normal 2 3 5 5 2 2 2 3" xfId="22123" xr:uid="{F410EF36-DAD6-4F3F-816C-3F1F35D35839}"/>
    <cellStyle name="Normal 2 3 5 5 2 2 2 4" xfId="33163" xr:uid="{5969A886-08C4-49C1-89C4-39940B1C9786}"/>
    <cellStyle name="Normal 2 3 5 5 2 2 2 5" xfId="37990" xr:uid="{A1EBA49F-A2FA-4379-88E7-E49B8F4F87E0}"/>
    <cellStyle name="Normal 2 3 5 5 2 2 3" xfId="24950" xr:uid="{03BA9599-7184-46F3-BC08-C6D027DE4CCF}"/>
    <cellStyle name="Normal 2 3 5 5 2 2 4" xfId="19290" xr:uid="{F5465F5F-889F-4107-BADA-5C668FB696A3}"/>
    <cellStyle name="Normal 2 3 5 5 2 2 5" xfId="30611" xr:uid="{B21C0CB5-3F32-4625-8F9E-88807E942A3A}"/>
    <cellStyle name="Normal 2 3 5 5 2 2 6" xfId="37989" xr:uid="{E2170950-7409-4E2A-99B9-F0111F7EE0DD}"/>
    <cellStyle name="Normal 2 3 5 5 2 3" xfId="14569" xr:uid="{00000000-0005-0000-0000-0000AB150000}"/>
    <cellStyle name="Normal 2 3 5 5 2 3 2" xfId="26527" xr:uid="{60341298-0F46-4CB8-A6B3-01646B2FA381}"/>
    <cellStyle name="Normal 2 3 5 5 2 3 3" xfId="20867" xr:uid="{631EAAE6-EFD3-4F49-AA8D-FC1715C4C6BF}"/>
    <cellStyle name="Normal 2 3 5 5 2 3 4" xfId="31907" xr:uid="{1A4B22BF-04E5-408F-BF8B-A6AD64C3EBD8}"/>
    <cellStyle name="Normal 2 3 5 5 2 3 5" xfId="37991" xr:uid="{69A0CF32-6DEA-4280-916A-1AFE0E1770CC}"/>
    <cellStyle name="Normal 2 3 5 5 2 4" xfId="23694" xr:uid="{9B16890D-8AC4-43E4-A727-1FB097B9A165}"/>
    <cellStyle name="Normal 2 3 5 5 2 5" xfId="18034" xr:uid="{1B34811D-0229-405A-9258-687FB542E3DC}"/>
    <cellStyle name="Normal 2 3 5 5 2 6" xfId="29355" xr:uid="{C47EF778-77B1-439B-813B-9C919F0AE8AC}"/>
    <cellStyle name="Normal 2 3 5 5 2 7" xfId="37988" xr:uid="{B5E02B70-49E9-44A5-8EFA-553430C0A111}"/>
    <cellStyle name="Normal 2 3 5 5 3" xfId="6897" xr:uid="{00000000-0005-0000-0000-0000AC150000}"/>
    <cellStyle name="Normal 2 3 5 5 3 2" xfId="15330" xr:uid="{00000000-0005-0000-0000-0000AD150000}"/>
    <cellStyle name="Normal 2 3 5 5 3 2 2" xfId="27224" xr:uid="{10EED68E-8C82-419E-9C95-41A50F727C5A}"/>
    <cellStyle name="Normal 2 3 5 5 3 2 3" xfId="21564" xr:uid="{6E6F4B54-372A-43F2-AEFA-4AD1A28CC9B3}"/>
    <cellStyle name="Normal 2 3 5 5 3 2 4" xfId="32604" xr:uid="{6C238708-16F8-4FA3-8881-A7D9F6AF36BB}"/>
    <cellStyle name="Normal 2 3 5 5 3 2 5" xfId="37993" xr:uid="{EAC92410-55E0-48FA-A698-E7DC5BF46530}"/>
    <cellStyle name="Normal 2 3 5 5 3 3" xfId="24391" xr:uid="{945D1851-A927-4EED-B98C-02D550ACA868}"/>
    <cellStyle name="Normal 2 3 5 5 3 4" xfId="18731" xr:uid="{4AB41C7D-BA92-4F22-8CA6-42B6301D5244}"/>
    <cellStyle name="Normal 2 3 5 5 3 5" xfId="30052" xr:uid="{A1D3BDC5-EA3C-4FAC-99BD-29A74CD18A5E}"/>
    <cellStyle name="Normal 2 3 5 5 3 6" xfId="37992" xr:uid="{3FCA2BE7-06CE-451B-A47F-0B4F22E23ADD}"/>
    <cellStyle name="Normal 2 3 5 5 4" xfId="13938" xr:uid="{00000000-0005-0000-0000-0000AE150000}"/>
    <cellStyle name="Normal 2 3 5 5 4 2" xfId="25979" xr:uid="{8DFE9C92-D4CC-4754-9100-7E65781F67A1}"/>
    <cellStyle name="Normal 2 3 5 5 4 3" xfId="20319" xr:uid="{91E43CF9-EDF2-4751-8FB3-823580F56FA5}"/>
    <cellStyle name="Normal 2 3 5 5 4 4" xfId="31359" xr:uid="{8B44A495-ED5E-42D4-B445-37615184E0C2}"/>
    <cellStyle name="Normal 2 3 5 5 4 5" xfId="37994" xr:uid="{ACE8AEE6-A659-4256-A3CE-F9BC5FB039D7}"/>
    <cellStyle name="Normal 2 3 5 5 5" xfId="22829" xr:uid="{45FD72A6-ADFB-4376-AB3F-B3AC2180515D}"/>
    <cellStyle name="Normal 2 3 5 5 6" xfId="17169" xr:uid="{3B0E938D-FEDE-4607-9507-55AC486B0234}"/>
    <cellStyle name="Normal 2 3 5 5 7" xfId="28490" xr:uid="{A9E4976E-C9D5-4BDE-9A4A-9CCD40211E29}"/>
    <cellStyle name="Normal 2 3 5 5 8" xfId="37987" xr:uid="{5685A138-C3BC-43AD-B0B4-A29423810220}"/>
    <cellStyle name="Normal 2 3 5 6" xfId="5665" xr:uid="{00000000-0005-0000-0000-0000AF150000}"/>
    <cellStyle name="Normal 2 3 5 6 2" xfId="37995" xr:uid="{B0DAFFEE-81E5-4E01-B28A-EA2575830D19}"/>
    <cellStyle name="Normal 2 3 5 7" xfId="6479" xr:uid="{00000000-0005-0000-0000-0000B0150000}"/>
    <cellStyle name="Normal 2 3 5 7 2" xfId="14912" xr:uid="{00000000-0005-0000-0000-0000B1150000}"/>
    <cellStyle name="Normal 2 3 5 7 2 2" xfId="26806" xr:uid="{128C600B-37C6-48F1-95F1-B033C5F733C9}"/>
    <cellStyle name="Normal 2 3 5 7 2 3" xfId="21146" xr:uid="{82477A93-6160-4962-B230-606E461BBAF5}"/>
    <cellStyle name="Normal 2 3 5 7 2 4" xfId="32186" xr:uid="{7D953CFC-E352-450D-8EC9-FA3B9DC58020}"/>
    <cellStyle name="Normal 2 3 5 7 2 5" xfId="37997" xr:uid="{3E7E5FD2-3E78-4F6A-BE08-122AE55682F6}"/>
    <cellStyle name="Normal 2 3 5 7 3" xfId="23973" xr:uid="{11AAD272-39CA-4DF8-AEB5-DE5BF33F1BE0}"/>
    <cellStyle name="Normal 2 3 5 7 4" xfId="18313" xr:uid="{86530C17-6FD1-462C-9228-9BF577ED452A}"/>
    <cellStyle name="Normal 2 3 5 7 5" xfId="29634" xr:uid="{3C4A4637-B559-4C81-AA7E-14837A045624}"/>
    <cellStyle name="Normal 2 3 5 7 6" xfId="37996" xr:uid="{C9CF6995-E738-4123-9342-D9BDFB39F1F7}"/>
    <cellStyle name="Normal 2 3 5 8" xfId="7886" xr:uid="{00000000-0005-0000-0000-0000B2150000}"/>
    <cellStyle name="Normal 2 3 5 8 2" xfId="25369" xr:uid="{970BCFF6-7170-4CC1-894D-F9913F02AB18}"/>
    <cellStyle name="Normal 2 3 5 8 3" xfId="19709" xr:uid="{32E1A641-FC30-4823-8051-446C730501CA}"/>
    <cellStyle name="Normal 2 3 5 8 4" xfId="31030" xr:uid="{78D46256-1EE0-4710-9A76-F6E8AAC9C927}"/>
    <cellStyle name="Normal 2 3 5 8 5" xfId="37998" xr:uid="{E76F5015-D2A3-4C4B-833B-54CCCCDB9B76}"/>
    <cellStyle name="Normal 2 3 5 9" xfId="22411" xr:uid="{513D3ABC-EA76-4025-A185-553D296D706A}"/>
    <cellStyle name="Normal 2 3 5 9 2" xfId="37999" xr:uid="{B22D32E1-19B7-438A-AB7F-9FA9C71AD1D8}"/>
    <cellStyle name="Normal 2 3 6" xfId="304" xr:uid="{00000000-0005-0000-0000-0000B3150000}"/>
    <cellStyle name="Normal 2 3 6 10" xfId="28068" xr:uid="{6536701D-4DFE-41C4-B943-BC2218E83698}"/>
    <cellStyle name="Normal 2 3 6 11" xfId="38000" xr:uid="{ADAE03B3-DD45-40F2-84A5-0A0582AF97B4}"/>
    <cellStyle name="Normal 2 3 6 2" xfId="2062" xr:uid="{00000000-0005-0000-0000-0000B4150000}"/>
    <cellStyle name="Normal 2 3 6 2 2" xfId="38001" xr:uid="{499ECBB4-F021-40BA-B94C-181FD8373B07}"/>
    <cellStyle name="Normal 2 3 6 3" xfId="4187" xr:uid="{00000000-0005-0000-0000-0000B5150000}"/>
    <cellStyle name="Normal 2 3 6 3 10" xfId="38002" xr:uid="{EC3FE741-CAEB-4E96-A5C7-87C62EB9A9A7}"/>
    <cellStyle name="Normal 2 3 6 3 2" xfId="4933" xr:uid="{00000000-0005-0000-0000-0000B6150000}"/>
    <cellStyle name="Normal 2 3 6 3 2 2" xfId="5352" xr:uid="{00000000-0005-0000-0000-0000B7150000}"/>
    <cellStyle name="Normal 2 3 6 3 2 2 2" xfId="7215" xr:uid="{00000000-0005-0000-0000-0000B8150000}"/>
    <cellStyle name="Normal 2 3 6 3 2 2 2 2" xfId="15648" xr:uid="{00000000-0005-0000-0000-0000B9150000}"/>
    <cellStyle name="Normal 2 3 6 3 2 2 2 2 2" xfId="27542" xr:uid="{1D5EC369-5AD5-4DE1-918B-6296F7E23653}"/>
    <cellStyle name="Normal 2 3 6 3 2 2 2 2 3" xfId="21882" xr:uid="{0D6475D6-CA2C-4562-8B9B-2AD498B734A8}"/>
    <cellStyle name="Normal 2 3 6 3 2 2 2 2 4" xfId="32922" xr:uid="{FFF3B187-45BE-450B-8F9B-A8639363C880}"/>
    <cellStyle name="Normal 2 3 6 3 2 2 2 2 5" xfId="38006" xr:uid="{72657BD9-E718-4CA9-91D4-79D278DEA8F4}"/>
    <cellStyle name="Normal 2 3 6 3 2 2 2 3" xfId="24709" xr:uid="{D85516C6-6E1A-43D3-9E2D-3A6D2F2C99A8}"/>
    <cellStyle name="Normal 2 3 6 3 2 2 2 4" xfId="19049" xr:uid="{F20866F5-43A2-44D5-9E6D-2CA113DAC190}"/>
    <cellStyle name="Normal 2 3 6 3 2 2 2 5" xfId="30370" xr:uid="{EA0E48C2-E8E7-48CA-AD5E-2304D7F714AC}"/>
    <cellStyle name="Normal 2 3 6 3 2 2 2 6" xfId="38005" xr:uid="{DB2EDEC5-B402-4D51-8C61-43E485CF532D}"/>
    <cellStyle name="Normal 2 3 6 3 2 2 3" xfId="14238" xr:uid="{00000000-0005-0000-0000-0000BA150000}"/>
    <cellStyle name="Normal 2 3 6 3 2 2 3 2" xfId="26277" xr:uid="{82F82148-8C96-490F-80DE-1DD096EE26DC}"/>
    <cellStyle name="Normal 2 3 6 3 2 2 3 3" xfId="20617" xr:uid="{D09ACDC3-94E1-456C-B50D-8810EDC16BD6}"/>
    <cellStyle name="Normal 2 3 6 3 2 2 3 4" xfId="31657" xr:uid="{59776B59-6443-4A5B-A272-4F8143C121DB}"/>
    <cellStyle name="Normal 2 3 6 3 2 2 3 5" xfId="38007" xr:uid="{72C9A98D-5734-4994-A835-FF8207C82493}"/>
    <cellStyle name="Normal 2 3 6 3 2 2 4" xfId="23147" xr:uid="{E3BA57B8-B636-41A1-B74C-87D34BB7F006}"/>
    <cellStyle name="Normal 2 3 6 3 2 2 5" xfId="17487" xr:uid="{023EFAF1-0E59-4B37-8B55-975E50BC8768}"/>
    <cellStyle name="Normal 2 3 6 3 2 2 6" xfId="28808" xr:uid="{2357A62F-BEC1-4285-A959-316608745664}"/>
    <cellStyle name="Normal 2 3 6 3 2 2 7" xfId="38004" xr:uid="{96B4DB57-8FF3-4F6A-88F6-39FAC95C2278}"/>
    <cellStyle name="Normal 2 3 6 3 2 3" xfId="6124" xr:uid="{00000000-0005-0000-0000-0000BB150000}"/>
    <cellStyle name="Normal 2 3 6 3 2 3 2" xfId="7464" xr:uid="{00000000-0005-0000-0000-0000BC150000}"/>
    <cellStyle name="Normal 2 3 6 3 2 3 2 2" xfId="15897" xr:uid="{00000000-0005-0000-0000-0000BD150000}"/>
    <cellStyle name="Normal 2 3 6 3 2 3 2 2 2" xfId="27791" xr:uid="{9D24F59C-182F-4A52-97DB-1F2244E3BB41}"/>
    <cellStyle name="Normal 2 3 6 3 2 3 2 2 3" xfId="22131" xr:uid="{4459B7B9-B13F-4A7B-B6C2-F0FDAD7AC779}"/>
    <cellStyle name="Normal 2 3 6 3 2 3 2 2 4" xfId="33171" xr:uid="{F8496602-2AE1-40BD-8E1B-083239F4DB25}"/>
    <cellStyle name="Normal 2 3 6 3 2 3 2 2 5" xfId="38010" xr:uid="{BE156BCA-4DDD-427E-A5BA-676CCEEF30A8}"/>
    <cellStyle name="Normal 2 3 6 3 2 3 2 3" xfId="24958" xr:uid="{92654ACE-FDD3-4F8D-9A4A-AF1DCE46B009}"/>
    <cellStyle name="Normal 2 3 6 3 2 3 2 4" xfId="19298" xr:uid="{28610804-D486-49AE-BB89-AECE6C970014}"/>
    <cellStyle name="Normal 2 3 6 3 2 3 2 5" xfId="30619" xr:uid="{ECFCACE0-4D64-4BDE-9B6C-9012892A27F1}"/>
    <cellStyle name="Normal 2 3 6 3 2 3 2 6" xfId="38009" xr:uid="{D6D06B24-ACE1-4D56-8D74-856858002ABE}"/>
    <cellStyle name="Normal 2 3 6 3 2 3 3" xfId="14577" xr:uid="{00000000-0005-0000-0000-0000BE150000}"/>
    <cellStyle name="Normal 2 3 6 3 2 3 3 2" xfId="26535" xr:uid="{9A86DFEB-9E57-41C3-8D08-80988A0D22C1}"/>
    <cellStyle name="Normal 2 3 6 3 2 3 3 3" xfId="20875" xr:uid="{19C7EE8A-EBA6-457D-8C73-87CB891EB92D}"/>
    <cellStyle name="Normal 2 3 6 3 2 3 3 4" xfId="31915" xr:uid="{F0D17A0A-AF00-49F0-A546-18D74329C57D}"/>
    <cellStyle name="Normal 2 3 6 3 2 3 3 5" xfId="38011" xr:uid="{BB84BE57-2A53-46CE-8B45-B73990CEAC9F}"/>
    <cellStyle name="Normal 2 3 6 3 2 3 4" xfId="23702" xr:uid="{710BE462-C537-4BE9-84A2-BE5F2A6EA6EF}"/>
    <cellStyle name="Normal 2 3 6 3 2 3 5" xfId="18042" xr:uid="{3133511B-821D-4A1A-9D5A-CC9ABD65CED8}"/>
    <cellStyle name="Normal 2 3 6 3 2 3 6" xfId="29363" xr:uid="{1A575AF6-EDC4-4360-AFA6-6A8E08C50564}"/>
    <cellStyle name="Normal 2 3 6 3 2 3 7" xfId="38008" xr:uid="{7A5AA24C-C4B5-4F34-A81F-CB55B55D6ED2}"/>
    <cellStyle name="Normal 2 3 6 3 2 4" xfId="6797" xr:uid="{00000000-0005-0000-0000-0000BF150000}"/>
    <cellStyle name="Normal 2 3 6 3 2 4 2" xfId="15230" xr:uid="{00000000-0005-0000-0000-0000C0150000}"/>
    <cellStyle name="Normal 2 3 6 3 2 4 2 2" xfId="27124" xr:uid="{5E8DB2AF-EA50-4FBE-B6F8-EF26B3B0D055}"/>
    <cellStyle name="Normal 2 3 6 3 2 4 2 3" xfId="21464" xr:uid="{378C631A-8DE8-4392-8631-802276C067DD}"/>
    <cellStyle name="Normal 2 3 6 3 2 4 2 4" xfId="32504" xr:uid="{4F8D9C81-9E6F-4CAB-88D8-61631C75ECEC}"/>
    <cellStyle name="Normal 2 3 6 3 2 4 2 5" xfId="38013" xr:uid="{3493D7AB-F897-4830-98A0-89B94A754FA1}"/>
    <cellStyle name="Normal 2 3 6 3 2 4 3" xfId="24291" xr:uid="{25AFCEE2-4E65-4521-B06C-5D4EB6153ACA}"/>
    <cellStyle name="Normal 2 3 6 3 2 4 4" xfId="18631" xr:uid="{C4E186AE-BDB2-4EDC-8746-553286D2365A}"/>
    <cellStyle name="Normal 2 3 6 3 2 4 5" xfId="29952" xr:uid="{BF260D0F-16BE-4A93-8383-9105409DD6F5}"/>
    <cellStyle name="Normal 2 3 6 3 2 4 6" xfId="38012" xr:uid="{16A9BD5B-EDD0-4A4A-93FC-BFA43676C591}"/>
    <cellStyle name="Normal 2 3 6 3 2 5" xfId="7894" xr:uid="{00000000-0005-0000-0000-0000C1150000}"/>
    <cellStyle name="Normal 2 3 6 3 2 5 2" xfId="25377" xr:uid="{6F785ADB-ADB0-485A-ACA3-2C14EC1C8DAB}"/>
    <cellStyle name="Normal 2 3 6 3 2 5 3" xfId="19717" xr:uid="{73C87664-9A8B-4BB0-B192-A567E64897DB}"/>
    <cellStyle name="Normal 2 3 6 3 2 5 4" xfId="31038" xr:uid="{4CFC3DE4-6B31-4791-9B94-6248E6796EF2}"/>
    <cellStyle name="Normal 2 3 6 3 2 5 5" xfId="38014" xr:uid="{744F969C-5F98-4E2E-AE74-C1A01282D332}"/>
    <cellStyle name="Normal 2 3 6 3 2 6" xfId="22729" xr:uid="{96A54FF3-412A-4B46-8585-5BC12A487D07}"/>
    <cellStyle name="Normal 2 3 6 3 2 7" xfId="17069" xr:uid="{14EFA44A-B984-4D78-9C8C-9C0E82594E9B}"/>
    <cellStyle name="Normal 2 3 6 3 2 8" xfId="28390" xr:uid="{4292C16D-0B29-405B-9C71-674A462484CA}"/>
    <cellStyle name="Normal 2 3 6 3 2 9" xfId="38003" xr:uid="{888DC564-9FD2-4ADC-BEB7-19016B024C62}"/>
    <cellStyle name="Normal 2 3 6 3 3" xfId="5143" xr:uid="{00000000-0005-0000-0000-0000C2150000}"/>
    <cellStyle name="Normal 2 3 6 3 3 2" xfId="7006" xr:uid="{00000000-0005-0000-0000-0000C3150000}"/>
    <cellStyle name="Normal 2 3 6 3 3 2 2" xfId="15439" xr:uid="{00000000-0005-0000-0000-0000C4150000}"/>
    <cellStyle name="Normal 2 3 6 3 3 2 2 2" xfId="27333" xr:uid="{5FE4F9D8-3E00-43F9-B226-13B4E76C5B3F}"/>
    <cellStyle name="Normal 2 3 6 3 3 2 2 3" xfId="21673" xr:uid="{67155BE2-89E4-4901-A4AC-7E4E92DFC80D}"/>
    <cellStyle name="Normal 2 3 6 3 3 2 2 4" xfId="32713" xr:uid="{B8D4440E-A9D7-4ED2-874F-3DFDBE5C5786}"/>
    <cellStyle name="Normal 2 3 6 3 3 2 2 5" xfId="38017" xr:uid="{D4696C7D-BA2B-4F4B-A01E-D9F29DB1CAFC}"/>
    <cellStyle name="Normal 2 3 6 3 3 2 3" xfId="24500" xr:uid="{E2069029-BAFA-4505-AC3B-46D43CD1798B}"/>
    <cellStyle name="Normal 2 3 6 3 3 2 4" xfId="18840" xr:uid="{7CD797EB-CE00-4458-8DAC-122C01F15AAC}"/>
    <cellStyle name="Normal 2 3 6 3 3 2 5" xfId="30161" xr:uid="{965C7AD9-FA8A-4C2C-9DF7-D6CE93565EC7}"/>
    <cellStyle name="Normal 2 3 6 3 3 2 6" xfId="38016" xr:uid="{87221BDF-A88E-4493-9BA5-4C567E347EE5}"/>
    <cellStyle name="Normal 2 3 6 3 3 3" xfId="14030" xr:uid="{00000000-0005-0000-0000-0000C5150000}"/>
    <cellStyle name="Normal 2 3 6 3 3 3 2" xfId="26069" xr:uid="{6EB635E1-FBF9-4B5A-8131-61377F1FFF35}"/>
    <cellStyle name="Normal 2 3 6 3 3 3 3" xfId="20409" xr:uid="{1B065B64-C617-497A-BF42-7BCF7D6D2894}"/>
    <cellStyle name="Normal 2 3 6 3 3 3 4" xfId="31449" xr:uid="{E7DDAEF2-0F39-49A5-AE75-3FB9807CF1B4}"/>
    <cellStyle name="Normal 2 3 6 3 3 3 5" xfId="38018" xr:uid="{DFC96120-88D9-4376-9988-43456E41AD93}"/>
    <cellStyle name="Normal 2 3 6 3 3 4" xfId="22938" xr:uid="{634D42D5-0D6D-4DE4-82B9-EDF157E7C848}"/>
    <cellStyle name="Normal 2 3 6 3 3 5" xfId="17278" xr:uid="{24EA2F3C-8BE5-4F89-9307-120C4C2ED739}"/>
    <cellStyle name="Normal 2 3 6 3 3 6" xfId="28599" xr:uid="{76B021E0-67F4-428D-A1AF-F2AD169AEB32}"/>
    <cellStyle name="Normal 2 3 6 3 3 7" xfId="38015" xr:uid="{BE4250BC-F3A2-40BD-9330-04412336ED1C}"/>
    <cellStyle name="Normal 2 3 6 3 4" xfId="6123" xr:uid="{00000000-0005-0000-0000-0000C6150000}"/>
    <cellStyle name="Normal 2 3 6 3 4 2" xfId="7463" xr:uid="{00000000-0005-0000-0000-0000C7150000}"/>
    <cellStyle name="Normal 2 3 6 3 4 2 2" xfId="15896" xr:uid="{00000000-0005-0000-0000-0000C8150000}"/>
    <cellStyle name="Normal 2 3 6 3 4 2 2 2" xfId="27790" xr:uid="{EB498488-E27A-427D-8EC0-1E1755AA7E93}"/>
    <cellStyle name="Normal 2 3 6 3 4 2 2 3" xfId="22130" xr:uid="{A4F661F9-3DEA-407A-97C7-8D485FE24B99}"/>
    <cellStyle name="Normal 2 3 6 3 4 2 2 4" xfId="33170" xr:uid="{736AF8B4-8C0E-430B-A264-1E7DA13EF666}"/>
    <cellStyle name="Normal 2 3 6 3 4 2 2 5" xfId="38021" xr:uid="{E98C7051-62EF-46DC-881F-6B34D7E67B72}"/>
    <cellStyle name="Normal 2 3 6 3 4 2 3" xfId="24957" xr:uid="{E732A1C4-D53B-4C30-9A5B-29CA796E04CC}"/>
    <cellStyle name="Normal 2 3 6 3 4 2 4" xfId="19297" xr:uid="{2869255C-BDF0-438E-8039-CE530E836AC4}"/>
    <cellStyle name="Normal 2 3 6 3 4 2 5" xfId="30618" xr:uid="{A616D3FD-526A-4EA0-8BC9-FA6FF738B22C}"/>
    <cellStyle name="Normal 2 3 6 3 4 2 6" xfId="38020" xr:uid="{D30AEE68-A2AB-4FDB-8075-79A26C310E03}"/>
    <cellStyle name="Normal 2 3 6 3 4 3" xfId="14576" xr:uid="{00000000-0005-0000-0000-0000C9150000}"/>
    <cellStyle name="Normal 2 3 6 3 4 3 2" xfId="26534" xr:uid="{F3140054-33BF-49DD-AD83-2DB814B895E5}"/>
    <cellStyle name="Normal 2 3 6 3 4 3 3" xfId="20874" xr:uid="{EDA1F0C0-E7AA-41E6-85FC-85F47085E70B}"/>
    <cellStyle name="Normal 2 3 6 3 4 3 4" xfId="31914" xr:uid="{0FD00A1A-CACA-4CAC-B8DD-C1E937A74333}"/>
    <cellStyle name="Normal 2 3 6 3 4 3 5" xfId="38022" xr:uid="{E2CB95AC-6F7B-44EC-950C-8F6C2E440E87}"/>
    <cellStyle name="Normal 2 3 6 3 4 4" xfId="23701" xr:uid="{E96DBD55-6CDB-4647-AFCC-F80F5B28BB75}"/>
    <cellStyle name="Normal 2 3 6 3 4 5" xfId="18041" xr:uid="{3593F565-A5F3-47F1-AD71-E724ED2267A6}"/>
    <cellStyle name="Normal 2 3 6 3 4 6" xfId="29362" xr:uid="{B78AD3B6-F426-4406-A5B9-3C59D14EAF68}"/>
    <cellStyle name="Normal 2 3 6 3 4 7" xfId="38019" xr:uid="{8B5F63BB-63C2-4C10-9AA0-E809F8800414}"/>
    <cellStyle name="Normal 2 3 6 3 5" xfId="6588" xr:uid="{00000000-0005-0000-0000-0000CA150000}"/>
    <cellStyle name="Normal 2 3 6 3 5 2" xfId="15021" xr:uid="{00000000-0005-0000-0000-0000CB150000}"/>
    <cellStyle name="Normal 2 3 6 3 5 2 2" xfId="26915" xr:uid="{B0C283F5-61D2-40B5-9BE1-8B91B53257D2}"/>
    <cellStyle name="Normal 2 3 6 3 5 2 3" xfId="21255" xr:uid="{AFB26135-081E-4930-926A-047BC8EE79E5}"/>
    <cellStyle name="Normal 2 3 6 3 5 2 4" xfId="32295" xr:uid="{0AF865DD-2A5F-4308-ACEB-E921A8DABFFC}"/>
    <cellStyle name="Normal 2 3 6 3 5 2 5" xfId="38024" xr:uid="{DE0681CC-24CB-4F92-A214-63978B2888E7}"/>
    <cellStyle name="Normal 2 3 6 3 5 3" xfId="24082" xr:uid="{C4B17378-9027-4EE4-A7DA-6C6828169421}"/>
    <cellStyle name="Normal 2 3 6 3 5 4" xfId="18422" xr:uid="{9E0749A0-FDA4-4D30-9296-7788FFE6EC2B}"/>
    <cellStyle name="Normal 2 3 6 3 5 5" xfId="29743" xr:uid="{C7198587-4251-4527-9925-7417EDFAADC6}"/>
    <cellStyle name="Normal 2 3 6 3 5 6" xfId="38023" xr:uid="{7D227CED-DFBA-493E-81CF-E6788690BA64}"/>
    <cellStyle name="Normal 2 3 6 3 6" xfId="7893" xr:uid="{00000000-0005-0000-0000-0000CC150000}"/>
    <cellStyle name="Normal 2 3 6 3 6 2" xfId="25376" xr:uid="{BD412E03-CAD1-4E77-9F7D-D68A23A77B62}"/>
    <cellStyle name="Normal 2 3 6 3 6 3" xfId="19716" xr:uid="{9381071D-85A7-4D3C-9A5D-B2FF2E33F429}"/>
    <cellStyle name="Normal 2 3 6 3 6 4" xfId="31037" xr:uid="{B9FA082E-DD69-45B7-BCDC-F8DCBECA7A3B}"/>
    <cellStyle name="Normal 2 3 6 3 6 5" xfId="38025" xr:uid="{80198FC9-13AF-4154-87BA-0020D1C30427}"/>
    <cellStyle name="Normal 2 3 6 3 7" xfId="22520" xr:uid="{274323B5-E36E-4382-AB2E-2C15B889FDB9}"/>
    <cellStyle name="Normal 2 3 6 3 8" xfId="16860" xr:uid="{0FFEB2E7-B522-4729-9A0A-94A5AB1F884F}"/>
    <cellStyle name="Normal 2 3 6 3 9" xfId="28181" xr:uid="{B81F39EA-C110-4EA7-BE5C-F3E2A7B8EF1F}"/>
    <cellStyle name="Normal 2 3 6 4" xfId="4818" xr:uid="{00000000-0005-0000-0000-0000CD150000}"/>
    <cellStyle name="Normal 2 3 6 4 2" xfId="5239" xr:uid="{00000000-0005-0000-0000-0000CE150000}"/>
    <cellStyle name="Normal 2 3 6 4 2 2" xfId="7102" xr:uid="{00000000-0005-0000-0000-0000CF150000}"/>
    <cellStyle name="Normal 2 3 6 4 2 2 2" xfId="15535" xr:uid="{00000000-0005-0000-0000-0000D0150000}"/>
    <cellStyle name="Normal 2 3 6 4 2 2 2 2" xfId="27429" xr:uid="{291500A3-0655-407B-8E8D-9EED3CA9DCD8}"/>
    <cellStyle name="Normal 2 3 6 4 2 2 2 3" xfId="21769" xr:uid="{4C571D27-6740-49BE-8BE1-49C9D72E69B5}"/>
    <cellStyle name="Normal 2 3 6 4 2 2 2 4" xfId="32809" xr:uid="{C5C1E082-0895-4AD9-BA33-F53F50470BF3}"/>
    <cellStyle name="Normal 2 3 6 4 2 2 2 5" xfId="38029" xr:uid="{025955A1-0FE5-455B-9A5C-EF845ABA5E6A}"/>
    <cellStyle name="Normal 2 3 6 4 2 2 3" xfId="24596" xr:uid="{7706A93D-78CF-4133-BBE8-C977427A4765}"/>
    <cellStyle name="Normal 2 3 6 4 2 2 4" xfId="18936" xr:uid="{03039F07-C4AA-4060-9E02-7C20C839931C}"/>
    <cellStyle name="Normal 2 3 6 4 2 2 5" xfId="30257" xr:uid="{CE344B8E-1D00-435A-BE9B-021277D5D6F5}"/>
    <cellStyle name="Normal 2 3 6 4 2 2 6" xfId="38028" xr:uid="{24CD670B-9166-41D4-BEF2-8DEC838C3A2D}"/>
    <cellStyle name="Normal 2 3 6 4 2 3" xfId="14125" xr:uid="{00000000-0005-0000-0000-0000D1150000}"/>
    <cellStyle name="Normal 2 3 6 4 2 3 2" xfId="26164" xr:uid="{60385E89-E69E-462B-A2CA-0DFAD08C82ED}"/>
    <cellStyle name="Normal 2 3 6 4 2 3 3" xfId="20504" xr:uid="{DB0EA3C5-6562-4B7F-B164-ABA05DFA4A44}"/>
    <cellStyle name="Normal 2 3 6 4 2 3 4" xfId="31544" xr:uid="{86221E36-8F13-41A6-B664-44157111DEBC}"/>
    <cellStyle name="Normal 2 3 6 4 2 3 5" xfId="38030" xr:uid="{8BE6AC11-BD4C-494C-A255-1A9EBFCD937C}"/>
    <cellStyle name="Normal 2 3 6 4 2 4" xfId="23034" xr:uid="{396E7837-F82D-4A54-82E1-2F4DFFFE6672}"/>
    <cellStyle name="Normal 2 3 6 4 2 5" xfId="17374" xr:uid="{CCE71794-90CE-4ADC-AB36-D062BCD1A96E}"/>
    <cellStyle name="Normal 2 3 6 4 2 6" xfId="28695" xr:uid="{2CC81531-01C0-42F4-B6DB-849DD4E8E170}"/>
    <cellStyle name="Normal 2 3 6 4 2 7" xfId="38027" xr:uid="{5BA96B1E-C2AA-4D6E-9EC8-EEAF8CDB9331}"/>
    <cellStyle name="Normal 2 3 6 4 3" xfId="6125" xr:uid="{00000000-0005-0000-0000-0000D2150000}"/>
    <cellStyle name="Normal 2 3 6 4 3 2" xfId="7465" xr:uid="{00000000-0005-0000-0000-0000D3150000}"/>
    <cellStyle name="Normal 2 3 6 4 3 2 2" xfId="15898" xr:uid="{00000000-0005-0000-0000-0000D4150000}"/>
    <cellStyle name="Normal 2 3 6 4 3 2 2 2" xfId="27792" xr:uid="{50D3A5C7-FA39-4FD2-89C0-7A9B9A5B3F88}"/>
    <cellStyle name="Normal 2 3 6 4 3 2 2 3" xfId="22132" xr:uid="{318D7B2D-7129-4313-B8A3-237E52A75C2E}"/>
    <cellStyle name="Normal 2 3 6 4 3 2 2 4" xfId="33172" xr:uid="{6195484B-39BF-4F5C-BF84-8420A8A8202D}"/>
    <cellStyle name="Normal 2 3 6 4 3 2 2 5" xfId="38033" xr:uid="{52BBD779-6884-49BC-855D-F988B41125BD}"/>
    <cellStyle name="Normal 2 3 6 4 3 2 3" xfId="24959" xr:uid="{0B617487-032C-478E-844C-D638B85105F4}"/>
    <cellStyle name="Normal 2 3 6 4 3 2 4" xfId="19299" xr:uid="{8D8EF32A-51FA-4130-861D-AF98C08B79AF}"/>
    <cellStyle name="Normal 2 3 6 4 3 2 5" xfId="30620" xr:uid="{DED9BB62-C9D6-4C9C-9332-F0719671CC3B}"/>
    <cellStyle name="Normal 2 3 6 4 3 2 6" xfId="38032" xr:uid="{7A113D7A-A426-43DC-8DB5-6B87E17DEB94}"/>
    <cellStyle name="Normal 2 3 6 4 3 3" xfId="14578" xr:uid="{00000000-0005-0000-0000-0000D5150000}"/>
    <cellStyle name="Normal 2 3 6 4 3 3 2" xfId="26536" xr:uid="{19B231C0-09FE-4CEC-95FC-5E92B54BC910}"/>
    <cellStyle name="Normal 2 3 6 4 3 3 3" xfId="20876" xr:uid="{E036BC6A-9F2E-423C-93B3-8B4DB89B510E}"/>
    <cellStyle name="Normal 2 3 6 4 3 3 4" xfId="31916" xr:uid="{9E8B139E-8F6B-4339-9B42-B34FE1A0FB78}"/>
    <cellStyle name="Normal 2 3 6 4 3 3 5" xfId="38034" xr:uid="{09CEC3CC-83E8-4ED0-ACEC-9308C83E9257}"/>
    <cellStyle name="Normal 2 3 6 4 3 4" xfId="23703" xr:uid="{97181132-5825-4148-AA9C-4F3B57B1320A}"/>
    <cellStyle name="Normal 2 3 6 4 3 5" xfId="18043" xr:uid="{FC40F8AE-473C-4D1C-BA5D-48246EF56D44}"/>
    <cellStyle name="Normal 2 3 6 4 3 6" xfId="29364" xr:uid="{9FF09B90-48BC-45AE-A430-90B0E08C63AE}"/>
    <cellStyle name="Normal 2 3 6 4 3 7" xfId="38031" xr:uid="{12DADA74-B903-4FCA-B369-C52C8FFFC70C}"/>
    <cellStyle name="Normal 2 3 6 4 4" xfId="6684" xr:uid="{00000000-0005-0000-0000-0000D6150000}"/>
    <cellStyle name="Normal 2 3 6 4 4 2" xfId="15117" xr:uid="{00000000-0005-0000-0000-0000D7150000}"/>
    <cellStyle name="Normal 2 3 6 4 4 2 2" xfId="27011" xr:uid="{8C4F00A4-3AF1-41E7-A36C-3C63A8D21445}"/>
    <cellStyle name="Normal 2 3 6 4 4 2 3" xfId="21351" xr:uid="{22BED3CC-5CD8-42D6-9908-CBC7A40C65E7}"/>
    <cellStyle name="Normal 2 3 6 4 4 2 4" xfId="32391" xr:uid="{60428242-A046-42D0-B65A-66AB141FAC06}"/>
    <cellStyle name="Normal 2 3 6 4 4 2 5" xfId="38036" xr:uid="{F7741E2D-63D1-4841-BC63-644787AF41F7}"/>
    <cellStyle name="Normal 2 3 6 4 4 3" xfId="24178" xr:uid="{D154FA4A-763D-48C8-88AF-B1F00D06D412}"/>
    <cellStyle name="Normal 2 3 6 4 4 4" xfId="18518" xr:uid="{5158C7ED-33BD-4C94-AE9D-86F18F11A581}"/>
    <cellStyle name="Normal 2 3 6 4 4 5" xfId="29839" xr:uid="{E0CCCE5F-5C7F-4630-A3BE-466D6A2EA3BB}"/>
    <cellStyle name="Normal 2 3 6 4 4 6" xfId="38035" xr:uid="{F78F8A7A-8F9B-4F6E-820C-ED32FBD7B9B7}"/>
    <cellStyle name="Normal 2 3 6 4 5" xfId="7895" xr:uid="{00000000-0005-0000-0000-0000D8150000}"/>
    <cellStyle name="Normal 2 3 6 4 5 2" xfId="25378" xr:uid="{37CFA8B8-FC00-401C-96DD-6C7EB7B2F2B3}"/>
    <cellStyle name="Normal 2 3 6 4 5 3" xfId="19718" xr:uid="{42B7057E-F865-4E96-97B4-9503D9290D76}"/>
    <cellStyle name="Normal 2 3 6 4 5 4" xfId="31039" xr:uid="{BF63B421-2532-4CD4-B5B4-7CD17CE54F97}"/>
    <cellStyle name="Normal 2 3 6 4 5 5" xfId="38037" xr:uid="{9B692ACC-F00C-4EA5-A9B5-A260EE3A8CB7}"/>
    <cellStyle name="Normal 2 3 6 4 6" xfId="22616" xr:uid="{C6DB7D66-B002-4F11-91EE-CC3D356187B0}"/>
    <cellStyle name="Normal 2 3 6 4 7" xfId="16956" xr:uid="{FF7B24AE-DB67-4EB3-AEE2-EFF8F8F2C777}"/>
    <cellStyle name="Normal 2 3 6 4 8" xfId="28277" xr:uid="{9E1B42B7-7944-41D0-8AF3-4C474F1F3C37}"/>
    <cellStyle name="Normal 2 3 6 4 9" xfId="38026" xr:uid="{E77E9710-4E63-4813-9DE5-54AEC8E01201}"/>
    <cellStyle name="Normal 2 3 6 5" xfId="5030" xr:uid="{00000000-0005-0000-0000-0000D9150000}"/>
    <cellStyle name="Normal 2 3 6 5 2" xfId="6122" xr:uid="{00000000-0005-0000-0000-0000DA150000}"/>
    <cellStyle name="Normal 2 3 6 5 2 2" xfId="7462" xr:uid="{00000000-0005-0000-0000-0000DB150000}"/>
    <cellStyle name="Normal 2 3 6 5 2 2 2" xfId="15895" xr:uid="{00000000-0005-0000-0000-0000DC150000}"/>
    <cellStyle name="Normal 2 3 6 5 2 2 2 2" xfId="27789" xr:uid="{4BFC84E4-A2A3-4196-AFE1-A543136EEC13}"/>
    <cellStyle name="Normal 2 3 6 5 2 2 2 3" xfId="22129" xr:uid="{CC1CCA5B-1501-41B4-9637-1D6D51900CCE}"/>
    <cellStyle name="Normal 2 3 6 5 2 2 2 4" xfId="33169" xr:uid="{7A8C302E-F4C0-4E90-9FCA-884289F49158}"/>
    <cellStyle name="Normal 2 3 6 5 2 2 2 5" xfId="38041" xr:uid="{256F2AEA-07FB-4299-9E74-D8E7BF5F0D52}"/>
    <cellStyle name="Normal 2 3 6 5 2 2 3" xfId="24956" xr:uid="{30A82DE3-6AB7-4644-978C-761A83D95E91}"/>
    <cellStyle name="Normal 2 3 6 5 2 2 4" xfId="19296" xr:uid="{A675E29F-7A11-43B6-9934-54835B837903}"/>
    <cellStyle name="Normal 2 3 6 5 2 2 5" xfId="30617" xr:uid="{2115F0BD-8477-40CA-9C8E-4BE29B521C33}"/>
    <cellStyle name="Normal 2 3 6 5 2 2 6" xfId="38040" xr:uid="{8AF564A0-4AB9-456E-B441-FE9591157504}"/>
    <cellStyle name="Normal 2 3 6 5 2 3" xfId="14575" xr:uid="{00000000-0005-0000-0000-0000DD150000}"/>
    <cellStyle name="Normal 2 3 6 5 2 3 2" xfId="26533" xr:uid="{BE6A5AB2-8CF3-4DA9-AFDD-9DAC6E145FD1}"/>
    <cellStyle name="Normal 2 3 6 5 2 3 3" xfId="20873" xr:uid="{4FF25BDE-1D83-404C-84D6-52ED4A8C0CE3}"/>
    <cellStyle name="Normal 2 3 6 5 2 3 4" xfId="31913" xr:uid="{EDD49E0D-9DB5-40C1-825E-EF64A411084C}"/>
    <cellStyle name="Normal 2 3 6 5 2 3 5" xfId="38042" xr:uid="{E57A2977-BA02-47BC-9C5D-156D75604EFD}"/>
    <cellStyle name="Normal 2 3 6 5 2 4" xfId="23700" xr:uid="{8E804B29-7E77-4FCC-9EAF-148593FD5D67}"/>
    <cellStyle name="Normal 2 3 6 5 2 5" xfId="18040" xr:uid="{2F188009-321C-49AE-B3EB-EF38C520BC96}"/>
    <cellStyle name="Normal 2 3 6 5 2 6" xfId="29361" xr:uid="{3C4C428E-74B2-4FC2-BE1A-2296CBF5FB80}"/>
    <cellStyle name="Normal 2 3 6 5 2 7" xfId="38039" xr:uid="{DCBA7FCA-821E-42CF-BD02-30FAA16112B9}"/>
    <cellStyle name="Normal 2 3 6 5 3" xfId="6893" xr:uid="{00000000-0005-0000-0000-0000DE150000}"/>
    <cellStyle name="Normal 2 3 6 5 3 2" xfId="15326" xr:uid="{00000000-0005-0000-0000-0000DF150000}"/>
    <cellStyle name="Normal 2 3 6 5 3 2 2" xfId="27220" xr:uid="{D3C3B3E5-A23D-4394-A4C2-6D9E5CD8E786}"/>
    <cellStyle name="Normal 2 3 6 5 3 2 3" xfId="21560" xr:uid="{9411DB03-FD6E-45ED-A886-8E771C0F56AA}"/>
    <cellStyle name="Normal 2 3 6 5 3 2 4" xfId="32600" xr:uid="{090491F9-AEF2-481F-8E43-9AABF570DC87}"/>
    <cellStyle name="Normal 2 3 6 5 3 2 5" xfId="38044" xr:uid="{044E88E8-BC15-41E1-8944-1B3F6ED303BA}"/>
    <cellStyle name="Normal 2 3 6 5 3 3" xfId="24387" xr:uid="{8CE0E21F-8A88-41B8-A822-87F694589616}"/>
    <cellStyle name="Normal 2 3 6 5 3 4" xfId="18727" xr:uid="{5C7AED00-14F7-4BD6-B0A8-A68737F9AC30}"/>
    <cellStyle name="Normal 2 3 6 5 3 5" xfId="30048" xr:uid="{B54471F2-E12A-4AA4-90D0-A8C162CE891A}"/>
    <cellStyle name="Normal 2 3 6 5 3 6" xfId="38043" xr:uid="{586C8B6D-2079-4D36-AD72-77BDFCEC5C98}"/>
    <cellStyle name="Normal 2 3 6 5 4" xfId="13934" xr:uid="{00000000-0005-0000-0000-0000E0150000}"/>
    <cellStyle name="Normal 2 3 6 5 4 2" xfId="25975" xr:uid="{B75CEC9A-0994-4677-8627-03B7BB138FDA}"/>
    <cellStyle name="Normal 2 3 6 5 4 3" xfId="20315" xr:uid="{D1BB1ADA-8AE3-475C-91BD-02E04DE0CFC1}"/>
    <cellStyle name="Normal 2 3 6 5 4 4" xfId="31355" xr:uid="{76E5D921-8790-40BB-A08E-EC5E6F2F36BD}"/>
    <cellStyle name="Normal 2 3 6 5 4 5" xfId="38045" xr:uid="{9410E97E-E4F4-41B1-9D9F-1FFD90BDA9FE}"/>
    <cellStyle name="Normal 2 3 6 5 5" xfId="22825" xr:uid="{DA901CAE-32F4-487F-9CF8-FC477B98DC1F}"/>
    <cellStyle name="Normal 2 3 6 5 6" xfId="17165" xr:uid="{A761F23A-2750-4531-8BCC-BBF17F70EAEF}"/>
    <cellStyle name="Normal 2 3 6 5 7" xfId="28486" xr:uid="{199D1E5C-C7B7-4A18-A6B0-4409FCF353E8}"/>
    <cellStyle name="Normal 2 3 6 5 8" xfId="38038" xr:uid="{C1EAB152-002D-452A-88A1-590B99757DB9}"/>
    <cellStyle name="Normal 2 3 6 6" xfId="6475" xr:uid="{00000000-0005-0000-0000-0000E1150000}"/>
    <cellStyle name="Normal 2 3 6 6 2" xfId="14908" xr:uid="{00000000-0005-0000-0000-0000E2150000}"/>
    <cellStyle name="Normal 2 3 6 6 2 2" xfId="26802" xr:uid="{7FF6736F-467A-461A-A840-BEDB4BDB9C80}"/>
    <cellStyle name="Normal 2 3 6 6 2 3" xfId="21142" xr:uid="{1EA1D2AB-7967-4E8B-BA5B-D3FAB8879A4E}"/>
    <cellStyle name="Normal 2 3 6 6 2 4" xfId="32182" xr:uid="{4FFC84E9-07A1-4FA6-A788-4A1764AA8C63}"/>
    <cellStyle name="Normal 2 3 6 6 2 5" xfId="38047" xr:uid="{3F5DCA78-0A06-4719-B1E6-F258513DEB98}"/>
    <cellStyle name="Normal 2 3 6 6 3" xfId="23969" xr:uid="{966BA8C9-4021-42A6-85D6-4D3547666F90}"/>
    <cellStyle name="Normal 2 3 6 6 4" xfId="18309" xr:uid="{37B999A3-C534-4983-9662-4F456B11EB6B}"/>
    <cellStyle name="Normal 2 3 6 6 5" xfId="29630" xr:uid="{EAAD1D26-8E6D-4400-9B1E-942F9A169DAA}"/>
    <cellStyle name="Normal 2 3 6 6 6" xfId="38046" xr:uid="{E032DE69-0D49-4A0A-A66A-508D79047460}"/>
    <cellStyle name="Normal 2 3 6 7" xfId="7892" xr:uid="{00000000-0005-0000-0000-0000E3150000}"/>
    <cellStyle name="Normal 2 3 6 7 2" xfId="25375" xr:uid="{74EF4E3D-8353-48C9-937A-EC7A4953F171}"/>
    <cellStyle name="Normal 2 3 6 7 3" xfId="19715" xr:uid="{33530A24-F3BC-403F-BB7D-8E67C9EB9E91}"/>
    <cellStyle name="Normal 2 3 6 7 4" xfId="31036" xr:uid="{CD956DEB-6EAC-46AA-A399-473BABF73EF0}"/>
    <cellStyle name="Normal 2 3 6 7 5" xfId="38048" xr:uid="{B4CF7A4D-1760-4532-985A-3EE38696321B}"/>
    <cellStyle name="Normal 2 3 6 8" xfId="22407" xr:uid="{B8E678F3-DC47-435E-82F0-2DC582C36A34}"/>
    <cellStyle name="Normal 2 3 6 9" xfId="16747" xr:uid="{AA61D5AE-018A-4DEB-95AE-D1CE8291A8D0}"/>
    <cellStyle name="Normal 2 3 7" xfId="4188" xr:uid="{00000000-0005-0000-0000-0000E4150000}"/>
    <cellStyle name="Normal 2 3 7 10" xfId="38049" xr:uid="{F55F8C77-4191-47A6-A81C-AA35B61321B7}"/>
    <cellStyle name="Normal 2 3 7 2" xfId="4934" xr:uid="{00000000-0005-0000-0000-0000E5150000}"/>
    <cellStyle name="Normal 2 3 7 2 2" xfId="5353" xr:uid="{00000000-0005-0000-0000-0000E6150000}"/>
    <cellStyle name="Normal 2 3 7 2 2 2" xfId="7216" xr:uid="{00000000-0005-0000-0000-0000E7150000}"/>
    <cellStyle name="Normal 2 3 7 2 2 2 2" xfId="15649" xr:uid="{00000000-0005-0000-0000-0000E8150000}"/>
    <cellStyle name="Normal 2 3 7 2 2 2 2 2" xfId="27543" xr:uid="{87A70798-4925-4D77-9B5C-C0CC5503FD84}"/>
    <cellStyle name="Normal 2 3 7 2 2 2 2 3" xfId="21883" xr:uid="{AFFAD592-4FE9-47E0-9572-28B64D7BF154}"/>
    <cellStyle name="Normal 2 3 7 2 2 2 2 4" xfId="32923" xr:uid="{733CF199-70FE-4760-BCB0-253CEE65EC66}"/>
    <cellStyle name="Normal 2 3 7 2 2 2 2 5" xfId="38053" xr:uid="{68756284-CFB0-4BCB-B212-87C9EFAFA8BE}"/>
    <cellStyle name="Normal 2 3 7 2 2 2 3" xfId="24710" xr:uid="{E93DB71E-066D-4A5E-A0B1-268A13CD6A38}"/>
    <cellStyle name="Normal 2 3 7 2 2 2 4" xfId="19050" xr:uid="{85F83850-EB74-48DF-8E2B-2B50A2F7D4BB}"/>
    <cellStyle name="Normal 2 3 7 2 2 2 5" xfId="30371" xr:uid="{4B240F64-C0BD-4F05-8646-DF5AC9A06FD5}"/>
    <cellStyle name="Normal 2 3 7 2 2 2 6" xfId="38052" xr:uid="{5283789C-5D12-4AD0-8FDB-BED3913F93E6}"/>
    <cellStyle name="Normal 2 3 7 2 2 3" xfId="14239" xr:uid="{00000000-0005-0000-0000-0000E9150000}"/>
    <cellStyle name="Normal 2 3 7 2 2 3 2" xfId="26278" xr:uid="{C528AFEE-39DA-4294-A099-B35E8C21163D}"/>
    <cellStyle name="Normal 2 3 7 2 2 3 3" xfId="20618" xr:uid="{D756A46A-D93C-4023-A0E3-38FF89D1DD3D}"/>
    <cellStyle name="Normal 2 3 7 2 2 3 4" xfId="31658" xr:uid="{EEFC6578-E61B-4550-A4A3-FB1B5393127D}"/>
    <cellStyle name="Normal 2 3 7 2 2 3 5" xfId="38054" xr:uid="{4A5FC529-AEE1-4BB1-A3C6-72A5EB7402FB}"/>
    <cellStyle name="Normal 2 3 7 2 2 4" xfId="23148" xr:uid="{9CD63ABC-43AB-4EEC-B02A-57491D046AE0}"/>
    <cellStyle name="Normal 2 3 7 2 2 5" xfId="17488" xr:uid="{594B90EA-294C-4AD6-89FA-FAB701958AC6}"/>
    <cellStyle name="Normal 2 3 7 2 2 6" xfId="28809" xr:uid="{7B6EB20C-07F4-4D8F-935A-1601D96E314D}"/>
    <cellStyle name="Normal 2 3 7 2 2 7" xfId="38051" xr:uid="{F4217099-8BB8-4137-832C-E6FC7EA6871D}"/>
    <cellStyle name="Normal 2 3 7 2 3" xfId="6127" xr:uid="{00000000-0005-0000-0000-0000EA150000}"/>
    <cellStyle name="Normal 2 3 7 2 3 2" xfId="7467" xr:uid="{00000000-0005-0000-0000-0000EB150000}"/>
    <cellStyle name="Normal 2 3 7 2 3 2 2" xfId="15900" xr:uid="{00000000-0005-0000-0000-0000EC150000}"/>
    <cellStyle name="Normal 2 3 7 2 3 2 2 2" xfId="27794" xr:uid="{C16DE2B5-1700-43D9-8134-AF231FF05857}"/>
    <cellStyle name="Normal 2 3 7 2 3 2 2 3" xfId="22134" xr:uid="{78B47499-469B-48F8-ADFE-75911E417914}"/>
    <cellStyle name="Normal 2 3 7 2 3 2 2 4" xfId="33174" xr:uid="{38570CED-30CD-4D73-9333-23FBBFCDA0B1}"/>
    <cellStyle name="Normal 2 3 7 2 3 2 2 5" xfId="38057" xr:uid="{0810AD20-7987-4F27-9081-00F6CB8F2DCB}"/>
    <cellStyle name="Normal 2 3 7 2 3 2 3" xfId="24961" xr:uid="{97D48916-8A91-4DD7-84B2-8049F04B3E1C}"/>
    <cellStyle name="Normal 2 3 7 2 3 2 4" xfId="19301" xr:uid="{3E963F46-AA1D-49D0-BE39-641321A0B27A}"/>
    <cellStyle name="Normal 2 3 7 2 3 2 5" xfId="30622" xr:uid="{A4DEC964-5F3E-46F1-9464-05CD2035CEE7}"/>
    <cellStyle name="Normal 2 3 7 2 3 2 6" xfId="38056" xr:uid="{7B0E0CB0-05EB-4A85-A819-6586E7B1CD43}"/>
    <cellStyle name="Normal 2 3 7 2 3 3" xfId="14580" xr:uid="{00000000-0005-0000-0000-0000ED150000}"/>
    <cellStyle name="Normal 2 3 7 2 3 3 2" xfId="26538" xr:uid="{327820B1-0FCF-47A3-99E6-18AE3E77F26E}"/>
    <cellStyle name="Normal 2 3 7 2 3 3 3" xfId="20878" xr:uid="{BCC3EF58-D1EC-4139-9EAF-CD18A514FD0D}"/>
    <cellStyle name="Normal 2 3 7 2 3 3 4" xfId="31918" xr:uid="{09B5F937-C2CB-44F2-9014-84859772F09A}"/>
    <cellStyle name="Normal 2 3 7 2 3 3 5" xfId="38058" xr:uid="{2FA7885B-191D-4A73-8812-9EBB7AB2BDBC}"/>
    <cellStyle name="Normal 2 3 7 2 3 4" xfId="23705" xr:uid="{31B959A5-D944-48C1-B82E-A02BD6FC5C31}"/>
    <cellStyle name="Normal 2 3 7 2 3 5" xfId="18045" xr:uid="{7807C0EF-F92A-487C-8B58-CAA7BA79D450}"/>
    <cellStyle name="Normal 2 3 7 2 3 6" xfId="29366" xr:uid="{134C7D1B-CCBD-45AF-A72F-A224462B965B}"/>
    <cellStyle name="Normal 2 3 7 2 3 7" xfId="38055" xr:uid="{3B21641D-0634-48B3-8CB2-8D2907D2F512}"/>
    <cellStyle name="Normal 2 3 7 2 4" xfId="6798" xr:uid="{00000000-0005-0000-0000-0000EE150000}"/>
    <cellStyle name="Normal 2 3 7 2 4 2" xfId="15231" xr:uid="{00000000-0005-0000-0000-0000EF150000}"/>
    <cellStyle name="Normal 2 3 7 2 4 2 2" xfId="27125" xr:uid="{E533ACA8-1DED-4BBC-8F95-75FF9B73F2A2}"/>
    <cellStyle name="Normal 2 3 7 2 4 2 3" xfId="21465" xr:uid="{AD66E489-33A4-4525-A212-4786A14536E5}"/>
    <cellStyle name="Normal 2 3 7 2 4 2 4" xfId="32505" xr:uid="{4944A59A-E9FE-4F52-B715-6BE9F8714AE2}"/>
    <cellStyle name="Normal 2 3 7 2 4 2 5" xfId="38060" xr:uid="{6A0D38F8-2EE3-4147-AD49-1D31924B44A0}"/>
    <cellStyle name="Normal 2 3 7 2 4 3" xfId="24292" xr:uid="{2F9EAC16-5BDA-4962-A58E-D7A667831678}"/>
    <cellStyle name="Normal 2 3 7 2 4 4" xfId="18632" xr:uid="{29F56C20-5980-44D7-BAB1-7384D0AABDC8}"/>
    <cellStyle name="Normal 2 3 7 2 4 5" xfId="29953" xr:uid="{A1D142E0-50A3-45DB-9C4D-690574C492EB}"/>
    <cellStyle name="Normal 2 3 7 2 4 6" xfId="38059" xr:uid="{F4E1910B-E1ED-4FB5-8E68-2118733DB69F}"/>
    <cellStyle name="Normal 2 3 7 2 5" xfId="7897" xr:uid="{00000000-0005-0000-0000-0000F0150000}"/>
    <cellStyle name="Normal 2 3 7 2 5 2" xfId="25380" xr:uid="{201ED8CE-5952-4B6A-9A1A-CC736CAE0F34}"/>
    <cellStyle name="Normal 2 3 7 2 5 3" xfId="19720" xr:uid="{DDF8295C-CC8F-43CE-AC02-CB360DB753C5}"/>
    <cellStyle name="Normal 2 3 7 2 5 4" xfId="31041" xr:uid="{87A7B2C6-6522-4CC8-9D01-E1E88F318ABC}"/>
    <cellStyle name="Normal 2 3 7 2 5 5" xfId="38061" xr:uid="{1D963B97-AD5B-4D76-BD96-790127949C80}"/>
    <cellStyle name="Normal 2 3 7 2 6" xfId="22730" xr:uid="{D3B2B4F4-62C5-41EA-9C4B-11912FA001B5}"/>
    <cellStyle name="Normal 2 3 7 2 7" xfId="17070" xr:uid="{C419E68A-0AE5-439C-9B2C-4B8D511CF0F1}"/>
    <cellStyle name="Normal 2 3 7 2 8" xfId="28391" xr:uid="{02C41140-5311-4D3A-9B94-ABDC9664A52D}"/>
    <cellStyle name="Normal 2 3 7 2 9" xfId="38050" xr:uid="{1C5C1432-4DFD-4C32-B69B-29A472AC231C}"/>
    <cellStyle name="Normal 2 3 7 3" xfId="5144" xr:uid="{00000000-0005-0000-0000-0000F1150000}"/>
    <cellStyle name="Normal 2 3 7 3 2" xfId="6126" xr:uid="{00000000-0005-0000-0000-0000F2150000}"/>
    <cellStyle name="Normal 2 3 7 3 2 2" xfId="7466" xr:uid="{00000000-0005-0000-0000-0000F3150000}"/>
    <cellStyle name="Normal 2 3 7 3 2 2 2" xfId="15899" xr:uid="{00000000-0005-0000-0000-0000F4150000}"/>
    <cellStyle name="Normal 2 3 7 3 2 2 2 2" xfId="27793" xr:uid="{997F1FE9-F61E-495C-8FA8-2305C5D2370C}"/>
    <cellStyle name="Normal 2 3 7 3 2 2 2 3" xfId="22133" xr:uid="{E17DC315-96F3-4708-8E9F-C983D5A6821F}"/>
    <cellStyle name="Normal 2 3 7 3 2 2 2 4" xfId="33173" xr:uid="{0B3037A6-CAFE-42EE-A2F6-39603FAC49D5}"/>
    <cellStyle name="Normal 2 3 7 3 2 2 2 5" xfId="38065" xr:uid="{F838A77B-1F2B-419C-B033-02902B0C790E}"/>
    <cellStyle name="Normal 2 3 7 3 2 2 3" xfId="24960" xr:uid="{E002C132-38EE-4E37-A459-6FBD7FA6601E}"/>
    <cellStyle name="Normal 2 3 7 3 2 2 4" xfId="19300" xr:uid="{24547003-B219-4D52-9448-61D28C04628E}"/>
    <cellStyle name="Normal 2 3 7 3 2 2 5" xfId="30621" xr:uid="{70163EF5-369A-4BCF-8663-AE65AEA9C33E}"/>
    <cellStyle name="Normal 2 3 7 3 2 2 6" xfId="38064" xr:uid="{0826D2DE-195D-429A-ACC8-CB0063B6A511}"/>
    <cellStyle name="Normal 2 3 7 3 2 3" xfId="14579" xr:uid="{00000000-0005-0000-0000-0000F5150000}"/>
    <cellStyle name="Normal 2 3 7 3 2 3 2" xfId="26537" xr:uid="{45027BC4-7BFD-412A-9FCD-B4D53C5C43DF}"/>
    <cellStyle name="Normal 2 3 7 3 2 3 3" xfId="20877" xr:uid="{BEE9CE8C-0913-41B6-80D6-C7891807A682}"/>
    <cellStyle name="Normal 2 3 7 3 2 3 4" xfId="31917" xr:uid="{C9F2AE1B-BF4E-4E05-BD4F-03C92A51DE61}"/>
    <cellStyle name="Normal 2 3 7 3 2 3 5" xfId="38066" xr:uid="{55C81A18-D0E6-4CA6-8611-5B980DD51806}"/>
    <cellStyle name="Normal 2 3 7 3 2 4" xfId="23704" xr:uid="{3213C834-AAB6-469E-BBF2-E4F2B465345C}"/>
    <cellStyle name="Normal 2 3 7 3 2 5" xfId="18044" xr:uid="{AD3C6410-FA9D-410F-939E-022ECE09092F}"/>
    <cellStyle name="Normal 2 3 7 3 2 6" xfId="29365" xr:uid="{A3EE37A5-E9F4-4278-A7F3-D5A214FBC805}"/>
    <cellStyle name="Normal 2 3 7 3 2 7" xfId="38063" xr:uid="{11D4DDFD-11CA-4B80-AD70-C14B4DD129F5}"/>
    <cellStyle name="Normal 2 3 7 3 3" xfId="7007" xr:uid="{00000000-0005-0000-0000-0000F6150000}"/>
    <cellStyle name="Normal 2 3 7 3 3 2" xfId="15440" xr:uid="{00000000-0005-0000-0000-0000F7150000}"/>
    <cellStyle name="Normal 2 3 7 3 3 2 2" xfId="27334" xr:uid="{68CF0195-FB75-4A72-8280-5D54DCA06C26}"/>
    <cellStyle name="Normal 2 3 7 3 3 2 3" xfId="21674" xr:uid="{D42C404E-FD9E-484C-AC1D-8A58EEB655F6}"/>
    <cellStyle name="Normal 2 3 7 3 3 2 4" xfId="32714" xr:uid="{C92BF7BE-115C-4467-BD78-43111381E945}"/>
    <cellStyle name="Normal 2 3 7 3 3 2 5" xfId="38068" xr:uid="{F52EFB1F-5B9E-45ED-9AB2-2679E678AA38}"/>
    <cellStyle name="Normal 2 3 7 3 3 3" xfId="24501" xr:uid="{FF4D444B-7D47-4748-A74B-00FBC5F849EB}"/>
    <cellStyle name="Normal 2 3 7 3 3 4" xfId="18841" xr:uid="{1C5FCAEF-FBDC-49D6-A4DA-E13D7C372C99}"/>
    <cellStyle name="Normal 2 3 7 3 3 5" xfId="30162" xr:uid="{DD4CBCFA-9AF3-4F0A-B8E5-5640B39F34E6}"/>
    <cellStyle name="Normal 2 3 7 3 3 6" xfId="38067" xr:uid="{09299962-4BB5-43D4-81F2-8890BC763A98}"/>
    <cellStyle name="Normal 2 3 7 3 4" xfId="14031" xr:uid="{00000000-0005-0000-0000-0000F8150000}"/>
    <cellStyle name="Normal 2 3 7 3 4 2" xfId="26070" xr:uid="{75E982DE-ECCC-4725-A2BF-61FBA4FA5F0D}"/>
    <cellStyle name="Normal 2 3 7 3 4 3" xfId="20410" xr:uid="{D182114B-254D-4A86-928B-8DE33B59CBE4}"/>
    <cellStyle name="Normal 2 3 7 3 4 4" xfId="31450" xr:uid="{0D0CC333-77E8-410E-8264-2ECF5CFB1F15}"/>
    <cellStyle name="Normal 2 3 7 3 4 5" xfId="38069" xr:uid="{9FC0785C-A237-4265-BEAE-11D19FE33C02}"/>
    <cellStyle name="Normal 2 3 7 3 5" xfId="22939" xr:uid="{7E662094-8580-4EFE-90FD-0A555FDDEA2E}"/>
    <cellStyle name="Normal 2 3 7 3 6" xfId="17279" xr:uid="{7AA70795-07B6-4825-AA5E-D95B82C02B1A}"/>
    <cellStyle name="Normal 2 3 7 3 7" xfId="28600" xr:uid="{92F3094D-2E94-41D1-BFEC-4014B410D560}"/>
    <cellStyle name="Normal 2 3 7 3 8" xfId="38062" xr:uid="{3F14460F-D894-4186-8E75-6E479DF5EEA1}"/>
    <cellStyle name="Normal 2 3 7 4" xfId="5666" xr:uid="{00000000-0005-0000-0000-0000F9150000}"/>
    <cellStyle name="Normal 2 3 7 4 2" xfId="38070" xr:uid="{9890A48D-C2A9-45C9-874D-2247E398A68D}"/>
    <cellStyle name="Normal 2 3 7 5" xfId="6589" xr:uid="{00000000-0005-0000-0000-0000FA150000}"/>
    <cellStyle name="Normal 2 3 7 5 2" xfId="15022" xr:uid="{00000000-0005-0000-0000-0000FB150000}"/>
    <cellStyle name="Normal 2 3 7 5 2 2" xfId="26916" xr:uid="{B845A9A9-7A12-4018-B805-D37D69F81957}"/>
    <cellStyle name="Normal 2 3 7 5 2 3" xfId="21256" xr:uid="{0038A933-EB03-40CB-8D82-0C79A40CC365}"/>
    <cellStyle name="Normal 2 3 7 5 2 4" xfId="32296" xr:uid="{8A194725-BB1F-4928-AA86-FCF4426D0FF5}"/>
    <cellStyle name="Normal 2 3 7 5 2 5" xfId="38072" xr:uid="{A6F099D7-168E-4A4F-8C97-A8910A296F18}"/>
    <cellStyle name="Normal 2 3 7 5 3" xfId="24083" xr:uid="{FFAE262D-883D-44A9-B60C-9A7F0FEAEFC8}"/>
    <cellStyle name="Normal 2 3 7 5 4" xfId="18423" xr:uid="{4CB04751-E2A7-4429-8556-B87E877A9CC3}"/>
    <cellStyle name="Normal 2 3 7 5 5" xfId="29744" xr:uid="{D695CF86-3EDE-421F-A7A4-C80ACC64A627}"/>
    <cellStyle name="Normal 2 3 7 5 6" xfId="38071" xr:uid="{CCD88EF3-8DCC-4D87-A1B3-BB612AA455EE}"/>
    <cellStyle name="Normal 2 3 7 6" xfId="7896" xr:uid="{00000000-0005-0000-0000-0000FC150000}"/>
    <cellStyle name="Normal 2 3 7 6 2" xfId="25379" xr:uid="{99451D4D-031A-441A-B1EF-C256A70F5155}"/>
    <cellStyle name="Normal 2 3 7 6 3" xfId="19719" xr:uid="{C88CABDF-5C7D-4BC6-B848-FA1C66FB81CB}"/>
    <cellStyle name="Normal 2 3 7 6 4" xfId="31040" xr:uid="{11338DD0-0532-4EBF-B665-84E0EED2879F}"/>
    <cellStyle name="Normal 2 3 7 6 5" xfId="38073" xr:uid="{760687A8-64AD-4C6F-876A-1DA5C535893F}"/>
    <cellStyle name="Normal 2 3 7 7" xfId="22521" xr:uid="{6DF9A978-BCEF-455C-86BD-95509C6E5610}"/>
    <cellStyle name="Normal 2 3 7 8" xfId="16861" xr:uid="{7A6B1924-64B0-4816-8D33-3B5BFA016ADF}"/>
    <cellStyle name="Normal 2 3 7 9" xfId="28182" xr:uid="{534A7056-6234-4065-8A37-A4D22F0B5D74}"/>
    <cellStyle name="Normal 2 3 8" xfId="4189" xr:uid="{00000000-0005-0000-0000-0000FD150000}"/>
    <cellStyle name="Normal 2 3 8 10" xfId="38074" xr:uid="{AE8DA18C-C633-46A9-BCD2-54E6F9560091}"/>
    <cellStyle name="Normal 2 3 8 2" xfId="4935" xr:uid="{00000000-0005-0000-0000-0000FE150000}"/>
    <cellStyle name="Normal 2 3 8 2 2" xfId="5354" xr:uid="{00000000-0005-0000-0000-0000FF150000}"/>
    <cellStyle name="Normal 2 3 8 2 2 2" xfId="7217" xr:uid="{00000000-0005-0000-0000-000000160000}"/>
    <cellStyle name="Normal 2 3 8 2 2 2 2" xfId="15650" xr:uid="{00000000-0005-0000-0000-000001160000}"/>
    <cellStyle name="Normal 2 3 8 2 2 2 2 2" xfId="27544" xr:uid="{B83FD330-37D7-4874-B291-0E35EEADA7FD}"/>
    <cellStyle name="Normal 2 3 8 2 2 2 2 3" xfId="21884" xr:uid="{43E639A7-12A6-4C92-BE1E-A2505CFD8C7D}"/>
    <cellStyle name="Normal 2 3 8 2 2 2 2 4" xfId="32924" xr:uid="{A16D4284-AE46-462D-9E78-EE0FE0065804}"/>
    <cellStyle name="Normal 2 3 8 2 2 2 2 5" xfId="38078" xr:uid="{A8484E1F-C045-4606-8765-9063948AEA35}"/>
    <cellStyle name="Normal 2 3 8 2 2 2 3" xfId="24711" xr:uid="{F0763BC8-5B64-4BD9-BFDD-B74C06973059}"/>
    <cellStyle name="Normal 2 3 8 2 2 2 4" xfId="19051" xr:uid="{CA597900-4E7D-4588-87CE-F5F26B754C8A}"/>
    <cellStyle name="Normal 2 3 8 2 2 2 5" xfId="30372" xr:uid="{E666C4B9-5C9F-4B15-9247-BD5DE39E8433}"/>
    <cellStyle name="Normal 2 3 8 2 2 2 6" xfId="38077" xr:uid="{BA45023B-A07D-49DE-A543-0773AFCED6C0}"/>
    <cellStyle name="Normal 2 3 8 2 2 3" xfId="14240" xr:uid="{00000000-0005-0000-0000-000002160000}"/>
    <cellStyle name="Normal 2 3 8 2 2 3 2" xfId="26279" xr:uid="{684CD3CC-C59D-42A5-A39C-7ABD9F6D9026}"/>
    <cellStyle name="Normal 2 3 8 2 2 3 3" xfId="20619" xr:uid="{2558FD68-4D9D-457F-B4D2-A3B3A6C98B1B}"/>
    <cellStyle name="Normal 2 3 8 2 2 3 4" xfId="31659" xr:uid="{1850A1B5-9ED8-4BF6-9481-2896B66553D0}"/>
    <cellStyle name="Normal 2 3 8 2 2 3 5" xfId="38079" xr:uid="{65EF77D8-229A-489A-9B12-947BE72EF44E}"/>
    <cellStyle name="Normal 2 3 8 2 2 4" xfId="23149" xr:uid="{4785563D-0E79-4F11-A25B-30A19CB57C2F}"/>
    <cellStyle name="Normal 2 3 8 2 2 5" xfId="17489" xr:uid="{B7D2240F-90B1-4FF4-9B8E-D0B85E306417}"/>
    <cellStyle name="Normal 2 3 8 2 2 6" xfId="28810" xr:uid="{57109994-84CE-4426-A9E3-C85C224AAE3A}"/>
    <cellStyle name="Normal 2 3 8 2 2 7" xfId="38076" xr:uid="{DA18FF2D-5C45-4E16-8AA5-2FF9935B55D6}"/>
    <cellStyle name="Normal 2 3 8 2 3" xfId="6129" xr:uid="{00000000-0005-0000-0000-000003160000}"/>
    <cellStyle name="Normal 2 3 8 2 3 2" xfId="7469" xr:uid="{00000000-0005-0000-0000-000004160000}"/>
    <cellStyle name="Normal 2 3 8 2 3 2 2" xfId="15902" xr:uid="{00000000-0005-0000-0000-000005160000}"/>
    <cellStyle name="Normal 2 3 8 2 3 2 2 2" xfId="27796" xr:uid="{CFBD000A-00E8-4D94-B007-4BC8A4ABF466}"/>
    <cellStyle name="Normal 2 3 8 2 3 2 2 3" xfId="22136" xr:uid="{BA0B20E8-45C4-439F-A9AF-DC92A1D9EB62}"/>
    <cellStyle name="Normal 2 3 8 2 3 2 2 4" xfId="33176" xr:uid="{48BA3F9A-E196-43AC-B925-C6A365B62EB3}"/>
    <cellStyle name="Normal 2 3 8 2 3 2 2 5" xfId="38082" xr:uid="{54217CA9-FBAF-4AC4-A9AE-D3AE9362797D}"/>
    <cellStyle name="Normal 2 3 8 2 3 2 3" xfId="24963" xr:uid="{CBA80477-BA1F-43E8-A60D-E19AD47D8043}"/>
    <cellStyle name="Normal 2 3 8 2 3 2 4" xfId="19303" xr:uid="{B9C945C6-B098-42B9-97BC-48AC151A1025}"/>
    <cellStyle name="Normal 2 3 8 2 3 2 5" xfId="30624" xr:uid="{7C19AE67-3094-48BF-8555-D59F34A01561}"/>
    <cellStyle name="Normal 2 3 8 2 3 2 6" xfId="38081" xr:uid="{3B6208F6-2103-48EA-AAEC-1E678890B127}"/>
    <cellStyle name="Normal 2 3 8 2 3 3" xfId="14582" xr:uid="{00000000-0005-0000-0000-000006160000}"/>
    <cellStyle name="Normal 2 3 8 2 3 3 2" xfId="26540" xr:uid="{98B0C4FD-5AB9-4FD5-B61C-69AF25B63DCD}"/>
    <cellStyle name="Normal 2 3 8 2 3 3 3" xfId="20880" xr:uid="{145B8A76-22E0-4D3A-B0EE-86BE0AD553F3}"/>
    <cellStyle name="Normal 2 3 8 2 3 3 4" xfId="31920" xr:uid="{4565456A-1C43-4D00-91D5-75BB399149C2}"/>
    <cellStyle name="Normal 2 3 8 2 3 3 5" xfId="38083" xr:uid="{A9303EE4-FEE6-40BC-BEC7-6625E9E0D965}"/>
    <cellStyle name="Normal 2 3 8 2 3 4" xfId="23707" xr:uid="{291BC926-95A0-4A09-9EA8-FC5AC55E10C9}"/>
    <cellStyle name="Normal 2 3 8 2 3 5" xfId="18047" xr:uid="{97D65E2D-F5C9-4816-8476-10BDE25180DF}"/>
    <cellStyle name="Normal 2 3 8 2 3 6" xfId="29368" xr:uid="{F08B7C31-07D4-4810-B98A-E1FD7C6FF88F}"/>
    <cellStyle name="Normal 2 3 8 2 3 7" xfId="38080" xr:uid="{CA5B935C-58F8-4EBE-BFE5-B80F6532F87F}"/>
    <cellStyle name="Normal 2 3 8 2 4" xfId="6799" xr:uid="{00000000-0005-0000-0000-000007160000}"/>
    <cellStyle name="Normal 2 3 8 2 4 2" xfId="15232" xr:uid="{00000000-0005-0000-0000-000008160000}"/>
    <cellStyle name="Normal 2 3 8 2 4 2 2" xfId="27126" xr:uid="{E82A5394-9298-4AA0-97D9-B0B082CD8F5F}"/>
    <cellStyle name="Normal 2 3 8 2 4 2 3" xfId="21466" xr:uid="{8C6BDD0E-2765-4242-A86E-7492FD986C8E}"/>
    <cellStyle name="Normal 2 3 8 2 4 2 4" xfId="32506" xr:uid="{E79B30D6-3F95-4C3B-B7B5-D5EEAF0DF44D}"/>
    <cellStyle name="Normal 2 3 8 2 4 2 5" xfId="38085" xr:uid="{D25F9A7F-97DC-40B2-9CFA-C7FCC756C9D8}"/>
    <cellStyle name="Normal 2 3 8 2 4 3" xfId="24293" xr:uid="{E0D058FC-B0CA-4856-A4B9-8F69388D4757}"/>
    <cellStyle name="Normal 2 3 8 2 4 4" xfId="18633" xr:uid="{98B4B3E5-FA04-494D-8E3F-90D3A31C6AC2}"/>
    <cellStyle name="Normal 2 3 8 2 4 5" xfId="29954" xr:uid="{00172F15-3010-4A32-A5FB-700185CF13DA}"/>
    <cellStyle name="Normal 2 3 8 2 4 6" xfId="38084" xr:uid="{6D5637EF-06AB-445F-975B-87AEF89CE789}"/>
    <cellStyle name="Normal 2 3 8 2 5" xfId="7899" xr:uid="{00000000-0005-0000-0000-000009160000}"/>
    <cellStyle name="Normal 2 3 8 2 5 2" xfId="25382" xr:uid="{8B6D9224-4EEA-4911-8C12-2BA4BA134FD3}"/>
    <cellStyle name="Normal 2 3 8 2 5 3" xfId="19722" xr:uid="{F990B26D-3811-4B08-82D6-63B47D33D64D}"/>
    <cellStyle name="Normal 2 3 8 2 5 4" xfId="31043" xr:uid="{5B470F43-EFD2-4483-8686-C5D4B0E0DE49}"/>
    <cellStyle name="Normal 2 3 8 2 5 5" xfId="38086" xr:uid="{07C01463-5431-4092-A51C-C5EEF247F571}"/>
    <cellStyle name="Normal 2 3 8 2 6" xfId="22731" xr:uid="{7B3F588B-5FFC-436C-9B5A-49D7F67E257D}"/>
    <cellStyle name="Normal 2 3 8 2 7" xfId="17071" xr:uid="{69DD8EBB-CA07-4399-A876-52C844712781}"/>
    <cellStyle name="Normal 2 3 8 2 8" xfId="28392" xr:uid="{65AF4057-5B30-4B87-96A7-F4B86F24DAD4}"/>
    <cellStyle name="Normal 2 3 8 2 9" xfId="38075" xr:uid="{338835ED-63A1-4903-A7ED-6158A4EA414D}"/>
    <cellStyle name="Normal 2 3 8 3" xfId="5145" xr:uid="{00000000-0005-0000-0000-00000A160000}"/>
    <cellStyle name="Normal 2 3 8 3 2" xfId="6128" xr:uid="{00000000-0005-0000-0000-00000B160000}"/>
    <cellStyle name="Normal 2 3 8 3 2 2" xfId="7468" xr:uid="{00000000-0005-0000-0000-00000C160000}"/>
    <cellStyle name="Normal 2 3 8 3 2 2 2" xfId="15901" xr:uid="{00000000-0005-0000-0000-00000D160000}"/>
    <cellStyle name="Normal 2 3 8 3 2 2 2 2" xfId="27795" xr:uid="{7C68C308-FF49-419A-A385-BDC75C4A3900}"/>
    <cellStyle name="Normal 2 3 8 3 2 2 2 3" xfId="22135" xr:uid="{13746656-F5B3-451D-AB98-F0026E445608}"/>
    <cellStyle name="Normal 2 3 8 3 2 2 2 4" xfId="33175" xr:uid="{16020270-9A1B-413D-9D10-3A61D2E41A58}"/>
    <cellStyle name="Normal 2 3 8 3 2 2 2 5" xfId="38090" xr:uid="{6BB4BC5E-B94A-405C-A548-BF3C107D366C}"/>
    <cellStyle name="Normal 2 3 8 3 2 2 3" xfId="24962" xr:uid="{D5DEA24E-6F48-41AB-BC46-12B7C584647F}"/>
    <cellStyle name="Normal 2 3 8 3 2 2 4" xfId="19302" xr:uid="{ED0CB5BD-D82C-42EE-8B96-33103634BE9D}"/>
    <cellStyle name="Normal 2 3 8 3 2 2 5" xfId="30623" xr:uid="{EBEB2388-D1D8-4376-9CAB-1A935226983F}"/>
    <cellStyle name="Normal 2 3 8 3 2 2 6" xfId="38089" xr:uid="{79B71D99-797A-4AE5-8BE9-680D2A672F0E}"/>
    <cellStyle name="Normal 2 3 8 3 2 3" xfId="14581" xr:uid="{00000000-0005-0000-0000-00000E160000}"/>
    <cellStyle name="Normal 2 3 8 3 2 3 2" xfId="26539" xr:uid="{5EB5215D-AB2E-4EA7-8045-75C6E1F70459}"/>
    <cellStyle name="Normal 2 3 8 3 2 3 3" xfId="20879" xr:uid="{E7123665-2696-4075-86E5-9952D3A84122}"/>
    <cellStyle name="Normal 2 3 8 3 2 3 4" xfId="31919" xr:uid="{7528D454-8D15-4E46-A3C5-8451D5D381FB}"/>
    <cellStyle name="Normal 2 3 8 3 2 3 5" xfId="38091" xr:uid="{EF025463-462A-4419-B2AB-8A0798F74B1B}"/>
    <cellStyle name="Normal 2 3 8 3 2 4" xfId="23706" xr:uid="{EFAB3A11-46EE-4E56-A696-40236191505D}"/>
    <cellStyle name="Normal 2 3 8 3 2 5" xfId="18046" xr:uid="{3B2C4778-0497-49DF-A38E-C7E2A3B37C0E}"/>
    <cellStyle name="Normal 2 3 8 3 2 6" xfId="29367" xr:uid="{66AFCED9-4D03-49E7-8D33-5C0E409358C7}"/>
    <cellStyle name="Normal 2 3 8 3 2 7" xfId="38088" xr:uid="{34A834DD-3397-4534-871F-1FB0C0BBDB35}"/>
    <cellStyle name="Normal 2 3 8 3 3" xfId="7008" xr:uid="{00000000-0005-0000-0000-00000F160000}"/>
    <cellStyle name="Normal 2 3 8 3 3 2" xfId="15441" xr:uid="{00000000-0005-0000-0000-000010160000}"/>
    <cellStyle name="Normal 2 3 8 3 3 2 2" xfId="27335" xr:uid="{0125F8F7-23BF-498C-8868-42C2CDFB3883}"/>
    <cellStyle name="Normal 2 3 8 3 3 2 3" xfId="21675" xr:uid="{E83EB220-94BE-4BEE-ADBB-7D65DD596538}"/>
    <cellStyle name="Normal 2 3 8 3 3 2 4" xfId="32715" xr:uid="{B5E0BE37-BD1F-443F-8ED7-A2C7E7909E9B}"/>
    <cellStyle name="Normal 2 3 8 3 3 2 5" xfId="38093" xr:uid="{31A58C05-86F0-46F5-8531-E1C87E58B39A}"/>
    <cellStyle name="Normal 2 3 8 3 3 3" xfId="24502" xr:uid="{EBB814A1-A0E6-47D5-921C-869BDDB472BF}"/>
    <cellStyle name="Normal 2 3 8 3 3 4" xfId="18842" xr:uid="{E9B09ACF-2927-4925-9B18-51A7F79B9621}"/>
    <cellStyle name="Normal 2 3 8 3 3 5" xfId="30163" xr:uid="{BC2EDA3A-E189-493A-9FFB-FBABC1CAA13C}"/>
    <cellStyle name="Normal 2 3 8 3 3 6" xfId="38092" xr:uid="{51C7468C-E454-4134-97F7-7C5A4D59DCC6}"/>
    <cellStyle name="Normal 2 3 8 3 4" xfId="14032" xr:uid="{00000000-0005-0000-0000-000011160000}"/>
    <cellStyle name="Normal 2 3 8 3 4 2" xfId="26071" xr:uid="{0147E249-E21A-4D71-838E-666FFD46C47D}"/>
    <cellStyle name="Normal 2 3 8 3 4 3" xfId="20411" xr:uid="{EB539E25-8006-4BEA-8143-1A1363109449}"/>
    <cellStyle name="Normal 2 3 8 3 4 4" xfId="31451" xr:uid="{A12A2576-71A5-4A1D-81CC-DB362B759576}"/>
    <cellStyle name="Normal 2 3 8 3 4 5" xfId="38094" xr:uid="{AAB6EC74-8ADA-4810-A887-9A69D480CA36}"/>
    <cellStyle name="Normal 2 3 8 3 5" xfId="22940" xr:uid="{6AEB6F34-6427-4EDB-84E4-67DA20F0BAB5}"/>
    <cellStyle name="Normal 2 3 8 3 6" xfId="17280" xr:uid="{E3FE9FF2-B264-427D-A394-4C1D46021176}"/>
    <cellStyle name="Normal 2 3 8 3 7" xfId="28601" xr:uid="{82EFAFDC-7D73-4F0A-846F-16F72F36C132}"/>
    <cellStyle name="Normal 2 3 8 3 8" xfId="38087" xr:uid="{F23FBD54-8CA7-43C7-BF1C-5FA35633AE45}"/>
    <cellStyle name="Normal 2 3 8 4" xfId="5667" xr:uid="{00000000-0005-0000-0000-000012160000}"/>
    <cellStyle name="Normal 2 3 8 4 2" xfId="38095" xr:uid="{7FAEE5FB-B114-4CE9-BC81-762EB768B875}"/>
    <cellStyle name="Normal 2 3 8 5" xfId="6590" xr:uid="{00000000-0005-0000-0000-000013160000}"/>
    <cellStyle name="Normal 2 3 8 5 2" xfId="15023" xr:uid="{00000000-0005-0000-0000-000014160000}"/>
    <cellStyle name="Normal 2 3 8 5 2 2" xfId="26917" xr:uid="{94AD0CC3-A13F-4DF1-819E-E9E849587FB2}"/>
    <cellStyle name="Normal 2 3 8 5 2 3" xfId="21257" xr:uid="{100D00D5-35EF-464D-9978-81000AF99617}"/>
    <cellStyle name="Normal 2 3 8 5 2 4" xfId="32297" xr:uid="{A08D1D0F-FC11-47DB-9181-0BFA341CD99A}"/>
    <cellStyle name="Normal 2 3 8 5 2 5" xfId="38097" xr:uid="{E4F2275D-18A2-46DC-8438-9C7C502D2D43}"/>
    <cellStyle name="Normal 2 3 8 5 3" xfId="24084" xr:uid="{A449EA98-2B6B-458D-860D-3E579E59BC99}"/>
    <cellStyle name="Normal 2 3 8 5 4" xfId="18424" xr:uid="{5A8ED4ED-AC58-4081-987F-35A8A40ABFE8}"/>
    <cellStyle name="Normal 2 3 8 5 5" xfId="29745" xr:uid="{37C17206-458F-440D-B130-0BD10DCF2CC5}"/>
    <cellStyle name="Normal 2 3 8 5 6" xfId="38096" xr:uid="{7D0F1D11-BE8E-4939-87A3-30C48CAC60D4}"/>
    <cellStyle name="Normal 2 3 8 6" xfId="7898" xr:uid="{00000000-0005-0000-0000-000015160000}"/>
    <cellStyle name="Normal 2 3 8 6 2" xfId="25381" xr:uid="{7940F172-2213-41BD-8E88-DE06E031B148}"/>
    <cellStyle name="Normal 2 3 8 6 3" xfId="19721" xr:uid="{FA963E6E-57E5-44E2-889F-86858AD7F23C}"/>
    <cellStyle name="Normal 2 3 8 6 4" xfId="31042" xr:uid="{67AC33CB-CD10-4D62-9D44-940E49B2D91D}"/>
    <cellStyle name="Normal 2 3 8 6 5" xfId="38098" xr:uid="{CC157E80-A900-4709-A8B6-FC252A50E20D}"/>
    <cellStyle name="Normal 2 3 8 7" xfId="22522" xr:uid="{F0C5F260-0DD9-442F-A1C6-0B5B999002D0}"/>
    <cellStyle name="Normal 2 3 8 8" xfId="16862" xr:uid="{FB76070F-E9E8-4E13-AE7B-D9E96F9CE3DF}"/>
    <cellStyle name="Normal 2 3 8 9" xfId="28183" xr:uid="{534085BE-0B44-4061-BFEE-F653E322D2CB}"/>
    <cellStyle name="Normal 2 3 9" xfId="4190" xr:uid="{00000000-0005-0000-0000-000016160000}"/>
    <cellStyle name="Normal 2 3 9 10" xfId="38099" xr:uid="{FF6F7BCD-C9AD-4E2F-8DE7-E7A92C15C55E}"/>
    <cellStyle name="Normal 2 3 9 2" xfId="4936" xr:uid="{00000000-0005-0000-0000-000017160000}"/>
    <cellStyle name="Normal 2 3 9 2 2" xfId="5355" xr:uid="{00000000-0005-0000-0000-000018160000}"/>
    <cellStyle name="Normal 2 3 9 2 2 2" xfId="7218" xr:uid="{00000000-0005-0000-0000-000019160000}"/>
    <cellStyle name="Normal 2 3 9 2 2 2 2" xfId="15651" xr:uid="{00000000-0005-0000-0000-00001A160000}"/>
    <cellStyle name="Normal 2 3 9 2 2 2 2 2" xfId="27545" xr:uid="{DF5ED9FD-8852-4BE1-96E1-2949C03A0130}"/>
    <cellStyle name="Normal 2 3 9 2 2 2 2 3" xfId="21885" xr:uid="{954AE406-C0CC-43E2-8899-B4D60F67502B}"/>
    <cellStyle name="Normal 2 3 9 2 2 2 2 4" xfId="32925" xr:uid="{412F9552-27D7-48E1-934D-8711F0153D03}"/>
    <cellStyle name="Normal 2 3 9 2 2 2 2 5" xfId="38103" xr:uid="{F1360683-4579-4AB3-99D9-1FC49B9F7AC0}"/>
    <cellStyle name="Normal 2 3 9 2 2 2 3" xfId="24712" xr:uid="{B9B5DAE0-5B95-4BFE-BD96-E5F470AD443D}"/>
    <cellStyle name="Normal 2 3 9 2 2 2 4" xfId="19052" xr:uid="{5D6EF869-773D-4636-A50C-2311887C519C}"/>
    <cellStyle name="Normal 2 3 9 2 2 2 5" xfId="30373" xr:uid="{08ECAB59-BA11-4BFB-BB86-9C204544F58B}"/>
    <cellStyle name="Normal 2 3 9 2 2 2 6" xfId="38102" xr:uid="{CC975C80-39DC-4D23-A32A-3E250FA2F2A0}"/>
    <cellStyle name="Normal 2 3 9 2 2 3" xfId="14241" xr:uid="{00000000-0005-0000-0000-00001B160000}"/>
    <cellStyle name="Normal 2 3 9 2 2 3 2" xfId="26280" xr:uid="{88B5076D-7F1B-40C2-9CAE-05AC04A1F86C}"/>
    <cellStyle name="Normal 2 3 9 2 2 3 3" xfId="20620" xr:uid="{49438FA2-E520-4655-8148-3F1AB2972988}"/>
    <cellStyle name="Normal 2 3 9 2 2 3 4" xfId="31660" xr:uid="{89E65FE4-48ED-4D5E-998D-7E0B88669AD8}"/>
    <cellStyle name="Normal 2 3 9 2 2 3 5" xfId="38104" xr:uid="{3C58D134-C241-4732-B745-E15011278215}"/>
    <cellStyle name="Normal 2 3 9 2 2 4" xfId="23150" xr:uid="{13113C9B-6B2F-4FB9-B13E-E33E0B7C5D3D}"/>
    <cellStyle name="Normal 2 3 9 2 2 5" xfId="17490" xr:uid="{7188E94F-0660-49B9-B98A-232245CE98FF}"/>
    <cellStyle name="Normal 2 3 9 2 2 6" xfId="28811" xr:uid="{C2D5FD62-F1A2-44F3-B6EE-2BC91F372B8E}"/>
    <cellStyle name="Normal 2 3 9 2 2 7" xfId="38101" xr:uid="{2C2A45BE-CE9C-42F9-A6BB-16D395573C03}"/>
    <cellStyle name="Normal 2 3 9 2 3" xfId="6131" xr:uid="{00000000-0005-0000-0000-00001C160000}"/>
    <cellStyle name="Normal 2 3 9 2 3 2" xfId="7471" xr:uid="{00000000-0005-0000-0000-00001D160000}"/>
    <cellStyle name="Normal 2 3 9 2 3 2 2" xfId="15904" xr:uid="{00000000-0005-0000-0000-00001E160000}"/>
    <cellStyle name="Normal 2 3 9 2 3 2 2 2" xfId="27798" xr:uid="{F63D7080-A6C8-4406-A083-5425B6D32D13}"/>
    <cellStyle name="Normal 2 3 9 2 3 2 2 3" xfId="22138" xr:uid="{97133710-95FC-4C0D-8DE2-262E866347B8}"/>
    <cellStyle name="Normal 2 3 9 2 3 2 2 4" xfId="33178" xr:uid="{BFBD5D32-6C55-4ED9-B7B8-72FCA06CB725}"/>
    <cellStyle name="Normal 2 3 9 2 3 2 2 5" xfId="38107" xr:uid="{8CE6F92D-4065-4634-A3EE-B35488478985}"/>
    <cellStyle name="Normal 2 3 9 2 3 2 3" xfId="24965" xr:uid="{3BE14C8E-7A25-4282-A113-6DF6A33D9135}"/>
    <cellStyle name="Normal 2 3 9 2 3 2 4" xfId="19305" xr:uid="{0704919E-FEA9-4F7B-BB28-A9C5D1416F07}"/>
    <cellStyle name="Normal 2 3 9 2 3 2 5" xfId="30626" xr:uid="{ECB016AF-5C66-4D64-89BD-49EEF7D0F6BF}"/>
    <cellStyle name="Normal 2 3 9 2 3 2 6" xfId="38106" xr:uid="{FBF11A7C-7960-4698-9351-D2B6BEBB161D}"/>
    <cellStyle name="Normal 2 3 9 2 3 3" xfId="14584" xr:uid="{00000000-0005-0000-0000-00001F160000}"/>
    <cellStyle name="Normal 2 3 9 2 3 3 2" xfId="26542" xr:uid="{61AFC2EB-F30E-4C97-9C7D-4110CCF7F3FD}"/>
    <cellStyle name="Normal 2 3 9 2 3 3 3" xfId="20882" xr:uid="{A2505AD8-D0A8-4C8D-90D9-54588B13E023}"/>
    <cellStyle name="Normal 2 3 9 2 3 3 4" xfId="31922" xr:uid="{F3E26CAF-E692-46C0-8503-4167D3AD1AB7}"/>
    <cellStyle name="Normal 2 3 9 2 3 3 5" xfId="38108" xr:uid="{20522E9B-7B98-4742-BE73-32AA9C037D0E}"/>
    <cellStyle name="Normal 2 3 9 2 3 4" xfId="23709" xr:uid="{BB0D4036-637C-4519-8CB3-7174DCCBF003}"/>
    <cellStyle name="Normal 2 3 9 2 3 5" xfId="18049" xr:uid="{925D857C-37A1-45DD-8307-B5519D0DB954}"/>
    <cellStyle name="Normal 2 3 9 2 3 6" xfId="29370" xr:uid="{A407EF37-E2FF-42A2-9F23-3E74C8064C9D}"/>
    <cellStyle name="Normal 2 3 9 2 3 7" xfId="38105" xr:uid="{4D8AE354-93EC-41B8-8D04-24EAE1261EBA}"/>
    <cellStyle name="Normal 2 3 9 2 4" xfId="6800" xr:uid="{00000000-0005-0000-0000-000020160000}"/>
    <cellStyle name="Normal 2 3 9 2 4 2" xfId="15233" xr:uid="{00000000-0005-0000-0000-000021160000}"/>
    <cellStyle name="Normal 2 3 9 2 4 2 2" xfId="27127" xr:uid="{9FB4E66C-9C60-4874-AF45-91D2799AA805}"/>
    <cellStyle name="Normal 2 3 9 2 4 2 3" xfId="21467" xr:uid="{15A52A30-6862-4655-9477-E45DC5494FE5}"/>
    <cellStyle name="Normal 2 3 9 2 4 2 4" xfId="32507" xr:uid="{01E28CAE-8B7A-46C1-AC3D-70D33413D018}"/>
    <cellStyle name="Normal 2 3 9 2 4 2 5" xfId="38110" xr:uid="{01A258C1-E3E0-4673-BE09-7BD9BDF59A0D}"/>
    <cellStyle name="Normal 2 3 9 2 4 3" xfId="24294" xr:uid="{7288E151-7AB4-4D85-A2F8-A781344535A1}"/>
    <cellStyle name="Normal 2 3 9 2 4 4" xfId="18634" xr:uid="{86E1363D-F040-482F-AE71-9CED2AEFA463}"/>
    <cellStyle name="Normal 2 3 9 2 4 5" xfId="29955" xr:uid="{CDE65B15-BFA8-41D0-9DBA-55F680E25F1A}"/>
    <cellStyle name="Normal 2 3 9 2 4 6" xfId="38109" xr:uid="{CB5C5326-22E1-41CB-9FCC-101EFE975B7D}"/>
    <cellStyle name="Normal 2 3 9 2 5" xfId="7901" xr:uid="{00000000-0005-0000-0000-000022160000}"/>
    <cellStyle name="Normal 2 3 9 2 5 2" xfId="25384" xr:uid="{5DA420D3-F8C3-474C-83E0-A30F8FDAB21A}"/>
    <cellStyle name="Normal 2 3 9 2 5 3" xfId="19724" xr:uid="{5725F438-A52E-4F50-8229-88894DFF933F}"/>
    <cellStyle name="Normal 2 3 9 2 5 4" xfId="31045" xr:uid="{5B93130F-31EE-482B-8C22-D464F2DDE57D}"/>
    <cellStyle name="Normal 2 3 9 2 5 5" xfId="38111" xr:uid="{2DF61043-744B-41B4-8A2D-B2A792A8D6BD}"/>
    <cellStyle name="Normal 2 3 9 2 6" xfId="22732" xr:uid="{8AD86657-9EDC-4ED5-8FFF-5F5B797707EC}"/>
    <cellStyle name="Normal 2 3 9 2 7" xfId="17072" xr:uid="{0622E190-B03F-4A52-9DD9-78D41002BEE6}"/>
    <cellStyle name="Normal 2 3 9 2 8" xfId="28393" xr:uid="{DF817113-D54B-4406-AF06-FB0A294DB866}"/>
    <cellStyle name="Normal 2 3 9 2 9" xfId="38100" xr:uid="{511401E4-0462-4CA0-9A07-0F1F389A97CF}"/>
    <cellStyle name="Normal 2 3 9 3" xfId="5146" xr:uid="{00000000-0005-0000-0000-000023160000}"/>
    <cellStyle name="Normal 2 3 9 3 2" xfId="6130" xr:uid="{00000000-0005-0000-0000-000024160000}"/>
    <cellStyle name="Normal 2 3 9 3 2 2" xfId="7470" xr:uid="{00000000-0005-0000-0000-000025160000}"/>
    <cellStyle name="Normal 2 3 9 3 2 2 2" xfId="15903" xr:uid="{00000000-0005-0000-0000-000026160000}"/>
    <cellStyle name="Normal 2 3 9 3 2 2 2 2" xfId="27797" xr:uid="{2877AC13-5B8F-4650-AA77-10169B87EF12}"/>
    <cellStyle name="Normal 2 3 9 3 2 2 2 3" xfId="22137" xr:uid="{2CDC82F0-0335-4490-9602-9BDD39F0F314}"/>
    <cellStyle name="Normal 2 3 9 3 2 2 2 4" xfId="33177" xr:uid="{791C6CF0-A0E2-4DCA-BCB6-B419F21C3127}"/>
    <cellStyle name="Normal 2 3 9 3 2 2 2 5" xfId="38115" xr:uid="{DCC615BE-5AC9-4F9F-906B-2C1792000BC4}"/>
    <cellStyle name="Normal 2 3 9 3 2 2 3" xfId="24964" xr:uid="{E92F4709-E95A-4B96-9AFE-EE96C7055D14}"/>
    <cellStyle name="Normal 2 3 9 3 2 2 4" xfId="19304" xr:uid="{76AD041C-4782-41DD-82B6-43B40A4FBFDF}"/>
    <cellStyle name="Normal 2 3 9 3 2 2 5" xfId="30625" xr:uid="{E29D3C4F-9989-45B0-B9BA-403D6584F611}"/>
    <cellStyle name="Normal 2 3 9 3 2 2 6" xfId="38114" xr:uid="{EFC925A3-C1A1-4FDE-98AF-EB09069A3FE2}"/>
    <cellStyle name="Normal 2 3 9 3 2 3" xfId="14583" xr:uid="{00000000-0005-0000-0000-000027160000}"/>
    <cellStyle name="Normal 2 3 9 3 2 3 2" xfId="26541" xr:uid="{8AAA7E48-1A49-437B-A384-C9D580D04242}"/>
    <cellStyle name="Normal 2 3 9 3 2 3 3" xfId="20881" xr:uid="{5733109F-8C62-4F70-8B37-CC1D115076DA}"/>
    <cellStyle name="Normal 2 3 9 3 2 3 4" xfId="31921" xr:uid="{7198FE0B-F3C9-45D5-98B8-86E8E12507B4}"/>
    <cellStyle name="Normal 2 3 9 3 2 3 5" xfId="38116" xr:uid="{6EB2AC5D-DC85-4BF2-B524-D7DE5BB045AF}"/>
    <cellStyle name="Normal 2 3 9 3 2 4" xfId="23708" xr:uid="{76C46EE4-C8CA-4D7B-BFB7-C479E7FFA1EC}"/>
    <cellStyle name="Normal 2 3 9 3 2 5" xfId="18048" xr:uid="{31271B5E-4D43-4338-9E64-8F1FC1D2F554}"/>
    <cellStyle name="Normal 2 3 9 3 2 6" xfId="29369" xr:uid="{196DAFA0-14ED-478A-80B7-9A912528DE5B}"/>
    <cellStyle name="Normal 2 3 9 3 2 7" xfId="38113" xr:uid="{7B542830-8F84-411D-8E06-2365C4E06B9E}"/>
    <cellStyle name="Normal 2 3 9 3 3" xfId="7009" xr:uid="{00000000-0005-0000-0000-000028160000}"/>
    <cellStyle name="Normal 2 3 9 3 3 2" xfId="15442" xr:uid="{00000000-0005-0000-0000-000029160000}"/>
    <cellStyle name="Normal 2 3 9 3 3 2 2" xfId="27336" xr:uid="{E85F7FFE-C9A7-4EA0-B788-C669D23A405B}"/>
    <cellStyle name="Normal 2 3 9 3 3 2 3" xfId="21676" xr:uid="{622629F5-E511-41AF-B286-E5DA0746955A}"/>
    <cellStyle name="Normal 2 3 9 3 3 2 4" xfId="32716" xr:uid="{7F24C6B0-65C7-48CE-BECE-AA8E3A26A0D2}"/>
    <cellStyle name="Normal 2 3 9 3 3 2 5" xfId="38118" xr:uid="{4D0BA76A-7684-462A-A67D-25883DD2C04A}"/>
    <cellStyle name="Normal 2 3 9 3 3 3" xfId="24503" xr:uid="{F4B2765E-2CAC-4EC6-9032-6FA770AC16AE}"/>
    <cellStyle name="Normal 2 3 9 3 3 4" xfId="18843" xr:uid="{F33D00DD-663A-465F-B93C-F259911CCE20}"/>
    <cellStyle name="Normal 2 3 9 3 3 5" xfId="30164" xr:uid="{5288B865-6E21-4035-9FCB-54CC075BF8B6}"/>
    <cellStyle name="Normal 2 3 9 3 3 6" xfId="38117" xr:uid="{C45BAC6D-B1FB-4790-B747-F62D5573B0C4}"/>
    <cellStyle name="Normal 2 3 9 3 4" xfId="14033" xr:uid="{00000000-0005-0000-0000-00002A160000}"/>
    <cellStyle name="Normal 2 3 9 3 4 2" xfId="26072" xr:uid="{2860DD4F-3553-44DB-9BD4-DA282D53F24A}"/>
    <cellStyle name="Normal 2 3 9 3 4 3" xfId="20412" xr:uid="{895E7A0E-AAF5-4452-9C6F-18A3A4C49C71}"/>
    <cellStyle name="Normal 2 3 9 3 4 4" xfId="31452" xr:uid="{735CB82A-0135-4451-9E9C-8DEC8DAF05E5}"/>
    <cellStyle name="Normal 2 3 9 3 4 5" xfId="38119" xr:uid="{032C7BC5-21AB-4096-B7E0-2D082014B32F}"/>
    <cellStyle name="Normal 2 3 9 3 5" xfId="22941" xr:uid="{CB986032-6154-43D3-BD9E-1D8C645D3AFE}"/>
    <cellStyle name="Normal 2 3 9 3 6" xfId="17281" xr:uid="{2DEC8874-6393-4071-88C8-178E7DDCC210}"/>
    <cellStyle name="Normal 2 3 9 3 7" xfId="28602" xr:uid="{A65F8B70-A3B3-4575-808E-4DC4850536F2}"/>
    <cellStyle name="Normal 2 3 9 3 8" xfId="38112" xr:uid="{557AFFF5-301F-4C87-B879-132020ACACAB}"/>
    <cellStyle name="Normal 2 3 9 4" xfId="5668" xr:uid="{00000000-0005-0000-0000-00002B160000}"/>
    <cellStyle name="Normal 2 3 9 4 2" xfId="38120" xr:uid="{53CCCB42-296C-44B3-98DA-C95AD6E9337B}"/>
    <cellStyle name="Normal 2 3 9 5" xfId="6591" xr:uid="{00000000-0005-0000-0000-00002C160000}"/>
    <cellStyle name="Normal 2 3 9 5 2" xfId="15024" xr:uid="{00000000-0005-0000-0000-00002D160000}"/>
    <cellStyle name="Normal 2 3 9 5 2 2" xfId="26918" xr:uid="{19625A94-4FB6-4679-B8B4-A937998980E3}"/>
    <cellStyle name="Normal 2 3 9 5 2 3" xfId="21258" xr:uid="{CB11B61B-D972-471C-AE66-950066BC2F17}"/>
    <cellStyle name="Normal 2 3 9 5 2 4" xfId="32298" xr:uid="{24E73417-3BBD-4CDF-AB8D-22A0C43527AA}"/>
    <cellStyle name="Normal 2 3 9 5 2 5" xfId="38122" xr:uid="{2485299E-6E79-4068-8BA4-ED21B71B4318}"/>
    <cellStyle name="Normal 2 3 9 5 3" xfId="24085" xr:uid="{65E46400-D490-4CA8-BE2D-CFDF2906C7AA}"/>
    <cellStyle name="Normal 2 3 9 5 4" xfId="18425" xr:uid="{15DD94B6-A19E-4090-A90A-F96A4112C0DD}"/>
    <cellStyle name="Normal 2 3 9 5 5" xfId="29746" xr:uid="{3D70AD42-BD89-4072-A8B1-A5029CD8FA50}"/>
    <cellStyle name="Normal 2 3 9 5 6" xfId="38121" xr:uid="{D0883B24-4106-49FD-B875-0B3047A62EBC}"/>
    <cellStyle name="Normal 2 3 9 6" xfId="7900" xr:uid="{00000000-0005-0000-0000-00002E160000}"/>
    <cellStyle name="Normal 2 3 9 6 2" xfId="25383" xr:uid="{8D49D730-8B81-46A2-8F59-24ADCF7A2B2E}"/>
    <cellStyle name="Normal 2 3 9 6 3" xfId="19723" xr:uid="{16DDAB2C-6856-40E6-AF6D-EED25741BFB1}"/>
    <cellStyle name="Normal 2 3 9 6 4" xfId="31044" xr:uid="{50A94AAA-1F6E-4CE3-93C7-330BF124C10E}"/>
    <cellStyle name="Normal 2 3 9 6 5" xfId="38123" xr:uid="{8E7841A5-14AC-4818-BC08-86AC5691A934}"/>
    <cellStyle name="Normal 2 3 9 7" xfId="22523" xr:uid="{FD70678F-37AB-447E-BEEA-006BB7BD1F81}"/>
    <cellStyle name="Normal 2 3 9 8" xfId="16863" xr:uid="{D7718548-CCDA-4DEB-B8DA-B80DB1C3B547}"/>
    <cellStyle name="Normal 2 3 9 9" xfId="28184" xr:uid="{C59EF1C0-2F25-4830-821D-85E6D4F1A27A}"/>
    <cellStyle name="Normal 2 30" xfId="2063" xr:uid="{00000000-0005-0000-0000-00002F160000}"/>
    <cellStyle name="Normal 2 30 2" xfId="38124" xr:uid="{FB2DDB7F-9393-46C5-BBC9-45BB582CA218}"/>
    <cellStyle name="Normal 2 31" xfId="2064" xr:uid="{00000000-0005-0000-0000-000030160000}"/>
    <cellStyle name="Normal 2 31 2" xfId="38125" xr:uid="{5B09F7B7-DA0D-44C4-AC2F-A5103C285AD5}"/>
    <cellStyle name="Normal 2 32" xfId="2065" xr:uid="{00000000-0005-0000-0000-000031160000}"/>
    <cellStyle name="Normal 2 32 2" xfId="38126" xr:uid="{75170C9B-546B-4F0F-B620-ADD335C17203}"/>
    <cellStyle name="Normal 2 33" xfId="2066" xr:uid="{00000000-0005-0000-0000-000032160000}"/>
    <cellStyle name="Normal 2 33 2" xfId="38127" xr:uid="{F9CA5A0B-141D-469A-A757-7816636CE7CD}"/>
    <cellStyle name="Normal 2 34" xfId="2067" xr:uid="{00000000-0005-0000-0000-000033160000}"/>
    <cellStyle name="Normal 2 34 2" xfId="38128" xr:uid="{25A90590-0730-4D83-AC50-F2FF1C332AF0}"/>
    <cellStyle name="Normal 2 35" xfId="2068" xr:uid="{00000000-0005-0000-0000-000034160000}"/>
    <cellStyle name="Normal 2 35 2" xfId="38129" xr:uid="{156E362A-1409-448F-A325-12B0336E82D4}"/>
    <cellStyle name="Normal 2 36" xfId="2069" xr:uid="{00000000-0005-0000-0000-000035160000}"/>
    <cellStyle name="Normal 2 36 2" xfId="38130" xr:uid="{D549E744-2A46-4905-B966-9C1079CB65C1}"/>
    <cellStyle name="Normal 2 37" xfId="2070" xr:uid="{00000000-0005-0000-0000-000036160000}"/>
    <cellStyle name="Normal 2 37 2" xfId="38131" xr:uid="{DB5F7A22-CD29-44F3-AE59-31C8C5D01911}"/>
    <cellStyle name="Normal 2 38" xfId="2071" xr:uid="{00000000-0005-0000-0000-000037160000}"/>
    <cellStyle name="Normal 2 38 2" xfId="38132" xr:uid="{5CFAEDB0-1707-4108-9FA9-44C71FABF6D8}"/>
    <cellStyle name="Normal 2 39" xfId="2072" xr:uid="{00000000-0005-0000-0000-000038160000}"/>
    <cellStyle name="Normal 2 39 2" xfId="38133" xr:uid="{E83CA43B-9641-4E95-90EC-D2C1DC945483}"/>
    <cellStyle name="Normal 2 4" xfId="145" xr:uid="{00000000-0005-0000-0000-000039160000}"/>
    <cellStyle name="Normal 2 4 10" xfId="4191" xr:uid="{00000000-0005-0000-0000-00003A160000}"/>
    <cellStyle name="Normal 2 4 10 10" xfId="38135" xr:uid="{1DD1C39E-D9CA-49C4-9E90-9A4CE43FF304}"/>
    <cellStyle name="Normal 2 4 10 2" xfId="4937" xr:uid="{00000000-0005-0000-0000-00003B160000}"/>
    <cellStyle name="Normal 2 4 10 2 2" xfId="5356" xr:uid="{00000000-0005-0000-0000-00003C160000}"/>
    <cellStyle name="Normal 2 4 10 2 2 2" xfId="7219" xr:uid="{00000000-0005-0000-0000-00003D160000}"/>
    <cellStyle name="Normal 2 4 10 2 2 2 2" xfId="15652" xr:uid="{00000000-0005-0000-0000-00003E160000}"/>
    <cellStyle name="Normal 2 4 10 2 2 2 2 2" xfId="27546" xr:uid="{2A8293C7-CD2A-4F5D-8A46-16ACA6368062}"/>
    <cellStyle name="Normal 2 4 10 2 2 2 2 3" xfId="21886" xr:uid="{B4C9A215-664F-4D9D-ACA0-958D6A209D18}"/>
    <cellStyle name="Normal 2 4 10 2 2 2 2 4" xfId="32926" xr:uid="{AA3FDDAF-555F-4257-BF4F-4F10ABA0377F}"/>
    <cellStyle name="Normal 2 4 10 2 2 2 2 5" xfId="38139" xr:uid="{6041D273-3177-4E23-830A-6AEB0FC63862}"/>
    <cellStyle name="Normal 2 4 10 2 2 2 3" xfId="24713" xr:uid="{81CDF2F3-AF32-4A61-9D03-5B552BB3007E}"/>
    <cellStyle name="Normal 2 4 10 2 2 2 4" xfId="19053" xr:uid="{9D4234C7-A1FB-4841-9E57-DC36CF3F6D03}"/>
    <cellStyle name="Normal 2 4 10 2 2 2 5" xfId="30374" xr:uid="{A81EBF87-307D-4945-9468-CF4E1550181C}"/>
    <cellStyle name="Normal 2 4 10 2 2 2 6" xfId="38138" xr:uid="{07365B40-4AE6-423A-8DC1-449E1DD55771}"/>
    <cellStyle name="Normal 2 4 10 2 2 3" xfId="14242" xr:uid="{00000000-0005-0000-0000-00003F160000}"/>
    <cellStyle name="Normal 2 4 10 2 2 3 2" xfId="26281" xr:uid="{4571A9C3-0E61-4584-9C95-54A638E7457E}"/>
    <cellStyle name="Normal 2 4 10 2 2 3 3" xfId="20621" xr:uid="{5B8BFD4C-40C0-4295-8B20-BBBAB1A94704}"/>
    <cellStyle name="Normal 2 4 10 2 2 3 4" xfId="31661" xr:uid="{02165ECF-91C3-47F1-B9F2-C79E23C69C71}"/>
    <cellStyle name="Normal 2 4 10 2 2 3 5" xfId="38140" xr:uid="{B6153705-D534-4328-9945-B75839120CA7}"/>
    <cellStyle name="Normal 2 4 10 2 2 4" xfId="23151" xr:uid="{B338D3E0-04F0-4D1D-A7B9-7EEBB40E8ADA}"/>
    <cellStyle name="Normal 2 4 10 2 2 5" xfId="17491" xr:uid="{3986EACE-2950-46CE-B751-BB0093BA2EF4}"/>
    <cellStyle name="Normal 2 4 10 2 2 6" xfId="28812" xr:uid="{13DCA5F7-8577-4BC9-BDC6-AB1AC133F75C}"/>
    <cellStyle name="Normal 2 4 10 2 2 7" xfId="38137" xr:uid="{ED4F6863-E252-4816-84E8-E1A9FE0D3ED6}"/>
    <cellStyle name="Normal 2 4 10 2 3" xfId="6133" xr:uid="{00000000-0005-0000-0000-000040160000}"/>
    <cellStyle name="Normal 2 4 10 2 3 2" xfId="7473" xr:uid="{00000000-0005-0000-0000-000041160000}"/>
    <cellStyle name="Normal 2 4 10 2 3 2 2" xfId="15906" xr:uid="{00000000-0005-0000-0000-000042160000}"/>
    <cellStyle name="Normal 2 4 10 2 3 2 2 2" xfId="27800" xr:uid="{CED28594-9EAF-4246-B603-E2314BE48249}"/>
    <cellStyle name="Normal 2 4 10 2 3 2 2 3" xfId="22140" xr:uid="{72188414-B53A-48D3-9A7C-D9A237C3344C}"/>
    <cellStyle name="Normal 2 4 10 2 3 2 2 4" xfId="33180" xr:uid="{EE1A4510-201E-4DC8-A1EF-06A325C2795E}"/>
    <cellStyle name="Normal 2 4 10 2 3 2 2 5" xfId="38143" xr:uid="{E7362EEA-339E-4C63-9508-8F6A1C2A1B53}"/>
    <cellStyle name="Normal 2 4 10 2 3 2 3" xfId="24967" xr:uid="{BD742873-7585-4FF7-8251-520F6F01336A}"/>
    <cellStyle name="Normal 2 4 10 2 3 2 4" xfId="19307" xr:uid="{2683A175-08FA-4F3E-9AA4-791CCF591D15}"/>
    <cellStyle name="Normal 2 4 10 2 3 2 5" xfId="30628" xr:uid="{7FD98834-9DC9-4401-876C-A95D325C1E73}"/>
    <cellStyle name="Normal 2 4 10 2 3 2 6" xfId="38142" xr:uid="{8E2E76C6-A6F6-4E62-84CF-9C4BAEB9A984}"/>
    <cellStyle name="Normal 2 4 10 2 3 3" xfId="14586" xr:uid="{00000000-0005-0000-0000-000043160000}"/>
    <cellStyle name="Normal 2 4 10 2 3 3 2" xfId="26544" xr:uid="{03B0DF9F-86D8-482B-A935-43F73496F963}"/>
    <cellStyle name="Normal 2 4 10 2 3 3 3" xfId="20884" xr:uid="{D9ECE3AA-255A-4F6A-A2DB-9E370CDD4072}"/>
    <cellStyle name="Normal 2 4 10 2 3 3 4" xfId="31924" xr:uid="{01C61D40-0EAE-4A97-8EC9-E49D0059314A}"/>
    <cellStyle name="Normal 2 4 10 2 3 3 5" xfId="38144" xr:uid="{44FCE58B-5F3C-4D15-9F39-65B947863A00}"/>
    <cellStyle name="Normal 2 4 10 2 3 4" xfId="23711" xr:uid="{889E4CE0-119C-49B5-AFDC-C9EC9145B5B1}"/>
    <cellStyle name="Normal 2 4 10 2 3 5" xfId="18051" xr:uid="{45ED6635-EE15-41FA-B166-72420479AD63}"/>
    <cellStyle name="Normal 2 4 10 2 3 6" xfId="29372" xr:uid="{0396AF96-220B-4C46-9D1C-CF1572DA9375}"/>
    <cellStyle name="Normal 2 4 10 2 3 7" xfId="38141" xr:uid="{9801B90E-6C31-4783-9230-1B132B4CAD47}"/>
    <cellStyle name="Normal 2 4 10 2 4" xfId="6801" xr:uid="{00000000-0005-0000-0000-000044160000}"/>
    <cellStyle name="Normal 2 4 10 2 4 2" xfId="15234" xr:uid="{00000000-0005-0000-0000-000045160000}"/>
    <cellStyle name="Normal 2 4 10 2 4 2 2" xfId="27128" xr:uid="{9B1AA2D5-1FBF-4806-8DB4-C35FF69C1D59}"/>
    <cellStyle name="Normal 2 4 10 2 4 2 3" xfId="21468" xr:uid="{2DE11F94-1646-405D-88A4-AEFDF6AC9EF8}"/>
    <cellStyle name="Normal 2 4 10 2 4 2 4" xfId="32508" xr:uid="{DC6953E6-5985-41BA-9595-8E8EEAC10F14}"/>
    <cellStyle name="Normal 2 4 10 2 4 2 5" xfId="38146" xr:uid="{201F2EBE-6941-42DB-83EB-A6699A98123B}"/>
    <cellStyle name="Normal 2 4 10 2 4 3" xfId="24295" xr:uid="{28D04CDF-BD0F-4928-85D8-E72BBC9A5294}"/>
    <cellStyle name="Normal 2 4 10 2 4 4" xfId="18635" xr:uid="{7DB81FD6-FD24-47BC-9CCA-26746D03A483}"/>
    <cellStyle name="Normal 2 4 10 2 4 5" xfId="29956" xr:uid="{043D35A7-A465-4C55-9D8B-7361C96F398A}"/>
    <cellStyle name="Normal 2 4 10 2 4 6" xfId="38145" xr:uid="{7B29A5DD-F6B6-4ECD-90D8-3BE909C7D0E4}"/>
    <cellStyle name="Normal 2 4 10 2 5" xfId="7903" xr:uid="{00000000-0005-0000-0000-000046160000}"/>
    <cellStyle name="Normal 2 4 10 2 5 2" xfId="25386" xr:uid="{C0341E1E-EECD-469C-9557-158B688F45AA}"/>
    <cellStyle name="Normal 2 4 10 2 5 3" xfId="19726" xr:uid="{B77B0B26-CF17-433F-B354-474A18106B90}"/>
    <cellStyle name="Normal 2 4 10 2 5 4" xfId="31047" xr:uid="{F0CDEE48-33C6-4499-BD0B-8675F4C4ED8F}"/>
    <cellStyle name="Normal 2 4 10 2 5 5" xfId="38147" xr:uid="{DE438D33-9DF3-4DE8-BC1C-ECC0DEC5A907}"/>
    <cellStyle name="Normal 2 4 10 2 6" xfId="22733" xr:uid="{983F2D76-9CA3-41B2-B8DB-B3795BAC7860}"/>
    <cellStyle name="Normal 2 4 10 2 7" xfId="17073" xr:uid="{4BE24801-EE4E-4625-BA3B-F77F7A15FA37}"/>
    <cellStyle name="Normal 2 4 10 2 8" xfId="28394" xr:uid="{487A88BD-E5D8-4018-A80E-49868B778144}"/>
    <cellStyle name="Normal 2 4 10 2 9" xfId="38136" xr:uid="{4F2C85AF-C8E0-42A8-8482-63BF1C746CC4}"/>
    <cellStyle name="Normal 2 4 10 3" xfId="5147" xr:uid="{00000000-0005-0000-0000-000047160000}"/>
    <cellStyle name="Normal 2 4 10 3 2" xfId="6132" xr:uid="{00000000-0005-0000-0000-000048160000}"/>
    <cellStyle name="Normal 2 4 10 3 2 2" xfId="7472" xr:uid="{00000000-0005-0000-0000-000049160000}"/>
    <cellStyle name="Normal 2 4 10 3 2 2 2" xfId="15905" xr:uid="{00000000-0005-0000-0000-00004A160000}"/>
    <cellStyle name="Normal 2 4 10 3 2 2 2 2" xfId="27799" xr:uid="{FCE70C2C-2692-4545-BDCC-484F26B821F2}"/>
    <cellStyle name="Normal 2 4 10 3 2 2 2 3" xfId="22139" xr:uid="{BB6C4865-BB97-4F89-89A4-A58010400870}"/>
    <cellStyle name="Normal 2 4 10 3 2 2 2 4" xfId="33179" xr:uid="{BC27CBA0-E631-47FA-A7FA-89F9928C1137}"/>
    <cellStyle name="Normal 2 4 10 3 2 2 2 5" xfId="38151" xr:uid="{6EEAB356-7D09-4B51-A4FD-C243C75D5177}"/>
    <cellStyle name="Normal 2 4 10 3 2 2 3" xfId="24966" xr:uid="{3FE9D44E-53BF-4B3D-99D7-979CCCAC2907}"/>
    <cellStyle name="Normal 2 4 10 3 2 2 4" xfId="19306" xr:uid="{5FC26357-EB2E-4A20-B0F7-D21F9EFF86F7}"/>
    <cellStyle name="Normal 2 4 10 3 2 2 5" xfId="30627" xr:uid="{3F5FC130-6F7D-4EA0-ACE5-9E5429073B6C}"/>
    <cellStyle name="Normal 2 4 10 3 2 2 6" xfId="38150" xr:uid="{AFA796C9-BD8C-4626-87F3-C5D90AD08563}"/>
    <cellStyle name="Normal 2 4 10 3 2 3" xfId="14585" xr:uid="{00000000-0005-0000-0000-00004B160000}"/>
    <cellStyle name="Normal 2 4 10 3 2 3 2" xfId="26543" xr:uid="{E2624D89-EFDF-4FDD-84EF-380B0DDC89E6}"/>
    <cellStyle name="Normal 2 4 10 3 2 3 3" xfId="20883" xr:uid="{ABD92A69-91B3-47CD-98ED-A6C5FEBCD58E}"/>
    <cellStyle name="Normal 2 4 10 3 2 3 4" xfId="31923" xr:uid="{4DC2DC9E-47B8-4E4D-B0DB-81FA80BD24C9}"/>
    <cellStyle name="Normal 2 4 10 3 2 3 5" xfId="38152" xr:uid="{E39664EC-1261-4472-95FD-D55839F274EB}"/>
    <cellStyle name="Normal 2 4 10 3 2 4" xfId="23710" xr:uid="{50FCFE5C-738B-4C7B-AF09-63D4E998AA29}"/>
    <cellStyle name="Normal 2 4 10 3 2 5" xfId="18050" xr:uid="{D22F2F4D-E924-4D11-A726-98455338838A}"/>
    <cellStyle name="Normal 2 4 10 3 2 6" xfId="29371" xr:uid="{4869DE2E-9F7D-45D0-B019-F306348A269D}"/>
    <cellStyle name="Normal 2 4 10 3 2 7" xfId="38149" xr:uid="{F90F573A-734B-4A96-8353-FF978D42BB33}"/>
    <cellStyle name="Normal 2 4 10 3 3" xfId="7010" xr:uid="{00000000-0005-0000-0000-00004C160000}"/>
    <cellStyle name="Normal 2 4 10 3 3 2" xfId="15443" xr:uid="{00000000-0005-0000-0000-00004D160000}"/>
    <cellStyle name="Normal 2 4 10 3 3 2 2" xfId="27337" xr:uid="{075C7B09-E72A-479F-8FCC-A318F2F3987D}"/>
    <cellStyle name="Normal 2 4 10 3 3 2 3" xfId="21677" xr:uid="{501B056B-9BF3-4887-A4FC-6069B1DF0232}"/>
    <cellStyle name="Normal 2 4 10 3 3 2 4" xfId="32717" xr:uid="{FC8FC697-0430-48C5-A8C9-D2B2AABD8231}"/>
    <cellStyle name="Normal 2 4 10 3 3 2 5" xfId="38154" xr:uid="{567E897C-3456-4425-8AFB-576FFF7682B2}"/>
    <cellStyle name="Normal 2 4 10 3 3 3" xfId="24504" xr:uid="{DF018639-D1EB-4140-8175-3D5CEEF7F156}"/>
    <cellStyle name="Normal 2 4 10 3 3 4" xfId="18844" xr:uid="{4B1374EB-6F55-4747-AEB8-B1DF0244B08B}"/>
    <cellStyle name="Normal 2 4 10 3 3 5" xfId="30165" xr:uid="{EE3C8DA7-7208-45A9-966F-40CA017EC7D6}"/>
    <cellStyle name="Normal 2 4 10 3 3 6" xfId="38153" xr:uid="{9EC2F13F-3DFB-4ECA-978E-0553ED99F64B}"/>
    <cellStyle name="Normal 2 4 10 3 4" xfId="14034" xr:uid="{00000000-0005-0000-0000-00004E160000}"/>
    <cellStyle name="Normal 2 4 10 3 4 2" xfId="26073" xr:uid="{006B2C73-9F2A-4C67-AC18-550DE60BE8AB}"/>
    <cellStyle name="Normal 2 4 10 3 4 3" xfId="20413" xr:uid="{3BB54E8A-9E6B-40EF-B135-78A3D918BCD8}"/>
    <cellStyle name="Normal 2 4 10 3 4 4" xfId="31453" xr:uid="{9473A5BF-1F83-412F-9DC7-A916F24F770D}"/>
    <cellStyle name="Normal 2 4 10 3 4 5" xfId="38155" xr:uid="{2C177A5C-4D2C-4D56-B250-C5F1264B4950}"/>
    <cellStyle name="Normal 2 4 10 3 5" xfId="22942" xr:uid="{CB759E96-D68D-4DFF-B896-392463142700}"/>
    <cellStyle name="Normal 2 4 10 3 6" xfId="17282" xr:uid="{04460EC1-984F-4D96-9BA1-E618D6F7309C}"/>
    <cellStyle name="Normal 2 4 10 3 7" xfId="28603" xr:uid="{C8880B73-C7A0-47F7-9301-228DB1E2C5E0}"/>
    <cellStyle name="Normal 2 4 10 3 8" xfId="38148" xr:uid="{C07C9167-FBE8-4D9C-8848-84CF373F6D62}"/>
    <cellStyle name="Normal 2 4 10 4" xfId="5669" xr:uid="{00000000-0005-0000-0000-00004F160000}"/>
    <cellStyle name="Normal 2 4 10 4 2" xfId="38156" xr:uid="{9ADA6CD4-E7A2-4F0D-91FA-E3794F5D313D}"/>
    <cellStyle name="Normal 2 4 10 5" xfId="6592" xr:uid="{00000000-0005-0000-0000-000050160000}"/>
    <cellStyle name="Normal 2 4 10 5 2" xfId="15025" xr:uid="{00000000-0005-0000-0000-000051160000}"/>
    <cellStyle name="Normal 2 4 10 5 2 2" xfId="26919" xr:uid="{4141EA63-3793-470C-A87B-2321726930E7}"/>
    <cellStyle name="Normal 2 4 10 5 2 3" xfId="21259" xr:uid="{4B2EB8B1-964E-490D-A30A-36FC5A132C4E}"/>
    <cellStyle name="Normal 2 4 10 5 2 4" xfId="32299" xr:uid="{FDF121AC-4B0E-4EEE-8E1B-4CDCD1E388B8}"/>
    <cellStyle name="Normal 2 4 10 5 2 5" xfId="38158" xr:uid="{FB9FA01D-DB4A-407E-92CB-1E128AE21009}"/>
    <cellStyle name="Normal 2 4 10 5 3" xfId="24086" xr:uid="{ADE083E0-3171-411A-92BC-25657A68FB45}"/>
    <cellStyle name="Normal 2 4 10 5 4" xfId="18426" xr:uid="{4DC0E5A0-2F75-4498-BC04-8ED2054C9716}"/>
    <cellStyle name="Normal 2 4 10 5 5" xfId="29747" xr:uid="{DAAC573C-2628-4EFE-9546-682F16F9B161}"/>
    <cellStyle name="Normal 2 4 10 5 6" xfId="38157" xr:uid="{580E38A8-B8AF-41F6-AAEE-57B8C53C0962}"/>
    <cellStyle name="Normal 2 4 10 6" xfId="7902" xr:uid="{00000000-0005-0000-0000-000052160000}"/>
    <cellStyle name="Normal 2 4 10 6 2" xfId="25385" xr:uid="{D03E7633-4DF1-4607-951D-E81390904516}"/>
    <cellStyle name="Normal 2 4 10 6 3" xfId="19725" xr:uid="{253C5462-53FD-4A78-AFC6-D5D12FF86B36}"/>
    <cellStyle name="Normal 2 4 10 6 4" xfId="31046" xr:uid="{865B16AC-CDCC-4A16-B370-55730AECA9D8}"/>
    <cellStyle name="Normal 2 4 10 6 5" xfId="38159" xr:uid="{71665639-1ABF-4603-96EC-C62FE859613B}"/>
    <cellStyle name="Normal 2 4 10 7" xfId="22524" xr:uid="{9DA26F93-6B26-47AD-BC85-DA5BBFC2FADC}"/>
    <cellStyle name="Normal 2 4 10 8" xfId="16864" xr:uid="{6E7C9261-28E0-4BD1-8834-EE719BD04AF6}"/>
    <cellStyle name="Normal 2 4 10 9" xfId="28185" xr:uid="{E40A8BB2-2EE4-4B22-A1E5-620B226C7EF5}"/>
    <cellStyle name="Normal 2 4 11" xfId="4192" xr:uid="{00000000-0005-0000-0000-000053160000}"/>
    <cellStyle name="Normal 2 4 11 10" xfId="38160" xr:uid="{B908181D-EEA5-4BA4-B9C0-4F9BB6D8E57E}"/>
    <cellStyle name="Normal 2 4 11 2" xfId="4938" xr:uid="{00000000-0005-0000-0000-000054160000}"/>
    <cellStyle name="Normal 2 4 11 2 2" xfId="5357" xr:uid="{00000000-0005-0000-0000-000055160000}"/>
    <cellStyle name="Normal 2 4 11 2 2 2" xfId="7220" xr:uid="{00000000-0005-0000-0000-000056160000}"/>
    <cellStyle name="Normal 2 4 11 2 2 2 2" xfId="15653" xr:uid="{00000000-0005-0000-0000-000057160000}"/>
    <cellStyle name="Normal 2 4 11 2 2 2 2 2" xfId="27547" xr:uid="{B606D12C-6E3E-4242-BB17-E20635488FB6}"/>
    <cellStyle name="Normal 2 4 11 2 2 2 2 3" xfId="21887" xr:uid="{373C1D78-0DD7-4B6D-8F0C-0F749F22EC67}"/>
    <cellStyle name="Normal 2 4 11 2 2 2 2 4" xfId="32927" xr:uid="{0CA28DCC-E42B-4233-BE02-8B5E107BDB12}"/>
    <cellStyle name="Normal 2 4 11 2 2 2 2 5" xfId="38164" xr:uid="{A0C21992-28A9-44DF-989A-B79FD51C9F22}"/>
    <cellStyle name="Normal 2 4 11 2 2 2 3" xfId="24714" xr:uid="{8CDCF30A-587D-4945-A299-8642D76FAF90}"/>
    <cellStyle name="Normal 2 4 11 2 2 2 4" xfId="19054" xr:uid="{9B4AC5B9-8ED2-442C-9265-7C8EAD75573F}"/>
    <cellStyle name="Normal 2 4 11 2 2 2 5" xfId="30375" xr:uid="{682B1D2A-9408-4FED-88DC-9E06BD05098E}"/>
    <cellStyle name="Normal 2 4 11 2 2 2 6" xfId="38163" xr:uid="{E155FCCA-CF06-4E6F-B2EF-546687444FFA}"/>
    <cellStyle name="Normal 2 4 11 2 2 3" xfId="14243" xr:uid="{00000000-0005-0000-0000-000058160000}"/>
    <cellStyle name="Normal 2 4 11 2 2 3 2" xfId="26282" xr:uid="{3137A4E8-F021-4037-8960-D2DF767E32FC}"/>
    <cellStyle name="Normal 2 4 11 2 2 3 3" xfId="20622" xr:uid="{33432587-3ED7-4F40-93E3-1B4CF7B54640}"/>
    <cellStyle name="Normal 2 4 11 2 2 3 4" xfId="31662" xr:uid="{A49E2664-2170-4CDA-9574-70D732463828}"/>
    <cellStyle name="Normal 2 4 11 2 2 3 5" xfId="38165" xr:uid="{05CC0765-78CE-456B-89BD-20671237738D}"/>
    <cellStyle name="Normal 2 4 11 2 2 4" xfId="23152" xr:uid="{D269BD89-9F2D-46C1-A7DE-D91CF3A9A8DF}"/>
    <cellStyle name="Normal 2 4 11 2 2 5" xfId="17492" xr:uid="{3446357A-938B-41E6-8C95-A6CD63FFC829}"/>
    <cellStyle name="Normal 2 4 11 2 2 6" xfId="28813" xr:uid="{64B880BA-4238-46F6-80AF-77868D19E2D8}"/>
    <cellStyle name="Normal 2 4 11 2 2 7" xfId="38162" xr:uid="{FD42AA25-03B6-43A9-8C11-58CDF509FD27}"/>
    <cellStyle name="Normal 2 4 11 2 3" xfId="6135" xr:uid="{00000000-0005-0000-0000-000059160000}"/>
    <cellStyle name="Normal 2 4 11 2 3 2" xfId="7475" xr:uid="{00000000-0005-0000-0000-00005A160000}"/>
    <cellStyle name="Normal 2 4 11 2 3 2 2" xfId="15908" xr:uid="{00000000-0005-0000-0000-00005B160000}"/>
    <cellStyle name="Normal 2 4 11 2 3 2 2 2" xfId="27802" xr:uid="{C79BFBB5-971F-4F48-8CEA-6714409B07FA}"/>
    <cellStyle name="Normal 2 4 11 2 3 2 2 3" xfId="22142" xr:uid="{EEC4CBC6-8804-41DA-A67C-8AAFAD663CE6}"/>
    <cellStyle name="Normal 2 4 11 2 3 2 2 4" xfId="33182" xr:uid="{E0B4A0D1-4482-4586-A088-6ADC9FFEF79D}"/>
    <cellStyle name="Normal 2 4 11 2 3 2 2 5" xfId="38168" xr:uid="{1D147296-6FF0-4F85-81D9-0AD2741A1CC4}"/>
    <cellStyle name="Normal 2 4 11 2 3 2 3" xfId="24969" xr:uid="{3B323FEA-44E6-4AB2-87C4-47FD9BE592BA}"/>
    <cellStyle name="Normal 2 4 11 2 3 2 4" xfId="19309" xr:uid="{D9CBB61B-0040-4EB8-BC6E-74131F8E09F5}"/>
    <cellStyle name="Normal 2 4 11 2 3 2 5" xfId="30630" xr:uid="{E865D619-586F-432E-98E2-F40719FE0D35}"/>
    <cellStyle name="Normal 2 4 11 2 3 2 6" xfId="38167" xr:uid="{511E220F-4EC7-4BCE-869B-EB896669F4B6}"/>
    <cellStyle name="Normal 2 4 11 2 3 3" xfId="14588" xr:uid="{00000000-0005-0000-0000-00005C160000}"/>
    <cellStyle name="Normal 2 4 11 2 3 3 2" xfId="26546" xr:uid="{E1D2A01A-89C0-4A8E-B800-CF5134B9C90B}"/>
    <cellStyle name="Normal 2 4 11 2 3 3 3" xfId="20886" xr:uid="{ADF5C2CB-8F37-40A8-85DD-7370554B3051}"/>
    <cellStyle name="Normal 2 4 11 2 3 3 4" xfId="31926" xr:uid="{A14B5F5B-B071-49B4-B0B2-D4598E672F20}"/>
    <cellStyle name="Normal 2 4 11 2 3 3 5" xfId="38169" xr:uid="{2533BBE2-C905-4282-973C-12FF6465EBAA}"/>
    <cellStyle name="Normal 2 4 11 2 3 4" xfId="23713" xr:uid="{1163A025-1CDF-40A4-AEFB-A3FC089422D7}"/>
    <cellStyle name="Normal 2 4 11 2 3 5" xfId="18053" xr:uid="{9D5CF5A1-FCA0-4DDF-B925-DF215D25A2B7}"/>
    <cellStyle name="Normal 2 4 11 2 3 6" xfId="29374" xr:uid="{FBAE3E33-DB3E-4BBF-82D5-9A9FCE016A01}"/>
    <cellStyle name="Normal 2 4 11 2 3 7" xfId="38166" xr:uid="{00B02338-0555-4650-BFA1-D9B296D14FEB}"/>
    <cellStyle name="Normal 2 4 11 2 4" xfId="6802" xr:uid="{00000000-0005-0000-0000-00005D160000}"/>
    <cellStyle name="Normal 2 4 11 2 4 2" xfId="15235" xr:uid="{00000000-0005-0000-0000-00005E160000}"/>
    <cellStyle name="Normal 2 4 11 2 4 2 2" xfId="27129" xr:uid="{E6711C8B-0AEB-45D5-BC63-F19D3852F2E5}"/>
    <cellStyle name="Normal 2 4 11 2 4 2 3" xfId="21469" xr:uid="{32A85006-235C-4E88-A0DA-0E9BD4DD193F}"/>
    <cellStyle name="Normal 2 4 11 2 4 2 4" xfId="32509" xr:uid="{BF7C8699-73E8-47F6-B99D-30D17205CA4F}"/>
    <cellStyle name="Normal 2 4 11 2 4 2 5" xfId="38171" xr:uid="{19A61187-3196-482F-9AE0-5E50FEA5CE7D}"/>
    <cellStyle name="Normal 2 4 11 2 4 3" xfId="24296" xr:uid="{386DA00C-E312-42D5-97DD-FAB069F29803}"/>
    <cellStyle name="Normal 2 4 11 2 4 4" xfId="18636" xr:uid="{BC5A1EE6-B351-4415-8367-244138B553BC}"/>
    <cellStyle name="Normal 2 4 11 2 4 5" xfId="29957" xr:uid="{C2DFC49B-67F2-461E-B360-B55910622B1D}"/>
    <cellStyle name="Normal 2 4 11 2 4 6" xfId="38170" xr:uid="{F201541B-B305-4635-BA79-EF2BB6889351}"/>
    <cellStyle name="Normal 2 4 11 2 5" xfId="7905" xr:uid="{00000000-0005-0000-0000-00005F160000}"/>
    <cellStyle name="Normal 2 4 11 2 5 2" xfId="25388" xr:uid="{534B20BD-1068-4B0F-93A0-E6D772DA976B}"/>
    <cellStyle name="Normal 2 4 11 2 5 3" xfId="19728" xr:uid="{873D0EF6-DD24-411E-9F07-93BB73318CE8}"/>
    <cellStyle name="Normal 2 4 11 2 5 4" xfId="31049" xr:uid="{FB5B0804-4918-4BA1-A258-1B25F4B9A076}"/>
    <cellStyle name="Normal 2 4 11 2 5 5" xfId="38172" xr:uid="{46C06610-E439-4396-B847-5FA1C0D4BB4B}"/>
    <cellStyle name="Normal 2 4 11 2 6" xfId="22734" xr:uid="{E79D2A0E-31FF-4C0D-8AC5-B04F8771176D}"/>
    <cellStyle name="Normal 2 4 11 2 7" xfId="17074" xr:uid="{7C12C395-A5AF-4C44-ACD1-796699AF7C7D}"/>
    <cellStyle name="Normal 2 4 11 2 8" xfId="28395" xr:uid="{45E51EB2-9E5C-4139-8B9B-65EE824CC552}"/>
    <cellStyle name="Normal 2 4 11 2 9" xfId="38161" xr:uid="{3D50D123-7E59-46C4-A144-2215A1F8D492}"/>
    <cellStyle name="Normal 2 4 11 3" xfId="5148" xr:uid="{00000000-0005-0000-0000-000060160000}"/>
    <cellStyle name="Normal 2 4 11 3 2" xfId="6134" xr:uid="{00000000-0005-0000-0000-000061160000}"/>
    <cellStyle name="Normal 2 4 11 3 2 2" xfId="7474" xr:uid="{00000000-0005-0000-0000-000062160000}"/>
    <cellStyle name="Normal 2 4 11 3 2 2 2" xfId="15907" xr:uid="{00000000-0005-0000-0000-000063160000}"/>
    <cellStyle name="Normal 2 4 11 3 2 2 2 2" xfId="27801" xr:uid="{BAED537F-7032-4C0A-AF04-873257087704}"/>
    <cellStyle name="Normal 2 4 11 3 2 2 2 3" xfId="22141" xr:uid="{48C6E593-085E-447B-99C0-D447A00A2C1B}"/>
    <cellStyle name="Normal 2 4 11 3 2 2 2 4" xfId="33181" xr:uid="{D011FF63-3D3E-4585-8723-952D16268947}"/>
    <cellStyle name="Normal 2 4 11 3 2 2 2 5" xfId="38176" xr:uid="{61A2FAAF-C92E-472D-BC25-7961B0A5808A}"/>
    <cellStyle name="Normal 2 4 11 3 2 2 3" xfId="24968" xr:uid="{A623F0DC-DDAF-41CF-B740-A11657DEAA3E}"/>
    <cellStyle name="Normal 2 4 11 3 2 2 4" xfId="19308" xr:uid="{268CE223-C284-4F33-839C-C8B02B86927E}"/>
    <cellStyle name="Normal 2 4 11 3 2 2 5" xfId="30629" xr:uid="{B034809C-D60A-4E9F-B0DA-EE87DD4A32E6}"/>
    <cellStyle name="Normal 2 4 11 3 2 2 6" xfId="38175" xr:uid="{816995FD-EAE7-48E1-BF45-B45B2EBC470D}"/>
    <cellStyle name="Normal 2 4 11 3 2 3" xfId="14587" xr:uid="{00000000-0005-0000-0000-000064160000}"/>
    <cellStyle name="Normal 2 4 11 3 2 3 2" xfId="26545" xr:uid="{3814D49F-3681-4E06-8E79-546397846634}"/>
    <cellStyle name="Normal 2 4 11 3 2 3 3" xfId="20885" xr:uid="{DC615BDD-A703-4DA0-8C75-242EDBB34F0D}"/>
    <cellStyle name="Normal 2 4 11 3 2 3 4" xfId="31925" xr:uid="{D378BB2C-7C6D-4840-B214-4862A7838364}"/>
    <cellStyle name="Normal 2 4 11 3 2 3 5" xfId="38177" xr:uid="{0C12390A-15DB-4099-ABA7-356371D53DA3}"/>
    <cellStyle name="Normal 2 4 11 3 2 4" xfId="23712" xr:uid="{43CD4545-3D73-489F-ACC6-B717E5AA1DAC}"/>
    <cellStyle name="Normal 2 4 11 3 2 5" xfId="18052" xr:uid="{8CBA3D5C-C3F7-4A0D-833F-FBA248FB6F46}"/>
    <cellStyle name="Normal 2 4 11 3 2 6" xfId="29373" xr:uid="{584ABE17-30FE-47CE-9DFD-8D54DEA3C68F}"/>
    <cellStyle name="Normal 2 4 11 3 2 7" xfId="38174" xr:uid="{A8A77980-F136-4B29-B5D5-FD42CFAF3D71}"/>
    <cellStyle name="Normal 2 4 11 3 3" xfId="7011" xr:uid="{00000000-0005-0000-0000-000065160000}"/>
    <cellStyle name="Normal 2 4 11 3 3 2" xfId="15444" xr:uid="{00000000-0005-0000-0000-000066160000}"/>
    <cellStyle name="Normal 2 4 11 3 3 2 2" xfId="27338" xr:uid="{C48B857E-D07C-480B-BF98-6B6097DFD3C0}"/>
    <cellStyle name="Normal 2 4 11 3 3 2 3" xfId="21678" xr:uid="{D4D45819-B945-475E-B6B8-58FBA605E0BF}"/>
    <cellStyle name="Normal 2 4 11 3 3 2 4" xfId="32718" xr:uid="{8F034E4E-03F8-4743-A17B-105C3210A99F}"/>
    <cellStyle name="Normal 2 4 11 3 3 2 5" xfId="38179" xr:uid="{0ED0D37D-FF00-4654-9BE1-4A703AD81C82}"/>
    <cellStyle name="Normal 2 4 11 3 3 3" xfId="24505" xr:uid="{DFC68353-38B6-4DCF-AB01-0F1ED8097EBA}"/>
    <cellStyle name="Normal 2 4 11 3 3 4" xfId="18845" xr:uid="{CA5DFA9C-FAF7-4B55-8AF7-DE22F96EE2A6}"/>
    <cellStyle name="Normal 2 4 11 3 3 5" xfId="30166" xr:uid="{139ABB74-3187-47FE-8AC8-D2EF52392712}"/>
    <cellStyle name="Normal 2 4 11 3 3 6" xfId="38178" xr:uid="{3067422A-9200-468D-886B-53613D146D8A}"/>
    <cellStyle name="Normal 2 4 11 3 4" xfId="14035" xr:uid="{00000000-0005-0000-0000-000067160000}"/>
    <cellStyle name="Normal 2 4 11 3 4 2" xfId="26074" xr:uid="{0743C92C-9685-46C3-892D-DD68F277EDD3}"/>
    <cellStyle name="Normal 2 4 11 3 4 3" xfId="20414" xr:uid="{4731BF73-270B-4DA6-AFCC-83CB114E35F2}"/>
    <cellStyle name="Normal 2 4 11 3 4 4" xfId="31454" xr:uid="{19F234B4-2DE4-466D-8B6C-59F6658D9AD4}"/>
    <cellStyle name="Normal 2 4 11 3 4 5" xfId="38180" xr:uid="{288014AA-FF57-4E91-AE71-36ABF4ABB784}"/>
    <cellStyle name="Normal 2 4 11 3 5" xfId="22943" xr:uid="{86749A72-4B45-4AA8-8E03-334040316A97}"/>
    <cellStyle name="Normal 2 4 11 3 6" xfId="17283" xr:uid="{BFE03E2E-F980-4AD6-8B4B-421DBECBDE9E}"/>
    <cellStyle name="Normal 2 4 11 3 7" xfId="28604" xr:uid="{4F044396-B432-4119-BC00-C58BB9297B89}"/>
    <cellStyle name="Normal 2 4 11 3 8" xfId="38173" xr:uid="{ABDF0571-A284-4823-AEA1-7EC0B19FD34B}"/>
    <cellStyle name="Normal 2 4 11 4" xfId="5670" xr:uid="{00000000-0005-0000-0000-000068160000}"/>
    <cellStyle name="Normal 2 4 11 4 2" xfId="38181" xr:uid="{58134DEE-D2D4-4846-A743-50E118C2F9BA}"/>
    <cellStyle name="Normal 2 4 11 5" xfId="6593" xr:uid="{00000000-0005-0000-0000-000069160000}"/>
    <cellStyle name="Normal 2 4 11 5 2" xfId="15026" xr:uid="{00000000-0005-0000-0000-00006A160000}"/>
    <cellStyle name="Normal 2 4 11 5 2 2" xfId="26920" xr:uid="{37F07E2F-AEB2-48CD-A738-53982D0F3F6B}"/>
    <cellStyle name="Normal 2 4 11 5 2 3" xfId="21260" xr:uid="{444011BD-6177-44DF-90A9-A83213D09FC5}"/>
    <cellStyle name="Normal 2 4 11 5 2 4" xfId="32300" xr:uid="{78A6FCE0-EF12-4009-B620-F5F1F5B18FC6}"/>
    <cellStyle name="Normal 2 4 11 5 2 5" xfId="38183" xr:uid="{4C142026-418D-4395-86FC-5EFFD15993C2}"/>
    <cellStyle name="Normal 2 4 11 5 3" xfId="24087" xr:uid="{89A9AAF2-7791-4A3B-B256-2E049F2D9B1D}"/>
    <cellStyle name="Normal 2 4 11 5 4" xfId="18427" xr:uid="{03D29FC9-9F75-4469-B20A-C53F012AFC28}"/>
    <cellStyle name="Normal 2 4 11 5 5" xfId="29748" xr:uid="{27B806CF-16A1-4E6A-B1BC-93084F798306}"/>
    <cellStyle name="Normal 2 4 11 5 6" xfId="38182" xr:uid="{6225C7B0-97B7-4DAC-97B8-523B25B26682}"/>
    <cellStyle name="Normal 2 4 11 6" xfId="7904" xr:uid="{00000000-0005-0000-0000-00006B160000}"/>
    <cellStyle name="Normal 2 4 11 6 2" xfId="25387" xr:uid="{3A9EC75A-DEE0-4C67-8362-593F772D2933}"/>
    <cellStyle name="Normal 2 4 11 6 3" xfId="19727" xr:uid="{EB18C903-467B-46B8-919A-AB51977E3BAF}"/>
    <cellStyle name="Normal 2 4 11 6 4" xfId="31048" xr:uid="{9698839F-C61D-4347-904C-8D9E728E26AE}"/>
    <cellStyle name="Normal 2 4 11 6 5" xfId="38184" xr:uid="{F6951AA5-9BA6-4F33-8AE5-DFF2E4481349}"/>
    <cellStyle name="Normal 2 4 11 7" xfId="22525" xr:uid="{C1D206DC-C0CF-4C42-A2E2-176A8649024D}"/>
    <cellStyle name="Normal 2 4 11 8" xfId="16865" xr:uid="{EFD3FD2D-475D-4BB1-A7CF-0576B30A7F6A}"/>
    <cellStyle name="Normal 2 4 11 9" xfId="28186" xr:uid="{6933282A-8F19-43C9-BA89-31CCA446742F}"/>
    <cellStyle name="Normal 2 4 12" xfId="4193" xr:uid="{00000000-0005-0000-0000-00006C160000}"/>
    <cellStyle name="Normal 2 4 12 10" xfId="38185" xr:uid="{D0B1FF60-B4B3-4D54-8E0D-E96B42B77462}"/>
    <cellStyle name="Normal 2 4 12 2" xfId="4939" xr:uid="{00000000-0005-0000-0000-00006D160000}"/>
    <cellStyle name="Normal 2 4 12 2 2" xfId="5358" xr:uid="{00000000-0005-0000-0000-00006E160000}"/>
    <cellStyle name="Normal 2 4 12 2 2 2" xfId="7221" xr:uid="{00000000-0005-0000-0000-00006F160000}"/>
    <cellStyle name="Normal 2 4 12 2 2 2 2" xfId="15654" xr:uid="{00000000-0005-0000-0000-000070160000}"/>
    <cellStyle name="Normal 2 4 12 2 2 2 2 2" xfId="27548" xr:uid="{9225C924-6A85-49B3-8C24-1D9BB589CFEB}"/>
    <cellStyle name="Normal 2 4 12 2 2 2 2 3" xfId="21888" xr:uid="{D4BF6538-EB4F-4EA8-8967-2401B55F161F}"/>
    <cellStyle name="Normal 2 4 12 2 2 2 2 4" xfId="32928" xr:uid="{9FD29B69-11B0-4DBC-B32F-7DE2D7374C19}"/>
    <cellStyle name="Normal 2 4 12 2 2 2 2 5" xfId="38189" xr:uid="{670DDE01-4396-4735-B5B9-CD5C4A1821D8}"/>
    <cellStyle name="Normal 2 4 12 2 2 2 3" xfId="24715" xr:uid="{6597D928-E2B5-4D41-85EB-2E35C60B2CC7}"/>
    <cellStyle name="Normal 2 4 12 2 2 2 4" xfId="19055" xr:uid="{C536BF5C-9B30-44E4-AAB5-9522453FBDB2}"/>
    <cellStyle name="Normal 2 4 12 2 2 2 5" xfId="30376" xr:uid="{3AC7B5CE-FEAA-4E10-897C-2C1F1BCA6E1F}"/>
    <cellStyle name="Normal 2 4 12 2 2 2 6" xfId="38188" xr:uid="{741CF894-8CAB-4384-A5B7-F0F55849B3BD}"/>
    <cellStyle name="Normal 2 4 12 2 2 3" xfId="14244" xr:uid="{00000000-0005-0000-0000-000071160000}"/>
    <cellStyle name="Normal 2 4 12 2 2 3 2" xfId="26283" xr:uid="{1A6C35E7-C4AA-4441-AED4-8849A49FEBC3}"/>
    <cellStyle name="Normal 2 4 12 2 2 3 3" xfId="20623" xr:uid="{B9382E81-FCA9-4B4E-A899-CA200CC41E15}"/>
    <cellStyle name="Normal 2 4 12 2 2 3 4" xfId="31663" xr:uid="{D1BDCAED-2262-4518-85D4-8C3B1F9A6664}"/>
    <cellStyle name="Normal 2 4 12 2 2 3 5" xfId="38190" xr:uid="{AE0482E1-C41F-4692-A211-CB9012B07598}"/>
    <cellStyle name="Normal 2 4 12 2 2 4" xfId="23153" xr:uid="{0580C545-CE20-4903-BC0A-DC5571A1E275}"/>
    <cellStyle name="Normal 2 4 12 2 2 5" xfId="17493" xr:uid="{CCBBF030-8023-480F-A05D-D9A07D5BC0FE}"/>
    <cellStyle name="Normal 2 4 12 2 2 6" xfId="28814" xr:uid="{626CC37F-962F-4F55-9CC2-9799FC5208C8}"/>
    <cellStyle name="Normal 2 4 12 2 2 7" xfId="38187" xr:uid="{EDCA5137-C33A-4B51-9A0D-50ED990609EC}"/>
    <cellStyle name="Normal 2 4 12 2 3" xfId="6137" xr:uid="{00000000-0005-0000-0000-000072160000}"/>
    <cellStyle name="Normal 2 4 12 2 3 2" xfId="7477" xr:uid="{00000000-0005-0000-0000-000073160000}"/>
    <cellStyle name="Normal 2 4 12 2 3 2 2" xfId="15910" xr:uid="{00000000-0005-0000-0000-000074160000}"/>
    <cellStyle name="Normal 2 4 12 2 3 2 2 2" xfId="27804" xr:uid="{D53F6EAA-E213-4DDA-AF98-56C4D5C8A6E5}"/>
    <cellStyle name="Normal 2 4 12 2 3 2 2 3" xfId="22144" xr:uid="{D2FA819F-94AB-45A1-BDB4-BBD124A951E5}"/>
    <cellStyle name="Normal 2 4 12 2 3 2 2 4" xfId="33184" xr:uid="{4B977E88-28D0-4AA3-9BBF-0480BC20FFE3}"/>
    <cellStyle name="Normal 2 4 12 2 3 2 2 5" xfId="38193" xr:uid="{217C5EDF-C9C0-439C-AF2B-7AB902EA45C3}"/>
    <cellStyle name="Normal 2 4 12 2 3 2 3" xfId="24971" xr:uid="{BA293A12-FFA2-4F6F-8489-9D602083A361}"/>
    <cellStyle name="Normal 2 4 12 2 3 2 4" xfId="19311" xr:uid="{786207FF-3923-403A-8FF1-C02F12AC06F9}"/>
    <cellStyle name="Normal 2 4 12 2 3 2 5" xfId="30632" xr:uid="{4BFBBB1D-BA28-456B-AE49-7AC2E7C2059C}"/>
    <cellStyle name="Normal 2 4 12 2 3 2 6" xfId="38192" xr:uid="{A6297D4D-DA26-4C2E-85A5-BE9A2E9E1CF7}"/>
    <cellStyle name="Normal 2 4 12 2 3 3" xfId="14590" xr:uid="{00000000-0005-0000-0000-000075160000}"/>
    <cellStyle name="Normal 2 4 12 2 3 3 2" xfId="26548" xr:uid="{8FBC9CE8-35CC-494D-9F7F-4258C0BCB9B8}"/>
    <cellStyle name="Normal 2 4 12 2 3 3 3" xfId="20888" xr:uid="{CB387F59-3F77-47F7-AC06-BFB57FBAA9B9}"/>
    <cellStyle name="Normal 2 4 12 2 3 3 4" xfId="31928" xr:uid="{DEB27197-7DCB-4591-92F1-8ACCDB466E3C}"/>
    <cellStyle name="Normal 2 4 12 2 3 3 5" xfId="38194" xr:uid="{2B81C95B-74FD-4345-B270-71D7AC457700}"/>
    <cellStyle name="Normal 2 4 12 2 3 4" xfId="23715" xr:uid="{8E75C503-C58E-4A44-A9A9-EF050C1B33D6}"/>
    <cellStyle name="Normal 2 4 12 2 3 5" xfId="18055" xr:uid="{E454A046-5928-4E67-997B-CA3B1C0DFBDD}"/>
    <cellStyle name="Normal 2 4 12 2 3 6" xfId="29376" xr:uid="{4AB2934E-2547-4433-B606-B873374590AF}"/>
    <cellStyle name="Normal 2 4 12 2 3 7" xfId="38191" xr:uid="{901BAAF4-227D-49C9-969D-D01C659D57E9}"/>
    <cellStyle name="Normal 2 4 12 2 4" xfId="6803" xr:uid="{00000000-0005-0000-0000-000076160000}"/>
    <cellStyle name="Normal 2 4 12 2 4 2" xfId="15236" xr:uid="{00000000-0005-0000-0000-000077160000}"/>
    <cellStyle name="Normal 2 4 12 2 4 2 2" xfId="27130" xr:uid="{3D7433C1-D544-4861-839D-CC75B4F02803}"/>
    <cellStyle name="Normal 2 4 12 2 4 2 3" xfId="21470" xr:uid="{400FF4E4-3936-4491-849E-87B0F5D3E54E}"/>
    <cellStyle name="Normal 2 4 12 2 4 2 4" xfId="32510" xr:uid="{F25A6549-383A-4AD8-9A3A-4E77229C256F}"/>
    <cellStyle name="Normal 2 4 12 2 4 2 5" xfId="38196" xr:uid="{9869292B-73A7-47DF-BC27-8240776ABA5A}"/>
    <cellStyle name="Normal 2 4 12 2 4 3" xfId="24297" xr:uid="{5BD06F9B-8A2E-44B1-A8B8-16C990D90480}"/>
    <cellStyle name="Normal 2 4 12 2 4 4" xfId="18637" xr:uid="{0260120F-AE49-4765-A885-D82A0E426737}"/>
    <cellStyle name="Normal 2 4 12 2 4 5" xfId="29958" xr:uid="{7F2E5050-CB60-4272-9DCA-B18A7DBB2F23}"/>
    <cellStyle name="Normal 2 4 12 2 4 6" xfId="38195" xr:uid="{88F643F8-42C4-48FB-A61D-D2F5535B865F}"/>
    <cellStyle name="Normal 2 4 12 2 5" xfId="7907" xr:uid="{00000000-0005-0000-0000-000078160000}"/>
    <cellStyle name="Normal 2 4 12 2 5 2" xfId="25390" xr:uid="{DC19FE5E-725E-4CA2-952F-E1EC3F632A14}"/>
    <cellStyle name="Normal 2 4 12 2 5 3" xfId="19730" xr:uid="{DCCA2B4D-E120-481E-B5BB-E3730736E6DB}"/>
    <cellStyle name="Normal 2 4 12 2 5 4" xfId="31051" xr:uid="{2D4D3303-7790-4BCF-BF67-59198AD4CBED}"/>
    <cellStyle name="Normal 2 4 12 2 5 5" xfId="38197" xr:uid="{617C43DE-285C-455B-81B8-CC5E5EAACDE6}"/>
    <cellStyle name="Normal 2 4 12 2 6" xfId="22735" xr:uid="{62CBA34D-0BB4-42BF-B3D7-C6F3B6A2B152}"/>
    <cellStyle name="Normal 2 4 12 2 7" xfId="17075" xr:uid="{1EA696C3-22C9-4346-A063-FC9DC9F0D510}"/>
    <cellStyle name="Normal 2 4 12 2 8" xfId="28396" xr:uid="{DE4DA42D-B40C-445E-BAB9-16F89EA1A226}"/>
    <cellStyle name="Normal 2 4 12 2 9" xfId="38186" xr:uid="{6FB6E590-2DCA-4764-BE4A-B1CBFE4BE288}"/>
    <cellStyle name="Normal 2 4 12 3" xfId="5149" xr:uid="{00000000-0005-0000-0000-000079160000}"/>
    <cellStyle name="Normal 2 4 12 3 2" xfId="6136" xr:uid="{00000000-0005-0000-0000-00007A160000}"/>
    <cellStyle name="Normal 2 4 12 3 2 2" xfId="7476" xr:uid="{00000000-0005-0000-0000-00007B160000}"/>
    <cellStyle name="Normal 2 4 12 3 2 2 2" xfId="15909" xr:uid="{00000000-0005-0000-0000-00007C160000}"/>
    <cellStyle name="Normal 2 4 12 3 2 2 2 2" xfId="27803" xr:uid="{4C171743-B24E-40CE-9153-6603C5CA02F6}"/>
    <cellStyle name="Normal 2 4 12 3 2 2 2 3" xfId="22143" xr:uid="{60B5C0D9-0EC9-4C6B-AC39-1929A48DBDDD}"/>
    <cellStyle name="Normal 2 4 12 3 2 2 2 4" xfId="33183" xr:uid="{332480C3-281E-4EBF-B57D-09E074330EF4}"/>
    <cellStyle name="Normal 2 4 12 3 2 2 2 5" xfId="38201" xr:uid="{B68C4101-1614-4C49-9528-4EA320AD1BE8}"/>
    <cellStyle name="Normal 2 4 12 3 2 2 3" xfId="24970" xr:uid="{63612DA6-A5BF-4B2C-8285-34687838AC31}"/>
    <cellStyle name="Normal 2 4 12 3 2 2 4" xfId="19310" xr:uid="{A2EB1BBF-9588-4DCC-99C6-33EABC7BDEBA}"/>
    <cellStyle name="Normal 2 4 12 3 2 2 5" xfId="30631" xr:uid="{1753ADDB-9545-43DB-8788-0C6A3C77F200}"/>
    <cellStyle name="Normal 2 4 12 3 2 2 6" xfId="38200" xr:uid="{2D864D80-12E2-4818-AEC2-7CAF924AD4C5}"/>
    <cellStyle name="Normal 2 4 12 3 2 3" xfId="14589" xr:uid="{00000000-0005-0000-0000-00007D160000}"/>
    <cellStyle name="Normal 2 4 12 3 2 3 2" xfId="26547" xr:uid="{EA0953C1-E2B2-4C81-8F63-71A8EA43972F}"/>
    <cellStyle name="Normal 2 4 12 3 2 3 3" xfId="20887" xr:uid="{00D29C72-4B1F-4890-BFB2-2853E70A22CC}"/>
    <cellStyle name="Normal 2 4 12 3 2 3 4" xfId="31927" xr:uid="{CB8BF7C0-C21A-4DDB-B927-2DB764408A41}"/>
    <cellStyle name="Normal 2 4 12 3 2 3 5" xfId="38202" xr:uid="{E278BC51-D3DE-4920-9418-495371E6BDF1}"/>
    <cellStyle name="Normal 2 4 12 3 2 4" xfId="23714" xr:uid="{1C4AF107-36CA-40AD-83CC-B8BD5EAA7434}"/>
    <cellStyle name="Normal 2 4 12 3 2 5" xfId="18054" xr:uid="{DE9B4499-343D-42B6-952D-AB6A9F6B1E45}"/>
    <cellStyle name="Normal 2 4 12 3 2 6" xfId="29375" xr:uid="{DE0A7820-97E9-4B72-A677-56D62F5EF952}"/>
    <cellStyle name="Normal 2 4 12 3 2 7" xfId="38199" xr:uid="{37FF5431-20B5-46F2-B157-AC58167848D8}"/>
    <cellStyle name="Normal 2 4 12 3 3" xfId="7012" xr:uid="{00000000-0005-0000-0000-00007E160000}"/>
    <cellStyle name="Normal 2 4 12 3 3 2" xfId="15445" xr:uid="{00000000-0005-0000-0000-00007F160000}"/>
    <cellStyle name="Normal 2 4 12 3 3 2 2" xfId="27339" xr:uid="{263FAD02-7EE5-49F1-9B4F-99301E5B3C6B}"/>
    <cellStyle name="Normal 2 4 12 3 3 2 3" xfId="21679" xr:uid="{69721C12-9FA0-4762-824F-AB2291B26BF9}"/>
    <cellStyle name="Normal 2 4 12 3 3 2 4" xfId="32719" xr:uid="{15A531D5-0700-44EB-8F51-A9A6835048EE}"/>
    <cellStyle name="Normal 2 4 12 3 3 2 5" xfId="38204" xr:uid="{6379A3E8-7CE2-4CF5-8B6A-7D3E62F8D0B7}"/>
    <cellStyle name="Normal 2 4 12 3 3 3" xfId="24506" xr:uid="{E3743870-06C8-4348-81C5-92BD111DC69F}"/>
    <cellStyle name="Normal 2 4 12 3 3 4" xfId="18846" xr:uid="{FCCA8ADE-820D-4AAA-B768-EB1BE6CD9E8E}"/>
    <cellStyle name="Normal 2 4 12 3 3 5" xfId="30167" xr:uid="{2E0A1648-47C7-45CD-806F-CC7CC31B383B}"/>
    <cellStyle name="Normal 2 4 12 3 3 6" xfId="38203" xr:uid="{40868C3F-F788-4EF3-91E1-93225325C2E4}"/>
    <cellStyle name="Normal 2 4 12 3 4" xfId="14036" xr:uid="{00000000-0005-0000-0000-000080160000}"/>
    <cellStyle name="Normal 2 4 12 3 4 2" xfId="26075" xr:uid="{88FA5255-7486-42F8-9DE9-E49AB66317E9}"/>
    <cellStyle name="Normal 2 4 12 3 4 3" xfId="20415" xr:uid="{6270D444-3974-4159-BD16-995A2B240A14}"/>
    <cellStyle name="Normal 2 4 12 3 4 4" xfId="31455" xr:uid="{8C486354-DC86-4C8B-95B3-F7E71716CAB4}"/>
    <cellStyle name="Normal 2 4 12 3 4 5" xfId="38205" xr:uid="{74AE85D0-0561-464F-B8F0-876812F243F1}"/>
    <cellStyle name="Normal 2 4 12 3 5" xfId="22944" xr:uid="{474B66A4-CE24-4570-8FC2-0EC42BB349CE}"/>
    <cellStyle name="Normal 2 4 12 3 6" xfId="17284" xr:uid="{E05D340E-5626-4C68-9A09-5059B82BFCCF}"/>
    <cellStyle name="Normal 2 4 12 3 7" xfId="28605" xr:uid="{F41AEE32-8BE8-4B6C-8AB7-9D160915BA29}"/>
    <cellStyle name="Normal 2 4 12 3 8" xfId="38198" xr:uid="{1A7724D0-25A4-4C27-9955-1ADD4BE3B863}"/>
    <cellStyle name="Normal 2 4 12 4" xfId="5671" xr:uid="{00000000-0005-0000-0000-000081160000}"/>
    <cellStyle name="Normal 2 4 12 4 2" xfId="38206" xr:uid="{BDD3CA6E-6029-44CE-99F0-E8C04ECE6C54}"/>
    <cellStyle name="Normal 2 4 12 5" xfId="6594" xr:uid="{00000000-0005-0000-0000-000082160000}"/>
    <cellStyle name="Normal 2 4 12 5 2" xfId="15027" xr:uid="{00000000-0005-0000-0000-000083160000}"/>
    <cellStyle name="Normal 2 4 12 5 2 2" xfId="26921" xr:uid="{391A0336-1905-41EC-ACE6-ECFCCB3B4A35}"/>
    <cellStyle name="Normal 2 4 12 5 2 3" xfId="21261" xr:uid="{B83D5ED1-484A-41B9-900E-0F6AF70DFD0D}"/>
    <cellStyle name="Normal 2 4 12 5 2 4" xfId="32301" xr:uid="{125FBB32-90BD-4FBF-857F-4B4F83AD585E}"/>
    <cellStyle name="Normal 2 4 12 5 2 5" xfId="38208" xr:uid="{16362C9B-8EFC-4D46-8218-EB61AED8EF86}"/>
    <cellStyle name="Normal 2 4 12 5 3" xfId="24088" xr:uid="{C52A51CA-C38A-4BBD-99D4-99435A9E8D01}"/>
    <cellStyle name="Normal 2 4 12 5 4" xfId="18428" xr:uid="{51C7AE31-57D7-49BB-98EF-4552ECCC6F32}"/>
    <cellStyle name="Normal 2 4 12 5 5" xfId="29749" xr:uid="{D04AD858-87F4-4F4E-AFCA-5C75DD780A70}"/>
    <cellStyle name="Normal 2 4 12 5 6" xfId="38207" xr:uid="{E33A47DD-8C5F-4BD5-A569-D960CEC4FB92}"/>
    <cellStyle name="Normal 2 4 12 6" xfId="7906" xr:uid="{00000000-0005-0000-0000-000084160000}"/>
    <cellStyle name="Normal 2 4 12 6 2" xfId="25389" xr:uid="{EC898938-BB0F-4B1E-968A-CBE82F39B7F5}"/>
    <cellStyle name="Normal 2 4 12 6 3" xfId="19729" xr:uid="{E1FAAFBB-95C6-4633-9873-AD0FC0EB5276}"/>
    <cellStyle name="Normal 2 4 12 6 4" xfId="31050" xr:uid="{B8AED46A-3C4A-4DB3-994D-7F99BE95463A}"/>
    <cellStyle name="Normal 2 4 12 6 5" xfId="38209" xr:uid="{936216EF-380C-4A7E-B42D-1BD31CF23B76}"/>
    <cellStyle name="Normal 2 4 12 7" xfId="22526" xr:uid="{BE705F89-FE80-4DB4-ACDB-993EEECF8D26}"/>
    <cellStyle name="Normal 2 4 12 8" xfId="16866" xr:uid="{973CA0EA-0BF7-4A9A-A223-EFC31F54489B}"/>
    <cellStyle name="Normal 2 4 12 9" xfId="28187" xr:uid="{90C56296-2A41-47AE-B467-09A2C5EE0F01}"/>
    <cellStyle name="Normal 2 4 13" xfId="4194" xr:uid="{00000000-0005-0000-0000-000085160000}"/>
    <cellStyle name="Normal 2 4 13 10" xfId="38210" xr:uid="{AB912BD2-2298-432B-9994-F14CC845A1C8}"/>
    <cellStyle name="Normal 2 4 13 2" xfId="4940" xr:uid="{00000000-0005-0000-0000-000086160000}"/>
    <cellStyle name="Normal 2 4 13 2 2" xfId="5359" xr:uid="{00000000-0005-0000-0000-000087160000}"/>
    <cellStyle name="Normal 2 4 13 2 2 2" xfId="7222" xr:uid="{00000000-0005-0000-0000-000088160000}"/>
    <cellStyle name="Normal 2 4 13 2 2 2 2" xfId="15655" xr:uid="{00000000-0005-0000-0000-000089160000}"/>
    <cellStyle name="Normal 2 4 13 2 2 2 2 2" xfId="27549" xr:uid="{778C4948-EFF7-4F5C-86B2-2437E2F41E3C}"/>
    <cellStyle name="Normal 2 4 13 2 2 2 2 3" xfId="21889" xr:uid="{F21A50B6-5706-4402-AC5E-7EFAA41B60A9}"/>
    <cellStyle name="Normal 2 4 13 2 2 2 2 4" xfId="32929" xr:uid="{5DBA016F-D509-4380-BCC0-3A81FD2EB3EE}"/>
    <cellStyle name="Normal 2 4 13 2 2 2 2 5" xfId="38214" xr:uid="{2CD22E1F-110D-4FD2-A8A3-F4C13BDB02DA}"/>
    <cellStyle name="Normal 2 4 13 2 2 2 3" xfId="24716" xr:uid="{A9AD4D61-5ABB-4659-B826-43FA1E9F2BD6}"/>
    <cellStyle name="Normal 2 4 13 2 2 2 4" xfId="19056" xr:uid="{B2D8DC9A-3AB6-4F4F-A94F-E695C2BF5CAB}"/>
    <cellStyle name="Normal 2 4 13 2 2 2 5" xfId="30377" xr:uid="{E47D97C3-B5E0-4FF4-90B8-D5841A7EE533}"/>
    <cellStyle name="Normal 2 4 13 2 2 2 6" xfId="38213" xr:uid="{BF5F6DA4-4B94-401B-A9B5-721BBE0D7866}"/>
    <cellStyle name="Normal 2 4 13 2 2 3" xfId="14245" xr:uid="{00000000-0005-0000-0000-00008A160000}"/>
    <cellStyle name="Normal 2 4 13 2 2 3 2" xfId="26284" xr:uid="{A95E3B5D-02F0-42B4-A107-FFFDC123BFA3}"/>
    <cellStyle name="Normal 2 4 13 2 2 3 3" xfId="20624" xr:uid="{06A7B9BF-F68C-4696-81AA-A03B6626E9A5}"/>
    <cellStyle name="Normal 2 4 13 2 2 3 4" xfId="31664" xr:uid="{5555C6BB-73DF-49D9-9C03-598B97E2BB51}"/>
    <cellStyle name="Normal 2 4 13 2 2 3 5" xfId="38215" xr:uid="{23D97451-7D67-4BB1-81D5-1A6ACA3B8844}"/>
    <cellStyle name="Normal 2 4 13 2 2 4" xfId="23154" xr:uid="{AD9360E6-24F1-4471-9D15-3C61926064C9}"/>
    <cellStyle name="Normal 2 4 13 2 2 5" xfId="17494" xr:uid="{4D31234F-EE99-4FB4-AB09-6ABDF9DBEF39}"/>
    <cellStyle name="Normal 2 4 13 2 2 6" xfId="28815" xr:uid="{C3FAEF87-CD9A-4A9D-B332-AE6D35F28A65}"/>
    <cellStyle name="Normal 2 4 13 2 2 7" xfId="38212" xr:uid="{8EAA6A29-E761-4029-B864-C6C0312DBDC4}"/>
    <cellStyle name="Normal 2 4 13 2 3" xfId="6139" xr:uid="{00000000-0005-0000-0000-00008B160000}"/>
    <cellStyle name="Normal 2 4 13 2 3 2" xfId="7479" xr:uid="{00000000-0005-0000-0000-00008C160000}"/>
    <cellStyle name="Normal 2 4 13 2 3 2 2" xfId="15912" xr:uid="{00000000-0005-0000-0000-00008D160000}"/>
    <cellStyle name="Normal 2 4 13 2 3 2 2 2" xfId="27806" xr:uid="{72E05BD1-87C9-482D-B804-8DCBCEFAADDB}"/>
    <cellStyle name="Normal 2 4 13 2 3 2 2 3" xfId="22146" xr:uid="{E9747BCF-52E6-4C1C-AC3C-82C5FF43C7A0}"/>
    <cellStyle name="Normal 2 4 13 2 3 2 2 4" xfId="33186" xr:uid="{27C825EC-662A-4795-ADE9-F0DFB1FFDDB5}"/>
    <cellStyle name="Normal 2 4 13 2 3 2 2 5" xfId="38218" xr:uid="{1B6F7A4E-B4CC-4419-A052-7CEFF4F153A3}"/>
    <cellStyle name="Normal 2 4 13 2 3 2 3" xfId="24973" xr:uid="{C03E6735-5FE9-4CA9-ABFD-AE10B56AC5CD}"/>
    <cellStyle name="Normal 2 4 13 2 3 2 4" xfId="19313" xr:uid="{EBFCDD27-7393-4786-999A-E465273ECACB}"/>
    <cellStyle name="Normal 2 4 13 2 3 2 5" xfId="30634" xr:uid="{952C98D2-52DC-4797-A072-3B4556D007F0}"/>
    <cellStyle name="Normal 2 4 13 2 3 2 6" xfId="38217" xr:uid="{A92551F1-43E2-45B2-B318-434D2A667CB2}"/>
    <cellStyle name="Normal 2 4 13 2 3 3" xfId="14592" xr:uid="{00000000-0005-0000-0000-00008E160000}"/>
    <cellStyle name="Normal 2 4 13 2 3 3 2" xfId="26550" xr:uid="{9888C108-B33C-4EB5-927A-CDAAC78380B8}"/>
    <cellStyle name="Normal 2 4 13 2 3 3 3" xfId="20890" xr:uid="{99C9D28C-A0C3-462A-8AB4-84C169E41EEE}"/>
    <cellStyle name="Normal 2 4 13 2 3 3 4" xfId="31930" xr:uid="{69F5601C-6CF7-4445-9030-C8F8D6F555E4}"/>
    <cellStyle name="Normal 2 4 13 2 3 3 5" xfId="38219" xr:uid="{86A12768-24DF-4195-8D57-540C1497587C}"/>
    <cellStyle name="Normal 2 4 13 2 3 4" xfId="23717" xr:uid="{EDA7FA85-CC98-4094-ABFF-A7F7ED6933C5}"/>
    <cellStyle name="Normal 2 4 13 2 3 5" xfId="18057" xr:uid="{9E3327A3-6EC6-4821-816E-AEC84D845DB3}"/>
    <cellStyle name="Normal 2 4 13 2 3 6" xfId="29378" xr:uid="{569930D4-1DE7-4F72-AAF2-5694373D8091}"/>
    <cellStyle name="Normal 2 4 13 2 3 7" xfId="38216" xr:uid="{D8697F86-569E-4613-BE85-16DFB7711F68}"/>
    <cellStyle name="Normal 2 4 13 2 4" xfId="6804" xr:uid="{00000000-0005-0000-0000-00008F160000}"/>
    <cellStyle name="Normal 2 4 13 2 4 2" xfId="15237" xr:uid="{00000000-0005-0000-0000-000090160000}"/>
    <cellStyle name="Normal 2 4 13 2 4 2 2" xfId="27131" xr:uid="{6408C25F-7B65-4E3C-A050-1A71E38E4031}"/>
    <cellStyle name="Normal 2 4 13 2 4 2 3" xfId="21471" xr:uid="{A70A123D-3A19-49C9-BED0-7763B5F39C34}"/>
    <cellStyle name="Normal 2 4 13 2 4 2 4" xfId="32511" xr:uid="{E16D6680-6AAC-42D2-ABD7-9C55C4661700}"/>
    <cellStyle name="Normal 2 4 13 2 4 2 5" xfId="38221" xr:uid="{95C591EA-17F8-4C5D-B9DD-B9C99D85F9FF}"/>
    <cellStyle name="Normal 2 4 13 2 4 3" xfId="24298" xr:uid="{A00891B5-F624-451F-857B-D266A0D22BC9}"/>
    <cellStyle name="Normal 2 4 13 2 4 4" xfId="18638" xr:uid="{ADF81A06-49FA-4A1C-A108-4E820C20208B}"/>
    <cellStyle name="Normal 2 4 13 2 4 5" xfId="29959" xr:uid="{9CCFE593-2FCB-42B0-A92C-21DD08B8803E}"/>
    <cellStyle name="Normal 2 4 13 2 4 6" xfId="38220" xr:uid="{BBACD62F-4F3C-44F8-A25D-AE519FFBEE89}"/>
    <cellStyle name="Normal 2 4 13 2 5" xfId="7909" xr:uid="{00000000-0005-0000-0000-000091160000}"/>
    <cellStyle name="Normal 2 4 13 2 5 2" xfId="25392" xr:uid="{329A3CE0-D9E7-40D9-9D30-29FA6FC5CB47}"/>
    <cellStyle name="Normal 2 4 13 2 5 3" xfId="19732" xr:uid="{60FE8C3F-02B0-4252-A665-E38A86A707DB}"/>
    <cellStyle name="Normal 2 4 13 2 5 4" xfId="31053" xr:uid="{87C74357-14AC-4570-99E2-52E84AFCEBF6}"/>
    <cellStyle name="Normal 2 4 13 2 5 5" xfId="38222" xr:uid="{5031CFE6-45DF-4110-8013-E585E5F826BA}"/>
    <cellStyle name="Normal 2 4 13 2 6" xfId="22736" xr:uid="{7DD767F2-A287-4055-B3B1-14AF41375752}"/>
    <cellStyle name="Normal 2 4 13 2 7" xfId="17076" xr:uid="{05C04502-DB54-4A21-8A85-120D0AA3E718}"/>
    <cellStyle name="Normal 2 4 13 2 8" xfId="28397" xr:uid="{9023356C-09F4-4B01-8EB8-C7567F9E4565}"/>
    <cellStyle name="Normal 2 4 13 2 9" xfId="38211" xr:uid="{84FE57E4-0835-4DA9-9506-0F2B95C5E45E}"/>
    <cellStyle name="Normal 2 4 13 3" xfId="5150" xr:uid="{00000000-0005-0000-0000-000092160000}"/>
    <cellStyle name="Normal 2 4 13 3 2" xfId="6138" xr:uid="{00000000-0005-0000-0000-000093160000}"/>
    <cellStyle name="Normal 2 4 13 3 2 2" xfId="7478" xr:uid="{00000000-0005-0000-0000-000094160000}"/>
    <cellStyle name="Normal 2 4 13 3 2 2 2" xfId="15911" xr:uid="{00000000-0005-0000-0000-000095160000}"/>
    <cellStyle name="Normal 2 4 13 3 2 2 2 2" xfId="27805" xr:uid="{7B161EAC-C822-460B-ADB1-1930FCD9252A}"/>
    <cellStyle name="Normal 2 4 13 3 2 2 2 3" xfId="22145" xr:uid="{356B7200-F3AC-462A-A2CC-B64CE938A317}"/>
    <cellStyle name="Normal 2 4 13 3 2 2 2 4" xfId="33185" xr:uid="{AFE7F92F-0561-466E-9681-9286A75D6B76}"/>
    <cellStyle name="Normal 2 4 13 3 2 2 2 5" xfId="38226" xr:uid="{1B9AB0F6-412E-4944-AF78-4194887B0DEF}"/>
    <cellStyle name="Normal 2 4 13 3 2 2 3" xfId="24972" xr:uid="{1B8ABC27-EAA9-435B-94CD-C2A27B507A24}"/>
    <cellStyle name="Normal 2 4 13 3 2 2 4" xfId="19312" xr:uid="{C5F07D17-7372-425D-B0DB-119AF2C48F90}"/>
    <cellStyle name="Normal 2 4 13 3 2 2 5" xfId="30633" xr:uid="{88ECFB73-34A4-460B-94A0-F560C5892B34}"/>
    <cellStyle name="Normal 2 4 13 3 2 2 6" xfId="38225" xr:uid="{5BDB0313-B05F-49A5-898D-DAD52A56F3D8}"/>
    <cellStyle name="Normal 2 4 13 3 2 3" xfId="14591" xr:uid="{00000000-0005-0000-0000-000096160000}"/>
    <cellStyle name="Normal 2 4 13 3 2 3 2" xfId="26549" xr:uid="{C9EFE8B7-06DC-49F8-ACED-C95CB519CB5B}"/>
    <cellStyle name="Normal 2 4 13 3 2 3 3" xfId="20889" xr:uid="{9200AE1F-87AF-499E-B3B6-E3882D92CFC7}"/>
    <cellStyle name="Normal 2 4 13 3 2 3 4" xfId="31929" xr:uid="{0320FDA9-3C25-4A16-99F1-660BB980CBE9}"/>
    <cellStyle name="Normal 2 4 13 3 2 3 5" xfId="38227" xr:uid="{A9FD7C71-7782-4750-BDAE-27B3FE43790D}"/>
    <cellStyle name="Normal 2 4 13 3 2 4" xfId="23716" xr:uid="{039B8D9F-2584-4CA9-B9A5-2E7A12AE194D}"/>
    <cellStyle name="Normal 2 4 13 3 2 5" xfId="18056" xr:uid="{FCE553EA-B18F-48A0-B68D-EE654F1EA120}"/>
    <cellStyle name="Normal 2 4 13 3 2 6" xfId="29377" xr:uid="{CF72CC9A-A76D-4E7A-9B87-C65668131505}"/>
    <cellStyle name="Normal 2 4 13 3 2 7" xfId="38224" xr:uid="{F8D74DFF-66FB-4AB8-AAE2-66F22B3F32E3}"/>
    <cellStyle name="Normal 2 4 13 3 3" xfId="7013" xr:uid="{00000000-0005-0000-0000-000097160000}"/>
    <cellStyle name="Normal 2 4 13 3 3 2" xfId="15446" xr:uid="{00000000-0005-0000-0000-000098160000}"/>
    <cellStyle name="Normal 2 4 13 3 3 2 2" xfId="27340" xr:uid="{0CC5A431-1BC8-4CBC-B1B3-99BCB850E09F}"/>
    <cellStyle name="Normal 2 4 13 3 3 2 3" xfId="21680" xr:uid="{F06B94F6-36F5-4ED3-BD12-B4D7D2D09AC4}"/>
    <cellStyle name="Normal 2 4 13 3 3 2 4" xfId="32720" xr:uid="{F1BD73E6-2E86-4AC5-BE2B-48E9C701496C}"/>
    <cellStyle name="Normal 2 4 13 3 3 2 5" xfId="38229" xr:uid="{571BB969-E317-489F-AA78-2D4F090EBC69}"/>
    <cellStyle name="Normal 2 4 13 3 3 3" xfId="24507" xr:uid="{E50662BE-5EC9-42D3-83CB-5A3C755A89F1}"/>
    <cellStyle name="Normal 2 4 13 3 3 4" xfId="18847" xr:uid="{39DB60C1-BF61-47E9-817E-4022056F2064}"/>
    <cellStyle name="Normal 2 4 13 3 3 5" xfId="30168" xr:uid="{44666014-3675-420D-9BF9-BC16B780AFC0}"/>
    <cellStyle name="Normal 2 4 13 3 3 6" xfId="38228" xr:uid="{7BC8D666-8899-4B46-9742-6CFF594BEE5B}"/>
    <cellStyle name="Normal 2 4 13 3 4" xfId="14037" xr:uid="{00000000-0005-0000-0000-000099160000}"/>
    <cellStyle name="Normal 2 4 13 3 4 2" xfId="26076" xr:uid="{744C44FF-CE6A-4DB6-9858-482D749F9138}"/>
    <cellStyle name="Normal 2 4 13 3 4 3" xfId="20416" xr:uid="{EB1E5CC8-8636-4A40-8E01-5DB23841A309}"/>
    <cellStyle name="Normal 2 4 13 3 4 4" xfId="31456" xr:uid="{826A9A99-4BD6-4D3D-98F0-AEE2F49F0746}"/>
    <cellStyle name="Normal 2 4 13 3 4 5" xfId="38230" xr:uid="{90F72369-2896-488D-82D9-0085D4675781}"/>
    <cellStyle name="Normal 2 4 13 3 5" xfId="22945" xr:uid="{C66C8A9B-C40E-40F0-9DA8-63A8931C7501}"/>
    <cellStyle name="Normal 2 4 13 3 6" xfId="17285" xr:uid="{72378D94-C3A7-43E9-8482-214E8F8C4111}"/>
    <cellStyle name="Normal 2 4 13 3 7" xfId="28606" xr:uid="{8310ECB7-95B7-4C27-8A07-D33384082630}"/>
    <cellStyle name="Normal 2 4 13 3 8" xfId="38223" xr:uid="{D3A427D6-C440-4BF8-988E-856D568A31AB}"/>
    <cellStyle name="Normal 2 4 13 4" xfId="5672" xr:uid="{00000000-0005-0000-0000-00009A160000}"/>
    <cellStyle name="Normal 2 4 13 4 2" xfId="38231" xr:uid="{0A2721DE-A666-4CED-B509-02DF5A0EA21B}"/>
    <cellStyle name="Normal 2 4 13 5" xfId="6595" xr:uid="{00000000-0005-0000-0000-00009B160000}"/>
    <cellStyle name="Normal 2 4 13 5 2" xfId="15028" xr:uid="{00000000-0005-0000-0000-00009C160000}"/>
    <cellStyle name="Normal 2 4 13 5 2 2" xfId="26922" xr:uid="{B32A94EC-67F6-40E7-9CC5-C356A8DA0634}"/>
    <cellStyle name="Normal 2 4 13 5 2 3" xfId="21262" xr:uid="{863D8B97-7B02-4426-BA90-FD5655F3DAEE}"/>
    <cellStyle name="Normal 2 4 13 5 2 4" xfId="32302" xr:uid="{5DAF75EA-1F2F-455C-B94A-3920F483F91C}"/>
    <cellStyle name="Normal 2 4 13 5 2 5" xfId="38233" xr:uid="{642DAE52-AB67-4292-BA2E-B9CEB045B19E}"/>
    <cellStyle name="Normal 2 4 13 5 3" xfId="24089" xr:uid="{97456A37-082D-4B14-AB4D-66C4B27731E2}"/>
    <cellStyle name="Normal 2 4 13 5 4" xfId="18429" xr:uid="{1EF9A693-8440-44BC-9779-C6BDC1A1B1DC}"/>
    <cellStyle name="Normal 2 4 13 5 5" xfId="29750" xr:uid="{43C027EF-77A8-46DF-9554-F3ECB1ABABD1}"/>
    <cellStyle name="Normal 2 4 13 5 6" xfId="38232" xr:uid="{57872F71-88EF-4AD8-8778-7D423A7AA164}"/>
    <cellStyle name="Normal 2 4 13 6" xfId="7908" xr:uid="{00000000-0005-0000-0000-00009D160000}"/>
    <cellStyle name="Normal 2 4 13 6 2" xfId="25391" xr:uid="{128AB3E0-9A6D-4F87-95AB-9CAFA3F95B7D}"/>
    <cellStyle name="Normal 2 4 13 6 3" xfId="19731" xr:uid="{49F202FF-D17F-48E5-B4ED-432CDAF533C7}"/>
    <cellStyle name="Normal 2 4 13 6 4" xfId="31052" xr:uid="{88152253-110D-4CE6-AF21-FA1C1719CD6A}"/>
    <cellStyle name="Normal 2 4 13 6 5" xfId="38234" xr:uid="{B5992FB5-2FFC-4003-981F-8FDA9186105E}"/>
    <cellStyle name="Normal 2 4 13 7" xfId="22527" xr:uid="{9A8BCEE7-F61D-4E6D-B0C9-1D64936F5DE0}"/>
    <cellStyle name="Normal 2 4 13 8" xfId="16867" xr:uid="{D7A3F792-1144-49DC-BFD1-9CCC01B52127}"/>
    <cellStyle name="Normal 2 4 13 9" xfId="28188" xr:uid="{60B4862E-CAAC-4DDF-8ADF-C59D21F30021}"/>
    <cellStyle name="Normal 2 4 14" xfId="7910" xr:uid="{00000000-0005-0000-0000-00009E160000}"/>
    <cellStyle name="Normal 2 4 14 2" xfId="38235" xr:uid="{EE3C3A2A-3E81-4DA7-B390-F3FCA7B9772F}"/>
    <cellStyle name="Normal 2 4 15" xfId="38236" xr:uid="{944C5B98-3693-4228-871C-01B599F7C31E}"/>
    <cellStyle name="Normal 2 4 16" xfId="38134" xr:uid="{13C21824-CC06-4F92-B28B-AF799CBD75C9}"/>
    <cellStyle name="Normal 2 4 2" xfId="146" xr:uid="{00000000-0005-0000-0000-00009F160000}"/>
    <cellStyle name="Normal 2 4 2 2" xfId="4195" xr:uid="{00000000-0005-0000-0000-0000A0160000}"/>
    <cellStyle name="Normal 2 4 2 2 10" xfId="38238" xr:uid="{990D89D2-CA1E-483E-B309-A42BD2C735E9}"/>
    <cellStyle name="Normal 2 4 2 2 2" xfId="4941" xr:uid="{00000000-0005-0000-0000-0000A1160000}"/>
    <cellStyle name="Normal 2 4 2 2 2 2" xfId="5360" xr:uid="{00000000-0005-0000-0000-0000A2160000}"/>
    <cellStyle name="Normal 2 4 2 2 2 2 2" xfId="7223" xr:uid="{00000000-0005-0000-0000-0000A3160000}"/>
    <cellStyle name="Normal 2 4 2 2 2 2 2 2" xfId="15656" xr:uid="{00000000-0005-0000-0000-0000A4160000}"/>
    <cellStyle name="Normal 2 4 2 2 2 2 2 2 2" xfId="27550" xr:uid="{43E11795-699B-48D8-8DA5-615B911CA678}"/>
    <cellStyle name="Normal 2 4 2 2 2 2 2 2 3" xfId="21890" xr:uid="{7B440081-7696-4761-B4D1-D726ED99B7A0}"/>
    <cellStyle name="Normal 2 4 2 2 2 2 2 2 4" xfId="32930" xr:uid="{E07127CC-8D59-445F-91E8-8892F02501D0}"/>
    <cellStyle name="Normal 2 4 2 2 2 2 2 2 5" xfId="38242" xr:uid="{574F987E-5537-4BB8-B913-1A15E0BE9932}"/>
    <cellStyle name="Normal 2 4 2 2 2 2 2 3" xfId="24717" xr:uid="{4D0ADA4A-2DE7-463A-96B9-B81AB19FC7CC}"/>
    <cellStyle name="Normal 2 4 2 2 2 2 2 4" xfId="19057" xr:uid="{81051428-4164-4344-85C6-2D83868D6044}"/>
    <cellStyle name="Normal 2 4 2 2 2 2 2 5" xfId="30378" xr:uid="{D64E3150-2CE5-46D6-96B3-28579927740D}"/>
    <cellStyle name="Normal 2 4 2 2 2 2 2 6" xfId="38241" xr:uid="{3BDE2570-5373-410B-9292-B842B49B74B8}"/>
    <cellStyle name="Normal 2 4 2 2 2 2 3" xfId="14246" xr:uid="{00000000-0005-0000-0000-0000A5160000}"/>
    <cellStyle name="Normal 2 4 2 2 2 2 3 2" xfId="26285" xr:uid="{EBD0D4BD-9346-49B5-BD1F-6C2002F78CBD}"/>
    <cellStyle name="Normal 2 4 2 2 2 2 3 3" xfId="20625" xr:uid="{09010AAC-78D0-49E0-98C0-026349F092FF}"/>
    <cellStyle name="Normal 2 4 2 2 2 2 3 4" xfId="31665" xr:uid="{A61A3FEE-DA52-4604-9BFF-EE6E341D1BE7}"/>
    <cellStyle name="Normal 2 4 2 2 2 2 3 5" xfId="38243" xr:uid="{B5532A16-8663-4CEA-AA9C-582A1460A677}"/>
    <cellStyle name="Normal 2 4 2 2 2 2 4" xfId="23155" xr:uid="{2548A6FB-64BE-4736-B0B6-0C628EFF1554}"/>
    <cellStyle name="Normal 2 4 2 2 2 2 5" xfId="17495" xr:uid="{B2C90476-22FC-4A03-A50E-F7862D0A21C5}"/>
    <cellStyle name="Normal 2 4 2 2 2 2 6" xfId="28816" xr:uid="{DEA72A49-B991-4A0C-B282-9B5DEBA510B4}"/>
    <cellStyle name="Normal 2 4 2 2 2 2 7" xfId="38240" xr:uid="{E23D7F74-40DE-411B-9FC0-51030ADCC823}"/>
    <cellStyle name="Normal 2 4 2 2 2 3" xfId="6141" xr:uid="{00000000-0005-0000-0000-0000A6160000}"/>
    <cellStyle name="Normal 2 4 2 2 2 3 2" xfId="7481" xr:uid="{00000000-0005-0000-0000-0000A7160000}"/>
    <cellStyle name="Normal 2 4 2 2 2 3 2 2" xfId="15914" xr:uid="{00000000-0005-0000-0000-0000A8160000}"/>
    <cellStyle name="Normal 2 4 2 2 2 3 2 2 2" xfId="27808" xr:uid="{F4821AB0-0A49-4DA6-9D4F-97DBB9353069}"/>
    <cellStyle name="Normal 2 4 2 2 2 3 2 2 3" xfId="22148" xr:uid="{8F0E385E-B044-458D-B92D-58D59BFA13A3}"/>
    <cellStyle name="Normal 2 4 2 2 2 3 2 2 4" xfId="33188" xr:uid="{2D6EDD86-A134-4AEA-B1CB-3054550C79DB}"/>
    <cellStyle name="Normal 2 4 2 2 2 3 2 2 5" xfId="38246" xr:uid="{E625A971-0462-4F17-9D80-B1DF06535D10}"/>
    <cellStyle name="Normal 2 4 2 2 2 3 2 3" xfId="24975" xr:uid="{6A4BE06A-0508-4F11-B05D-5A6A82328573}"/>
    <cellStyle name="Normal 2 4 2 2 2 3 2 4" xfId="19315" xr:uid="{20162500-78C3-481F-BB0C-9B5A0C4E9158}"/>
    <cellStyle name="Normal 2 4 2 2 2 3 2 5" xfId="30636" xr:uid="{D8C386EE-CCE0-4355-9C3A-82C7779EDF62}"/>
    <cellStyle name="Normal 2 4 2 2 2 3 2 6" xfId="38245" xr:uid="{FF1DB563-AA47-4359-B6A6-F9C54437B1C4}"/>
    <cellStyle name="Normal 2 4 2 2 2 3 3" xfId="14594" xr:uid="{00000000-0005-0000-0000-0000A9160000}"/>
    <cellStyle name="Normal 2 4 2 2 2 3 3 2" xfId="26552" xr:uid="{42598F91-8898-406D-9AA1-22FED548CDA8}"/>
    <cellStyle name="Normal 2 4 2 2 2 3 3 3" xfId="20892" xr:uid="{28A75E84-E863-42DF-A29D-EB625BFCB50C}"/>
    <cellStyle name="Normal 2 4 2 2 2 3 3 4" xfId="31932" xr:uid="{97672C0E-8296-47A9-BCE6-7AA584939E85}"/>
    <cellStyle name="Normal 2 4 2 2 2 3 3 5" xfId="38247" xr:uid="{BA338ACF-EAEB-4F5E-8081-C94630DA4225}"/>
    <cellStyle name="Normal 2 4 2 2 2 3 4" xfId="23719" xr:uid="{28F0C182-58A8-4537-9A53-11D89E29F179}"/>
    <cellStyle name="Normal 2 4 2 2 2 3 5" xfId="18059" xr:uid="{E1043A34-869F-4B2E-A5E7-3CA1B5CA917A}"/>
    <cellStyle name="Normal 2 4 2 2 2 3 6" xfId="29380" xr:uid="{047F4864-C6BB-4FCE-9F23-47EE80F151BD}"/>
    <cellStyle name="Normal 2 4 2 2 2 3 7" xfId="38244" xr:uid="{87807A83-46E4-4F4A-ABC0-B49842EBD3E6}"/>
    <cellStyle name="Normal 2 4 2 2 2 4" xfId="6805" xr:uid="{00000000-0005-0000-0000-0000AA160000}"/>
    <cellStyle name="Normal 2 4 2 2 2 4 2" xfId="15238" xr:uid="{00000000-0005-0000-0000-0000AB160000}"/>
    <cellStyle name="Normal 2 4 2 2 2 4 2 2" xfId="27132" xr:uid="{2A157BE9-161F-4FB8-BDDA-886230EBDD70}"/>
    <cellStyle name="Normal 2 4 2 2 2 4 2 3" xfId="21472" xr:uid="{DFE1E019-8487-4167-BEA4-F5C20EBFA4CE}"/>
    <cellStyle name="Normal 2 4 2 2 2 4 2 4" xfId="32512" xr:uid="{9DA12685-4224-4538-9604-959F38DC0BF8}"/>
    <cellStyle name="Normal 2 4 2 2 2 4 2 5" xfId="38249" xr:uid="{5371A245-DAF4-4250-AFA5-C4703FB82142}"/>
    <cellStyle name="Normal 2 4 2 2 2 4 3" xfId="24299" xr:uid="{9DE68574-70FE-49CD-B011-150FC1E4E1FC}"/>
    <cellStyle name="Normal 2 4 2 2 2 4 4" xfId="18639" xr:uid="{BDCCB0AE-2CF6-4441-8FA8-B26796B53BF9}"/>
    <cellStyle name="Normal 2 4 2 2 2 4 5" xfId="29960" xr:uid="{3849DC3F-CE62-4565-98B6-7120487ED5AB}"/>
    <cellStyle name="Normal 2 4 2 2 2 4 6" xfId="38248" xr:uid="{BB8D232D-0630-4E53-A49C-7462F1EFFB78}"/>
    <cellStyle name="Normal 2 4 2 2 2 5" xfId="7913" xr:uid="{00000000-0005-0000-0000-0000AC160000}"/>
    <cellStyle name="Normal 2 4 2 2 2 5 2" xfId="25395" xr:uid="{7575DB02-11B6-42B6-BA74-52EC148BFD54}"/>
    <cellStyle name="Normal 2 4 2 2 2 5 3" xfId="19735" xr:uid="{0E7FD97F-C087-471C-A2D8-9A3CF1BB9705}"/>
    <cellStyle name="Normal 2 4 2 2 2 5 4" xfId="31056" xr:uid="{63BE635C-F29B-49CB-BC98-C379B74D55C2}"/>
    <cellStyle name="Normal 2 4 2 2 2 5 5" xfId="38250" xr:uid="{B9FD6B3E-152B-4164-8405-3C0904E5980D}"/>
    <cellStyle name="Normal 2 4 2 2 2 6" xfId="22737" xr:uid="{313AE501-5DC8-4235-8E6E-A26DEA61B13B}"/>
    <cellStyle name="Normal 2 4 2 2 2 7" xfId="17077" xr:uid="{1D0D4913-76E6-471E-9605-E8941853455C}"/>
    <cellStyle name="Normal 2 4 2 2 2 8" xfId="28398" xr:uid="{DC556C1E-CB6A-4F22-BE9E-548606D9025B}"/>
    <cellStyle name="Normal 2 4 2 2 2 9" xfId="38239" xr:uid="{56706BFC-34EA-43D6-B611-A6BC021BB074}"/>
    <cellStyle name="Normal 2 4 2 2 3" xfId="5151" xr:uid="{00000000-0005-0000-0000-0000AD160000}"/>
    <cellStyle name="Normal 2 4 2 2 3 2" xfId="7014" xr:uid="{00000000-0005-0000-0000-0000AE160000}"/>
    <cellStyle name="Normal 2 4 2 2 3 2 2" xfId="15447" xr:uid="{00000000-0005-0000-0000-0000AF160000}"/>
    <cellStyle name="Normal 2 4 2 2 3 2 2 2" xfId="27341" xr:uid="{529E8CDF-1438-4EEC-BEF1-53085A9345CE}"/>
    <cellStyle name="Normal 2 4 2 2 3 2 2 3" xfId="21681" xr:uid="{B66EEB7E-841A-452B-A959-4533693F4A8F}"/>
    <cellStyle name="Normal 2 4 2 2 3 2 2 4" xfId="32721" xr:uid="{15CF9C39-D65D-4B90-AC7C-6C571B84DDA9}"/>
    <cellStyle name="Normal 2 4 2 2 3 2 2 5" xfId="38253" xr:uid="{20E20559-5F2A-4BC1-A3A2-4C0DB13F9980}"/>
    <cellStyle name="Normal 2 4 2 2 3 2 3" xfId="24508" xr:uid="{BAA1360B-0F79-4C16-A924-CE85F3341BDD}"/>
    <cellStyle name="Normal 2 4 2 2 3 2 4" xfId="18848" xr:uid="{3FFB9932-2925-47CF-AA98-8C71E0E49DE3}"/>
    <cellStyle name="Normal 2 4 2 2 3 2 5" xfId="30169" xr:uid="{2F3236FA-E3C3-45F1-B49D-160278AB3A2A}"/>
    <cellStyle name="Normal 2 4 2 2 3 2 6" xfId="38252" xr:uid="{044FC6F3-E709-447E-A817-44E0456A9FE3}"/>
    <cellStyle name="Normal 2 4 2 2 3 3" xfId="14038" xr:uid="{00000000-0005-0000-0000-0000B0160000}"/>
    <cellStyle name="Normal 2 4 2 2 3 3 2" xfId="26077" xr:uid="{15628D94-4F1B-4FFF-BCFF-8F5A7026E24A}"/>
    <cellStyle name="Normal 2 4 2 2 3 3 3" xfId="20417" xr:uid="{0DD414C4-2891-43C3-B9C9-AA48EB9A36B0}"/>
    <cellStyle name="Normal 2 4 2 2 3 3 4" xfId="31457" xr:uid="{A9BB25FA-8D9D-44F1-88A5-B65E89E145D5}"/>
    <cellStyle name="Normal 2 4 2 2 3 3 5" xfId="38254" xr:uid="{7D558223-6DA5-4F82-BCDB-F076717B6A2F}"/>
    <cellStyle name="Normal 2 4 2 2 3 4" xfId="22946" xr:uid="{887D71D9-C870-4242-9F85-518146FA4A39}"/>
    <cellStyle name="Normal 2 4 2 2 3 5" xfId="17286" xr:uid="{30CE2B32-8D42-4729-82A6-5D6D6862C2D2}"/>
    <cellStyle name="Normal 2 4 2 2 3 6" xfId="28607" xr:uid="{1B3F679A-9561-44C1-96BB-9F00BA4035E6}"/>
    <cellStyle name="Normal 2 4 2 2 3 7" xfId="38251" xr:uid="{FB1DB6EF-7BBD-44EE-9274-C503E225D443}"/>
    <cellStyle name="Normal 2 4 2 2 4" xfId="6140" xr:uid="{00000000-0005-0000-0000-0000B1160000}"/>
    <cellStyle name="Normal 2 4 2 2 4 2" xfId="7480" xr:uid="{00000000-0005-0000-0000-0000B2160000}"/>
    <cellStyle name="Normal 2 4 2 2 4 2 2" xfId="15913" xr:uid="{00000000-0005-0000-0000-0000B3160000}"/>
    <cellStyle name="Normal 2 4 2 2 4 2 2 2" xfId="27807" xr:uid="{F045012D-8DDD-4765-9945-234B5D2874C2}"/>
    <cellStyle name="Normal 2 4 2 2 4 2 2 3" xfId="22147" xr:uid="{68677007-84FC-4522-9AE1-05340755A100}"/>
    <cellStyle name="Normal 2 4 2 2 4 2 2 4" xfId="33187" xr:uid="{2E179845-28D8-4418-9A22-23D7CEDD4ABC}"/>
    <cellStyle name="Normal 2 4 2 2 4 2 2 5" xfId="38257" xr:uid="{33423CF6-F91F-44BE-9F23-BC1928CF2157}"/>
    <cellStyle name="Normal 2 4 2 2 4 2 3" xfId="24974" xr:uid="{FEC1B86F-7992-46B8-80D2-F5208C5D4751}"/>
    <cellStyle name="Normal 2 4 2 2 4 2 4" xfId="19314" xr:uid="{33DBADD2-B40E-48D7-A6C6-EB7A3CD56C0A}"/>
    <cellStyle name="Normal 2 4 2 2 4 2 5" xfId="30635" xr:uid="{7A05891E-022C-4AA7-8C9E-83A6A0DF3B66}"/>
    <cellStyle name="Normal 2 4 2 2 4 2 6" xfId="38256" xr:uid="{D4E711D1-F34B-4354-8B58-85B15267B88C}"/>
    <cellStyle name="Normal 2 4 2 2 4 3" xfId="14593" xr:uid="{00000000-0005-0000-0000-0000B4160000}"/>
    <cellStyle name="Normal 2 4 2 2 4 3 2" xfId="26551" xr:uid="{4EBF03AD-8BFA-40C5-9EE3-6453813DEF05}"/>
    <cellStyle name="Normal 2 4 2 2 4 3 3" xfId="20891" xr:uid="{2F8DBDF0-E42D-48AC-A954-773674CBF938}"/>
    <cellStyle name="Normal 2 4 2 2 4 3 4" xfId="31931" xr:uid="{E4CCACDE-AEF5-4530-8616-D7828CAA172C}"/>
    <cellStyle name="Normal 2 4 2 2 4 3 5" xfId="38258" xr:uid="{4C5930F8-9F2A-4A1E-A00A-FFF68C3F501B}"/>
    <cellStyle name="Normal 2 4 2 2 4 4" xfId="23718" xr:uid="{020CC92B-25C5-4235-9106-DAF2DA7D3EB7}"/>
    <cellStyle name="Normal 2 4 2 2 4 5" xfId="18058" xr:uid="{70EFF00E-752F-4EF9-BE6D-88B3BD89A4CE}"/>
    <cellStyle name="Normal 2 4 2 2 4 6" xfId="29379" xr:uid="{5B9D6069-3833-47E3-91FC-537B6E4F3C46}"/>
    <cellStyle name="Normal 2 4 2 2 4 7" xfId="38255" xr:uid="{00770203-610B-4744-B83E-C11491BEB72D}"/>
    <cellStyle name="Normal 2 4 2 2 5" xfId="6596" xr:uid="{00000000-0005-0000-0000-0000B5160000}"/>
    <cellStyle name="Normal 2 4 2 2 5 2" xfId="15029" xr:uid="{00000000-0005-0000-0000-0000B6160000}"/>
    <cellStyle name="Normal 2 4 2 2 5 2 2" xfId="26923" xr:uid="{878D4B6D-85B2-41E9-B25A-EFA2231EDF7A}"/>
    <cellStyle name="Normal 2 4 2 2 5 2 3" xfId="21263" xr:uid="{B8D36E25-4749-44D0-B85E-49DC4DA6BBB9}"/>
    <cellStyle name="Normal 2 4 2 2 5 2 4" xfId="32303" xr:uid="{DEDEECE0-D730-401C-BDC9-52AC9C18AB71}"/>
    <cellStyle name="Normal 2 4 2 2 5 2 5" xfId="38260" xr:uid="{022BA74C-B63C-4D54-AE0E-93CB15B9D811}"/>
    <cellStyle name="Normal 2 4 2 2 5 3" xfId="24090" xr:uid="{912DEEE8-4CFE-4864-8952-83C858A3CB74}"/>
    <cellStyle name="Normal 2 4 2 2 5 4" xfId="18430" xr:uid="{9099DBC3-4AA8-48E2-B897-6248370115D4}"/>
    <cellStyle name="Normal 2 4 2 2 5 5" xfId="29751" xr:uid="{2BD08DAA-8020-4C14-8A7A-24F7604E980B}"/>
    <cellStyle name="Normal 2 4 2 2 5 6" xfId="38259" xr:uid="{489047DA-44B0-409A-B377-BDBDC5AD84D0}"/>
    <cellStyle name="Normal 2 4 2 2 6" xfId="7912" xr:uid="{00000000-0005-0000-0000-0000B7160000}"/>
    <cellStyle name="Normal 2 4 2 2 6 2" xfId="25394" xr:uid="{590509E0-B099-4D79-8740-FFE487A10EF2}"/>
    <cellStyle name="Normal 2 4 2 2 6 3" xfId="19734" xr:uid="{181E0238-1E7D-409C-AD4B-B806871BFF05}"/>
    <cellStyle name="Normal 2 4 2 2 6 4" xfId="31055" xr:uid="{763BC8B9-4D32-4989-BF36-8B6703DB4DA5}"/>
    <cellStyle name="Normal 2 4 2 2 6 5" xfId="38261" xr:uid="{284B0707-CE7C-4FD3-AAAC-5538CF28C263}"/>
    <cellStyle name="Normal 2 4 2 2 7" xfId="22528" xr:uid="{2DAE66B4-D440-40D5-8356-940924399676}"/>
    <cellStyle name="Normal 2 4 2 2 8" xfId="16868" xr:uid="{48328E57-A3C8-444B-8661-2309196641E3}"/>
    <cellStyle name="Normal 2 4 2 2 9" xfId="28189" xr:uid="{4A1A742B-BF54-4827-B729-6BD9C0A79695}"/>
    <cellStyle name="Normal 2 4 2 3" xfId="7914" xr:uid="{00000000-0005-0000-0000-0000B8160000}"/>
    <cellStyle name="Normal 2 4 2 3 2" xfId="38262" xr:uid="{0E087F95-5284-47D2-B4E5-DD5DAFC2776C}"/>
    <cellStyle name="Normal 2 4 2 4" xfId="7911" xr:uid="{00000000-0005-0000-0000-0000B9160000}"/>
    <cellStyle name="Normal 2 4 2 4 2" xfId="25393" xr:uid="{BB2F1BCC-D84D-41BE-9724-BAB8B3EED5AF}"/>
    <cellStyle name="Normal 2 4 2 4 3" xfId="19733" xr:uid="{850D6843-FF3F-436B-89E9-88A3ADC4A3CE}"/>
    <cellStyle name="Normal 2 4 2 4 4" xfId="31054" xr:uid="{BD3BD960-B073-4D90-B04B-0CD81D1D1141}"/>
    <cellStyle name="Normal 2 4 2 4 5" xfId="38263" xr:uid="{3C38C5E0-23C1-4BBA-848F-4D327DF31F4F}"/>
    <cellStyle name="Normal 2 4 2 5" xfId="38264" xr:uid="{2F7FFF5A-5088-434B-B65F-20D0E109AE67}"/>
    <cellStyle name="Normal 2 4 2 6" xfId="38237" xr:uid="{546E5805-68B2-45C9-95F0-DEE772393EF2}"/>
    <cellStyle name="Normal 2 4 3" xfId="147" xr:uid="{00000000-0005-0000-0000-0000BA160000}"/>
    <cellStyle name="Normal 2 4 3 2" xfId="4196" xr:uid="{00000000-0005-0000-0000-0000BB160000}"/>
    <cellStyle name="Normal 2 4 3 2 10" xfId="38266" xr:uid="{897633B7-9399-49B0-932A-86FD72C06C32}"/>
    <cellStyle name="Normal 2 4 3 2 2" xfId="4942" xr:uid="{00000000-0005-0000-0000-0000BC160000}"/>
    <cellStyle name="Normal 2 4 3 2 2 2" xfId="5361" xr:uid="{00000000-0005-0000-0000-0000BD160000}"/>
    <cellStyle name="Normal 2 4 3 2 2 2 2" xfId="7224" xr:uid="{00000000-0005-0000-0000-0000BE160000}"/>
    <cellStyle name="Normal 2 4 3 2 2 2 2 2" xfId="15657" xr:uid="{00000000-0005-0000-0000-0000BF160000}"/>
    <cellStyle name="Normal 2 4 3 2 2 2 2 2 2" xfId="27551" xr:uid="{15B20DBE-5BF7-40A1-B710-6398B0D02E1B}"/>
    <cellStyle name="Normal 2 4 3 2 2 2 2 2 3" xfId="21891" xr:uid="{3E828409-A30B-4A5E-B4C5-BF3B2A27EB68}"/>
    <cellStyle name="Normal 2 4 3 2 2 2 2 2 4" xfId="32931" xr:uid="{98D7085A-4578-4255-B528-C584B838F08D}"/>
    <cellStyle name="Normal 2 4 3 2 2 2 2 2 5" xfId="38270" xr:uid="{D3AE8DDC-A9FA-4090-A03E-9EAC6A2295D5}"/>
    <cellStyle name="Normal 2 4 3 2 2 2 2 3" xfId="24718" xr:uid="{41B85AAA-6B82-494A-ADB1-05C3126E2D67}"/>
    <cellStyle name="Normal 2 4 3 2 2 2 2 4" xfId="19058" xr:uid="{BBF2D4A3-9237-4DE1-9151-D0B4EC309E1B}"/>
    <cellStyle name="Normal 2 4 3 2 2 2 2 5" xfId="30379" xr:uid="{483493CA-3014-4E4B-9892-C898E94D061E}"/>
    <cellStyle name="Normal 2 4 3 2 2 2 2 6" xfId="38269" xr:uid="{C9B5D230-FEE7-4DF7-A6AB-939E9C59FD9C}"/>
    <cellStyle name="Normal 2 4 3 2 2 2 3" xfId="14247" xr:uid="{00000000-0005-0000-0000-0000C0160000}"/>
    <cellStyle name="Normal 2 4 3 2 2 2 3 2" xfId="26286" xr:uid="{6C623754-5C8C-40D2-ABFC-6DA08D701358}"/>
    <cellStyle name="Normal 2 4 3 2 2 2 3 3" xfId="20626" xr:uid="{F07B6397-F78D-43D7-BA86-991CF5670839}"/>
    <cellStyle name="Normal 2 4 3 2 2 2 3 4" xfId="31666" xr:uid="{ECCCBC40-45DE-44ED-835C-78DDBBEEEEAB}"/>
    <cellStyle name="Normal 2 4 3 2 2 2 3 5" xfId="38271" xr:uid="{72BA4F85-F0D1-47BB-8216-ABCD8CDB2BC1}"/>
    <cellStyle name="Normal 2 4 3 2 2 2 4" xfId="23156" xr:uid="{BD843F1B-F830-4210-AE83-1CB7635C2686}"/>
    <cellStyle name="Normal 2 4 3 2 2 2 5" xfId="17496" xr:uid="{4AD2EBCB-644E-4BFE-837C-70468BB97324}"/>
    <cellStyle name="Normal 2 4 3 2 2 2 6" xfId="28817" xr:uid="{1C62D22B-20A3-4451-8976-08699EFB9174}"/>
    <cellStyle name="Normal 2 4 3 2 2 2 7" xfId="38268" xr:uid="{60881DB8-3E42-4E83-BFB7-A1523F36289C}"/>
    <cellStyle name="Normal 2 4 3 2 2 3" xfId="6143" xr:uid="{00000000-0005-0000-0000-0000C1160000}"/>
    <cellStyle name="Normal 2 4 3 2 2 3 2" xfId="7483" xr:uid="{00000000-0005-0000-0000-0000C2160000}"/>
    <cellStyle name="Normal 2 4 3 2 2 3 2 2" xfId="15916" xr:uid="{00000000-0005-0000-0000-0000C3160000}"/>
    <cellStyle name="Normal 2 4 3 2 2 3 2 2 2" xfId="27810" xr:uid="{CB4F14F5-4434-4F5C-863B-547A61524490}"/>
    <cellStyle name="Normal 2 4 3 2 2 3 2 2 3" xfId="22150" xr:uid="{3BF55E6F-7032-46B4-83EF-61BA8396BF21}"/>
    <cellStyle name="Normal 2 4 3 2 2 3 2 2 4" xfId="33190" xr:uid="{68A6212D-77D8-4F7B-A13B-967DD42606DD}"/>
    <cellStyle name="Normal 2 4 3 2 2 3 2 2 5" xfId="38274" xr:uid="{A2C84522-6AE3-4C47-A455-830766FA89F1}"/>
    <cellStyle name="Normal 2 4 3 2 2 3 2 3" xfId="24977" xr:uid="{5EE4C4BD-363A-4AE7-89B0-1E637F41FE32}"/>
    <cellStyle name="Normal 2 4 3 2 2 3 2 4" xfId="19317" xr:uid="{8C857DF3-8EDD-4F00-8EBE-492464D2996F}"/>
    <cellStyle name="Normal 2 4 3 2 2 3 2 5" xfId="30638" xr:uid="{D171EB41-0E1B-41A3-810B-EA8A29D094DA}"/>
    <cellStyle name="Normal 2 4 3 2 2 3 2 6" xfId="38273" xr:uid="{CAADD429-7A44-4657-B2B8-82CF016C0B1A}"/>
    <cellStyle name="Normal 2 4 3 2 2 3 3" xfId="14596" xr:uid="{00000000-0005-0000-0000-0000C4160000}"/>
    <cellStyle name="Normal 2 4 3 2 2 3 3 2" xfId="26554" xr:uid="{8B11BD8F-4094-4E27-AC43-549137B7D48C}"/>
    <cellStyle name="Normal 2 4 3 2 2 3 3 3" xfId="20894" xr:uid="{BD7E44A3-61B1-43A3-A09A-C0987C6F75ED}"/>
    <cellStyle name="Normal 2 4 3 2 2 3 3 4" xfId="31934" xr:uid="{89C29606-B351-4350-96FE-AF825C400AAA}"/>
    <cellStyle name="Normal 2 4 3 2 2 3 3 5" xfId="38275" xr:uid="{B9DF8E61-3B95-4A46-B726-3489F9F30D59}"/>
    <cellStyle name="Normal 2 4 3 2 2 3 4" xfId="23721" xr:uid="{86E5DD9E-3627-4C8C-8F2E-828A04D98E20}"/>
    <cellStyle name="Normal 2 4 3 2 2 3 5" xfId="18061" xr:uid="{DAA64344-9F8F-4215-BD8B-FAC672A79185}"/>
    <cellStyle name="Normal 2 4 3 2 2 3 6" xfId="29382" xr:uid="{FEBC5069-D45A-4BB1-940A-4FCC6C72D3F3}"/>
    <cellStyle name="Normal 2 4 3 2 2 3 7" xfId="38272" xr:uid="{970A28FE-5602-4325-AB30-4912340B1F04}"/>
    <cellStyle name="Normal 2 4 3 2 2 4" xfId="6806" xr:uid="{00000000-0005-0000-0000-0000C5160000}"/>
    <cellStyle name="Normal 2 4 3 2 2 4 2" xfId="15239" xr:uid="{00000000-0005-0000-0000-0000C6160000}"/>
    <cellStyle name="Normal 2 4 3 2 2 4 2 2" xfId="27133" xr:uid="{53E9566F-B411-4A7C-AC3B-89ED5090675F}"/>
    <cellStyle name="Normal 2 4 3 2 2 4 2 3" xfId="21473" xr:uid="{A5ACDC10-F095-429F-A0AA-D3D0B275446A}"/>
    <cellStyle name="Normal 2 4 3 2 2 4 2 4" xfId="32513" xr:uid="{0BCBA399-7589-4CBB-8EA2-BBDA8C762586}"/>
    <cellStyle name="Normal 2 4 3 2 2 4 2 5" xfId="38277" xr:uid="{03808C18-7E8B-4469-B2E9-8372007EC42E}"/>
    <cellStyle name="Normal 2 4 3 2 2 4 3" xfId="24300" xr:uid="{6F6DE762-CFF0-4D22-844E-392A1391142B}"/>
    <cellStyle name="Normal 2 4 3 2 2 4 4" xfId="18640" xr:uid="{324B2B23-D0A5-4D3D-BD9D-DCE824032AB8}"/>
    <cellStyle name="Normal 2 4 3 2 2 4 5" xfId="29961" xr:uid="{7B3A8A8A-AFA9-4391-8C9F-5F7FAF5991B9}"/>
    <cellStyle name="Normal 2 4 3 2 2 4 6" xfId="38276" xr:uid="{E33CE799-08E1-4061-88BA-0A9A0026C897}"/>
    <cellStyle name="Normal 2 4 3 2 2 5" xfId="7917" xr:uid="{00000000-0005-0000-0000-0000C7160000}"/>
    <cellStyle name="Normal 2 4 3 2 2 5 2" xfId="25398" xr:uid="{03A9C894-8A00-4626-BD02-7083D595C913}"/>
    <cellStyle name="Normal 2 4 3 2 2 5 3" xfId="19738" xr:uid="{247B6A83-E6C2-43AD-AD07-578FFBEC5699}"/>
    <cellStyle name="Normal 2 4 3 2 2 5 4" xfId="31059" xr:uid="{1EEE711D-5AE9-4327-923A-6EC440029F1C}"/>
    <cellStyle name="Normal 2 4 3 2 2 5 5" xfId="38278" xr:uid="{6E7E2366-5523-47D3-A329-E93FD0B8FB25}"/>
    <cellStyle name="Normal 2 4 3 2 2 6" xfId="22738" xr:uid="{D297B22D-2EAF-416D-8255-3A5A2D26AB7B}"/>
    <cellStyle name="Normal 2 4 3 2 2 7" xfId="17078" xr:uid="{D2F31A6A-55FC-46DA-A2F6-90006F1C28F7}"/>
    <cellStyle name="Normal 2 4 3 2 2 8" xfId="28399" xr:uid="{F48CDC09-882B-49BF-8718-FB8A649C26E6}"/>
    <cellStyle name="Normal 2 4 3 2 2 9" xfId="38267" xr:uid="{4413F613-D81A-47AD-B42A-45FC067C7E95}"/>
    <cellStyle name="Normal 2 4 3 2 3" xfId="5152" xr:uid="{00000000-0005-0000-0000-0000C8160000}"/>
    <cellStyle name="Normal 2 4 3 2 3 2" xfId="7015" xr:uid="{00000000-0005-0000-0000-0000C9160000}"/>
    <cellStyle name="Normal 2 4 3 2 3 2 2" xfId="15448" xr:uid="{00000000-0005-0000-0000-0000CA160000}"/>
    <cellStyle name="Normal 2 4 3 2 3 2 2 2" xfId="27342" xr:uid="{19AA397E-E718-42B1-9F16-B4FC1AE480D7}"/>
    <cellStyle name="Normal 2 4 3 2 3 2 2 3" xfId="21682" xr:uid="{F09CDD5D-4862-44CC-9EEA-C3E2FCAE39E9}"/>
    <cellStyle name="Normal 2 4 3 2 3 2 2 4" xfId="32722" xr:uid="{3CA495FB-DD44-4AB8-941D-12447F1DB676}"/>
    <cellStyle name="Normal 2 4 3 2 3 2 2 5" xfId="38281" xr:uid="{12FABA06-35A7-445E-B4A4-96212BE08FC8}"/>
    <cellStyle name="Normal 2 4 3 2 3 2 3" xfId="24509" xr:uid="{A03596A4-0398-44EA-9E6B-04666F2F14B2}"/>
    <cellStyle name="Normal 2 4 3 2 3 2 4" xfId="18849" xr:uid="{66400481-A19C-4FC2-8282-5E73564B6B0F}"/>
    <cellStyle name="Normal 2 4 3 2 3 2 5" xfId="30170" xr:uid="{1FF0D199-C770-416B-B8E6-8412D68BE14B}"/>
    <cellStyle name="Normal 2 4 3 2 3 2 6" xfId="38280" xr:uid="{C7A96070-84B1-412B-B083-C854D9E89664}"/>
    <cellStyle name="Normal 2 4 3 2 3 3" xfId="14039" xr:uid="{00000000-0005-0000-0000-0000CB160000}"/>
    <cellStyle name="Normal 2 4 3 2 3 3 2" xfId="26078" xr:uid="{92E79924-9872-499A-82D5-3597F520CD15}"/>
    <cellStyle name="Normal 2 4 3 2 3 3 3" xfId="20418" xr:uid="{630BC007-1B45-4DF9-B783-4D97D62AE1C0}"/>
    <cellStyle name="Normal 2 4 3 2 3 3 4" xfId="31458" xr:uid="{77E7637C-331B-4C38-A053-CBD9133DDC24}"/>
    <cellStyle name="Normal 2 4 3 2 3 3 5" xfId="38282" xr:uid="{D86E7559-99D9-4509-BB58-3A5E597542AE}"/>
    <cellStyle name="Normal 2 4 3 2 3 4" xfId="22947" xr:uid="{53ABABAC-A5F2-4C45-A7F5-10D1B14D1692}"/>
    <cellStyle name="Normal 2 4 3 2 3 5" xfId="17287" xr:uid="{A64578CF-9AFE-47CD-A8FA-F5DA70CC0B24}"/>
    <cellStyle name="Normal 2 4 3 2 3 6" xfId="28608" xr:uid="{29C24D73-A46D-47D6-A3DE-05201B154BEF}"/>
    <cellStyle name="Normal 2 4 3 2 3 7" xfId="38279" xr:uid="{06A64DD5-2858-44C9-98C7-9173B46BEC07}"/>
    <cellStyle name="Normal 2 4 3 2 4" xfId="6142" xr:uid="{00000000-0005-0000-0000-0000CC160000}"/>
    <cellStyle name="Normal 2 4 3 2 4 2" xfId="7482" xr:uid="{00000000-0005-0000-0000-0000CD160000}"/>
    <cellStyle name="Normal 2 4 3 2 4 2 2" xfId="15915" xr:uid="{00000000-0005-0000-0000-0000CE160000}"/>
    <cellStyle name="Normal 2 4 3 2 4 2 2 2" xfId="27809" xr:uid="{B0FE089D-17A3-4F91-BD84-7BE8B11EC138}"/>
    <cellStyle name="Normal 2 4 3 2 4 2 2 3" xfId="22149" xr:uid="{F5A9B936-1D15-4D1D-A01C-8DA476F51E65}"/>
    <cellStyle name="Normal 2 4 3 2 4 2 2 4" xfId="33189" xr:uid="{1D2F5FB4-9F02-4B27-A157-84863635667D}"/>
    <cellStyle name="Normal 2 4 3 2 4 2 2 5" xfId="38285" xr:uid="{127527B3-608F-4EFA-BE5C-03B838E4F63A}"/>
    <cellStyle name="Normal 2 4 3 2 4 2 3" xfId="24976" xr:uid="{B23C6AA1-D99D-463B-AB59-8D6FD20C0628}"/>
    <cellStyle name="Normal 2 4 3 2 4 2 4" xfId="19316" xr:uid="{71F49D52-0363-42D1-BC99-3B062A948DE3}"/>
    <cellStyle name="Normal 2 4 3 2 4 2 5" xfId="30637" xr:uid="{158F5735-E1CE-4397-AEBD-A56B282391F3}"/>
    <cellStyle name="Normal 2 4 3 2 4 2 6" xfId="38284" xr:uid="{2E692632-33D0-4021-B833-4D884D588208}"/>
    <cellStyle name="Normal 2 4 3 2 4 3" xfId="14595" xr:uid="{00000000-0005-0000-0000-0000CF160000}"/>
    <cellStyle name="Normal 2 4 3 2 4 3 2" xfId="26553" xr:uid="{49A94C47-0C70-4224-AB17-1F5C201C7CF7}"/>
    <cellStyle name="Normal 2 4 3 2 4 3 3" xfId="20893" xr:uid="{B048CBA9-5D88-4521-8D21-9345CACAC83F}"/>
    <cellStyle name="Normal 2 4 3 2 4 3 4" xfId="31933" xr:uid="{33C77EC6-814C-465A-891F-7D11B17EE1ED}"/>
    <cellStyle name="Normal 2 4 3 2 4 3 5" xfId="38286" xr:uid="{E51E9CBA-3E55-4812-A742-9E15054E9A4A}"/>
    <cellStyle name="Normal 2 4 3 2 4 4" xfId="23720" xr:uid="{5FD0BE08-B152-4362-9B06-E7DEAE92C7CF}"/>
    <cellStyle name="Normal 2 4 3 2 4 5" xfId="18060" xr:uid="{A9A685DE-4C6B-48F5-BDDE-9FE0A073C92F}"/>
    <cellStyle name="Normal 2 4 3 2 4 6" xfId="29381" xr:uid="{4895D450-9E72-4376-9E28-F2ED326A9BFD}"/>
    <cellStyle name="Normal 2 4 3 2 4 7" xfId="38283" xr:uid="{5DDFA457-CE35-4891-A279-5999631A8BA3}"/>
    <cellStyle name="Normal 2 4 3 2 5" xfId="6597" xr:uid="{00000000-0005-0000-0000-0000D0160000}"/>
    <cellStyle name="Normal 2 4 3 2 5 2" xfId="15030" xr:uid="{00000000-0005-0000-0000-0000D1160000}"/>
    <cellStyle name="Normal 2 4 3 2 5 2 2" xfId="26924" xr:uid="{3277A7AA-9E67-4508-8F02-9D54A08455E5}"/>
    <cellStyle name="Normal 2 4 3 2 5 2 3" xfId="21264" xr:uid="{CA2E76D2-1279-4295-9E44-823FBB5672B7}"/>
    <cellStyle name="Normal 2 4 3 2 5 2 4" xfId="32304" xr:uid="{6E679333-82FB-4837-8D69-E650E630A731}"/>
    <cellStyle name="Normal 2 4 3 2 5 2 5" xfId="38288" xr:uid="{D2016384-370A-495F-8910-F16E15DBABE0}"/>
    <cellStyle name="Normal 2 4 3 2 5 3" xfId="24091" xr:uid="{10420F93-9AED-4461-9BA5-25468DC2A994}"/>
    <cellStyle name="Normal 2 4 3 2 5 4" xfId="18431" xr:uid="{4A6C74D2-D464-4533-8CF3-5455FA625FC0}"/>
    <cellStyle name="Normal 2 4 3 2 5 5" xfId="29752" xr:uid="{1EAE7AE8-93C3-4F8A-A4AF-3269866B0C40}"/>
    <cellStyle name="Normal 2 4 3 2 5 6" xfId="38287" xr:uid="{6D4D6774-F0CD-482F-A15C-2A50C31A9A23}"/>
    <cellStyle name="Normal 2 4 3 2 6" xfId="7916" xr:uid="{00000000-0005-0000-0000-0000D2160000}"/>
    <cellStyle name="Normal 2 4 3 2 6 2" xfId="25397" xr:uid="{77354A49-AE56-46D8-989A-9E8A458C964D}"/>
    <cellStyle name="Normal 2 4 3 2 6 3" xfId="19737" xr:uid="{1DF32A42-206C-421E-9E70-D09CA0168E71}"/>
    <cellStyle name="Normal 2 4 3 2 6 4" xfId="31058" xr:uid="{B3C3B32A-9771-496F-A876-D710B554F20E}"/>
    <cellStyle name="Normal 2 4 3 2 6 5" xfId="38289" xr:uid="{837C0399-7550-4506-8518-0D3D95CFA013}"/>
    <cellStyle name="Normal 2 4 3 2 7" xfId="22529" xr:uid="{8110D497-2398-4066-90E2-008B2CE4713E}"/>
    <cellStyle name="Normal 2 4 3 2 8" xfId="16869" xr:uid="{AA870493-7656-43A8-8F98-FCF3D55283B8}"/>
    <cellStyle name="Normal 2 4 3 2 9" xfId="28190" xr:uid="{663882E7-0BA2-4ABC-B599-9C1E2A31F771}"/>
    <cellStyle name="Normal 2 4 3 3" xfId="5788" xr:uid="{00000000-0005-0000-0000-0000D3160000}"/>
    <cellStyle name="Normal 2 4 3 3 2" xfId="38290" xr:uid="{AF36FF87-64FF-4E0F-AC20-70BA676B9CD9}"/>
    <cellStyle name="Normal 2 4 3 4" xfId="5673" xr:uid="{00000000-0005-0000-0000-0000D4160000}"/>
    <cellStyle name="Normal 2 4 3 4 2" xfId="38291" xr:uid="{0CA93025-455F-4072-A821-CB5750C6DB15}"/>
    <cellStyle name="Normal 2 4 3 5" xfId="7915" xr:uid="{00000000-0005-0000-0000-0000D5160000}"/>
    <cellStyle name="Normal 2 4 3 5 2" xfId="25396" xr:uid="{E67CB8CB-2A22-4CD1-8991-3AA37B6BCD82}"/>
    <cellStyle name="Normal 2 4 3 5 3" xfId="19736" xr:uid="{B3BC2E87-AF9E-4EB7-B16D-4E4B8EE469E0}"/>
    <cellStyle name="Normal 2 4 3 5 4" xfId="31057" xr:uid="{9274DD65-5F59-4D83-84AB-97ECB1BBD53E}"/>
    <cellStyle name="Normal 2 4 3 5 5" xfId="38292" xr:uid="{EE24B088-9532-4C42-A3B6-DEF09844076B}"/>
    <cellStyle name="Normal 2 4 3 6" xfId="38265" xr:uid="{52E2FCBE-7163-4AA8-B129-16B7A6E546A5}"/>
    <cellStyle name="Normal 2 4 4" xfId="2073" xr:uid="{00000000-0005-0000-0000-0000D6160000}"/>
    <cellStyle name="Normal 2 4 4 2" xfId="4197" xr:uid="{00000000-0005-0000-0000-0000D7160000}"/>
    <cellStyle name="Normal 2 4 4 2 10" xfId="38294" xr:uid="{BB739330-85E2-4BC9-ACBD-CC3345447288}"/>
    <cellStyle name="Normal 2 4 4 2 2" xfId="4943" xr:uid="{00000000-0005-0000-0000-0000D8160000}"/>
    <cellStyle name="Normal 2 4 4 2 2 2" xfId="5362" xr:uid="{00000000-0005-0000-0000-0000D9160000}"/>
    <cellStyle name="Normal 2 4 4 2 2 2 2" xfId="7225" xr:uid="{00000000-0005-0000-0000-0000DA160000}"/>
    <cellStyle name="Normal 2 4 4 2 2 2 2 2" xfId="15658" xr:uid="{00000000-0005-0000-0000-0000DB160000}"/>
    <cellStyle name="Normal 2 4 4 2 2 2 2 2 2" xfId="27552" xr:uid="{6B2B7755-128F-4F1C-B031-FF1226EA859F}"/>
    <cellStyle name="Normal 2 4 4 2 2 2 2 2 3" xfId="21892" xr:uid="{8A207110-92BF-4032-8D28-D78CAF0AC9C5}"/>
    <cellStyle name="Normal 2 4 4 2 2 2 2 2 4" xfId="32932" xr:uid="{7AA3EA17-9BB5-4DED-A145-B0086AADE1DE}"/>
    <cellStyle name="Normal 2 4 4 2 2 2 2 2 5" xfId="38298" xr:uid="{34D102C3-2346-4C5C-B4F4-168E01874691}"/>
    <cellStyle name="Normal 2 4 4 2 2 2 2 3" xfId="24719" xr:uid="{69012DBE-586B-4B26-8747-7FF07FA5CB70}"/>
    <cellStyle name="Normal 2 4 4 2 2 2 2 4" xfId="19059" xr:uid="{F6171F44-F972-4D2A-B821-13E17996569B}"/>
    <cellStyle name="Normal 2 4 4 2 2 2 2 5" xfId="30380" xr:uid="{3E879D2B-FA1D-40A2-96D1-E1EB72DC5E56}"/>
    <cellStyle name="Normal 2 4 4 2 2 2 2 6" xfId="38297" xr:uid="{BFBFC271-7651-4D8A-B758-A0C470C399F4}"/>
    <cellStyle name="Normal 2 4 4 2 2 2 3" xfId="14248" xr:uid="{00000000-0005-0000-0000-0000DC160000}"/>
    <cellStyle name="Normal 2 4 4 2 2 2 3 2" xfId="26287" xr:uid="{F8EAFA21-5844-4C4C-AEF3-1F937911F19D}"/>
    <cellStyle name="Normal 2 4 4 2 2 2 3 3" xfId="20627" xr:uid="{C7F32DDA-B7A0-4083-9FF4-BB37A7E03B03}"/>
    <cellStyle name="Normal 2 4 4 2 2 2 3 4" xfId="31667" xr:uid="{E62CD711-E854-4A3F-87F5-5E23E431878F}"/>
    <cellStyle name="Normal 2 4 4 2 2 2 3 5" xfId="38299" xr:uid="{C6028D37-1CDB-4174-9CA1-60D5AB8B6454}"/>
    <cellStyle name="Normal 2 4 4 2 2 2 4" xfId="23157" xr:uid="{6D04394B-81EC-42F6-872B-113FFB6AD3D4}"/>
    <cellStyle name="Normal 2 4 4 2 2 2 5" xfId="17497" xr:uid="{6CFD99ED-0CD7-4C96-B123-924F4EFB450F}"/>
    <cellStyle name="Normal 2 4 4 2 2 2 6" xfId="28818" xr:uid="{B86C4A43-C45B-49BB-A36B-94A4F43A6529}"/>
    <cellStyle name="Normal 2 4 4 2 2 2 7" xfId="38296" xr:uid="{BDB36673-09B2-4855-AEAB-9A237ADC187D}"/>
    <cellStyle name="Normal 2 4 4 2 2 3" xfId="6146" xr:uid="{00000000-0005-0000-0000-0000DD160000}"/>
    <cellStyle name="Normal 2 4 4 2 2 3 2" xfId="7485" xr:uid="{00000000-0005-0000-0000-0000DE160000}"/>
    <cellStyle name="Normal 2 4 4 2 2 3 2 2" xfId="15918" xr:uid="{00000000-0005-0000-0000-0000DF160000}"/>
    <cellStyle name="Normal 2 4 4 2 2 3 2 2 2" xfId="27812" xr:uid="{25D181FA-951E-424E-B324-6E24FFD0967A}"/>
    <cellStyle name="Normal 2 4 4 2 2 3 2 2 3" xfId="22152" xr:uid="{2920D5F8-4F99-46E6-A271-4ECF4C11327D}"/>
    <cellStyle name="Normal 2 4 4 2 2 3 2 2 4" xfId="33192" xr:uid="{813E6562-EB9B-408F-A3F4-6763DC156912}"/>
    <cellStyle name="Normal 2 4 4 2 2 3 2 2 5" xfId="38302" xr:uid="{DEB75F67-5532-41CD-A491-99E5DE5C91CB}"/>
    <cellStyle name="Normal 2 4 4 2 2 3 2 3" xfId="24979" xr:uid="{21D0268A-522C-4DB1-80BE-62E054CF4C7E}"/>
    <cellStyle name="Normal 2 4 4 2 2 3 2 4" xfId="19319" xr:uid="{AC38003F-F6B7-43EA-BDFF-79E1E7A494B2}"/>
    <cellStyle name="Normal 2 4 4 2 2 3 2 5" xfId="30640" xr:uid="{686DA357-7330-4D72-A46E-DBFF9AAA6A82}"/>
    <cellStyle name="Normal 2 4 4 2 2 3 2 6" xfId="38301" xr:uid="{80F33356-A524-42C4-9E7F-011F73C698D8}"/>
    <cellStyle name="Normal 2 4 4 2 2 3 3" xfId="14598" xr:uid="{00000000-0005-0000-0000-0000E0160000}"/>
    <cellStyle name="Normal 2 4 4 2 2 3 3 2" xfId="26556" xr:uid="{A92B8F2E-9A87-4580-9392-0180093C7299}"/>
    <cellStyle name="Normal 2 4 4 2 2 3 3 3" xfId="20896" xr:uid="{CB783893-805D-4AAA-9D8A-12217344F806}"/>
    <cellStyle name="Normal 2 4 4 2 2 3 3 4" xfId="31936" xr:uid="{6968AFBD-E785-4CD7-A809-4E83CF7E830D}"/>
    <cellStyle name="Normal 2 4 4 2 2 3 3 5" xfId="38303" xr:uid="{C5D24E0F-CDC6-4B41-B91D-A9B72FC1F643}"/>
    <cellStyle name="Normal 2 4 4 2 2 3 4" xfId="23723" xr:uid="{C21945D1-8B38-4AE0-AE74-A65BBD040C7B}"/>
    <cellStyle name="Normal 2 4 4 2 2 3 5" xfId="18063" xr:uid="{684656F6-FCFA-4C55-9109-D8B251A8C3CF}"/>
    <cellStyle name="Normal 2 4 4 2 2 3 6" xfId="29384" xr:uid="{BB15AF2A-F4D0-4F9A-BFD6-ABAB9A7C985A}"/>
    <cellStyle name="Normal 2 4 4 2 2 3 7" xfId="38300" xr:uid="{632624AB-27D6-43BB-9EDF-6209D4B22993}"/>
    <cellStyle name="Normal 2 4 4 2 2 4" xfId="6807" xr:uid="{00000000-0005-0000-0000-0000E1160000}"/>
    <cellStyle name="Normal 2 4 4 2 2 4 2" xfId="15240" xr:uid="{00000000-0005-0000-0000-0000E2160000}"/>
    <cellStyle name="Normal 2 4 4 2 2 4 2 2" xfId="27134" xr:uid="{B1B54CFC-E3BD-416B-A824-AB66923E2CDA}"/>
    <cellStyle name="Normal 2 4 4 2 2 4 2 3" xfId="21474" xr:uid="{C4DC7E71-3DE5-4447-8F9D-444EEC6BA718}"/>
    <cellStyle name="Normal 2 4 4 2 2 4 2 4" xfId="32514" xr:uid="{C0823AFE-A371-4C2B-B190-A5FD33C8A996}"/>
    <cellStyle name="Normal 2 4 4 2 2 4 2 5" xfId="38305" xr:uid="{81E37BFE-B80E-492B-9EF0-D0E9DF30BDC3}"/>
    <cellStyle name="Normal 2 4 4 2 2 4 3" xfId="24301" xr:uid="{DABA85CC-76A1-40FA-9E54-4F90507EC26A}"/>
    <cellStyle name="Normal 2 4 4 2 2 4 4" xfId="18641" xr:uid="{D987036B-BD0B-4481-9C45-52C632032E37}"/>
    <cellStyle name="Normal 2 4 4 2 2 4 5" xfId="29962" xr:uid="{9EA55B6E-5621-4E3A-AD9A-F848F80C9D36}"/>
    <cellStyle name="Normal 2 4 4 2 2 4 6" xfId="38304" xr:uid="{6FFD8105-1FEA-477B-BD9C-BDAB127CE8F7}"/>
    <cellStyle name="Normal 2 4 4 2 2 5" xfId="7920" xr:uid="{00000000-0005-0000-0000-0000E3160000}"/>
    <cellStyle name="Normal 2 4 4 2 2 5 2" xfId="25401" xr:uid="{26B3C0C4-FA31-4D01-8326-2A860F1024F8}"/>
    <cellStyle name="Normal 2 4 4 2 2 5 3" xfId="19741" xr:uid="{AFCD43CF-0C50-4C21-901C-7E0788A950E0}"/>
    <cellStyle name="Normal 2 4 4 2 2 5 4" xfId="31062" xr:uid="{43063034-1165-43F7-864E-25D53AF04161}"/>
    <cellStyle name="Normal 2 4 4 2 2 5 5" xfId="38306" xr:uid="{BB289164-419A-4459-98B1-0541C639656C}"/>
    <cellStyle name="Normal 2 4 4 2 2 6" xfId="22739" xr:uid="{71AAD140-307B-434D-8951-D432861DF810}"/>
    <cellStyle name="Normal 2 4 4 2 2 7" xfId="17079" xr:uid="{3BA5BDB4-1F45-454E-9C64-107B8EB0E747}"/>
    <cellStyle name="Normal 2 4 4 2 2 8" xfId="28400" xr:uid="{B7434F5E-EB9C-4CA3-BA0E-C621001EB759}"/>
    <cellStyle name="Normal 2 4 4 2 2 9" xfId="38295" xr:uid="{BCA7E243-C105-4893-8BD1-9BEE36AEAFAC}"/>
    <cellStyle name="Normal 2 4 4 2 3" xfId="5153" xr:uid="{00000000-0005-0000-0000-0000E4160000}"/>
    <cellStyle name="Normal 2 4 4 2 3 2" xfId="7016" xr:uid="{00000000-0005-0000-0000-0000E5160000}"/>
    <cellStyle name="Normal 2 4 4 2 3 2 2" xfId="15449" xr:uid="{00000000-0005-0000-0000-0000E6160000}"/>
    <cellStyle name="Normal 2 4 4 2 3 2 2 2" xfId="27343" xr:uid="{ADE28F4A-1168-44DD-AE4B-634E8D192C29}"/>
    <cellStyle name="Normal 2 4 4 2 3 2 2 3" xfId="21683" xr:uid="{01068AD5-66F4-4706-9CB7-DFDBD240978E}"/>
    <cellStyle name="Normal 2 4 4 2 3 2 2 4" xfId="32723" xr:uid="{7ECBA562-7CD4-48C8-B2D1-15FF250A678B}"/>
    <cellStyle name="Normal 2 4 4 2 3 2 2 5" xfId="38309" xr:uid="{378230C3-69A4-424B-91C5-19939C55CDAE}"/>
    <cellStyle name="Normal 2 4 4 2 3 2 3" xfId="24510" xr:uid="{D797D199-0267-4EC9-AC32-06D2DB8B4DE9}"/>
    <cellStyle name="Normal 2 4 4 2 3 2 4" xfId="18850" xr:uid="{F6F3B64B-B6CE-48FA-8F2C-C176776DBD0F}"/>
    <cellStyle name="Normal 2 4 4 2 3 2 5" xfId="30171" xr:uid="{2FAAB8A8-1567-42B9-B395-615619DF136C}"/>
    <cellStyle name="Normal 2 4 4 2 3 2 6" xfId="38308" xr:uid="{C1E1300E-8F1C-4D17-A47A-26D7DCF8162C}"/>
    <cellStyle name="Normal 2 4 4 2 3 3" xfId="14040" xr:uid="{00000000-0005-0000-0000-0000E7160000}"/>
    <cellStyle name="Normal 2 4 4 2 3 3 2" xfId="26079" xr:uid="{6FAA40CD-A0CD-46DD-9C5C-C126D2BF6004}"/>
    <cellStyle name="Normal 2 4 4 2 3 3 3" xfId="20419" xr:uid="{2F65A580-7ED7-4D3C-9755-FDE0399DC1FC}"/>
    <cellStyle name="Normal 2 4 4 2 3 3 4" xfId="31459" xr:uid="{2B83C296-C8E1-462F-A7A6-C5FC3533EFAA}"/>
    <cellStyle name="Normal 2 4 4 2 3 3 5" xfId="38310" xr:uid="{0DCA4520-65C7-4264-97D2-71FE338938B5}"/>
    <cellStyle name="Normal 2 4 4 2 3 4" xfId="22948" xr:uid="{04FB817D-7F7E-4C4A-BC6F-4EDFB03905F3}"/>
    <cellStyle name="Normal 2 4 4 2 3 5" xfId="17288" xr:uid="{4272AFB5-6F45-436A-A46C-BD1BA0F9F138}"/>
    <cellStyle name="Normal 2 4 4 2 3 6" xfId="28609" xr:uid="{1825D99D-66E8-44CA-A26A-19382E161219}"/>
    <cellStyle name="Normal 2 4 4 2 3 7" xfId="38307" xr:uid="{6A676147-B3E8-40BD-8E17-B0C3FBE69F4C}"/>
    <cellStyle name="Normal 2 4 4 2 4" xfId="6145" xr:uid="{00000000-0005-0000-0000-0000E8160000}"/>
    <cellStyle name="Normal 2 4 4 2 4 2" xfId="7484" xr:uid="{00000000-0005-0000-0000-0000E9160000}"/>
    <cellStyle name="Normal 2 4 4 2 4 2 2" xfId="15917" xr:uid="{00000000-0005-0000-0000-0000EA160000}"/>
    <cellStyle name="Normal 2 4 4 2 4 2 2 2" xfId="27811" xr:uid="{BABE3466-CDBD-40AF-9894-22FACDCDAA92}"/>
    <cellStyle name="Normal 2 4 4 2 4 2 2 3" xfId="22151" xr:uid="{22711A36-52AD-43E9-B440-1F193EBD2A18}"/>
    <cellStyle name="Normal 2 4 4 2 4 2 2 4" xfId="33191" xr:uid="{B5679CF4-2B56-476A-BD61-F3CE0FC3350B}"/>
    <cellStyle name="Normal 2 4 4 2 4 2 2 5" xfId="38313" xr:uid="{AA7C4AF2-D777-4939-9484-E1971923A423}"/>
    <cellStyle name="Normal 2 4 4 2 4 2 3" xfId="24978" xr:uid="{3C964808-AAE6-4393-AC55-C8D9C5B9AE7B}"/>
    <cellStyle name="Normal 2 4 4 2 4 2 4" xfId="19318" xr:uid="{ABDDB5E9-A8C0-4D95-A3E7-396CA2C90E92}"/>
    <cellStyle name="Normal 2 4 4 2 4 2 5" xfId="30639" xr:uid="{ABFA1D7B-5964-44CC-836D-049DE74297CF}"/>
    <cellStyle name="Normal 2 4 4 2 4 2 6" xfId="38312" xr:uid="{6A0904FD-82C4-4A08-B671-B05C1B011BB3}"/>
    <cellStyle name="Normal 2 4 4 2 4 3" xfId="14597" xr:uid="{00000000-0005-0000-0000-0000EB160000}"/>
    <cellStyle name="Normal 2 4 4 2 4 3 2" xfId="26555" xr:uid="{12D38508-7624-4AB4-B652-695038BA5AA2}"/>
    <cellStyle name="Normal 2 4 4 2 4 3 3" xfId="20895" xr:uid="{738D1998-D10C-4F14-98A1-B5BD32A9D3DD}"/>
    <cellStyle name="Normal 2 4 4 2 4 3 4" xfId="31935" xr:uid="{04C1C888-8376-4D4F-BC00-7DB639CAC802}"/>
    <cellStyle name="Normal 2 4 4 2 4 3 5" xfId="38314" xr:uid="{94705B11-3929-46C0-9472-B449FC2DF094}"/>
    <cellStyle name="Normal 2 4 4 2 4 4" xfId="23722" xr:uid="{7C3107E5-2B1E-4FD2-A03E-EB9A7A9474CF}"/>
    <cellStyle name="Normal 2 4 4 2 4 5" xfId="18062" xr:uid="{063DF507-A6F8-40B0-9F63-DC098CB2C0B3}"/>
    <cellStyle name="Normal 2 4 4 2 4 6" xfId="29383" xr:uid="{AA0925B2-D01E-44DA-943D-E3BCED8F3F9C}"/>
    <cellStyle name="Normal 2 4 4 2 4 7" xfId="38311" xr:uid="{DD39EACA-0934-4F4B-908F-6B26097D3A67}"/>
    <cellStyle name="Normal 2 4 4 2 5" xfId="6598" xr:uid="{00000000-0005-0000-0000-0000EC160000}"/>
    <cellStyle name="Normal 2 4 4 2 5 2" xfId="15031" xr:uid="{00000000-0005-0000-0000-0000ED160000}"/>
    <cellStyle name="Normal 2 4 4 2 5 2 2" xfId="26925" xr:uid="{77ED8386-2B3F-4BC0-99D4-090E9889FE4F}"/>
    <cellStyle name="Normal 2 4 4 2 5 2 3" xfId="21265" xr:uid="{BE0DC00E-6E7D-4795-99C2-BE5893B70EAB}"/>
    <cellStyle name="Normal 2 4 4 2 5 2 4" xfId="32305" xr:uid="{B5713EDD-5B06-4717-9010-2AFECD1D1DB1}"/>
    <cellStyle name="Normal 2 4 4 2 5 2 5" xfId="38316" xr:uid="{3C646E27-FB80-4FF4-B6C1-436D77D0AC37}"/>
    <cellStyle name="Normal 2 4 4 2 5 3" xfId="24092" xr:uid="{9E36FFE7-F900-4350-B439-9474316A7755}"/>
    <cellStyle name="Normal 2 4 4 2 5 4" xfId="18432" xr:uid="{75753A3D-7E76-4A48-9542-92A67ECCFAFB}"/>
    <cellStyle name="Normal 2 4 4 2 5 5" xfId="29753" xr:uid="{5931F47F-65EF-4A9D-BFDD-7BCC60B30690}"/>
    <cellStyle name="Normal 2 4 4 2 5 6" xfId="38315" xr:uid="{5AA14A52-D89E-4C6C-944F-7F5967FF24E9}"/>
    <cellStyle name="Normal 2 4 4 2 6" xfId="7919" xr:uid="{00000000-0005-0000-0000-0000EE160000}"/>
    <cellStyle name="Normal 2 4 4 2 6 2" xfId="25400" xr:uid="{61F024F7-C6E1-479D-ACA6-7574318C883B}"/>
    <cellStyle name="Normal 2 4 4 2 6 3" xfId="19740" xr:uid="{181874DC-EBC2-4FA0-BAED-D25368B1FE62}"/>
    <cellStyle name="Normal 2 4 4 2 6 4" xfId="31061" xr:uid="{E8AE4CA8-57A6-4EA3-B0EE-48F130C3003B}"/>
    <cellStyle name="Normal 2 4 4 2 6 5" xfId="38317" xr:uid="{328A19D3-15A4-4367-AA3D-B17C473F5B9B}"/>
    <cellStyle name="Normal 2 4 4 2 7" xfId="22530" xr:uid="{489168C7-47D7-493D-9E10-354A089542E3}"/>
    <cellStyle name="Normal 2 4 4 2 8" xfId="16870" xr:uid="{8D696F1C-FDF3-4EF9-8FE6-4CA87D99B15A}"/>
    <cellStyle name="Normal 2 4 4 2 9" xfId="28191" xr:uid="{4B0C9BEE-69AE-499C-B144-A0931A5D9866}"/>
    <cellStyle name="Normal 2 4 4 3" xfId="6144" xr:uid="{00000000-0005-0000-0000-0000EF160000}"/>
    <cellStyle name="Normal 2 4 4 3 2" xfId="38318" xr:uid="{D3FC993D-7CE8-46A8-92D0-3874F359C381}"/>
    <cellStyle name="Normal 2 4 4 4" xfId="5674" xr:uid="{00000000-0005-0000-0000-0000F0160000}"/>
    <cellStyle name="Normal 2 4 4 4 2" xfId="38319" xr:uid="{E16A9709-3CF6-470F-8559-A7E6BDBE3517}"/>
    <cellStyle name="Normal 2 4 4 5" xfId="7918" xr:uid="{00000000-0005-0000-0000-0000F1160000}"/>
    <cellStyle name="Normal 2 4 4 5 2" xfId="25399" xr:uid="{C6935667-EC52-466C-96DE-92853CF09EF5}"/>
    <cellStyle name="Normal 2 4 4 5 3" xfId="19739" xr:uid="{4101A879-7FA3-4066-803B-46FF136F2C01}"/>
    <cellStyle name="Normal 2 4 4 5 4" xfId="31060" xr:uid="{5421F02A-6B61-4568-B3C4-4651EC4E611E}"/>
    <cellStyle name="Normal 2 4 4 5 5" xfId="38320" xr:uid="{A2F619D9-9A3B-4704-91BA-C42634FFB2FC}"/>
    <cellStyle name="Normal 2 4 4 6" xfId="38293" xr:uid="{FA8A41DE-D545-4025-84CA-DFC11CF3695D}"/>
    <cellStyle name="Normal 2 4 5" xfId="2074" xr:uid="{00000000-0005-0000-0000-0000F2160000}"/>
    <cellStyle name="Normal 2 4 5 10" xfId="28100" xr:uid="{41768593-854F-4BCF-9C81-E8D5E0C02976}"/>
    <cellStyle name="Normal 2 4 5 11" xfId="38321" xr:uid="{4776E8F2-D976-4D63-B616-ECDE1E219BBD}"/>
    <cellStyle name="Normal 2 4 5 2" xfId="4198" xr:uid="{00000000-0005-0000-0000-0000F3160000}"/>
    <cellStyle name="Normal 2 4 5 2 10" xfId="38322" xr:uid="{1F540FA0-631F-4F19-9425-21EC428EB2AE}"/>
    <cellStyle name="Normal 2 4 5 2 2" xfId="4944" xr:uid="{00000000-0005-0000-0000-0000F4160000}"/>
    <cellStyle name="Normal 2 4 5 2 2 2" xfId="5363" xr:uid="{00000000-0005-0000-0000-0000F5160000}"/>
    <cellStyle name="Normal 2 4 5 2 2 2 2" xfId="7226" xr:uid="{00000000-0005-0000-0000-0000F6160000}"/>
    <cellStyle name="Normal 2 4 5 2 2 2 2 2" xfId="15659" xr:uid="{00000000-0005-0000-0000-0000F7160000}"/>
    <cellStyle name="Normal 2 4 5 2 2 2 2 2 2" xfId="27553" xr:uid="{BA9A03F0-777D-4D7F-B969-C5C1FB7E0310}"/>
    <cellStyle name="Normal 2 4 5 2 2 2 2 2 3" xfId="21893" xr:uid="{E0D6FC53-87FE-4E7D-878D-75A74673890D}"/>
    <cellStyle name="Normal 2 4 5 2 2 2 2 2 4" xfId="32933" xr:uid="{706AEB79-5BF6-4598-9393-D90C773BE1EF}"/>
    <cellStyle name="Normal 2 4 5 2 2 2 2 2 5" xfId="38326" xr:uid="{8EB663C9-2404-4D8B-AEB4-6DF3BF6B3BC5}"/>
    <cellStyle name="Normal 2 4 5 2 2 2 2 3" xfId="24720" xr:uid="{039402B9-6928-48CD-99DE-C36803D1BFE0}"/>
    <cellStyle name="Normal 2 4 5 2 2 2 2 4" xfId="19060" xr:uid="{E41A186A-25EA-49CE-AE14-A98EF68733F5}"/>
    <cellStyle name="Normal 2 4 5 2 2 2 2 5" xfId="30381" xr:uid="{C075CBA5-89D2-436D-899B-EA3B1BCEACCD}"/>
    <cellStyle name="Normal 2 4 5 2 2 2 2 6" xfId="38325" xr:uid="{D4D3C58A-7363-48D1-9359-0DFBB175F7DC}"/>
    <cellStyle name="Normal 2 4 5 2 2 2 3" xfId="14249" xr:uid="{00000000-0005-0000-0000-0000F8160000}"/>
    <cellStyle name="Normal 2 4 5 2 2 2 3 2" xfId="26288" xr:uid="{AA75EF51-1A1D-446F-A655-A1A73CA4E75F}"/>
    <cellStyle name="Normal 2 4 5 2 2 2 3 3" xfId="20628" xr:uid="{3D1A289E-FC15-416F-86B6-A5E3518777CC}"/>
    <cellStyle name="Normal 2 4 5 2 2 2 3 4" xfId="31668" xr:uid="{89B965CE-35C9-4024-A156-C2C921FF55EE}"/>
    <cellStyle name="Normal 2 4 5 2 2 2 3 5" xfId="38327" xr:uid="{4A111EDB-8A6A-4DB4-9DCC-D0D761A21D6C}"/>
    <cellStyle name="Normal 2 4 5 2 2 2 4" xfId="23158" xr:uid="{89151BEB-44BA-4A9B-B8DC-B4665545BC10}"/>
    <cellStyle name="Normal 2 4 5 2 2 2 5" xfId="17498" xr:uid="{6D624A3D-1BC1-4052-8D72-B5DCCFA1BAC4}"/>
    <cellStyle name="Normal 2 4 5 2 2 2 6" xfId="28819" xr:uid="{92408F31-FDF7-4534-8881-4D804EF607F0}"/>
    <cellStyle name="Normal 2 4 5 2 2 2 7" xfId="38324" xr:uid="{E5972272-5997-4B7B-882D-01FEBC7BA3A6}"/>
    <cellStyle name="Normal 2 4 5 2 2 3" xfId="6149" xr:uid="{00000000-0005-0000-0000-0000F9160000}"/>
    <cellStyle name="Normal 2 4 5 2 2 3 2" xfId="7488" xr:uid="{00000000-0005-0000-0000-0000FA160000}"/>
    <cellStyle name="Normal 2 4 5 2 2 3 2 2" xfId="15921" xr:uid="{00000000-0005-0000-0000-0000FB160000}"/>
    <cellStyle name="Normal 2 4 5 2 2 3 2 2 2" xfId="27815" xr:uid="{5A6E9916-5145-4384-8652-D8BEF7B07E4B}"/>
    <cellStyle name="Normal 2 4 5 2 2 3 2 2 3" xfId="22155" xr:uid="{550DEBB7-25FC-491B-BE7E-9AC3E9262517}"/>
    <cellStyle name="Normal 2 4 5 2 2 3 2 2 4" xfId="33195" xr:uid="{082EEA69-4B13-4C73-91EB-591AE51BF34D}"/>
    <cellStyle name="Normal 2 4 5 2 2 3 2 2 5" xfId="38330" xr:uid="{3D7F84D4-8285-4E8D-9474-B331204606A8}"/>
    <cellStyle name="Normal 2 4 5 2 2 3 2 3" xfId="24982" xr:uid="{9B55E0A4-033C-4FF4-9786-2022CB276965}"/>
    <cellStyle name="Normal 2 4 5 2 2 3 2 4" xfId="19322" xr:uid="{D196B5C0-721B-4600-9E17-4A0887D4ACB5}"/>
    <cellStyle name="Normal 2 4 5 2 2 3 2 5" xfId="30643" xr:uid="{A33EA3B5-B383-42DF-8A25-90F6B32B8ED8}"/>
    <cellStyle name="Normal 2 4 5 2 2 3 2 6" xfId="38329" xr:uid="{5DC45455-EEA9-43A5-A9E5-E41FA1E33361}"/>
    <cellStyle name="Normal 2 4 5 2 2 3 3" xfId="14601" xr:uid="{00000000-0005-0000-0000-0000FC160000}"/>
    <cellStyle name="Normal 2 4 5 2 2 3 3 2" xfId="26559" xr:uid="{92C73C6A-1EF1-4D7C-A622-3FE58C5E3369}"/>
    <cellStyle name="Normal 2 4 5 2 2 3 3 3" xfId="20899" xr:uid="{7D5B6929-17A0-4454-9953-5049567343FF}"/>
    <cellStyle name="Normal 2 4 5 2 2 3 3 4" xfId="31939" xr:uid="{AB1537AE-B674-4C60-99EA-39617043A649}"/>
    <cellStyle name="Normal 2 4 5 2 2 3 3 5" xfId="38331" xr:uid="{E79BED68-7B90-4977-9671-E143A0A88A32}"/>
    <cellStyle name="Normal 2 4 5 2 2 3 4" xfId="23726" xr:uid="{C538F237-DC71-4915-AD1C-81B7C6215EDD}"/>
    <cellStyle name="Normal 2 4 5 2 2 3 5" xfId="18066" xr:uid="{EDF3D556-9697-43C3-AEA3-2F85B63C9465}"/>
    <cellStyle name="Normal 2 4 5 2 2 3 6" xfId="29387" xr:uid="{83149B69-8B4C-4E09-97A7-642CAF52B9EE}"/>
    <cellStyle name="Normal 2 4 5 2 2 3 7" xfId="38328" xr:uid="{66EA9DE5-F826-4290-BDD4-5BE8F9F20588}"/>
    <cellStyle name="Normal 2 4 5 2 2 4" xfId="6808" xr:uid="{00000000-0005-0000-0000-0000FD160000}"/>
    <cellStyle name="Normal 2 4 5 2 2 4 2" xfId="15241" xr:uid="{00000000-0005-0000-0000-0000FE160000}"/>
    <cellStyle name="Normal 2 4 5 2 2 4 2 2" xfId="27135" xr:uid="{4ADAF7A1-11FC-4FFB-B32F-F5A1B37291D8}"/>
    <cellStyle name="Normal 2 4 5 2 2 4 2 3" xfId="21475" xr:uid="{81468585-A24B-4A76-B578-966A3F755578}"/>
    <cellStyle name="Normal 2 4 5 2 2 4 2 4" xfId="32515" xr:uid="{5DDD8B07-8A7B-4B22-8FE7-AFE915878F31}"/>
    <cellStyle name="Normal 2 4 5 2 2 4 2 5" xfId="38333" xr:uid="{A8F690D3-BF0B-4EF4-8859-ABF8EEC1D2C5}"/>
    <cellStyle name="Normal 2 4 5 2 2 4 3" xfId="24302" xr:uid="{9239A21E-2E9F-4652-9C71-FA208ADC9014}"/>
    <cellStyle name="Normal 2 4 5 2 2 4 4" xfId="18642" xr:uid="{297C139D-EE4C-46B2-97CC-17020357843D}"/>
    <cellStyle name="Normal 2 4 5 2 2 4 5" xfId="29963" xr:uid="{9CB330C9-1765-46C3-982E-424FB8CEBE2D}"/>
    <cellStyle name="Normal 2 4 5 2 2 4 6" xfId="38332" xr:uid="{B267899A-AB50-4DEE-92D2-D9027BD7E873}"/>
    <cellStyle name="Normal 2 4 5 2 2 5" xfId="7923" xr:uid="{00000000-0005-0000-0000-0000FF160000}"/>
    <cellStyle name="Normal 2 4 5 2 2 5 2" xfId="25404" xr:uid="{0466061B-EC89-433A-B0C8-23194204F870}"/>
    <cellStyle name="Normal 2 4 5 2 2 5 3" xfId="19744" xr:uid="{F3B5A206-BF0A-4372-AF0C-6F6DAC5E47B5}"/>
    <cellStyle name="Normal 2 4 5 2 2 5 4" xfId="31065" xr:uid="{56728734-AF8C-49A4-BB36-E4353697FA10}"/>
    <cellStyle name="Normal 2 4 5 2 2 5 5" xfId="38334" xr:uid="{41A00618-C166-403F-8B47-2E579976AE91}"/>
    <cellStyle name="Normal 2 4 5 2 2 6" xfId="22740" xr:uid="{19E1BF2B-4B7A-4597-BEEF-333438C245CB}"/>
    <cellStyle name="Normal 2 4 5 2 2 7" xfId="17080" xr:uid="{382B10FB-080C-4FD9-B5F6-8A8D6C29A990}"/>
    <cellStyle name="Normal 2 4 5 2 2 8" xfId="28401" xr:uid="{2D449A41-3922-43B9-BD99-7C2A5E18F6A5}"/>
    <cellStyle name="Normal 2 4 5 2 2 9" xfId="38323" xr:uid="{49FDF5A4-A7E3-47FB-A21B-00DCB7D05D72}"/>
    <cellStyle name="Normal 2 4 5 2 3" xfId="5154" xr:uid="{00000000-0005-0000-0000-000000170000}"/>
    <cellStyle name="Normal 2 4 5 2 3 2" xfId="7017" xr:uid="{00000000-0005-0000-0000-000001170000}"/>
    <cellStyle name="Normal 2 4 5 2 3 2 2" xfId="15450" xr:uid="{00000000-0005-0000-0000-000002170000}"/>
    <cellStyle name="Normal 2 4 5 2 3 2 2 2" xfId="27344" xr:uid="{93BA87B8-3205-49BB-8011-15A2157C39F2}"/>
    <cellStyle name="Normal 2 4 5 2 3 2 2 3" xfId="21684" xr:uid="{9C9A3071-90A1-48D2-A328-AF343A8243C0}"/>
    <cellStyle name="Normal 2 4 5 2 3 2 2 4" xfId="32724" xr:uid="{45388ADF-08D9-4486-93F0-6E3AE0B1858F}"/>
    <cellStyle name="Normal 2 4 5 2 3 2 2 5" xfId="38337" xr:uid="{D1935F59-1172-4E87-A927-9B70E7F5E30A}"/>
    <cellStyle name="Normal 2 4 5 2 3 2 3" xfId="24511" xr:uid="{820FAE6D-547B-4336-A960-D140AA0F2809}"/>
    <cellStyle name="Normal 2 4 5 2 3 2 4" xfId="18851" xr:uid="{157E92FB-2292-453B-972C-C1020630D28C}"/>
    <cellStyle name="Normal 2 4 5 2 3 2 5" xfId="30172" xr:uid="{3F06F87C-07E0-4750-8158-413CDCC452EE}"/>
    <cellStyle name="Normal 2 4 5 2 3 2 6" xfId="38336" xr:uid="{59D421E8-0E79-4A7D-8ADB-11BAC3C89C1C}"/>
    <cellStyle name="Normal 2 4 5 2 3 3" xfId="14041" xr:uid="{00000000-0005-0000-0000-000003170000}"/>
    <cellStyle name="Normal 2 4 5 2 3 3 2" xfId="26080" xr:uid="{9A0C2185-890E-41B6-9EE4-AAC6FB5ACCE4}"/>
    <cellStyle name="Normal 2 4 5 2 3 3 3" xfId="20420" xr:uid="{1542515C-7FAD-4DCD-BB1D-789ACB117F83}"/>
    <cellStyle name="Normal 2 4 5 2 3 3 4" xfId="31460" xr:uid="{5298F5B9-E3E6-41A0-A065-249ECDAA9A38}"/>
    <cellStyle name="Normal 2 4 5 2 3 3 5" xfId="38338" xr:uid="{0EFC0830-389C-46F6-B4AD-452EC32860D5}"/>
    <cellStyle name="Normal 2 4 5 2 3 4" xfId="22949" xr:uid="{FC7368B7-BEC3-4E4D-8F8A-AD1695705D71}"/>
    <cellStyle name="Normal 2 4 5 2 3 5" xfId="17289" xr:uid="{358769ED-790C-44B0-A1A2-98D64C6FF86D}"/>
    <cellStyle name="Normal 2 4 5 2 3 6" xfId="28610" xr:uid="{3DAF3796-7F04-4AC4-92A0-D5AA12357898}"/>
    <cellStyle name="Normal 2 4 5 2 3 7" xfId="38335" xr:uid="{AED690E3-21D6-42B2-B039-D7ECCDC9D0FF}"/>
    <cellStyle name="Normal 2 4 5 2 4" xfId="6148" xr:uid="{00000000-0005-0000-0000-000004170000}"/>
    <cellStyle name="Normal 2 4 5 2 4 2" xfId="7487" xr:uid="{00000000-0005-0000-0000-000005170000}"/>
    <cellStyle name="Normal 2 4 5 2 4 2 2" xfId="15920" xr:uid="{00000000-0005-0000-0000-000006170000}"/>
    <cellStyle name="Normal 2 4 5 2 4 2 2 2" xfId="27814" xr:uid="{17F62D67-54E4-43E6-94B2-B5042CA48119}"/>
    <cellStyle name="Normal 2 4 5 2 4 2 2 3" xfId="22154" xr:uid="{C8C54A12-4A0D-4883-97D8-5318140A0179}"/>
    <cellStyle name="Normal 2 4 5 2 4 2 2 4" xfId="33194" xr:uid="{B2C21A86-B8FA-49CB-96C0-7CB5A9F3B676}"/>
    <cellStyle name="Normal 2 4 5 2 4 2 2 5" xfId="38341" xr:uid="{0EEB4212-67C4-47A5-8979-3C9979E9E6BF}"/>
    <cellStyle name="Normal 2 4 5 2 4 2 3" xfId="24981" xr:uid="{4C51BF52-587C-4BCD-B20C-3C01042D6EC6}"/>
    <cellStyle name="Normal 2 4 5 2 4 2 4" xfId="19321" xr:uid="{A8F743E4-9589-43A2-AE69-74639B96E7BD}"/>
    <cellStyle name="Normal 2 4 5 2 4 2 5" xfId="30642" xr:uid="{20105C0A-8989-4529-ADF2-B88020E01797}"/>
    <cellStyle name="Normal 2 4 5 2 4 2 6" xfId="38340" xr:uid="{D5325EF5-8939-440D-A4B2-6CA5DF5C33FE}"/>
    <cellStyle name="Normal 2 4 5 2 4 3" xfId="14600" xr:uid="{00000000-0005-0000-0000-000007170000}"/>
    <cellStyle name="Normal 2 4 5 2 4 3 2" xfId="26558" xr:uid="{7D0B7D1F-C987-41C5-90C8-2EC2D94FFBEB}"/>
    <cellStyle name="Normal 2 4 5 2 4 3 3" xfId="20898" xr:uid="{11BD9513-791C-4B9C-A1CF-F3D46F5C0974}"/>
    <cellStyle name="Normal 2 4 5 2 4 3 4" xfId="31938" xr:uid="{C46A1825-DF34-41C1-9B12-560C367EE782}"/>
    <cellStyle name="Normal 2 4 5 2 4 3 5" xfId="38342" xr:uid="{9E0B0F70-DE78-4C66-A7D4-AF02F6E770DC}"/>
    <cellStyle name="Normal 2 4 5 2 4 4" xfId="23725" xr:uid="{3C143545-95F1-4648-AE8F-8804D6F515EE}"/>
    <cellStyle name="Normal 2 4 5 2 4 5" xfId="18065" xr:uid="{C3A6C307-F90C-4F07-86FD-A001F15F56A9}"/>
    <cellStyle name="Normal 2 4 5 2 4 6" xfId="29386" xr:uid="{CC37482C-1F60-489B-BE48-1339FB54307B}"/>
    <cellStyle name="Normal 2 4 5 2 4 7" xfId="38339" xr:uid="{3D61F6D2-55E9-400D-8488-E20489503BDA}"/>
    <cellStyle name="Normal 2 4 5 2 5" xfId="6599" xr:uid="{00000000-0005-0000-0000-000008170000}"/>
    <cellStyle name="Normal 2 4 5 2 5 2" xfId="15032" xr:uid="{00000000-0005-0000-0000-000009170000}"/>
    <cellStyle name="Normal 2 4 5 2 5 2 2" xfId="26926" xr:uid="{A7A111DD-07F3-4537-BF99-E7D7133E899D}"/>
    <cellStyle name="Normal 2 4 5 2 5 2 3" xfId="21266" xr:uid="{F48E4F0B-6E34-4AD9-BEE7-26448FD7AC64}"/>
    <cellStyle name="Normal 2 4 5 2 5 2 4" xfId="32306" xr:uid="{7548CFBD-628A-41F9-ABF0-4811CDFC680D}"/>
    <cellStyle name="Normal 2 4 5 2 5 2 5" xfId="38344" xr:uid="{84398C9B-5E0F-45A5-A81E-42F1CC9749B8}"/>
    <cellStyle name="Normal 2 4 5 2 5 3" xfId="24093" xr:uid="{A6AF51BD-CF8E-45AC-863F-0BA943A2BB90}"/>
    <cellStyle name="Normal 2 4 5 2 5 4" xfId="18433" xr:uid="{DCECD977-4D3B-45F7-91DE-FCF5A1D5CB16}"/>
    <cellStyle name="Normal 2 4 5 2 5 5" xfId="29754" xr:uid="{AE812A82-15C4-4BDB-B946-3BD153E1A789}"/>
    <cellStyle name="Normal 2 4 5 2 5 6" xfId="38343" xr:uid="{E26FAED1-649C-4E7B-9AA1-0D998F80DE92}"/>
    <cellStyle name="Normal 2 4 5 2 6" xfId="7922" xr:uid="{00000000-0005-0000-0000-00000A170000}"/>
    <cellStyle name="Normal 2 4 5 2 6 2" xfId="25403" xr:uid="{FC96C89F-F6F2-451B-B336-29030AB7EE14}"/>
    <cellStyle name="Normal 2 4 5 2 6 3" xfId="19743" xr:uid="{92B5DF93-C053-4BA1-BA36-15C445E92DD4}"/>
    <cellStyle name="Normal 2 4 5 2 6 4" xfId="31064" xr:uid="{FE00CEA6-AA96-4ECC-87AE-F3673215E63E}"/>
    <cellStyle name="Normal 2 4 5 2 6 5" xfId="38345" xr:uid="{DB0A0D67-C5B8-43AC-8D85-D3DB8D7EBDD7}"/>
    <cellStyle name="Normal 2 4 5 2 7" xfId="22531" xr:uid="{82E90127-9BA2-428A-88CE-E67DEA1DC1A1}"/>
    <cellStyle name="Normal 2 4 5 2 8" xfId="16871" xr:uid="{A3ED12E3-8934-4A9A-A43E-C2E94D6E2122}"/>
    <cellStyle name="Normal 2 4 5 2 9" xfId="28192" xr:uid="{01FF83F7-71E6-41C7-9755-D86AB17BB657}"/>
    <cellStyle name="Normal 2 4 5 3" xfId="4852" xr:uid="{00000000-0005-0000-0000-00000B170000}"/>
    <cellStyle name="Normal 2 4 5 3 2" xfId="5271" xr:uid="{00000000-0005-0000-0000-00000C170000}"/>
    <cellStyle name="Normal 2 4 5 3 2 2" xfId="7134" xr:uid="{00000000-0005-0000-0000-00000D170000}"/>
    <cellStyle name="Normal 2 4 5 3 2 2 2" xfId="15567" xr:uid="{00000000-0005-0000-0000-00000E170000}"/>
    <cellStyle name="Normal 2 4 5 3 2 2 2 2" xfId="27461" xr:uid="{92BD4F93-07B2-4DD1-8858-246F416DDD43}"/>
    <cellStyle name="Normal 2 4 5 3 2 2 2 3" xfId="21801" xr:uid="{E7A6AD0F-1F23-4C31-89A2-DC41EC189D19}"/>
    <cellStyle name="Normal 2 4 5 3 2 2 2 4" xfId="32841" xr:uid="{3C3DE5AB-CE3A-45C3-917E-AE0452C3834A}"/>
    <cellStyle name="Normal 2 4 5 3 2 2 2 5" xfId="38349" xr:uid="{F449C4F8-1F42-4DB6-B1DA-C328A2A6BD73}"/>
    <cellStyle name="Normal 2 4 5 3 2 2 3" xfId="24628" xr:uid="{10E1C0C8-5998-401A-887A-24A386D34291}"/>
    <cellStyle name="Normal 2 4 5 3 2 2 4" xfId="18968" xr:uid="{79CF7374-7E8D-46A5-BF51-EE2C89F3F37F}"/>
    <cellStyle name="Normal 2 4 5 3 2 2 5" xfId="30289" xr:uid="{AA9CDB46-A4CD-4B2C-98E7-46D35D83925E}"/>
    <cellStyle name="Normal 2 4 5 3 2 2 6" xfId="38348" xr:uid="{41AAF3C4-F1E1-464A-AA6D-E8240E92A88E}"/>
    <cellStyle name="Normal 2 4 5 3 2 3" xfId="14157" xr:uid="{00000000-0005-0000-0000-00000F170000}"/>
    <cellStyle name="Normal 2 4 5 3 2 3 2" xfId="26196" xr:uid="{A83B74F2-DD66-4213-BAA7-8CF019CB04CA}"/>
    <cellStyle name="Normal 2 4 5 3 2 3 3" xfId="20536" xr:uid="{CE2A62AA-E469-4059-9A92-211005B8D836}"/>
    <cellStyle name="Normal 2 4 5 3 2 3 4" xfId="31576" xr:uid="{111908FA-E356-4069-8196-E28202D87402}"/>
    <cellStyle name="Normal 2 4 5 3 2 3 5" xfId="38350" xr:uid="{CBAB5E76-F3C7-41BE-BC01-296F0BC4BA6E}"/>
    <cellStyle name="Normal 2 4 5 3 2 4" xfId="23066" xr:uid="{026DE293-86C2-48B7-8B57-9890D838C01E}"/>
    <cellStyle name="Normal 2 4 5 3 2 5" xfId="17406" xr:uid="{0888795C-BC2C-4113-AC5E-4678974109CF}"/>
    <cellStyle name="Normal 2 4 5 3 2 6" xfId="28727" xr:uid="{24157E37-BA54-44F0-A955-0A6401F14DD4}"/>
    <cellStyle name="Normal 2 4 5 3 2 7" xfId="38347" xr:uid="{F14A150E-C0DA-4D34-A363-6091A9CD40F0}"/>
    <cellStyle name="Normal 2 4 5 3 3" xfId="6150" xr:uid="{00000000-0005-0000-0000-000010170000}"/>
    <cellStyle name="Normal 2 4 5 3 3 2" xfId="7489" xr:uid="{00000000-0005-0000-0000-000011170000}"/>
    <cellStyle name="Normal 2 4 5 3 3 2 2" xfId="15922" xr:uid="{00000000-0005-0000-0000-000012170000}"/>
    <cellStyle name="Normal 2 4 5 3 3 2 2 2" xfId="27816" xr:uid="{0242500E-5CB4-4F48-895E-22C676D6F427}"/>
    <cellStyle name="Normal 2 4 5 3 3 2 2 3" xfId="22156" xr:uid="{0603F4D5-2670-4480-97B3-540FE8B944D0}"/>
    <cellStyle name="Normal 2 4 5 3 3 2 2 4" xfId="33196" xr:uid="{5BB01251-B8B5-45C4-96DB-B62892399A8E}"/>
    <cellStyle name="Normal 2 4 5 3 3 2 2 5" xfId="38353" xr:uid="{9AFC926B-E219-415C-AAFF-97E70D585F20}"/>
    <cellStyle name="Normal 2 4 5 3 3 2 3" xfId="24983" xr:uid="{DF1E46E4-C4F8-4240-B629-D9347FD54FFF}"/>
    <cellStyle name="Normal 2 4 5 3 3 2 4" xfId="19323" xr:uid="{C2849E08-2207-479D-87DD-7B2FAB5B871F}"/>
    <cellStyle name="Normal 2 4 5 3 3 2 5" xfId="30644" xr:uid="{A46BABF4-85CE-4EDB-B3A5-98B22113FD92}"/>
    <cellStyle name="Normal 2 4 5 3 3 2 6" xfId="38352" xr:uid="{E9226A26-21A9-4332-A204-40CBD7354458}"/>
    <cellStyle name="Normal 2 4 5 3 3 3" xfId="14602" xr:uid="{00000000-0005-0000-0000-000013170000}"/>
    <cellStyle name="Normal 2 4 5 3 3 3 2" xfId="26560" xr:uid="{F5AD91F0-8F7B-413E-A810-63108B9F04D9}"/>
    <cellStyle name="Normal 2 4 5 3 3 3 3" xfId="20900" xr:uid="{0F5102A9-6EA0-40C3-B1E9-280B221049CF}"/>
    <cellStyle name="Normal 2 4 5 3 3 3 4" xfId="31940" xr:uid="{108F93F4-F9EE-48B8-9299-9A6CA6D463DB}"/>
    <cellStyle name="Normal 2 4 5 3 3 3 5" xfId="38354" xr:uid="{7CEA9ABD-DF8B-4C48-B095-4999E3E0A1D7}"/>
    <cellStyle name="Normal 2 4 5 3 3 4" xfId="23727" xr:uid="{57680114-55C0-4210-88CC-BD79E46F1049}"/>
    <cellStyle name="Normal 2 4 5 3 3 5" xfId="18067" xr:uid="{7E9CA740-03F9-406B-A458-FCCFD16A66E6}"/>
    <cellStyle name="Normal 2 4 5 3 3 6" xfId="29388" xr:uid="{EC88ABAF-0CA2-47D3-A446-76DEE9C58E8B}"/>
    <cellStyle name="Normal 2 4 5 3 3 7" xfId="38351" xr:uid="{B300975B-8527-471A-97B0-2BDC52B171E4}"/>
    <cellStyle name="Normal 2 4 5 3 4" xfId="6716" xr:uid="{00000000-0005-0000-0000-000014170000}"/>
    <cellStyle name="Normal 2 4 5 3 4 2" xfId="15149" xr:uid="{00000000-0005-0000-0000-000015170000}"/>
    <cellStyle name="Normal 2 4 5 3 4 2 2" xfId="27043" xr:uid="{DBC7AD7C-5DCA-4A84-9693-7EECAFC97089}"/>
    <cellStyle name="Normal 2 4 5 3 4 2 3" xfId="21383" xr:uid="{210A62D1-22AA-4286-8D15-93A910DB50AD}"/>
    <cellStyle name="Normal 2 4 5 3 4 2 4" xfId="32423" xr:uid="{1E62D0BB-C4B2-44E8-BC27-65593DFA87A6}"/>
    <cellStyle name="Normal 2 4 5 3 4 2 5" xfId="38356" xr:uid="{187A00F0-D7F1-4524-98AB-A84440BEEE6D}"/>
    <cellStyle name="Normal 2 4 5 3 4 3" xfId="24210" xr:uid="{DCE5ABC8-050A-4229-BC38-5C83471786E1}"/>
    <cellStyle name="Normal 2 4 5 3 4 4" xfId="18550" xr:uid="{F683F608-3495-41D1-94E3-83CAADBFB4D9}"/>
    <cellStyle name="Normal 2 4 5 3 4 5" xfId="29871" xr:uid="{514C794D-4A56-439C-BA61-AE430B1FA75C}"/>
    <cellStyle name="Normal 2 4 5 3 4 6" xfId="38355" xr:uid="{7C1AA0A2-E542-49CB-9A13-41C54BD672A8}"/>
    <cellStyle name="Normal 2 4 5 3 5" xfId="7924" xr:uid="{00000000-0005-0000-0000-000016170000}"/>
    <cellStyle name="Normal 2 4 5 3 5 2" xfId="25405" xr:uid="{6164EC2C-D38A-429F-87AC-F0B67522B941}"/>
    <cellStyle name="Normal 2 4 5 3 5 3" xfId="19745" xr:uid="{47393210-A3EC-48D3-83D6-F53163B8BE89}"/>
    <cellStyle name="Normal 2 4 5 3 5 4" xfId="31066" xr:uid="{2F97B182-7399-49B8-833D-B26D710522E9}"/>
    <cellStyle name="Normal 2 4 5 3 5 5" xfId="38357" xr:uid="{C6C55B33-09B6-4AFB-8113-990CE9036E87}"/>
    <cellStyle name="Normal 2 4 5 3 6" xfId="22648" xr:uid="{48DA5A6E-4DD1-4724-8F59-6375491082AC}"/>
    <cellStyle name="Normal 2 4 5 3 7" xfId="16988" xr:uid="{4D008E1A-0A88-49A7-89CC-473924CB9F4B}"/>
    <cellStyle name="Normal 2 4 5 3 8" xfId="28309" xr:uid="{34187FA6-5742-4432-8428-201D9B95702C}"/>
    <cellStyle name="Normal 2 4 5 3 9" xfId="38346" xr:uid="{FE119E5A-4DFA-4A8C-8081-ACE87D0971F3}"/>
    <cellStyle name="Normal 2 4 5 4" xfId="5062" xr:uid="{00000000-0005-0000-0000-000017170000}"/>
    <cellStyle name="Normal 2 4 5 4 2" xfId="6147" xr:uid="{00000000-0005-0000-0000-000018170000}"/>
    <cellStyle name="Normal 2 4 5 4 2 2" xfId="7486" xr:uid="{00000000-0005-0000-0000-000019170000}"/>
    <cellStyle name="Normal 2 4 5 4 2 2 2" xfId="15919" xr:uid="{00000000-0005-0000-0000-00001A170000}"/>
    <cellStyle name="Normal 2 4 5 4 2 2 2 2" xfId="27813" xr:uid="{AA5C74FA-98DC-41DD-90B6-41DB0E5336D5}"/>
    <cellStyle name="Normal 2 4 5 4 2 2 2 3" xfId="22153" xr:uid="{438391BC-842D-4175-87F2-26AEA0615412}"/>
    <cellStyle name="Normal 2 4 5 4 2 2 2 4" xfId="33193" xr:uid="{6CDF3C8F-5F15-4D1E-99A7-517E48B76E57}"/>
    <cellStyle name="Normal 2 4 5 4 2 2 2 5" xfId="38361" xr:uid="{9363358E-E573-411A-9193-FA4A303D54DC}"/>
    <cellStyle name="Normal 2 4 5 4 2 2 3" xfId="24980" xr:uid="{E26EC79B-50E1-4002-9E82-62E9AC59DC45}"/>
    <cellStyle name="Normal 2 4 5 4 2 2 4" xfId="19320" xr:uid="{46A6C3A8-09F6-481A-BD24-2082408CB08B}"/>
    <cellStyle name="Normal 2 4 5 4 2 2 5" xfId="30641" xr:uid="{2ECEFE56-0C42-44E1-BCEE-6EF9C22A91F3}"/>
    <cellStyle name="Normal 2 4 5 4 2 2 6" xfId="38360" xr:uid="{3003608E-CA7E-424B-AD9B-D3ABB1BD6CA3}"/>
    <cellStyle name="Normal 2 4 5 4 2 3" xfId="14599" xr:uid="{00000000-0005-0000-0000-00001B170000}"/>
    <cellStyle name="Normal 2 4 5 4 2 3 2" xfId="26557" xr:uid="{E6212DA3-25CD-41BD-B9AA-3F1E2165745F}"/>
    <cellStyle name="Normal 2 4 5 4 2 3 3" xfId="20897" xr:uid="{B94D6B53-BE8D-412D-A597-1E74059DA23F}"/>
    <cellStyle name="Normal 2 4 5 4 2 3 4" xfId="31937" xr:uid="{CEFFED49-B9A9-4AF4-9D49-7CD8FBF837B3}"/>
    <cellStyle name="Normal 2 4 5 4 2 3 5" xfId="38362" xr:uid="{E7452ADD-10FA-497E-A4B6-E226A1F4350C}"/>
    <cellStyle name="Normal 2 4 5 4 2 4" xfId="23724" xr:uid="{1EEE0846-38A2-4C30-96D3-4F1A649BD749}"/>
    <cellStyle name="Normal 2 4 5 4 2 5" xfId="18064" xr:uid="{935825B7-8155-4F60-AAB4-834BC0B45C0E}"/>
    <cellStyle name="Normal 2 4 5 4 2 6" xfId="29385" xr:uid="{50AB4596-7FC9-413E-BEBF-B380243205FE}"/>
    <cellStyle name="Normal 2 4 5 4 2 7" xfId="38359" xr:uid="{361D7340-7380-4A32-81AF-A6964A65FC0F}"/>
    <cellStyle name="Normal 2 4 5 4 3" xfId="6925" xr:uid="{00000000-0005-0000-0000-00001C170000}"/>
    <cellStyle name="Normal 2 4 5 4 3 2" xfId="15358" xr:uid="{00000000-0005-0000-0000-00001D170000}"/>
    <cellStyle name="Normal 2 4 5 4 3 2 2" xfId="27252" xr:uid="{762D0893-8C81-4990-AF5E-CA55560C720F}"/>
    <cellStyle name="Normal 2 4 5 4 3 2 3" xfId="21592" xr:uid="{FEE22FBD-992C-4457-BAFD-8293A57F71DA}"/>
    <cellStyle name="Normal 2 4 5 4 3 2 4" xfId="32632" xr:uid="{CD0ED9AE-F1C3-4EA8-ADA1-CFAC00AD7554}"/>
    <cellStyle name="Normal 2 4 5 4 3 2 5" xfId="38364" xr:uid="{1C314699-9A86-45F2-B848-F460F06ACBFF}"/>
    <cellStyle name="Normal 2 4 5 4 3 3" xfId="24419" xr:uid="{07F2CD98-D86B-416F-92E2-ED6BA0F7203E}"/>
    <cellStyle name="Normal 2 4 5 4 3 4" xfId="18759" xr:uid="{355368B9-6037-495E-9040-752E59C530D3}"/>
    <cellStyle name="Normal 2 4 5 4 3 5" xfId="30080" xr:uid="{164DA45C-2A96-4CA2-BF75-58C5A9652BFB}"/>
    <cellStyle name="Normal 2 4 5 4 3 6" xfId="38363" xr:uid="{D7576398-0D97-49B5-8436-4B6A8D1D0EA3}"/>
    <cellStyle name="Normal 2 4 5 4 4" xfId="13957" xr:uid="{00000000-0005-0000-0000-00001E170000}"/>
    <cellStyle name="Normal 2 4 5 4 4 2" xfId="25998" xr:uid="{8B5CC8F7-DDFD-429B-AD8F-FD61192D52DF}"/>
    <cellStyle name="Normal 2 4 5 4 4 3" xfId="20338" xr:uid="{4F83B37C-0FD4-4773-AE0F-19888B840AAD}"/>
    <cellStyle name="Normal 2 4 5 4 4 4" xfId="31378" xr:uid="{97F37AF5-2A65-4F0A-A886-6181FA1CE8BD}"/>
    <cellStyle name="Normal 2 4 5 4 4 5" xfId="38365" xr:uid="{C5244ADA-5CE7-4376-8E1A-F9B63AE075C1}"/>
    <cellStyle name="Normal 2 4 5 4 5" xfId="22857" xr:uid="{B7437731-7110-4888-8386-2A65730F96B8}"/>
    <cellStyle name="Normal 2 4 5 4 6" xfId="17197" xr:uid="{5078AAAE-CFBE-4625-9119-F36B74F402D9}"/>
    <cellStyle name="Normal 2 4 5 4 7" xfId="28518" xr:uid="{E92DA4F9-AFF4-4980-8F12-AA7A38862284}"/>
    <cellStyle name="Normal 2 4 5 4 8" xfId="38358" xr:uid="{9BA53A76-F87C-4A02-A17C-2DF73C639B61}"/>
    <cellStyle name="Normal 2 4 5 5" xfId="5675" xr:uid="{00000000-0005-0000-0000-00001F170000}"/>
    <cellStyle name="Normal 2 4 5 5 2" xfId="38366" xr:uid="{77B30322-1ADE-4F86-8118-DAC98B15360D}"/>
    <cellStyle name="Normal 2 4 5 6" xfId="6507" xr:uid="{00000000-0005-0000-0000-000020170000}"/>
    <cellStyle name="Normal 2 4 5 6 2" xfId="14940" xr:uid="{00000000-0005-0000-0000-000021170000}"/>
    <cellStyle name="Normal 2 4 5 6 2 2" xfId="26834" xr:uid="{1E154BB3-5791-42E1-9C87-4BF659EE427A}"/>
    <cellStyle name="Normal 2 4 5 6 2 3" xfId="21174" xr:uid="{8844F71F-D2E8-43B7-8E0B-0DD9E48DE193}"/>
    <cellStyle name="Normal 2 4 5 6 2 4" xfId="32214" xr:uid="{684D2A43-7956-45CF-AD3A-7380A3AFD2E1}"/>
    <cellStyle name="Normal 2 4 5 6 2 5" xfId="38368" xr:uid="{E1C79813-2C70-4EF0-91DE-906771CBE460}"/>
    <cellStyle name="Normal 2 4 5 6 3" xfId="24001" xr:uid="{BD1700BD-C72F-4246-A718-063F906F71F7}"/>
    <cellStyle name="Normal 2 4 5 6 4" xfId="18341" xr:uid="{98624090-3836-4C9F-BF24-2CA0E3BF140D}"/>
    <cellStyle name="Normal 2 4 5 6 5" xfId="29662" xr:uid="{7EE51737-9BC5-4553-B6EC-DA0CE06B9A01}"/>
    <cellStyle name="Normal 2 4 5 6 6" xfId="38367" xr:uid="{79BF2A97-0964-42E4-B6F5-9F5863107085}"/>
    <cellStyle name="Normal 2 4 5 7" xfId="7921" xr:uid="{00000000-0005-0000-0000-000022170000}"/>
    <cellStyle name="Normal 2 4 5 7 2" xfId="25402" xr:uid="{551310F4-D106-467F-9957-7D52D8001479}"/>
    <cellStyle name="Normal 2 4 5 7 3" xfId="19742" xr:uid="{6216F91F-888D-44E9-AAF5-0B68EF55A2C6}"/>
    <cellStyle name="Normal 2 4 5 7 4" xfId="31063" xr:uid="{DDDE2050-CE9A-436E-82EA-8F1607870556}"/>
    <cellStyle name="Normal 2 4 5 7 5" xfId="38369" xr:uid="{13DDE73F-7DC6-4510-B5C7-908B668C5F1B}"/>
    <cellStyle name="Normal 2 4 5 8" xfId="22439" xr:uid="{68B9C29B-8386-41EA-ADA2-1568FED30452}"/>
    <cellStyle name="Normal 2 4 5 9" xfId="16779" xr:uid="{90A2AB8F-C3DE-4E3D-870B-2C933E912A2E}"/>
    <cellStyle name="Normal 2 4 6" xfId="4199" xr:uid="{00000000-0005-0000-0000-000023170000}"/>
    <cellStyle name="Normal 2 4 6 10" xfId="38370" xr:uid="{ACE31764-CDD7-456A-A2FD-F92741352320}"/>
    <cellStyle name="Normal 2 4 6 2" xfId="4945" xr:uid="{00000000-0005-0000-0000-000024170000}"/>
    <cellStyle name="Normal 2 4 6 2 2" xfId="5364" xr:uid="{00000000-0005-0000-0000-000025170000}"/>
    <cellStyle name="Normal 2 4 6 2 2 2" xfId="7227" xr:uid="{00000000-0005-0000-0000-000026170000}"/>
    <cellStyle name="Normal 2 4 6 2 2 2 2" xfId="15660" xr:uid="{00000000-0005-0000-0000-000027170000}"/>
    <cellStyle name="Normal 2 4 6 2 2 2 2 2" xfId="27554" xr:uid="{39879299-1D64-41A9-87CA-1A4AFA5F76DD}"/>
    <cellStyle name="Normal 2 4 6 2 2 2 2 3" xfId="21894" xr:uid="{26D44DC5-ED0E-40BD-81EA-260B36B7A165}"/>
    <cellStyle name="Normal 2 4 6 2 2 2 2 4" xfId="32934" xr:uid="{12F09CE0-9769-49D0-818E-78F5C7662BCA}"/>
    <cellStyle name="Normal 2 4 6 2 2 2 2 5" xfId="38374" xr:uid="{234D7A0F-9999-43CD-9DB8-705BD4935A95}"/>
    <cellStyle name="Normal 2 4 6 2 2 2 3" xfId="24721" xr:uid="{AD669711-CA19-4AA1-9299-DD66F56D1281}"/>
    <cellStyle name="Normal 2 4 6 2 2 2 4" xfId="19061" xr:uid="{F2585497-44FF-416C-A77C-685BA316563F}"/>
    <cellStyle name="Normal 2 4 6 2 2 2 5" xfId="30382" xr:uid="{E35D7229-793F-42EC-8BC5-FDA7B3FD9361}"/>
    <cellStyle name="Normal 2 4 6 2 2 2 6" xfId="38373" xr:uid="{1A5C0056-B24B-48BE-A0CB-4E18004160EF}"/>
    <cellStyle name="Normal 2 4 6 2 2 3" xfId="14250" xr:uid="{00000000-0005-0000-0000-000028170000}"/>
    <cellStyle name="Normal 2 4 6 2 2 3 2" xfId="26289" xr:uid="{690C6F67-3416-4380-845B-F320D17579E6}"/>
    <cellStyle name="Normal 2 4 6 2 2 3 3" xfId="20629" xr:uid="{60B79663-889C-436F-9A57-80E77DF69572}"/>
    <cellStyle name="Normal 2 4 6 2 2 3 4" xfId="31669" xr:uid="{C04FA7C3-BD75-4439-810B-5B6CDD302D77}"/>
    <cellStyle name="Normal 2 4 6 2 2 3 5" xfId="38375" xr:uid="{8A5539F7-A7B2-49AD-A0E0-06EDFCC5F48A}"/>
    <cellStyle name="Normal 2 4 6 2 2 4" xfId="23159" xr:uid="{DF48F78E-E447-40DC-BE3A-A3D4C351A381}"/>
    <cellStyle name="Normal 2 4 6 2 2 5" xfId="17499" xr:uid="{3DEF810E-63BE-4D5F-A7DF-03E50B4D07E6}"/>
    <cellStyle name="Normal 2 4 6 2 2 6" xfId="28820" xr:uid="{F4945D87-AC26-4EFF-9ED3-6C383DAB6527}"/>
    <cellStyle name="Normal 2 4 6 2 2 7" xfId="38372" xr:uid="{9B4E8C74-5236-4111-925F-99EE1D6396E9}"/>
    <cellStyle name="Normal 2 4 6 2 3" xfId="6152" xr:uid="{00000000-0005-0000-0000-000029170000}"/>
    <cellStyle name="Normal 2 4 6 2 3 2" xfId="7491" xr:uid="{00000000-0005-0000-0000-00002A170000}"/>
    <cellStyle name="Normal 2 4 6 2 3 2 2" xfId="15924" xr:uid="{00000000-0005-0000-0000-00002B170000}"/>
    <cellStyle name="Normal 2 4 6 2 3 2 2 2" xfId="27818" xr:uid="{1A878791-C7E9-44F5-8078-B4D1676A96F7}"/>
    <cellStyle name="Normal 2 4 6 2 3 2 2 3" xfId="22158" xr:uid="{9F2F0066-BF5B-4C48-8838-FC4C9EEA2D99}"/>
    <cellStyle name="Normal 2 4 6 2 3 2 2 4" xfId="33198" xr:uid="{3C9C9A00-1C9D-4525-AEDE-511C19151493}"/>
    <cellStyle name="Normal 2 4 6 2 3 2 2 5" xfId="38378" xr:uid="{1749E2AE-FF6B-4A59-9E45-3067068A0FE9}"/>
    <cellStyle name="Normal 2 4 6 2 3 2 3" xfId="24985" xr:uid="{545456FB-4BF6-4A87-BE59-0C9DA6BDD598}"/>
    <cellStyle name="Normal 2 4 6 2 3 2 4" xfId="19325" xr:uid="{AB77C032-D173-41AB-B6DE-5B70F826938B}"/>
    <cellStyle name="Normal 2 4 6 2 3 2 5" xfId="30646" xr:uid="{A4678810-2F63-477A-9BBF-93ADEDF2335B}"/>
    <cellStyle name="Normal 2 4 6 2 3 2 6" xfId="38377" xr:uid="{F1C11B55-DBA4-4FD3-ABE7-AAE47BFDB276}"/>
    <cellStyle name="Normal 2 4 6 2 3 3" xfId="14604" xr:uid="{00000000-0005-0000-0000-00002C170000}"/>
    <cellStyle name="Normal 2 4 6 2 3 3 2" xfId="26562" xr:uid="{7EF74CDD-75A2-4703-8D46-06FF4D5703A3}"/>
    <cellStyle name="Normal 2 4 6 2 3 3 3" xfId="20902" xr:uid="{9BEE8BDF-5C34-444B-9B5C-614EAC286AAF}"/>
    <cellStyle name="Normal 2 4 6 2 3 3 4" xfId="31942" xr:uid="{866B52C2-FDEE-4D88-BA5C-E8FDC4F589AA}"/>
    <cellStyle name="Normal 2 4 6 2 3 3 5" xfId="38379" xr:uid="{3C4F0E27-DE02-41A8-8B3D-10357B59C061}"/>
    <cellStyle name="Normal 2 4 6 2 3 4" xfId="23729" xr:uid="{722AF07B-E366-45B4-9519-F723B2F83951}"/>
    <cellStyle name="Normal 2 4 6 2 3 5" xfId="18069" xr:uid="{7718E640-C673-4EA0-BEC7-B0200CB2F725}"/>
    <cellStyle name="Normal 2 4 6 2 3 6" xfId="29390" xr:uid="{6D90B3E8-2CE1-4F7E-925D-39FA5DC08375}"/>
    <cellStyle name="Normal 2 4 6 2 3 7" xfId="38376" xr:uid="{D03B9B67-EEB2-4AC3-9D35-49E5E6ED5A22}"/>
    <cellStyle name="Normal 2 4 6 2 4" xfId="6809" xr:uid="{00000000-0005-0000-0000-00002D170000}"/>
    <cellStyle name="Normal 2 4 6 2 4 2" xfId="15242" xr:uid="{00000000-0005-0000-0000-00002E170000}"/>
    <cellStyle name="Normal 2 4 6 2 4 2 2" xfId="27136" xr:uid="{DBDDC9BD-2617-418E-9A82-118D21A0908F}"/>
    <cellStyle name="Normal 2 4 6 2 4 2 3" xfId="21476" xr:uid="{42C61190-1C1F-4E61-BC86-EE83941EC810}"/>
    <cellStyle name="Normal 2 4 6 2 4 2 4" xfId="32516" xr:uid="{34D43C59-558E-4C03-9B02-0D6C20E91A81}"/>
    <cellStyle name="Normal 2 4 6 2 4 2 5" xfId="38381" xr:uid="{D0A14B2B-10F1-43CE-898D-A26689DDDA73}"/>
    <cellStyle name="Normal 2 4 6 2 4 3" xfId="24303" xr:uid="{43068B28-D0DF-4450-A982-AC668432079C}"/>
    <cellStyle name="Normal 2 4 6 2 4 4" xfId="18643" xr:uid="{4E82A860-D19E-4B26-8C35-F417BFD2E122}"/>
    <cellStyle name="Normal 2 4 6 2 4 5" xfId="29964" xr:uid="{7C26A616-61B0-4C33-BD63-2FCCD2F3F7D3}"/>
    <cellStyle name="Normal 2 4 6 2 4 6" xfId="38380" xr:uid="{8326AF20-3340-4408-9CCA-3F2A1655AC66}"/>
    <cellStyle name="Normal 2 4 6 2 5" xfId="7926" xr:uid="{00000000-0005-0000-0000-00002F170000}"/>
    <cellStyle name="Normal 2 4 6 2 5 2" xfId="25407" xr:uid="{A838C91E-ED72-49DC-8AAB-76E648543AB8}"/>
    <cellStyle name="Normal 2 4 6 2 5 3" xfId="19747" xr:uid="{A9056ED8-0CF5-4A2C-BD4B-C3BFFA4EEA8B}"/>
    <cellStyle name="Normal 2 4 6 2 5 4" xfId="31068" xr:uid="{37AA89FB-AA67-40AE-82E4-5A95A7914840}"/>
    <cellStyle name="Normal 2 4 6 2 5 5" xfId="38382" xr:uid="{87CB0F47-5810-48BB-B065-ACD45CDF0BF9}"/>
    <cellStyle name="Normal 2 4 6 2 6" xfId="22741" xr:uid="{F4A2521B-B727-4308-988C-7D9ABFA10764}"/>
    <cellStyle name="Normal 2 4 6 2 7" xfId="17081" xr:uid="{4372983A-D556-4436-83DC-A9703874EA35}"/>
    <cellStyle name="Normal 2 4 6 2 8" xfId="28402" xr:uid="{3B13DD62-2205-420B-90C7-6207C04598A9}"/>
    <cellStyle name="Normal 2 4 6 2 9" xfId="38371" xr:uid="{379E770A-460F-4203-B196-310AF02BDCBC}"/>
    <cellStyle name="Normal 2 4 6 3" xfId="5155" xr:uid="{00000000-0005-0000-0000-000030170000}"/>
    <cellStyle name="Normal 2 4 6 3 2" xfId="6151" xr:uid="{00000000-0005-0000-0000-000031170000}"/>
    <cellStyle name="Normal 2 4 6 3 2 2" xfId="7490" xr:uid="{00000000-0005-0000-0000-000032170000}"/>
    <cellStyle name="Normal 2 4 6 3 2 2 2" xfId="15923" xr:uid="{00000000-0005-0000-0000-000033170000}"/>
    <cellStyle name="Normal 2 4 6 3 2 2 2 2" xfId="27817" xr:uid="{0C78E988-8AE7-4260-98D4-0CFEBD0485B2}"/>
    <cellStyle name="Normal 2 4 6 3 2 2 2 3" xfId="22157" xr:uid="{93A0A95A-FBFE-43C4-A6DD-A8E7322408EA}"/>
    <cellStyle name="Normal 2 4 6 3 2 2 2 4" xfId="33197" xr:uid="{1433A50E-306D-4C56-8BD1-B1DFEE840115}"/>
    <cellStyle name="Normal 2 4 6 3 2 2 2 5" xfId="38386" xr:uid="{BA472DDE-2095-4D44-9BE3-72A346AFF67A}"/>
    <cellStyle name="Normal 2 4 6 3 2 2 3" xfId="24984" xr:uid="{A7511D50-4E1C-4803-AD2F-05B68AFBB74B}"/>
    <cellStyle name="Normal 2 4 6 3 2 2 4" xfId="19324" xr:uid="{ADEFFF53-7D6D-4D92-923A-D5B672F489D2}"/>
    <cellStyle name="Normal 2 4 6 3 2 2 5" xfId="30645" xr:uid="{BE225B54-280A-47E6-B39E-7E9DAE9350ED}"/>
    <cellStyle name="Normal 2 4 6 3 2 2 6" xfId="38385" xr:uid="{9EB26F28-D1BC-495B-ABB4-F5B806386726}"/>
    <cellStyle name="Normal 2 4 6 3 2 3" xfId="14603" xr:uid="{00000000-0005-0000-0000-000034170000}"/>
    <cellStyle name="Normal 2 4 6 3 2 3 2" xfId="26561" xr:uid="{A95D1FCA-195A-452C-9318-01ECEDD9594B}"/>
    <cellStyle name="Normal 2 4 6 3 2 3 3" xfId="20901" xr:uid="{4610E7F0-C9B0-4565-BD34-8035AF175C2F}"/>
    <cellStyle name="Normal 2 4 6 3 2 3 4" xfId="31941" xr:uid="{40310236-7FB3-4C1D-A843-52C5C6709C12}"/>
    <cellStyle name="Normal 2 4 6 3 2 3 5" xfId="38387" xr:uid="{7BF88312-B9CC-4E42-87DD-EB5BB9B03B53}"/>
    <cellStyle name="Normal 2 4 6 3 2 4" xfId="23728" xr:uid="{B4B04B47-515E-4D0A-94CA-52DE2D2A48F3}"/>
    <cellStyle name="Normal 2 4 6 3 2 5" xfId="18068" xr:uid="{DE975311-8871-4B11-8F15-854F1A629BB8}"/>
    <cellStyle name="Normal 2 4 6 3 2 6" xfId="29389" xr:uid="{CCAE0203-170E-477E-8C60-BFC1C66C00EE}"/>
    <cellStyle name="Normal 2 4 6 3 2 7" xfId="38384" xr:uid="{E7CD1865-CBC2-4B31-91F7-89404227EBA3}"/>
    <cellStyle name="Normal 2 4 6 3 3" xfId="7018" xr:uid="{00000000-0005-0000-0000-000035170000}"/>
    <cellStyle name="Normal 2 4 6 3 3 2" xfId="15451" xr:uid="{00000000-0005-0000-0000-000036170000}"/>
    <cellStyle name="Normal 2 4 6 3 3 2 2" xfId="27345" xr:uid="{D94EDE25-4BFE-4A68-A2F6-45DA563F89F7}"/>
    <cellStyle name="Normal 2 4 6 3 3 2 3" xfId="21685" xr:uid="{65762A35-82A3-495F-8CCC-EF3E81A1683A}"/>
    <cellStyle name="Normal 2 4 6 3 3 2 4" xfId="32725" xr:uid="{0CC3E3A4-0EA0-40A8-865F-59AE83DCF109}"/>
    <cellStyle name="Normal 2 4 6 3 3 2 5" xfId="38389" xr:uid="{7FF7BECA-76EA-4764-B050-D9506614C1C2}"/>
    <cellStyle name="Normal 2 4 6 3 3 3" xfId="24512" xr:uid="{C20B5ECE-7402-4E3C-8E6A-F119C21A48BF}"/>
    <cellStyle name="Normal 2 4 6 3 3 4" xfId="18852" xr:uid="{65C57DF8-BF3D-47DC-B988-5AA555F045B3}"/>
    <cellStyle name="Normal 2 4 6 3 3 5" xfId="30173" xr:uid="{901474E8-8300-4398-8A56-0F4ADAC0FC30}"/>
    <cellStyle name="Normal 2 4 6 3 3 6" xfId="38388" xr:uid="{10400C62-0A4B-4D3F-A8E2-FB6C843C4F68}"/>
    <cellStyle name="Normal 2 4 6 3 4" xfId="14042" xr:uid="{00000000-0005-0000-0000-000037170000}"/>
    <cellStyle name="Normal 2 4 6 3 4 2" xfId="26081" xr:uid="{55B0D06D-5187-40C9-B6E0-3645A972F93D}"/>
    <cellStyle name="Normal 2 4 6 3 4 3" xfId="20421" xr:uid="{67AE99F6-6202-45D1-AD5A-36AD8DBC27F1}"/>
    <cellStyle name="Normal 2 4 6 3 4 4" xfId="31461" xr:uid="{D6B7CDBA-8E6E-4DCD-8653-491791D2A792}"/>
    <cellStyle name="Normal 2 4 6 3 4 5" xfId="38390" xr:uid="{134D94A1-72FA-4FA5-9069-B9FFD251C3F4}"/>
    <cellStyle name="Normal 2 4 6 3 5" xfId="22950" xr:uid="{2E109069-8EDC-4379-AE1B-0BE8C2F189E8}"/>
    <cellStyle name="Normal 2 4 6 3 6" xfId="17290" xr:uid="{BD25AA52-4B4C-4083-BD59-3E9891339582}"/>
    <cellStyle name="Normal 2 4 6 3 7" xfId="28611" xr:uid="{FB36ACAF-2F76-4BF2-9E0D-AE506064294A}"/>
    <cellStyle name="Normal 2 4 6 3 8" xfId="38383" xr:uid="{70DAC6DC-528E-411B-B2E7-D2FF11333C50}"/>
    <cellStyle name="Normal 2 4 6 4" xfId="5676" xr:uid="{00000000-0005-0000-0000-000038170000}"/>
    <cellStyle name="Normal 2 4 6 4 2" xfId="38391" xr:uid="{5CE285F9-1F3F-4A95-8671-636B7B75940A}"/>
    <cellStyle name="Normal 2 4 6 5" xfId="6600" xr:uid="{00000000-0005-0000-0000-000039170000}"/>
    <cellStyle name="Normal 2 4 6 5 2" xfId="15033" xr:uid="{00000000-0005-0000-0000-00003A170000}"/>
    <cellStyle name="Normal 2 4 6 5 2 2" xfId="26927" xr:uid="{06ED64E5-E92F-4932-A885-5AED111B71C1}"/>
    <cellStyle name="Normal 2 4 6 5 2 3" xfId="21267" xr:uid="{E19B0F51-B179-4FBF-9D65-3F5EA7EA1874}"/>
    <cellStyle name="Normal 2 4 6 5 2 4" xfId="32307" xr:uid="{3B41E50A-2C59-4B3C-B8DA-2EDC45C4D542}"/>
    <cellStyle name="Normal 2 4 6 5 2 5" xfId="38393" xr:uid="{1171A675-5511-4F0C-A353-3E0A8A58B7A7}"/>
    <cellStyle name="Normal 2 4 6 5 3" xfId="24094" xr:uid="{5EAFF31D-787A-4463-BF1A-8D9C523BCE22}"/>
    <cellStyle name="Normal 2 4 6 5 4" xfId="18434" xr:uid="{05A76DC1-19DC-4AEF-AD57-3AD9B45C19C9}"/>
    <cellStyle name="Normal 2 4 6 5 5" xfId="29755" xr:uid="{4218407E-E543-4699-9F2D-3309BD62A02A}"/>
    <cellStyle name="Normal 2 4 6 5 6" xfId="38392" xr:uid="{9780E211-FFF6-4113-836E-40F16A3BD3B4}"/>
    <cellStyle name="Normal 2 4 6 6" xfId="7925" xr:uid="{00000000-0005-0000-0000-00003B170000}"/>
    <cellStyle name="Normal 2 4 6 6 2" xfId="25406" xr:uid="{779FDC64-7D7C-4874-83AE-FADAF19E74E3}"/>
    <cellStyle name="Normal 2 4 6 6 3" xfId="19746" xr:uid="{6F38BCA9-50C2-4590-9BB6-3D75DFCBAC43}"/>
    <cellStyle name="Normal 2 4 6 6 4" xfId="31067" xr:uid="{EB1E18E6-0A5F-41ED-8F3F-A458AECB4C69}"/>
    <cellStyle name="Normal 2 4 6 6 5" xfId="38394" xr:uid="{6CCD0725-0DF9-4DFD-A556-28AC8A0B045D}"/>
    <cellStyle name="Normal 2 4 6 7" xfId="22532" xr:uid="{94C9003C-D50B-41EA-8F36-965388E0DB42}"/>
    <cellStyle name="Normal 2 4 6 8" xfId="16872" xr:uid="{B0B169F4-53FA-4D1C-8DDE-1194E428853A}"/>
    <cellStyle name="Normal 2 4 6 9" xfId="28193" xr:uid="{8EB57021-7DAE-47D3-B780-919379EFFC7C}"/>
    <cellStyle name="Normal 2 4 7" xfId="4200" xr:uid="{00000000-0005-0000-0000-00003C170000}"/>
    <cellStyle name="Normal 2 4 7 10" xfId="38395" xr:uid="{584E3111-2482-4116-9F3D-2529F0D52789}"/>
    <cellStyle name="Normal 2 4 7 2" xfId="4946" xr:uid="{00000000-0005-0000-0000-00003D170000}"/>
    <cellStyle name="Normal 2 4 7 2 2" xfId="5365" xr:uid="{00000000-0005-0000-0000-00003E170000}"/>
    <cellStyle name="Normal 2 4 7 2 2 2" xfId="7228" xr:uid="{00000000-0005-0000-0000-00003F170000}"/>
    <cellStyle name="Normal 2 4 7 2 2 2 2" xfId="15661" xr:uid="{00000000-0005-0000-0000-000040170000}"/>
    <cellStyle name="Normal 2 4 7 2 2 2 2 2" xfId="27555" xr:uid="{B89AAEBE-2C64-4BBF-A5A1-E9C755A23E3C}"/>
    <cellStyle name="Normal 2 4 7 2 2 2 2 3" xfId="21895" xr:uid="{FD2B9A31-BDE7-4D4D-B554-8255FB9869D2}"/>
    <cellStyle name="Normal 2 4 7 2 2 2 2 4" xfId="32935" xr:uid="{AA3AE861-8329-40D1-9E86-A0F4D84DA0FB}"/>
    <cellStyle name="Normal 2 4 7 2 2 2 2 5" xfId="38399" xr:uid="{C69E6770-9E64-4D3F-96D7-48459CAF1A8B}"/>
    <cellStyle name="Normal 2 4 7 2 2 2 3" xfId="24722" xr:uid="{1BAE7031-86A9-48A3-BF4E-98A8E929C3D5}"/>
    <cellStyle name="Normal 2 4 7 2 2 2 4" xfId="19062" xr:uid="{D92629BC-3447-45D9-B4C5-5E491D904765}"/>
    <cellStyle name="Normal 2 4 7 2 2 2 5" xfId="30383" xr:uid="{CB0AF2B7-F81F-45AD-A693-139964C21292}"/>
    <cellStyle name="Normal 2 4 7 2 2 2 6" xfId="38398" xr:uid="{832AD8AD-1960-48BA-9CEF-7765163CEDA2}"/>
    <cellStyle name="Normal 2 4 7 2 2 3" xfId="14251" xr:uid="{00000000-0005-0000-0000-000041170000}"/>
    <cellStyle name="Normal 2 4 7 2 2 3 2" xfId="26290" xr:uid="{6CDB4290-250A-4B73-9805-DF3B1707015B}"/>
    <cellStyle name="Normal 2 4 7 2 2 3 3" xfId="20630" xr:uid="{7F1F85A9-3E2F-4591-B515-F28555EA3DCE}"/>
    <cellStyle name="Normal 2 4 7 2 2 3 4" xfId="31670" xr:uid="{3B623F91-2E7A-45AA-AC36-79A4BCBF80C6}"/>
    <cellStyle name="Normal 2 4 7 2 2 3 5" xfId="38400" xr:uid="{4413EEB7-9EE8-457D-B13D-09C0BF899481}"/>
    <cellStyle name="Normal 2 4 7 2 2 4" xfId="23160" xr:uid="{4B356CF7-0B72-4468-94DD-6351E3739699}"/>
    <cellStyle name="Normal 2 4 7 2 2 5" xfId="17500" xr:uid="{911E1B04-D51D-4881-AA27-D3AF2145B4C9}"/>
    <cellStyle name="Normal 2 4 7 2 2 6" xfId="28821" xr:uid="{1AEAA1C2-A5C0-411F-BF0A-0B57426712D7}"/>
    <cellStyle name="Normal 2 4 7 2 2 7" xfId="38397" xr:uid="{04338F52-E6D4-4A30-B7A5-08D80666BD24}"/>
    <cellStyle name="Normal 2 4 7 2 3" xfId="6154" xr:uid="{00000000-0005-0000-0000-000042170000}"/>
    <cellStyle name="Normal 2 4 7 2 3 2" xfId="7493" xr:uid="{00000000-0005-0000-0000-000043170000}"/>
    <cellStyle name="Normal 2 4 7 2 3 2 2" xfId="15926" xr:uid="{00000000-0005-0000-0000-000044170000}"/>
    <cellStyle name="Normal 2 4 7 2 3 2 2 2" xfId="27820" xr:uid="{100E01A2-FF6B-4A22-B832-352F78977FD7}"/>
    <cellStyle name="Normal 2 4 7 2 3 2 2 3" xfId="22160" xr:uid="{65D66C60-F8DD-49FE-8A39-C1E46C30D7F3}"/>
    <cellStyle name="Normal 2 4 7 2 3 2 2 4" xfId="33200" xr:uid="{7A429038-E0A8-45C6-9CF1-491D72197544}"/>
    <cellStyle name="Normal 2 4 7 2 3 2 2 5" xfId="38403" xr:uid="{983F2DE2-2273-44AA-A1B5-C13BBA12BAB6}"/>
    <cellStyle name="Normal 2 4 7 2 3 2 3" xfId="24987" xr:uid="{D670054D-B170-4FF5-8609-BD2B42ED231B}"/>
    <cellStyle name="Normal 2 4 7 2 3 2 4" xfId="19327" xr:uid="{245BF360-C43C-45F0-9CBE-CCBBC2073753}"/>
    <cellStyle name="Normal 2 4 7 2 3 2 5" xfId="30648" xr:uid="{3E6ABECD-B2E3-4B99-8B78-6BC3E133A16B}"/>
    <cellStyle name="Normal 2 4 7 2 3 2 6" xfId="38402" xr:uid="{DC24491C-AC00-45FD-AD16-AB44928DCEE2}"/>
    <cellStyle name="Normal 2 4 7 2 3 3" xfId="14606" xr:uid="{00000000-0005-0000-0000-000045170000}"/>
    <cellStyle name="Normal 2 4 7 2 3 3 2" xfId="26564" xr:uid="{61267570-630A-4F9F-9352-87656BCFA00D}"/>
    <cellStyle name="Normal 2 4 7 2 3 3 3" xfId="20904" xr:uid="{47329E6E-26EA-4966-8436-4ED6D44FE23F}"/>
    <cellStyle name="Normal 2 4 7 2 3 3 4" xfId="31944" xr:uid="{0D4318AC-FD64-4842-AB2F-56A0387B5D0F}"/>
    <cellStyle name="Normal 2 4 7 2 3 3 5" xfId="38404" xr:uid="{D36B67AC-4BB3-4BAD-9F2C-B806E5DC7721}"/>
    <cellStyle name="Normal 2 4 7 2 3 4" xfId="23731" xr:uid="{C8AF1BE5-ABB8-4221-9A8E-2937E01281DB}"/>
    <cellStyle name="Normal 2 4 7 2 3 5" xfId="18071" xr:uid="{18CA2E1D-4C54-4019-9D09-FC1E758FA68E}"/>
    <cellStyle name="Normal 2 4 7 2 3 6" xfId="29392" xr:uid="{EC51250C-E1DE-4876-AD16-9E45706E9881}"/>
    <cellStyle name="Normal 2 4 7 2 3 7" xfId="38401" xr:uid="{7EE194B1-9D5A-4876-9BE8-EAD080DD4B23}"/>
    <cellStyle name="Normal 2 4 7 2 4" xfId="6810" xr:uid="{00000000-0005-0000-0000-000046170000}"/>
    <cellStyle name="Normal 2 4 7 2 4 2" xfId="15243" xr:uid="{00000000-0005-0000-0000-000047170000}"/>
    <cellStyle name="Normal 2 4 7 2 4 2 2" xfId="27137" xr:uid="{DEBF8602-882A-4A09-BECD-0A4147158BC2}"/>
    <cellStyle name="Normal 2 4 7 2 4 2 3" xfId="21477" xr:uid="{345D884A-7593-4DBD-9A6A-C1A1204D14C7}"/>
    <cellStyle name="Normal 2 4 7 2 4 2 4" xfId="32517" xr:uid="{E8B18EB2-E12E-4F18-A891-CC02E732C8F5}"/>
    <cellStyle name="Normal 2 4 7 2 4 2 5" xfId="38406" xr:uid="{29E033B9-006F-4F56-B779-5F156F0D93F4}"/>
    <cellStyle name="Normal 2 4 7 2 4 3" xfId="24304" xr:uid="{1AF410A3-D890-4D65-9EDD-20D7ADFD3B51}"/>
    <cellStyle name="Normal 2 4 7 2 4 4" xfId="18644" xr:uid="{C6AEF8D6-380D-4608-B313-F3A019B23983}"/>
    <cellStyle name="Normal 2 4 7 2 4 5" xfId="29965" xr:uid="{28C1F5F3-C027-44DE-B019-B701F63AAB82}"/>
    <cellStyle name="Normal 2 4 7 2 4 6" xfId="38405" xr:uid="{57B43989-8B9D-423C-AA60-4BBCE6F1EA1D}"/>
    <cellStyle name="Normal 2 4 7 2 5" xfId="7928" xr:uid="{00000000-0005-0000-0000-000048170000}"/>
    <cellStyle name="Normal 2 4 7 2 5 2" xfId="25409" xr:uid="{73E21712-A089-4FC1-82CB-79833F077F49}"/>
    <cellStyle name="Normal 2 4 7 2 5 3" xfId="19749" xr:uid="{1F1FD409-0942-46FA-9ECC-4050E6B7E9CD}"/>
    <cellStyle name="Normal 2 4 7 2 5 4" xfId="31070" xr:uid="{4286E683-F516-4679-920C-EEF89CAFB887}"/>
    <cellStyle name="Normal 2 4 7 2 5 5" xfId="38407" xr:uid="{849E9F20-0F73-473B-B743-31F136C6A979}"/>
    <cellStyle name="Normal 2 4 7 2 6" xfId="22742" xr:uid="{2A655344-3969-4241-89F2-77DEB3FA1ED1}"/>
    <cellStyle name="Normal 2 4 7 2 7" xfId="17082" xr:uid="{80D0197F-962C-49DC-A7D7-A8F8F86A43B3}"/>
    <cellStyle name="Normal 2 4 7 2 8" xfId="28403" xr:uid="{99F2BBA6-95D9-4834-92C2-68819CB878B3}"/>
    <cellStyle name="Normal 2 4 7 2 9" xfId="38396" xr:uid="{63268508-70A3-441E-A9AA-A339F1051891}"/>
    <cellStyle name="Normal 2 4 7 3" xfId="5156" xr:uid="{00000000-0005-0000-0000-000049170000}"/>
    <cellStyle name="Normal 2 4 7 3 2" xfId="6153" xr:uid="{00000000-0005-0000-0000-00004A170000}"/>
    <cellStyle name="Normal 2 4 7 3 2 2" xfId="7492" xr:uid="{00000000-0005-0000-0000-00004B170000}"/>
    <cellStyle name="Normal 2 4 7 3 2 2 2" xfId="15925" xr:uid="{00000000-0005-0000-0000-00004C170000}"/>
    <cellStyle name="Normal 2 4 7 3 2 2 2 2" xfId="27819" xr:uid="{CFFAA515-9A88-4496-A777-67B096EC1CFD}"/>
    <cellStyle name="Normal 2 4 7 3 2 2 2 3" xfId="22159" xr:uid="{F41D70CB-C8F2-4727-B84E-F41E81AFE8C9}"/>
    <cellStyle name="Normal 2 4 7 3 2 2 2 4" xfId="33199" xr:uid="{9B450771-9D38-427A-AC00-905A1D2A9336}"/>
    <cellStyle name="Normal 2 4 7 3 2 2 2 5" xfId="38411" xr:uid="{5268E177-EAC9-486B-BAC1-1B2897A23B6D}"/>
    <cellStyle name="Normal 2 4 7 3 2 2 3" xfId="24986" xr:uid="{BB3E4752-6383-4E10-A955-061BFE2F52ED}"/>
    <cellStyle name="Normal 2 4 7 3 2 2 4" xfId="19326" xr:uid="{78ACDD82-87C1-410C-A9ED-A5E00A072E7C}"/>
    <cellStyle name="Normal 2 4 7 3 2 2 5" xfId="30647" xr:uid="{27376CCA-5656-4BFA-87BB-BA357977C464}"/>
    <cellStyle name="Normal 2 4 7 3 2 2 6" xfId="38410" xr:uid="{9DADB55B-0DE6-4378-A37C-120D2C148802}"/>
    <cellStyle name="Normal 2 4 7 3 2 3" xfId="14605" xr:uid="{00000000-0005-0000-0000-00004D170000}"/>
    <cellStyle name="Normal 2 4 7 3 2 3 2" xfId="26563" xr:uid="{F95D432E-52DE-4C91-B39A-E20D2999FC96}"/>
    <cellStyle name="Normal 2 4 7 3 2 3 3" xfId="20903" xr:uid="{6F93221C-5599-46BF-AC5A-A26D7139D26F}"/>
    <cellStyle name="Normal 2 4 7 3 2 3 4" xfId="31943" xr:uid="{0AF229DE-3345-44C9-B82A-494FDA90FFD6}"/>
    <cellStyle name="Normal 2 4 7 3 2 3 5" xfId="38412" xr:uid="{66C7641D-C78D-4612-8458-9B7820C02520}"/>
    <cellStyle name="Normal 2 4 7 3 2 4" xfId="23730" xr:uid="{ECE71436-17FC-4F4A-8E1C-AC312A55599F}"/>
    <cellStyle name="Normal 2 4 7 3 2 5" xfId="18070" xr:uid="{596A8498-BD6C-4F0F-97FA-E66582DAA2A3}"/>
    <cellStyle name="Normal 2 4 7 3 2 6" xfId="29391" xr:uid="{A2F99F86-A4CC-4668-B9BA-DD5952720639}"/>
    <cellStyle name="Normal 2 4 7 3 2 7" xfId="38409" xr:uid="{244A1398-07FD-45AE-886E-FBFAF53C5B13}"/>
    <cellStyle name="Normal 2 4 7 3 3" xfId="7019" xr:uid="{00000000-0005-0000-0000-00004E170000}"/>
    <cellStyle name="Normal 2 4 7 3 3 2" xfId="15452" xr:uid="{00000000-0005-0000-0000-00004F170000}"/>
    <cellStyle name="Normal 2 4 7 3 3 2 2" xfId="27346" xr:uid="{38F537C1-F85E-4AAD-A50F-6D794F101C7A}"/>
    <cellStyle name="Normal 2 4 7 3 3 2 3" xfId="21686" xr:uid="{25FF28F8-AA58-476A-928E-E561849D3EC6}"/>
    <cellStyle name="Normal 2 4 7 3 3 2 4" xfId="32726" xr:uid="{E73692F4-F464-4CE2-A281-E1A2F7F8BABC}"/>
    <cellStyle name="Normal 2 4 7 3 3 2 5" xfId="38414" xr:uid="{248A03C3-434E-40A6-9EC1-6AC114CEB8EC}"/>
    <cellStyle name="Normal 2 4 7 3 3 3" xfId="24513" xr:uid="{CD87C8BD-F2B9-47A7-8D1E-6D1F79B7F5A9}"/>
    <cellStyle name="Normal 2 4 7 3 3 4" xfId="18853" xr:uid="{DBF8FB40-DC79-4907-A6B0-437B34A44143}"/>
    <cellStyle name="Normal 2 4 7 3 3 5" xfId="30174" xr:uid="{1EE82532-40C7-4640-870F-3F8B41CE3615}"/>
    <cellStyle name="Normal 2 4 7 3 3 6" xfId="38413" xr:uid="{EEA68C37-945D-464D-8526-CCF20518CE5B}"/>
    <cellStyle name="Normal 2 4 7 3 4" xfId="14043" xr:uid="{00000000-0005-0000-0000-000050170000}"/>
    <cellStyle name="Normal 2 4 7 3 4 2" xfId="26082" xr:uid="{3949884A-5C6F-46D9-91A0-6780EE229982}"/>
    <cellStyle name="Normal 2 4 7 3 4 3" xfId="20422" xr:uid="{A6F647A1-5694-42B3-B638-A919BAF0AC38}"/>
    <cellStyle name="Normal 2 4 7 3 4 4" xfId="31462" xr:uid="{EFAF8E62-D5A2-4EB5-A8A0-0209A406D2D5}"/>
    <cellStyle name="Normal 2 4 7 3 4 5" xfId="38415" xr:uid="{58875C4B-2F3D-4580-88DC-536FE4C49318}"/>
    <cellStyle name="Normal 2 4 7 3 5" xfId="22951" xr:uid="{74174E4E-024B-42B4-97F4-E875EE615856}"/>
    <cellStyle name="Normal 2 4 7 3 6" xfId="17291" xr:uid="{C49AD17E-2179-4C10-8019-88FDCF653FA2}"/>
    <cellStyle name="Normal 2 4 7 3 7" xfId="28612" xr:uid="{A4099900-9ED8-41ED-BB6D-C03BB1B413E1}"/>
    <cellStyle name="Normal 2 4 7 3 8" xfId="38408" xr:uid="{FB268D9F-62FC-49D3-9E73-A668358CC79A}"/>
    <cellStyle name="Normal 2 4 7 4" xfId="5677" xr:uid="{00000000-0005-0000-0000-000051170000}"/>
    <cellStyle name="Normal 2 4 7 4 2" xfId="38416" xr:uid="{133DBF46-4D2D-41F2-AB1B-42DFD460867B}"/>
    <cellStyle name="Normal 2 4 7 5" xfId="6601" xr:uid="{00000000-0005-0000-0000-000052170000}"/>
    <cellStyle name="Normal 2 4 7 5 2" xfId="15034" xr:uid="{00000000-0005-0000-0000-000053170000}"/>
    <cellStyle name="Normal 2 4 7 5 2 2" xfId="26928" xr:uid="{592D8D90-AD55-4AE3-93CC-1998E37685C1}"/>
    <cellStyle name="Normal 2 4 7 5 2 3" xfId="21268" xr:uid="{5E3A399E-E3A5-4DBD-B955-98B9E1CF5787}"/>
    <cellStyle name="Normal 2 4 7 5 2 4" xfId="32308" xr:uid="{24588B7F-5FBD-4BFE-B1D8-A636A3726F41}"/>
    <cellStyle name="Normal 2 4 7 5 2 5" xfId="38418" xr:uid="{56ACA960-2627-4450-9620-00A6E49ABADE}"/>
    <cellStyle name="Normal 2 4 7 5 3" xfId="24095" xr:uid="{5031C3AC-6B6B-462E-B1D8-7E57C1E62C16}"/>
    <cellStyle name="Normal 2 4 7 5 4" xfId="18435" xr:uid="{E83DD7C9-1A74-412E-BFCE-7D553CA62214}"/>
    <cellStyle name="Normal 2 4 7 5 5" xfId="29756" xr:uid="{0A72167E-DC98-4363-897A-5E48826C68C9}"/>
    <cellStyle name="Normal 2 4 7 5 6" xfId="38417" xr:uid="{29C80BB5-2B63-423C-B613-6B623CBF6A7F}"/>
    <cellStyle name="Normal 2 4 7 6" xfId="7927" xr:uid="{00000000-0005-0000-0000-000054170000}"/>
    <cellStyle name="Normal 2 4 7 6 2" xfId="25408" xr:uid="{1D9C231F-B30A-4E8F-98D4-E3F6668A5219}"/>
    <cellStyle name="Normal 2 4 7 6 3" xfId="19748" xr:uid="{78BE5E6D-3251-43D8-8557-241F2C20AA4D}"/>
    <cellStyle name="Normal 2 4 7 6 4" xfId="31069" xr:uid="{F3EDE28B-C979-4121-BF0E-1FD273F369E2}"/>
    <cellStyle name="Normal 2 4 7 6 5" xfId="38419" xr:uid="{18E38F45-0D34-44BB-9511-30889D3A5B50}"/>
    <cellStyle name="Normal 2 4 7 7" xfId="22533" xr:uid="{822D0F4F-0713-4D1A-952D-1B621E0103DD}"/>
    <cellStyle name="Normal 2 4 7 8" xfId="16873" xr:uid="{42234B11-3D8A-4C16-A15E-2264AE8D15F7}"/>
    <cellStyle name="Normal 2 4 7 9" xfId="28194" xr:uid="{0D3D9F95-FC40-4364-BAC6-63BA8815975F}"/>
    <cellStyle name="Normal 2 4 8" xfId="4201" xr:uid="{00000000-0005-0000-0000-000055170000}"/>
    <cellStyle name="Normal 2 4 8 10" xfId="38420" xr:uid="{ABD5512D-EB17-4E73-8599-4036F7E7B4F7}"/>
    <cellStyle name="Normal 2 4 8 2" xfId="4947" xr:uid="{00000000-0005-0000-0000-000056170000}"/>
    <cellStyle name="Normal 2 4 8 2 2" xfId="5366" xr:uid="{00000000-0005-0000-0000-000057170000}"/>
    <cellStyle name="Normal 2 4 8 2 2 2" xfId="7229" xr:uid="{00000000-0005-0000-0000-000058170000}"/>
    <cellStyle name="Normal 2 4 8 2 2 2 2" xfId="15662" xr:uid="{00000000-0005-0000-0000-000059170000}"/>
    <cellStyle name="Normal 2 4 8 2 2 2 2 2" xfId="27556" xr:uid="{EDEC956D-55DC-46BB-827E-CD3DB27CDE5A}"/>
    <cellStyle name="Normal 2 4 8 2 2 2 2 3" xfId="21896" xr:uid="{DD1EC282-9530-4D19-84AF-E56AE3ED67D9}"/>
    <cellStyle name="Normal 2 4 8 2 2 2 2 4" xfId="32936" xr:uid="{35FFDC79-868D-4A9D-8C31-788643E4E453}"/>
    <cellStyle name="Normal 2 4 8 2 2 2 2 5" xfId="38424" xr:uid="{A21FC3D2-D57C-4B43-86BB-8DE8437068FA}"/>
    <cellStyle name="Normal 2 4 8 2 2 2 3" xfId="24723" xr:uid="{5563A6DD-2FF5-41D0-B909-791FF5058659}"/>
    <cellStyle name="Normal 2 4 8 2 2 2 4" xfId="19063" xr:uid="{8CE883C0-B188-4AC1-8BAF-A108BCE94CF7}"/>
    <cellStyle name="Normal 2 4 8 2 2 2 5" xfId="30384" xr:uid="{3721492A-04AD-4086-8816-C8564A4E9842}"/>
    <cellStyle name="Normal 2 4 8 2 2 2 6" xfId="38423" xr:uid="{7997A7BC-AE81-47AC-B53F-056C38C7D27E}"/>
    <cellStyle name="Normal 2 4 8 2 2 3" xfId="14252" xr:uid="{00000000-0005-0000-0000-00005A170000}"/>
    <cellStyle name="Normal 2 4 8 2 2 3 2" xfId="26291" xr:uid="{2ED57D2B-9325-435F-9FB5-9EDC3D1588D5}"/>
    <cellStyle name="Normal 2 4 8 2 2 3 3" xfId="20631" xr:uid="{4B1DB598-1629-4E99-BCBB-72D1748237C0}"/>
    <cellStyle name="Normal 2 4 8 2 2 3 4" xfId="31671" xr:uid="{0432BDAF-DD44-46C8-9044-0222A03BFCDC}"/>
    <cellStyle name="Normal 2 4 8 2 2 3 5" xfId="38425" xr:uid="{B9B61E3F-899C-4F44-BD26-E91DC369154F}"/>
    <cellStyle name="Normal 2 4 8 2 2 4" xfId="23161" xr:uid="{058247F8-775A-4B20-82A8-2D3452652577}"/>
    <cellStyle name="Normal 2 4 8 2 2 5" xfId="17501" xr:uid="{5DC74515-B0F3-4950-811E-8E003B5A2B4F}"/>
    <cellStyle name="Normal 2 4 8 2 2 6" xfId="28822" xr:uid="{064D01EC-59A7-43D5-870B-BB3339674E7E}"/>
    <cellStyle name="Normal 2 4 8 2 2 7" xfId="38422" xr:uid="{3DF6D365-DB0F-4DBD-B407-B9F07C6E3B9D}"/>
    <cellStyle name="Normal 2 4 8 2 3" xfId="6156" xr:uid="{00000000-0005-0000-0000-00005B170000}"/>
    <cellStyle name="Normal 2 4 8 2 3 2" xfId="7495" xr:uid="{00000000-0005-0000-0000-00005C170000}"/>
    <cellStyle name="Normal 2 4 8 2 3 2 2" xfId="15928" xr:uid="{00000000-0005-0000-0000-00005D170000}"/>
    <cellStyle name="Normal 2 4 8 2 3 2 2 2" xfId="27822" xr:uid="{37482292-EF69-42E1-BEDB-79C52A685D64}"/>
    <cellStyle name="Normal 2 4 8 2 3 2 2 3" xfId="22162" xr:uid="{9023A525-1758-4951-8ADD-EA88D0AECBA2}"/>
    <cellStyle name="Normal 2 4 8 2 3 2 2 4" xfId="33202" xr:uid="{E516FE92-5B20-4FBE-8405-D235219BC821}"/>
    <cellStyle name="Normal 2 4 8 2 3 2 2 5" xfId="38428" xr:uid="{3FD99F18-D74D-4D1E-8F8A-29657EB58F05}"/>
    <cellStyle name="Normal 2 4 8 2 3 2 3" xfId="24989" xr:uid="{FD441180-482D-4D25-B6B7-D944CB4C5243}"/>
    <cellStyle name="Normal 2 4 8 2 3 2 4" xfId="19329" xr:uid="{0D9EC126-3150-4EF2-9DD3-318C50DB7152}"/>
    <cellStyle name="Normal 2 4 8 2 3 2 5" xfId="30650" xr:uid="{73D6A09F-A878-4CF6-BBEC-DBA46556A055}"/>
    <cellStyle name="Normal 2 4 8 2 3 2 6" xfId="38427" xr:uid="{920654A8-5B86-4313-9CB8-751787EBB81F}"/>
    <cellStyle name="Normal 2 4 8 2 3 3" xfId="14608" xr:uid="{00000000-0005-0000-0000-00005E170000}"/>
    <cellStyle name="Normal 2 4 8 2 3 3 2" xfId="26566" xr:uid="{C468485F-A615-49E7-8FBD-8C27ECCA1DDE}"/>
    <cellStyle name="Normal 2 4 8 2 3 3 3" xfId="20906" xr:uid="{C00971EF-8A72-4449-9C12-F34D5E65CA98}"/>
    <cellStyle name="Normal 2 4 8 2 3 3 4" xfId="31946" xr:uid="{4619A62B-6613-4B60-AF0B-4ABFEB6D0148}"/>
    <cellStyle name="Normal 2 4 8 2 3 3 5" xfId="38429" xr:uid="{6FAB2690-DABF-4C6A-927A-69A673713F32}"/>
    <cellStyle name="Normal 2 4 8 2 3 4" xfId="23733" xr:uid="{DA3996B0-135B-4D07-B6F6-182A1F345091}"/>
    <cellStyle name="Normal 2 4 8 2 3 5" xfId="18073" xr:uid="{2C7996C5-64F4-456E-B5E3-4D4C6D2400EC}"/>
    <cellStyle name="Normal 2 4 8 2 3 6" xfId="29394" xr:uid="{97BED5F7-AAF7-4C7B-85F7-AB5A776CFA3C}"/>
    <cellStyle name="Normal 2 4 8 2 3 7" xfId="38426" xr:uid="{FA8F3F0B-455B-4FC3-A8D3-4DCEDD3ED5E4}"/>
    <cellStyle name="Normal 2 4 8 2 4" xfId="6811" xr:uid="{00000000-0005-0000-0000-00005F170000}"/>
    <cellStyle name="Normal 2 4 8 2 4 2" xfId="15244" xr:uid="{00000000-0005-0000-0000-000060170000}"/>
    <cellStyle name="Normal 2 4 8 2 4 2 2" xfId="27138" xr:uid="{E1BABDB1-AFCA-4765-9D91-E2CC1814212D}"/>
    <cellStyle name="Normal 2 4 8 2 4 2 3" xfId="21478" xr:uid="{012D02D7-EE7A-4A19-9455-AC14A36F3FBC}"/>
    <cellStyle name="Normal 2 4 8 2 4 2 4" xfId="32518" xr:uid="{953CCCB5-D5C0-4281-A5B5-5ECF68BE936F}"/>
    <cellStyle name="Normal 2 4 8 2 4 2 5" xfId="38431" xr:uid="{FABDED4A-85DA-4127-A19D-BE7D94379C06}"/>
    <cellStyle name="Normal 2 4 8 2 4 3" xfId="24305" xr:uid="{121B3739-2DF3-415D-A58A-74F18E7FC50F}"/>
    <cellStyle name="Normal 2 4 8 2 4 4" xfId="18645" xr:uid="{A20B99D0-0C6C-422A-AA10-1888E2420C3E}"/>
    <cellStyle name="Normal 2 4 8 2 4 5" xfId="29966" xr:uid="{D94C9EFB-2389-456B-B908-F2127296E0F7}"/>
    <cellStyle name="Normal 2 4 8 2 4 6" xfId="38430" xr:uid="{2D976213-7682-4DCB-A0AB-BEE9C3807792}"/>
    <cellStyle name="Normal 2 4 8 2 5" xfId="7930" xr:uid="{00000000-0005-0000-0000-000061170000}"/>
    <cellStyle name="Normal 2 4 8 2 5 2" xfId="25411" xr:uid="{86F3F4E3-48BD-4B09-A9BF-42397FF8144A}"/>
    <cellStyle name="Normal 2 4 8 2 5 3" xfId="19751" xr:uid="{0C4C4261-4641-4B0C-95CD-7B95C14A6839}"/>
    <cellStyle name="Normal 2 4 8 2 5 4" xfId="31072" xr:uid="{105BAA81-791B-4153-BBC7-F99E2A3CA53F}"/>
    <cellStyle name="Normal 2 4 8 2 5 5" xfId="38432" xr:uid="{E80CF265-3F99-4713-BCE5-90C113D90A02}"/>
    <cellStyle name="Normal 2 4 8 2 6" xfId="22743" xr:uid="{39780544-020E-4D7A-8B57-755478EEA26B}"/>
    <cellStyle name="Normal 2 4 8 2 7" xfId="17083" xr:uid="{040D2439-7F1E-46F9-804C-3F7C6EA36588}"/>
    <cellStyle name="Normal 2 4 8 2 8" xfId="28404" xr:uid="{5048A794-4D60-4FC1-813A-9C7AA3458213}"/>
    <cellStyle name="Normal 2 4 8 2 9" xfId="38421" xr:uid="{103033F0-7294-4A2F-AEF9-24C8E5E244D1}"/>
    <cellStyle name="Normal 2 4 8 3" xfId="5157" xr:uid="{00000000-0005-0000-0000-000062170000}"/>
    <cellStyle name="Normal 2 4 8 3 2" xfId="6155" xr:uid="{00000000-0005-0000-0000-000063170000}"/>
    <cellStyle name="Normal 2 4 8 3 2 2" xfId="7494" xr:uid="{00000000-0005-0000-0000-000064170000}"/>
    <cellStyle name="Normal 2 4 8 3 2 2 2" xfId="15927" xr:uid="{00000000-0005-0000-0000-000065170000}"/>
    <cellStyle name="Normal 2 4 8 3 2 2 2 2" xfId="27821" xr:uid="{7E36FC53-7DCD-438F-AC20-4881A8B0ED97}"/>
    <cellStyle name="Normal 2 4 8 3 2 2 2 3" xfId="22161" xr:uid="{8DBA4CDF-B2B6-4820-85C4-628BA424D766}"/>
    <cellStyle name="Normal 2 4 8 3 2 2 2 4" xfId="33201" xr:uid="{E0C63272-3793-4D88-9B82-AF450357A42E}"/>
    <cellStyle name="Normal 2 4 8 3 2 2 2 5" xfId="38436" xr:uid="{EDC804C1-4855-42EF-AE02-5C0D13253778}"/>
    <cellStyle name="Normal 2 4 8 3 2 2 3" xfId="24988" xr:uid="{4D35D50B-F84F-49F9-9A6A-D5E77F515ED7}"/>
    <cellStyle name="Normal 2 4 8 3 2 2 4" xfId="19328" xr:uid="{22CF6C28-C615-43B1-B295-186285E0DF14}"/>
    <cellStyle name="Normal 2 4 8 3 2 2 5" xfId="30649" xr:uid="{533D8856-7251-49F0-B9C5-A929408FC037}"/>
    <cellStyle name="Normal 2 4 8 3 2 2 6" xfId="38435" xr:uid="{26E49C5C-4B14-44D1-BAD5-DA36FB5D9AB8}"/>
    <cellStyle name="Normal 2 4 8 3 2 3" xfId="14607" xr:uid="{00000000-0005-0000-0000-000066170000}"/>
    <cellStyle name="Normal 2 4 8 3 2 3 2" xfId="26565" xr:uid="{5FF23BA1-CE6C-4B8D-B7FD-612342663672}"/>
    <cellStyle name="Normal 2 4 8 3 2 3 3" xfId="20905" xr:uid="{AF1C4AD9-D809-4E54-8DE9-2FB0163060B7}"/>
    <cellStyle name="Normal 2 4 8 3 2 3 4" xfId="31945" xr:uid="{847E18F5-1CF3-4FD6-9F23-F398F327084E}"/>
    <cellStyle name="Normal 2 4 8 3 2 3 5" xfId="38437" xr:uid="{BE3DFA72-7640-4743-9351-63335FD4434C}"/>
    <cellStyle name="Normal 2 4 8 3 2 4" xfId="23732" xr:uid="{E894AA53-A9AD-4E16-8313-344A4B03803B}"/>
    <cellStyle name="Normal 2 4 8 3 2 5" xfId="18072" xr:uid="{8B437172-0B7F-4984-A310-4F1C13321272}"/>
    <cellStyle name="Normal 2 4 8 3 2 6" xfId="29393" xr:uid="{F2378D5B-8444-42DA-8B32-14CF92F06FAB}"/>
    <cellStyle name="Normal 2 4 8 3 2 7" xfId="38434" xr:uid="{BDF10A79-1227-4EA0-8178-57077556438B}"/>
    <cellStyle name="Normal 2 4 8 3 3" xfId="7020" xr:uid="{00000000-0005-0000-0000-000067170000}"/>
    <cellStyle name="Normal 2 4 8 3 3 2" xfId="15453" xr:uid="{00000000-0005-0000-0000-000068170000}"/>
    <cellStyle name="Normal 2 4 8 3 3 2 2" xfId="27347" xr:uid="{D06014E2-BFF6-4414-80F8-DE7E6BE2BEAC}"/>
    <cellStyle name="Normal 2 4 8 3 3 2 3" xfId="21687" xr:uid="{4C44D383-769D-48D9-BBE9-B8C151FE7EE3}"/>
    <cellStyle name="Normal 2 4 8 3 3 2 4" xfId="32727" xr:uid="{AF441C63-3EC4-46D5-B1F1-D6155720284F}"/>
    <cellStyle name="Normal 2 4 8 3 3 2 5" xfId="38439" xr:uid="{B564898F-F469-4357-A6B1-6057C9E643C0}"/>
    <cellStyle name="Normal 2 4 8 3 3 3" xfId="24514" xr:uid="{06A18083-D394-4204-ADB2-FB19BC9DA4C0}"/>
    <cellStyle name="Normal 2 4 8 3 3 4" xfId="18854" xr:uid="{39D12AC6-58D9-4B62-BCAB-647ACDACDB4A}"/>
    <cellStyle name="Normal 2 4 8 3 3 5" xfId="30175" xr:uid="{FE72219F-A8C3-40AB-81F2-D74B2D414A4A}"/>
    <cellStyle name="Normal 2 4 8 3 3 6" xfId="38438" xr:uid="{B9489029-6832-4FCF-B800-883E8EF337E0}"/>
    <cellStyle name="Normal 2 4 8 3 4" xfId="14044" xr:uid="{00000000-0005-0000-0000-000069170000}"/>
    <cellStyle name="Normal 2 4 8 3 4 2" xfId="26083" xr:uid="{841FA9D4-32CA-4E4C-B6F7-20546E57E2C7}"/>
    <cellStyle name="Normal 2 4 8 3 4 3" xfId="20423" xr:uid="{C88DBA54-7758-454A-89B0-03CBA8DC4C78}"/>
    <cellStyle name="Normal 2 4 8 3 4 4" xfId="31463" xr:uid="{618C0574-F4D7-4B2E-81F6-2647056ADF47}"/>
    <cellStyle name="Normal 2 4 8 3 4 5" xfId="38440" xr:uid="{4F894F11-6414-410C-B151-68BA164A0B97}"/>
    <cellStyle name="Normal 2 4 8 3 5" xfId="22952" xr:uid="{0D79792F-0525-4B17-9AAF-F47E5CD36851}"/>
    <cellStyle name="Normal 2 4 8 3 6" xfId="17292" xr:uid="{A74A578F-5285-477A-AF0B-6423AF0E57F5}"/>
    <cellStyle name="Normal 2 4 8 3 7" xfId="28613" xr:uid="{7CA834B4-5F41-4427-9EF6-61A5DFDEEB36}"/>
    <cellStyle name="Normal 2 4 8 3 8" xfId="38433" xr:uid="{FD42FE24-D7A0-43CB-9C85-3D46366BDE7C}"/>
    <cellStyle name="Normal 2 4 8 4" xfId="5678" xr:uid="{00000000-0005-0000-0000-00006A170000}"/>
    <cellStyle name="Normal 2 4 8 4 2" xfId="38441" xr:uid="{271E04C3-0F25-47AF-A32C-1CEDB25597F0}"/>
    <cellStyle name="Normal 2 4 8 5" xfId="6602" xr:uid="{00000000-0005-0000-0000-00006B170000}"/>
    <cellStyle name="Normal 2 4 8 5 2" xfId="15035" xr:uid="{00000000-0005-0000-0000-00006C170000}"/>
    <cellStyle name="Normal 2 4 8 5 2 2" xfId="26929" xr:uid="{653F4005-BFD9-47C5-92A9-9FF3A84AB711}"/>
    <cellStyle name="Normal 2 4 8 5 2 3" xfId="21269" xr:uid="{7207235F-B787-4FBA-B849-47535ECBFED5}"/>
    <cellStyle name="Normal 2 4 8 5 2 4" xfId="32309" xr:uid="{804AAE2F-B24C-45E4-9594-6DBB6BE370AA}"/>
    <cellStyle name="Normal 2 4 8 5 2 5" xfId="38443" xr:uid="{E31F52EA-269E-4D98-912D-AE28D077A3FC}"/>
    <cellStyle name="Normal 2 4 8 5 3" xfId="24096" xr:uid="{089EF92F-F169-4FB7-A3D4-6498695041B6}"/>
    <cellStyle name="Normal 2 4 8 5 4" xfId="18436" xr:uid="{8BF6E279-76D2-4415-9495-A073A858A004}"/>
    <cellStyle name="Normal 2 4 8 5 5" xfId="29757" xr:uid="{FD3FDA50-4EA0-4C4F-B64C-D08EF6489CB7}"/>
    <cellStyle name="Normal 2 4 8 5 6" xfId="38442" xr:uid="{8478F84F-5892-4653-8ED3-E75E540D6E54}"/>
    <cellStyle name="Normal 2 4 8 6" xfId="7929" xr:uid="{00000000-0005-0000-0000-00006D170000}"/>
    <cellStyle name="Normal 2 4 8 6 2" xfId="25410" xr:uid="{AFBCEE37-74BC-4FAF-B398-2CCB8EAC3C2A}"/>
    <cellStyle name="Normal 2 4 8 6 3" xfId="19750" xr:uid="{8EF6272C-B963-42DF-8DD0-60DF97929BA4}"/>
    <cellStyle name="Normal 2 4 8 6 4" xfId="31071" xr:uid="{C2E887B3-2C55-4AC6-B7DD-76F84668F040}"/>
    <cellStyle name="Normal 2 4 8 6 5" xfId="38444" xr:uid="{71B8D571-2CC5-4E48-9827-B4EAD043E5FF}"/>
    <cellStyle name="Normal 2 4 8 7" xfId="22534" xr:uid="{12266FE4-729B-400E-BAE6-E8F2DE13A6D2}"/>
    <cellStyle name="Normal 2 4 8 8" xfId="16874" xr:uid="{48CA6CB9-4F20-40A4-9405-260A6C770EC2}"/>
    <cellStyle name="Normal 2 4 8 9" xfId="28195" xr:uid="{0C903057-1CFE-4CB7-869F-5B02EF72ADC3}"/>
    <cellStyle name="Normal 2 4 9" xfId="4202" xr:uid="{00000000-0005-0000-0000-00006E170000}"/>
    <cellStyle name="Normal 2 4 9 10" xfId="38445" xr:uid="{FA7A5E13-83F0-46EB-8F8F-86915715B713}"/>
    <cellStyle name="Normal 2 4 9 2" xfId="4948" xr:uid="{00000000-0005-0000-0000-00006F170000}"/>
    <cellStyle name="Normal 2 4 9 2 2" xfId="5367" xr:uid="{00000000-0005-0000-0000-000070170000}"/>
    <cellStyle name="Normal 2 4 9 2 2 2" xfId="7230" xr:uid="{00000000-0005-0000-0000-000071170000}"/>
    <cellStyle name="Normal 2 4 9 2 2 2 2" xfId="15663" xr:uid="{00000000-0005-0000-0000-000072170000}"/>
    <cellStyle name="Normal 2 4 9 2 2 2 2 2" xfId="27557" xr:uid="{72947757-FBCB-4573-9976-33401A1980DD}"/>
    <cellStyle name="Normal 2 4 9 2 2 2 2 3" xfId="21897" xr:uid="{993E83D8-0922-4E39-8325-E381CED18CFC}"/>
    <cellStyle name="Normal 2 4 9 2 2 2 2 4" xfId="32937" xr:uid="{2B10135C-11CB-422A-ADE1-0E28B16839AE}"/>
    <cellStyle name="Normal 2 4 9 2 2 2 2 5" xfId="38449" xr:uid="{575B4DAA-466C-428C-89B9-6D23CD935624}"/>
    <cellStyle name="Normal 2 4 9 2 2 2 3" xfId="24724" xr:uid="{18EC0E20-341E-40B1-8E27-7D236CFAA0AF}"/>
    <cellStyle name="Normal 2 4 9 2 2 2 4" xfId="19064" xr:uid="{33BD4D1E-2049-4085-A9B4-F360AC4300B8}"/>
    <cellStyle name="Normal 2 4 9 2 2 2 5" xfId="30385" xr:uid="{B321ADEA-CB79-43B1-A891-DA4667DB09D8}"/>
    <cellStyle name="Normal 2 4 9 2 2 2 6" xfId="38448" xr:uid="{B57AD129-92C5-48D0-A398-499B930B8316}"/>
    <cellStyle name="Normal 2 4 9 2 2 3" xfId="14253" xr:uid="{00000000-0005-0000-0000-000073170000}"/>
    <cellStyle name="Normal 2 4 9 2 2 3 2" xfId="26292" xr:uid="{0929A0A5-2DFF-4AD5-BC54-17C96B8B15C1}"/>
    <cellStyle name="Normal 2 4 9 2 2 3 3" xfId="20632" xr:uid="{EFA1BE3C-E279-4B37-AC2B-54F445C27E18}"/>
    <cellStyle name="Normal 2 4 9 2 2 3 4" xfId="31672" xr:uid="{E8D6CCA9-2F35-4686-B0A4-34638E83F29A}"/>
    <cellStyle name="Normal 2 4 9 2 2 3 5" xfId="38450" xr:uid="{EC3945FC-7831-43FB-B32E-13ABEEFDD742}"/>
    <cellStyle name="Normal 2 4 9 2 2 4" xfId="23162" xr:uid="{9164B083-4F42-4DF4-95F6-324C4C40DB57}"/>
    <cellStyle name="Normal 2 4 9 2 2 5" xfId="17502" xr:uid="{37D3E53D-D1DA-46F7-BE75-CB1F40F2B934}"/>
    <cellStyle name="Normal 2 4 9 2 2 6" xfId="28823" xr:uid="{AA169AC3-A377-4938-A942-7DAED457E259}"/>
    <cellStyle name="Normal 2 4 9 2 2 7" xfId="38447" xr:uid="{031E08DB-F7E4-4127-A8E7-AEB0527B4E7E}"/>
    <cellStyle name="Normal 2 4 9 2 3" xfId="6158" xr:uid="{00000000-0005-0000-0000-000074170000}"/>
    <cellStyle name="Normal 2 4 9 2 3 2" xfId="7497" xr:uid="{00000000-0005-0000-0000-000075170000}"/>
    <cellStyle name="Normal 2 4 9 2 3 2 2" xfId="15930" xr:uid="{00000000-0005-0000-0000-000076170000}"/>
    <cellStyle name="Normal 2 4 9 2 3 2 2 2" xfId="27824" xr:uid="{3E91F52B-ECC3-403A-AC7B-CDF0E84322C4}"/>
    <cellStyle name="Normal 2 4 9 2 3 2 2 3" xfId="22164" xr:uid="{B832F325-B0D0-4934-9E26-5576672B0C85}"/>
    <cellStyle name="Normal 2 4 9 2 3 2 2 4" xfId="33204" xr:uid="{4C3BDAFB-5A49-4FAA-B534-0E6FFA32B7B0}"/>
    <cellStyle name="Normal 2 4 9 2 3 2 2 5" xfId="38453" xr:uid="{4D66E306-769D-49D2-9D23-6CAB521F9724}"/>
    <cellStyle name="Normal 2 4 9 2 3 2 3" xfId="24991" xr:uid="{7FA35D55-206B-4D09-894C-650907064940}"/>
    <cellStyle name="Normal 2 4 9 2 3 2 4" xfId="19331" xr:uid="{0432EE35-193C-4292-A5C5-9B9AAF4AAB5C}"/>
    <cellStyle name="Normal 2 4 9 2 3 2 5" xfId="30652" xr:uid="{2C69BE9D-00B4-410A-B09D-6F787485DD71}"/>
    <cellStyle name="Normal 2 4 9 2 3 2 6" xfId="38452" xr:uid="{B11BC89A-DDA5-4E92-910D-A2F9EC432F85}"/>
    <cellStyle name="Normal 2 4 9 2 3 3" xfId="14610" xr:uid="{00000000-0005-0000-0000-000077170000}"/>
    <cellStyle name="Normal 2 4 9 2 3 3 2" xfId="26568" xr:uid="{85AEA7A5-5D29-4685-A3C8-20017C6480AE}"/>
    <cellStyle name="Normal 2 4 9 2 3 3 3" xfId="20908" xr:uid="{62C11CDD-730D-4642-B6A8-34B53CB144DA}"/>
    <cellStyle name="Normal 2 4 9 2 3 3 4" xfId="31948" xr:uid="{D9004788-32CB-4FA3-B943-11FA7614B325}"/>
    <cellStyle name="Normal 2 4 9 2 3 3 5" xfId="38454" xr:uid="{525B0DF5-BA6D-489D-BA95-11906938B7C0}"/>
    <cellStyle name="Normal 2 4 9 2 3 4" xfId="23735" xr:uid="{FB662E34-42C1-4FA4-B040-9919620612F0}"/>
    <cellStyle name="Normal 2 4 9 2 3 5" xfId="18075" xr:uid="{39272917-0C73-4910-88E4-5CC62F9335EF}"/>
    <cellStyle name="Normal 2 4 9 2 3 6" xfId="29396" xr:uid="{656839DA-D131-4D19-B89A-B2624DE04E2E}"/>
    <cellStyle name="Normal 2 4 9 2 3 7" xfId="38451" xr:uid="{1269E30F-181E-487F-848B-3A0D589E407D}"/>
    <cellStyle name="Normal 2 4 9 2 4" xfId="6812" xr:uid="{00000000-0005-0000-0000-000078170000}"/>
    <cellStyle name="Normal 2 4 9 2 4 2" xfId="15245" xr:uid="{00000000-0005-0000-0000-000079170000}"/>
    <cellStyle name="Normal 2 4 9 2 4 2 2" xfId="27139" xr:uid="{AB360D61-8D18-459E-BDC2-99A5A944F088}"/>
    <cellStyle name="Normal 2 4 9 2 4 2 3" xfId="21479" xr:uid="{41E6460F-44BC-461B-B12D-7DB6533B2324}"/>
    <cellStyle name="Normal 2 4 9 2 4 2 4" xfId="32519" xr:uid="{D4A7AC78-845D-4574-A43B-3127AF5D6AAE}"/>
    <cellStyle name="Normal 2 4 9 2 4 2 5" xfId="38456" xr:uid="{CB76DB8B-431C-4E9C-88BC-40E00B1C5797}"/>
    <cellStyle name="Normal 2 4 9 2 4 3" xfId="24306" xr:uid="{C7486980-1111-4221-933E-357DAD5BBC21}"/>
    <cellStyle name="Normal 2 4 9 2 4 4" xfId="18646" xr:uid="{C79E7443-26DE-42BD-9177-A89CA0F739C6}"/>
    <cellStyle name="Normal 2 4 9 2 4 5" xfId="29967" xr:uid="{9093DD8C-6F8A-4F9E-8385-1588ED9A805A}"/>
    <cellStyle name="Normal 2 4 9 2 4 6" xfId="38455" xr:uid="{6F3BEF0B-39BD-4FC8-91AB-8297EB16FAA4}"/>
    <cellStyle name="Normal 2 4 9 2 5" xfId="7932" xr:uid="{00000000-0005-0000-0000-00007A170000}"/>
    <cellStyle name="Normal 2 4 9 2 5 2" xfId="25413" xr:uid="{3DCE1407-0B23-402C-B4D1-27B5ABFB6BDC}"/>
    <cellStyle name="Normal 2 4 9 2 5 3" xfId="19753" xr:uid="{6D57465C-0D9D-41D0-8006-DE4DD2808455}"/>
    <cellStyle name="Normal 2 4 9 2 5 4" xfId="31074" xr:uid="{CC448E09-8885-4D90-AB79-D19ABB77EF63}"/>
    <cellStyle name="Normal 2 4 9 2 5 5" xfId="38457" xr:uid="{D56543ED-50E4-4540-A4C9-3727ABEDFD46}"/>
    <cellStyle name="Normal 2 4 9 2 6" xfId="22744" xr:uid="{8126805F-893C-49C2-B6B7-94BACFF2AF93}"/>
    <cellStyle name="Normal 2 4 9 2 7" xfId="17084" xr:uid="{818723D2-1732-4653-B7A6-6C11222F10CE}"/>
    <cellStyle name="Normal 2 4 9 2 8" xfId="28405" xr:uid="{A4BAEDC0-D347-45C6-AAB1-F6317762C137}"/>
    <cellStyle name="Normal 2 4 9 2 9" xfId="38446" xr:uid="{E3B37AAC-A662-425F-A26F-CB786ED3AC98}"/>
    <cellStyle name="Normal 2 4 9 3" xfId="5158" xr:uid="{00000000-0005-0000-0000-00007B170000}"/>
    <cellStyle name="Normal 2 4 9 3 2" xfId="6157" xr:uid="{00000000-0005-0000-0000-00007C170000}"/>
    <cellStyle name="Normal 2 4 9 3 2 2" xfId="7496" xr:uid="{00000000-0005-0000-0000-00007D170000}"/>
    <cellStyle name="Normal 2 4 9 3 2 2 2" xfId="15929" xr:uid="{00000000-0005-0000-0000-00007E170000}"/>
    <cellStyle name="Normal 2 4 9 3 2 2 2 2" xfId="27823" xr:uid="{4F2522CD-58D2-46F6-8F25-9676AE3CE2CA}"/>
    <cellStyle name="Normal 2 4 9 3 2 2 2 3" xfId="22163" xr:uid="{278116C5-7001-47C3-83DB-5732757CFE98}"/>
    <cellStyle name="Normal 2 4 9 3 2 2 2 4" xfId="33203" xr:uid="{72E48063-0785-4CFB-B5D2-AFC6AD5F86DB}"/>
    <cellStyle name="Normal 2 4 9 3 2 2 2 5" xfId="38461" xr:uid="{98000B4F-B12B-4D63-A5A6-5F8B45C3B4B4}"/>
    <cellStyle name="Normal 2 4 9 3 2 2 3" xfId="24990" xr:uid="{A74BF0E0-4070-4BBC-AB6B-8FD73435A9AA}"/>
    <cellStyle name="Normal 2 4 9 3 2 2 4" xfId="19330" xr:uid="{973AF7E5-E0CC-4498-8396-540C66597422}"/>
    <cellStyle name="Normal 2 4 9 3 2 2 5" xfId="30651" xr:uid="{38A5F126-1AFD-4C27-854D-1A29F79D7FF8}"/>
    <cellStyle name="Normal 2 4 9 3 2 2 6" xfId="38460" xr:uid="{F55DAF67-8530-4A2A-AAC3-57D81E90753D}"/>
    <cellStyle name="Normal 2 4 9 3 2 3" xfId="14609" xr:uid="{00000000-0005-0000-0000-00007F170000}"/>
    <cellStyle name="Normal 2 4 9 3 2 3 2" xfId="26567" xr:uid="{50225166-F648-4E0A-9ECB-7089F63DF2C4}"/>
    <cellStyle name="Normal 2 4 9 3 2 3 3" xfId="20907" xr:uid="{AE09881C-44F7-4C87-AE17-24FA7902F966}"/>
    <cellStyle name="Normal 2 4 9 3 2 3 4" xfId="31947" xr:uid="{8FAB59E2-E908-4F0F-BAD1-3EB0801C4181}"/>
    <cellStyle name="Normal 2 4 9 3 2 3 5" xfId="38462" xr:uid="{564F1605-B71C-4EFF-BB8C-35FFEEAF5DF8}"/>
    <cellStyle name="Normal 2 4 9 3 2 4" xfId="23734" xr:uid="{E1DB92FC-C893-4352-8706-E822EACCA126}"/>
    <cellStyle name="Normal 2 4 9 3 2 5" xfId="18074" xr:uid="{C53DA58A-A0D1-4EE1-B730-7FD1A101A6AF}"/>
    <cellStyle name="Normal 2 4 9 3 2 6" xfId="29395" xr:uid="{D78413F6-5D1D-4E5C-9DA8-AC45EDB30069}"/>
    <cellStyle name="Normal 2 4 9 3 2 7" xfId="38459" xr:uid="{DF148866-AE59-4F17-ADD1-C6F25E711F13}"/>
    <cellStyle name="Normal 2 4 9 3 3" xfId="7021" xr:uid="{00000000-0005-0000-0000-000080170000}"/>
    <cellStyle name="Normal 2 4 9 3 3 2" xfId="15454" xr:uid="{00000000-0005-0000-0000-000081170000}"/>
    <cellStyle name="Normal 2 4 9 3 3 2 2" xfId="27348" xr:uid="{656C4B78-B652-451E-87B5-9B5992944976}"/>
    <cellStyle name="Normal 2 4 9 3 3 2 3" xfId="21688" xr:uid="{909E2F5A-3A3A-4973-878A-438DBB2F8586}"/>
    <cellStyle name="Normal 2 4 9 3 3 2 4" xfId="32728" xr:uid="{CB9E8DDA-3FCF-49B1-B199-62CE4DF9F9F7}"/>
    <cellStyle name="Normal 2 4 9 3 3 2 5" xfId="38464" xr:uid="{C463487A-DDAA-4343-80B6-022B81CE842F}"/>
    <cellStyle name="Normal 2 4 9 3 3 3" xfId="24515" xr:uid="{F590F380-4CF0-46BA-B671-5580BEDEE382}"/>
    <cellStyle name="Normal 2 4 9 3 3 4" xfId="18855" xr:uid="{C6C54F93-14DC-492C-8844-DCFD895C1D6E}"/>
    <cellStyle name="Normal 2 4 9 3 3 5" xfId="30176" xr:uid="{D0EDDF0E-DAB4-4511-B4B2-72B160CFBBB1}"/>
    <cellStyle name="Normal 2 4 9 3 3 6" xfId="38463" xr:uid="{0087EA9C-90B5-411F-AF0A-50520DD3E53A}"/>
    <cellStyle name="Normal 2 4 9 3 4" xfId="14045" xr:uid="{00000000-0005-0000-0000-000082170000}"/>
    <cellStyle name="Normal 2 4 9 3 4 2" xfId="26084" xr:uid="{22CE25E0-989F-4E50-8B3B-472E494E865B}"/>
    <cellStyle name="Normal 2 4 9 3 4 3" xfId="20424" xr:uid="{268E9FCB-B954-4912-BA5E-03E43C75E32C}"/>
    <cellStyle name="Normal 2 4 9 3 4 4" xfId="31464" xr:uid="{47077EBF-0FD8-4EF5-BC1B-1C55E67D26B1}"/>
    <cellStyle name="Normal 2 4 9 3 4 5" xfId="38465" xr:uid="{5857C0E1-9A14-4D1F-BA5F-ECBF737254D4}"/>
    <cellStyle name="Normal 2 4 9 3 5" xfId="22953" xr:uid="{BE23A5AE-64AD-47B2-B470-715CDFE6709F}"/>
    <cellStyle name="Normal 2 4 9 3 6" xfId="17293" xr:uid="{7B7442D1-FB69-4E3D-8184-1D68AB4D936D}"/>
    <cellStyle name="Normal 2 4 9 3 7" xfId="28614" xr:uid="{A20CD896-CE07-4A1F-995A-54E836C21252}"/>
    <cellStyle name="Normal 2 4 9 3 8" xfId="38458" xr:uid="{3C08045B-B375-401B-9B18-CADDC5AC0846}"/>
    <cellStyle name="Normal 2 4 9 4" xfId="5679" xr:uid="{00000000-0005-0000-0000-000083170000}"/>
    <cellStyle name="Normal 2 4 9 4 2" xfId="38466" xr:uid="{FE475C0E-2A84-49EC-80D7-BEB073F1BF53}"/>
    <cellStyle name="Normal 2 4 9 5" xfId="6603" xr:uid="{00000000-0005-0000-0000-000084170000}"/>
    <cellStyle name="Normal 2 4 9 5 2" xfId="15036" xr:uid="{00000000-0005-0000-0000-000085170000}"/>
    <cellStyle name="Normal 2 4 9 5 2 2" xfId="26930" xr:uid="{8AE0AF16-9AFD-4909-88A7-A25904CDAA06}"/>
    <cellStyle name="Normal 2 4 9 5 2 3" xfId="21270" xr:uid="{1929567C-5BA2-41C6-9FB2-60916880A1F3}"/>
    <cellStyle name="Normal 2 4 9 5 2 4" xfId="32310" xr:uid="{6CC00F46-EDE9-42CF-B1C7-BF51D5C3371D}"/>
    <cellStyle name="Normal 2 4 9 5 2 5" xfId="38468" xr:uid="{D5BE6342-018D-4403-BA5A-8007BB6E494C}"/>
    <cellStyle name="Normal 2 4 9 5 3" xfId="24097" xr:uid="{61610B0A-455D-4346-996B-E0EE7C653FFF}"/>
    <cellStyle name="Normal 2 4 9 5 4" xfId="18437" xr:uid="{597A4BBB-215D-4CEF-8F51-6716392C58CA}"/>
    <cellStyle name="Normal 2 4 9 5 5" xfId="29758" xr:uid="{642658B2-70E6-42DA-896E-303C5DB73C3F}"/>
    <cellStyle name="Normal 2 4 9 5 6" xfId="38467" xr:uid="{5C584A92-EEBD-414B-8DC7-B8C13090C22B}"/>
    <cellStyle name="Normal 2 4 9 6" xfId="7931" xr:uid="{00000000-0005-0000-0000-000086170000}"/>
    <cellStyle name="Normal 2 4 9 6 2" xfId="25412" xr:uid="{2D577963-975A-4139-8EF1-41D1FCDFE99D}"/>
    <cellStyle name="Normal 2 4 9 6 3" xfId="19752" xr:uid="{75E7E559-7CB4-4CC8-8692-55A0AD96D425}"/>
    <cellStyle name="Normal 2 4 9 6 4" xfId="31073" xr:uid="{56646B54-4EC9-4F04-BF80-062C69F4F037}"/>
    <cellStyle name="Normal 2 4 9 6 5" xfId="38469" xr:uid="{A69CB2FA-DBB7-40D6-8045-3FCE7ED7208B}"/>
    <cellStyle name="Normal 2 4 9 7" xfId="22535" xr:uid="{A201BD31-00D2-412B-B3EF-FD082CB593F9}"/>
    <cellStyle name="Normal 2 4 9 8" xfId="16875" xr:uid="{58D49A87-3E42-4323-80BC-D7E6CE569FAC}"/>
    <cellStyle name="Normal 2 4 9 9" xfId="28196" xr:uid="{DA4C7528-99BB-4D99-890B-98154CCF47D8}"/>
    <cellStyle name="Normal 2 40" xfId="2075" xr:uid="{00000000-0005-0000-0000-000087170000}"/>
    <cellStyle name="Normal 2 40 2" xfId="38470" xr:uid="{EFC90768-7F0E-41F1-880E-8E904EA4DC8E}"/>
    <cellStyle name="Normal 2 41" xfId="2076" xr:uid="{00000000-0005-0000-0000-000088170000}"/>
    <cellStyle name="Normal 2 41 2" xfId="38471" xr:uid="{02DD65E1-AA3A-44EF-9EEF-770D9DD742FB}"/>
    <cellStyle name="Normal 2 42" xfId="2077" xr:uid="{00000000-0005-0000-0000-000089170000}"/>
    <cellStyle name="Normal 2 42 2" xfId="38472" xr:uid="{CA57D341-21BA-4A67-BB8D-6100058BF5B6}"/>
    <cellStyle name="Normal 2 43" xfId="2078" xr:uid="{00000000-0005-0000-0000-00008A170000}"/>
    <cellStyle name="Normal 2 43 2" xfId="38473" xr:uid="{538B81EB-2589-4AC5-966A-3F474BF5E462}"/>
    <cellStyle name="Normal 2 44" xfId="2079" xr:uid="{00000000-0005-0000-0000-00008B170000}"/>
    <cellStyle name="Normal 2 44 2" xfId="38474" xr:uid="{3B642295-3A34-4D13-913D-2C491CC6BC9F}"/>
    <cellStyle name="Normal 2 45" xfId="2080" xr:uid="{00000000-0005-0000-0000-00008C170000}"/>
    <cellStyle name="Normal 2 45 10" xfId="38475" xr:uid="{2B74C9A5-3F8F-4F28-B828-9A3432882F55}"/>
    <cellStyle name="Normal 2 45 11" xfId="49781" xr:uid="{9C17998D-02BF-418E-A562-FC7C03DB373F}"/>
    <cellStyle name="Normal 2 45 2" xfId="4853" xr:uid="{00000000-0005-0000-0000-00008D170000}"/>
    <cellStyle name="Normal 2 45 2 2" xfId="5272" xr:uid="{00000000-0005-0000-0000-00008E170000}"/>
    <cellStyle name="Normal 2 45 2 2 2" xfId="7135" xr:uid="{00000000-0005-0000-0000-00008F170000}"/>
    <cellStyle name="Normal 2 45 2 2 2 2" xfId="15568" xr:uid="{00000000-0005-0000-0000-000090170000}"/>
    <cellStyle name="Normal 2 45 2 2 2 2 2" xfId="27462" xr:uid="{57AC59FC-C068-44A0-AC80-D1A2AD7447BB}"/>
    <cellStyle name="Normal 2 45 2 2 2 2 3" xfId="21802" xr:uid="{066CCDF0-712F-4B4C-935E-8C1CC661FF3F}"/>
    <cellStyle name="Normal 2 45 2 2 2 2 4" xfId="32842" xr:uid="{12FE091E-B8BF-4368-9959-C6B128F12CF2}"/>
    <cellStyle name="Normal 2 45 2 2 2 2 5" xfId="38479" xr:uid="{672BCC1C-D6E1-41CC-B534-0F7D6C615C8A}"/>
    <cellStyle name="Normal 2 45 2 2 2 3" xfId="24629" xr:uid="{980F00AF-E880-4693-BABA-A773313A2A00}"/>
    <cellStyle name="Normal 2 45 2 2 2 4" xfId="18969" xr:uid="{D01F9749-A419-4B32-85DA-8BA69069CB8F}"/>
    <cellStyle name="Normal 2 45 2 2 2 5" xfId="30290" xr:uid="{900CF012-734E-4D53-9205-8823EF15ACBC}"/>
    <cellStyle name="Normal 2 45 2 2 2 6" xfId="38478" xr:uid="{E12B8BAC-4CAF-4116-BF07-F66B9B3C460B}"/>
    <cellStyle name="Normal 2 45 2 2 3" xfId="14158" xr:uid="{00000000-0005-0000-0000-000091170000}"/>
    <cellStyle name="Normal 2 45 2 2 3 2" xfId="26197" xr:uid="{0C202CAF-8DE2-42B9-849E-27B3F118D6F6}"/>
    <cellStyle name="Normal 2 45 2 2 3 3" xfId="20537" xr:uid="{87327EAF-E622-40F0-B6DA-D5B53BC63339}"/>
    <cellStyle name="Normal 2 45 2 2 3 4" xfId="31577" xr:uid="{FC92FB66-4CD1-499F-A0C5-ADE566DD4707}"/>
    <cellStyle name="Normal 2 45 2 2 3 5" xfId="38480" xr:uid="{CD43AFC1-56AE-41FE-8FEB-9E685BCF40B4}"/>
    <cellStyle name="Normal 2 45 2 2 4" xfId="23067" xr:uid="{287293F0-F641-4429-B647-A921703847A5}"/>
    <cellStyle name="Normal 2 45 2 2 5" xfId="17407" xr:uid="{5EE6AE9E-0B40-458E-8300-72928108E8FC}"/>
    <cellStyle name="Normal 2 45 2 2 6" xfId="28728" xr:uid="{94D55912-3775-4217-8D90-2DC93A6FFB95}"/>
    <cellStyle name="Normal 2 45 2 2 7" xfId="38477" xr:uid="{D719372E-3B0B-43A6-A6CC-4A073AECBBAF}"/>
    <cellStyle name="Normal 2 45 2 3" xfId="6160" xr:uid="{00000000-0005-0000-0000-000092170000}"/>
    <cellStyle name="Normal 2 45 2 3 2" xfId="7499" xr:uid="{00000000-0005-0000-0000-000093170000}"/>
    <cellStyle name="Normal 2 45 2 3 2 2" xfId="15932" xr:uid="{00000000-0005-0000-0000-000094170000}"/>
    <cellStyle name="Normal 2 45 2 3 2 2 2" xfId="27826" xr:uid="{D816424C-D9B6-404B-88D7-13BD1B38BC29}"/>
    <cellStyle name="Normal 2 45 2 3 2 2 3" xfId="22166" xr:uid="{25B0DED3-86B4-499B-B802-D4C39A9AD347}"/>
    <cellStyle name="Normal 2 45 2 3 2 2 4" xfId="33206" xr:uid="{61BFE405-C191-4BEA-B291-D33B1A44C1DC}"/>
    <cellStyle name="Normal 2 45 2 3 2 2 5" xfId="38483" xr:uid="{5E20D18A-B938-4AC2-93C5-4FCFBFBC807F}"/>
    <cellStyle name="Normal 2 45 2 3 2 3" xfId="24993" xr:uid="{B92B7E33-51EC-410C-A2DA-BF78323AC401}"/>
    <cellStyle name="Normal 2 45 2 3 2 4" xfId="19333" xr:uid="{92D32517-3C1D-4D41-9754-DFDDA6086AAC}"/>
    <cellStyle name="Normal 2 45 2 3 2 5" xfId="30654" xr:uid="{F610452C-2A58-435E-B82A-45343DBC8B8A}"/>
    <cellStyle name="Normal 2 45 2 3 2 6" xfId="38482" xr:uid="{70A6FD56-616B-48E2-A8B3-AA61A7B9BBB9}"/>
    <cellStyle name="Normal 2 45 2 3 3" xfId="14612" xr:uid="{00000000-0005-0000-0000-000095170000}"/>
    <cellStyle name="Normal 2 45 2 3 3 2" xfId="26570" xr:uid="{C584C981-E3A6-40BD-8409-16D00D2935A6}"/>
    <cellStyle name="Normal 2 45 2 3 3 3" xfId="20910" xr:uid="{9F75BB14-9DD8-49A9-A88E-EC9AD45AC9AD}"/>
    <cellStyle name="Normal 2 45 2 3 3 4" xfId="31950" xr:uid="{E5CA8FDF-E067-4A2A-948F-4F18B32EB3D3}"/>
    <cellStyle name="Normal 2 45 2 3 3 5" xfId="38484" xr:uid="{B7AAD1D6-EE9A-4D96-95CD-F516EC711133}"/>
    <cellStyle name="Normal 2 45 2 3 4" xfId="23737" xr:uid="{8FBC963A-CBE4-495E-966F-EDA57A501CD1}"/>
    <cellStyle name="Normal 2 45 2 3 5" xfId="18077" xr:uid="{EDD626AE-F011-40B4-8CC3-B92B6CACB00C}"/>
    <cellStyle name="Normal 2 45 2 3 6" xfId="29398" xr:uid="{32DC82F5-560B-4D4B-B62C-4E07C50C0CB2}"/>
    <cellStyle name="Normal 2 45 2 3 7" xfId="38481" xr:uid="{0FEE0915-ED93-4C58-8E8B-265F92218A60}"/>
    <cellStyle name="Normal 2 45 2 4" xfId="6717" xr:uid="{00000000-0005-0000-0000-000096170000}"/>
    <cellStyle name="Normal 2 45 2 4 2" xfId="15150" xr:uid="{00000000-0005-0000-0000-000097170000}"/>
    <cellStyle name="Normal 2 45 2 4 2 2" xfId="27044" xr:uid="{082D5DA6-6817-4319-9F22-6B6CF5EAE4DA}"/>
    <cellStyle name="Normal 2 45 2 4 2 3" xfId="21384" xr:uid="{7A4AB764-C0E2-43B5-B2D8-BAD3AADE3241}"/>
    <cellStyle name="Normal 2 45 2 4 2 4" xfId="32424" xr:uid="{F377A588-6EF8-474F-A044-F04ED877DD95}"/>
    <cellStyle name="Normal 2 45 2 4 2 5" xfId="38486" xr:uid="{C9649EEE-3F70-4DBD-A6EE-76A48BA41378}"/>
    <cellStyle name="Normal 2 45 2 4 3" xfId="24211" xr:uid="{44A51CC2-D98C-4BEF-92FA-76580D4A9078}"/>
    <cellStyle name="Normal 2 45 2 4 4" xfId="18551" xr:uid="{F054FA74-8112-4050-B2D5-B1D58C13E069}"/>
    <cellStyle name="Normal 2 45 2 4 5" xfId="29872" xr:uid="{BF2D1AAE-788C-4D08-B2B9-7299FC92A675}"/>
    <cellStyle name="Normal 2 45 2 4 6" xfId="38485" xr:uid="{1475FBD0-4415-4B5A-A970-ED3A08EF9668}"/>
    <cellStyle name="Normal 2 45 2 5" xfId="7934" xr:uid="{00000000-0005-0000-0000-000098170000}"/>
    <cellStyle name="Normal 2 45 2 5 2" xfId="25415" xr:uid="{5ED63455-05FF-4E86-9A5C-6C6586E68F4E}"/>
    <cellStyle name="Normal 2 45 2 5 3" xfId="19755" xr:uid="{C9A02FAF-43AC-483E-9481-ABB6BDEC75DC}"/>
    <cellStyle name="Normal 2 45 2 5 4" xfId="31076" xr:uid="{085468D6-1C23-421C-AAEF-FFFCBFDF91FE}"/>
    <cellStyle name="Normal 2 45 2 5 5" xfId="38487" xr:uid="{61388A39-64D2-4AFD-A00D-335F8BE96A89}"/>
    <cellStyle name="Normal 2 45 2 6" xfId="22649" xr:uid="{D982BCEB-950D-4072-B9C2-671F1F86B654}"/>
    <cellStyle name="Normal 2 45 2 7" xfId="16989" xr:uid="{93F24B3F-330A-4326-88DF-B04D260F13D6}"/>
    <cellStyle name="Normal 2 45 2 8" xfId="28310" xr:uid="{49219607-F268-4BBA-8C57-BFAA96D02A40}"/>
    <cellStyle name="Normal 2 45 2 9" xfId="38476" xr:uid="{3FE24D1D-89EF-474F-8AF0-12831A5E5FD1}"/>
    <cellStyle name="Normal 2 45 3" xfId="5063" xr:uid="{00000000-0005-0000-0000-000099170000}"/>
    <cellStyle name="Normal 2 45 3 2" xfId="6926" xr:uid="{00000000-0005-0000-0000-00009A170000}"/>
    <cellStyle name="Normal 2 45 3 2 2" xfId="15359" xr:uid="{00000000-0005-0000-0000-00009B170000}"/>
    <cellStyle name="Normal 2 45 3 2 2 2" xfId="27253" xr:uid="{C8D1DA44-F9C4-49B8-B0D2-D3C7D6059E90}"/>
    <cellStyle name="Normal 2 45 3 2 2 3" xfId="21593" xr:uid="{D6F7AADC-EF6B-400B-92C5-B43369DA6555}"/>
    <cellStyle name="Normal 2 45 3 2 2 4" xfId="32633" xr:uid="{55816844-811B-4BF3-8B1F-CC2270CCFBDE}"/>
    <cellStyle name="Normal 2 45 3 2 2 5" xfId="38490" xr:uid="{F17D8DB7-5556-4292-B082-E2A66F8D9D15}"/>
    <cellStyle name="Normal 2 45 3 2 3" xfId="24420" xr:uid="{7545F833-9EBC-465E-B750-D5E15D2D9062}"/>
    <cellStyle name="Normal 2 45 3 2 4" xfId="18760" xr:uid="{DAB3AB25-AC84-4A82-A967-53D464AF3E9A}"/>
    <cellStyle name="Normal 2 45 3 2 5" xfId="30081" xr:uid="{C589265F-E049-4465-A73E-663D27B4728C}"/>
    <cellStyle name="Normal 2 45 3 2 6" xfId="38489" xr:uid="{F2F71C91-B076-45C5-A61D-946DA65397C2}"/>
    <cellStyle name="Normal 2 45 3 3" xfId="13958" xr:uid="{00000000-0005-0000-0000-00009C170000}"/>
    <cellStyle name="Normal 2 45 3 3 2" xfId="25999" xr:uid="{C8DD544D-B5B2-4D34-AFD2-065E188EF5E9}"/>
    <cellStyle name="Normal 2 45 3 3 3" xfId="20339" xr:uid="{AA50A8D9-58C1-4397-9C0C-1F5B7DEC01B7}"/>
    <cellStyle name="Normal 2 45 3 3 4" xfId="31379" xr:uid="{D0AB5645-9DB5-4CC6-8E3F-1F1945ACF9DD}"/>
    <cellStyle name="Normal 2 45 3 3 5" xfId="38491" xr:uid="{0382D6A4-85CD-4F39-B3DC-30CC6EE012EC}"/>
    <cellStyle name="Normal 2 45 3 4" xfId="9657" xr:uid="{00000000-0005-0000-0000-00009D170000}"/>
    <cellStyle name="Normal 2 45 3 4 2" xfId="38492" xr:uid="{DF46DF44-FEBB-4F71-A902-83DEDC436AFD}"/>
    <cellStyle name="Normal 2 45 3 5" xfId="22858" xr:uid="{C8E006E2-7C88-44F8-98F4-A42521A8EB2B}"/>
    <cellStyle name="Normal 2 45 3 6" xfId="17198" xr:uid="{1B518D5F-4139-43B4-8E30-7AE41CCDD44A}"/>
    <cellStyle name="Normal 2 45 3 7" xfId="28519" xr:uid="{F2205DC3-EF53-4B5C-84F6-23EA22C8DE71}"/>
    <cellStyle name="Normal 2 45 3 8" xfId="38488" xr:uid="{28F6A9FC-CB9C-4D9F-9752-FA0944219848}"/>
    <cellStyle name="Normal 2 45 4" xfId="6159" xr:uid="{00000000-0005-0000-0000-00009E170000}"/>
    <cellStyle name="Normal 2 45 4 2" xfId="7498" xr:uid="{00000000-0005-0000-0000-00009F170000}"/>
    <cellStyle name="Normal 2 45 4 2 2" xfId="15931" xr:uid="{00000000-0005-0000-0000-0000A0170000}"/>
    <cellStyle name="Normal 2 45 4 2 2 2" xfId="27825" xr:uid="{81EC1306-F573-4F9B-AAC8-F9944A0C89C9}"/>
    <cellStyle name="Normal 2 45 4 2 2 3" xfId="22165" xr:uid="{83580108-CCF8-4AD1-960E-F4C8C8DD50B6}"/>
    <cellStyle name="Normal 2 45 4 2 2 4" xfId="33205" xr:uid="{503171FA-26C6-40B9-B7C9-E9F5E39BB3F3}"/>
    <cellStyle name="Normal 2 45 4 2 2 5" xfId="38495" xr:uid="{C00AEC5A-7C49-4616-A235-378CC70544FC}"/>
    <cellStyle name="Normal 2 45 4 2 3" xfId="24992" xr:uid="{260BF157-8CA6-4944-A2A4-632829188931}"/>
    <cellStyle name="Normal 2 45 4 2 4" xfId="19332" xr:uid="{DD46A7B8-59EF-42E6-90E3-B0587B38842D}"/>
    <cellStyle name="Normal 2 45 4 2 5" xfId="30653" xr:uid="{D2E2873D-B692-4146-819E-8FFF7B35F53D}"/>
    <cellStyle name="Normal 2 45 4 2 6" xfId="38494" xr:uid="{935ABE95-22D7-43B8-B987-02A628272265}"/>
    <cellStyle name="Normal 2 45 4 3" xfId="14611" xr:uid="{00000000-0005-0000-0000-0000A1170000}"/>
    <cellStyle name="Normal 2 45 4 3 2" xfId="26569" xr:uid="{9D49DC40-F2A5-44B0-A2BC-86CB589F4055}"/>
    <cellStyle name="Normal 2 45 4 3 3" xfId="20909" xr:uid="{639E1113-2D36-4A37-BB5D-5880EF8C537C}"/>
    <cellStyle name="Normal 2 45 4 3 4" xfId="31949" xr:uid="{7AA7E2B8-CD44-47F4-A0B0-CBBBD1E9F768}"/>
    <cellStyle name="Normal 2 45 4 3 5" xfId="38496" xr:uid="{E18A9087-273D-4BE8-8F24-C0B256DCA887}"/>
    <cellStyle name="Normal 2 45 4 4" xfId="23736" xr:uid="{FBF556DD-5DAE-435E-9CA5-73955D051AA9}"/>
    <cellStyle name="Normal 2 45 4 5" xfId="18076" xr:uid="{16EF7C71-8F6A-409D-903A-68D1620150CD}"/>
    <cellStyle name="Normal 2 45 4 6" xfId="29397" xr:uid="{0D59A9F2-DD93-44CE-A0BB-7A0A31E1CA14}"/>
    <cellStyle name="Normal 2 45 4 7" xfId="38493" xr:uid="{7F837D2B-05C4-4566-A066-97FABB04B90C}"/>
    <cellStyle name="Normal 2 45 5" xfId="6508" xr:uid="{00000000-0005-0000-0000-0000A2170000}"/>
    <cellStyle name="Normal 2 45 5 2" xfId="14941" xr:uid="{00000000-0005-0000-0000-0000A3170000}"/>
    <cellStyle name="Normal 2 45 5 2 2" xfId="26835" xr:uid="{C31E5ED8-D379-4781-A98C-4470D73CAC65}"/>
    <cellStyle name="Normal 2 45 5 2 3" xfId="21175" xr:uid="{0E03ED1D-5617-4F45-9F1E-4075A8150F36}"/>
    <cellStyle name="Normal 2 45 5 2 4" xfId="32215" xr:uid="{D7FFC68C-B510-44A4-B3A5-8C095D6D81BB}"/>
    <cellStyle name="Normal 2 45 5 2 5" xfId="38498" xr:uid="{1E0F2777-F763-4BCB-BFB8-91376762CDFB}"/>
    <cellStyle name="Normal 2 45 5 3" xfId="24002" xr:uid="{8BDA00CA-5E8C-46C4-8013-257FC285877E}"/>
    <cellStyle name="Normal 2 45 5 4" xfId="18342" xr:uid="{A7C5CA8F-0C6D-4995-9A48-46EACBA2C709}"/>
    <cellStyle name="Normal 2 45 5 5" xfId="29663" xr:uid="{4ED7FEB8-E61C-4B7B-AD3D-223B52EB8AF3}"/>
    <cellStyle name="Normal 2 45 5 6" xfId="38497" xr:uid="{D32BC678-7D1B-47F4-B649-308B4423A8C9}"/>
    <cellStyle name="Normal 2 45 6" xfId="7933" xr:uid="{00000000-0005-0000-0000-0000A4170000}"/>
    <cellStyle name="Normal 2 45 6 2" xfId="25414" xr:uid="{9BCCD19A-D079-4B77-815A-E496F5AE61A2}"/>
    <cellStyle name="Normal 2 45 6 3" xfId="19754" xr:uid="{7AFCABC9-EF7E-42F8-A259-F05224F29210}"/>
    <cellStyle name="Normal 2 45 6 4" xfId="31075" xr:uid="{DCFB6212-2545-4478-A3A5-793E5100901D}"/>
    <cellStyle name="Normal 2 45 6 5" xfId="38499" xr:uid="{C0502A83-67A3-4FFA-86DA-2DDF171CFAB0}"/>
    <cellStyle name="Normal 2 45 7" xfId="22440" xr:uid="{A5D882BE-A1BC-4378-9500-9842E97037D2}"/>
    <cellStyle name="Normal 2 45 7 2" xfId="38500" xr:uid="{EBC70307-E22F-4896-853B-86CCD152C3A7}"/>
    <cellStyle name="Normal 2 45 8" xfId="16780" xr:uid="{4017F22C-DD1B-4880-B9C0-46684D123E4F}"/>
    <cellStyle name="Normal 2 45 9" xfId="28101" xr:uid="{5435D52D-A10E-4244-B636-D9C398E8DF04}"/>
    <cellStyle name="Normal 2 46" xfId="2027" xr:uid="{00000000-0005-0000-0000-0000A5170000}"/>
    <cellStyle name="Normal 2 46 10" xfId="38501" xr:uid="{212E5D6C-D5CC-4E18-832F-2FCC03B3FB4B}"/>
    <cellStyle name="Normal 2 46 2" xfId="4844" xr:uid="{00000000-0005-0000-0000-0000A6170000}"/>
    <cellStyle name="Normal 2 46 2 2" xfId="5263" xr:uid="{00000000-0005-0000-0000-0000A7170000}"/>
    <cellStyle name="Normal 2 46 2 2 2" xfId="7126" xr:uid="{00000000-0005-0000-0000-0000A8170000}"/>
    <cellStyle name="Normal 2 46 2 2 2 2" xfId="15559" xr:uid="{00000000-0005-0000-0000-0000A9170000}"/>
    <cellStyle name="Normal 2 46 2 2 2 2 2" xfId="27453" xr:uid="{E1DFA338-0C5E-48D0-BB21-94D819D4C1E7}"/>
    <cellStyle name="Normal 2 46 2 2 2 2 3" xfId="21793" xr:uid="{CC8E0A6C-BBF4-465A-8F04-176F4566D695}"/>
    <cellStyle name="Normal 2 46 2 2 2 2 4" xfId="32833" xr:uid="{BA2CFC9B-1988-4CC0-A314-9E8ABF67CD06}"/>
    <cellStyle name="Normal 2 46 2 2 2 2 5" xfId="38505" xr:uid="{D3E95A9B-DEA3-465F-9AC5-F989757C77E4}"/>
    <cellStyle name="Normal 2 46 2 2 2 3" xfId="24620" xr:uid="{68189349-4952-4F18-BA71-5DCA5E828CA6}"/>
    <cellStyle name="Normal 2 46 2 2 2 4" xfId="18960" xr:uid="{BF60F1AB-458D-4547-85FD-D1878C1F85A7}"/>
    <cellStyle name="Normal 2 46 2 2 2 5" xfId="30281" xr:uid="{30A3FADC-3E8E-4BD0-BD3E-586DEF41479F}"/>
    <cellStyle name="Normal 2 46 2 2 2 6" xfId="38504" xr:uid="{1F9107BF-8004-4D3B-9567-8DC70EADC098}"/>
    <cellStyle name="Normal 2 46 2 2 3" xfId="14149" xr:uid="{00000000-0005-0000-0000-0000AA170000}"/>
    <cellStyle name="Normal 2 46 2 2 3 2" xfId="26188" xr:uid="{5EFC16B8-8262-4B28-A948-FD00F86A7976}"/>
    <cellStyle name="Normal 2 46 2 2 3 3" xfId="20528" xr:uid="{6E74672B-49B4-47B3-96A6-1338283DCA2E}"/>
    <cellStyle name="Normal 2 46 2 2 3 4" xfId="31568" xr:uid="{DBC6289C-5D57-40D7-8A2B-B67FCC642BCF}"/>
    <cellStyle name="Normal 2 46 2 2 3 5" xfId="38506" xr:uid="{AD158B0B-C313-4F7F-A4A1-DE3B4C09AD76}"/>
    <cellStyle name="Normal 2 46 2 2 4" xfId="23058" xr:uid="{85240E88-9E3F-4E71-8927-4B3200617E41}"/>
    <cellStyle name="Normal 2 46 2 2 5" xfId="17398" xr:uid="{4597FF1C-6E5D-4554-9959-BD0D4ED07C0B}"/>
    <cellStyle name="Normal 2 46 2 2 6" xfId="28719" xr:uid="{79135B5B-1A37-44A4-BAA6-E84FFBA10FA7}"/>
    <cellStyle name="Normal 2 46 2 2 7" xfId="38503" xr:uid="{459B6EB6-2B37-4033-A3BE-131905C896B6}"/>
    <cellStyle name="Normal 2 46 2 3" xfId="6162" xr:uid="{00000000-0005-0000-0000-0000AB170000}"/>
    <cellStyle name="Normal 2 46 2 3 2" xfId="7501" xr:uid="{00000000-0005-0000-0000-0000AC170000}"/>
    <cellStyle name="Normal 2 46 2 3 2 2" xfId="15934" xr:uid="{00000000-0005-0000-0000-0000AD170000}"/>
    <cellStyle name="Normal 2 46 2 3 2 2 2" xfId="27828" xr:uid="{3914376E-7048-4287-B962-2A78A1AEB5C3}"/>
    <cellStyle name="Normal 2 46 2 3 2 2 3" xfId="22168" xr:uid="{D22DB8CC-3458-4652-9A53-21FFBD011340}"/>
    <cellStyle name="Normal 2 46 2 3 2 2 4" xfId="33208" xr:uid="{29630BC2-2372-4F41-96A7-87A7368B8BFB}"/>
    <cellStyle name="Normal 2 46 2 3 2 2 5" xfId="38509" xr:uid="{14F145F6-DCCB-4331-9018-D4815E857CD2}"/>
    <cellStyle name="Normal 2 46 2 3 2 3" xfId="24995" xr:uid="{F72C3945-43CE-401A-A9A7-3064F4988564}"/>
    <cellStyle name="Normal 2 46 2 3 2 4" xfId="19335" xr:uid="{B1B689C3-7510-4F6D-A84D-0D63B167150D}"/>
    <cellStyle name="Normal 2 46 2 3 2 5" xfId="30656" xr:uid="{6149F0AE-8747-46EA-86BD-FAC818944252}"/>
    <cellStyle name="Normal 2 46 2 3 2 6" xfId="38508" xr:uid="{66579AAB-077A-42E6-9989-A1DC290096C6}"/>
    <cellStyle name="Normal 2 46 2 3 3" xfId="14614" xr:uid="{00000000-0005-0000-0000-0000AE170000}"/>
    <cellStyle name="Normal 2 46 2 3 3 2" xfId="26572" xr:uid="{6C5DBCA7-8409-4183-8865-DFDC01DB643A}"/>
    <cellStyle name="Normal 2 46 2 3 3 3" xfId="20912" xr:uid="{08939CF7-AFBC-4B43-A25C-85D3BB506690}"/>
    <cellStyle name="Normal 2 46 2 3 3 4" xfId="31952" xr:uid="{52193573-6D3A-425E-9F18-DB9E5AB9EE1E}"/>
    <cellStyle name="Normal 2 46 2 3 3 5" xfId="38510" xr:uid="{77DF3CEA-0FE2-4E22-A5D3-34D2FA5F0AC5}"/>
    <cellStyle name="Normal 2 46 2 3 4" xfId="23739" xr:uid="{11732D3A-4C2C-49A7-B9EA-2BC144C15404}"/>
    <cellStyle name="Normal 2 46 2 3 5" xfId="18079" xr:uid="{FCB0B5A4-8BA6-4732-9791-EDC3E48B999B}"/>
    <cellStyle name="Normal 2 46 2 3 6" xfId="29400" xr:uid="{D522637F-E715-4C2F-810D-A05BBC7D9D8F}"/>
    <cellStyle name="Normal 2 46 2 3 7" xfId="38507" xr:uid="{C74BC0E5-9AC2-4D98-AAE7-99CF318F82FB}"/>
    <cellStyle name="Normal 2 46 2 4" xfId="6708" xr:uid="{00000000-0005-0000-0000-0000AF170000}"/>
    <cellStyle name="Normal 2 46 2 4 2" xfId="15141" xr:uid="{00000000-0005-0000-0000-0000B0170000}"/>
    <cellStyle name="Normal 2 46 2 4 2 2" xfId="27035" xr:uid="{32C505E7-C73D-4A75-91E1-3944FCC26DB8}"/>
    <cellStyle name="Normal 2 46 2 4 2 3" xfId="21375" xr:uid="{ED9C8F47-B847-4D25-979E-C734BCDED765}"/>
    <cellStyle name="Normal 2 46 2 4 2 4" xfId="32415" xr:uid="{B1C10F03-64F4-4AE8-B8C4-BA55D830DAF6}"/>
    <cellStyle name="Normal 2 46 2 4 2 5" xfId="38512" xr:uid="{E08CCB76-ACFD-4B1F-8D46-82D9604BD358}"/>
    <cellStyle name="Normal 2 46 2 4 3" xfId="24202" xr:uid="{33F8F93C-DA64-4710-BDBF-16AC5FB744B3}"/>
    <cellStyle name="Normal 2 46 2 4 4" xfId="18542" xr:uid="{D72A1706-A489-4003-9DEE-27821795B324}"/>
    <cellStyle name="Normal 2 46 2 4 5" xfId="29863" xr:uid="{B15ABD46-A3A7-46F4-AB3D-A5FCC9789C49}"/>
    <cellStyle name="Normal 2 46 2 4 6" xfId="38511" xr:uid="{0F2BD855-C4BC-4865-8315-EE777FB87AB7}"/>
    <cellStyle name="Normal 2 46 2 5" xfId="7936" xr:uid="{00000000-0005-0000-0000-0000B1170000}"/>
    <cellStyle name="Normal 2 46 2 5 2" xfId="25417" xr:uid="{73D5F8EC-D985-4E68-9BCD-CC94112F4900}"/>
    <cellStyle name="Normal 2 46 2 5 3" xfId="19757" xr:uid="{55619B44-8063-4FAC-A5E6-5F68EE977153}"/>
    <cellStyle name="Normal 2 46 2 5 4" xfId="31078" xr:uid="{BF0EBB85-BE0D-4F9D-9F25-483428411890}"/>
    <cellStyle name="Normal 2 46 2 5 5" xfId="38513" xr:uid="{D81A44C8-AD84-4E72-852C-17EDA3B3B6AD}"/>
    <cellStyle name="Normal 2 46 2 6" xfId="22640" xr:uid="{67493E84-AEC5-40B1-BBDB-A2980D307D65}"/>
    <cellStyle name="Normal 2 46 2 7" xfId="16980" xr:uid="{30835513-B515-4B98-B436-7C1B969AD295}"/>
    <cellStyle name="Normal 2 46 2 8" xfId="28301" xr:uid="{05630E01-1E2D-48D1-A8CA-B99BA206E5DA}"/>
    <cellStyle name="Normal 2 46 2 9" xfId="38502" xr:uid="{78D884AF-837E-41E5-B5C8-53F70638FA78}"/>
    <cellStyle name="Normal 2 46 3" xfId="5054" xr:uid="{00000000-0005-0000-0000-0000B2170000}"/>
    <cellStyle name="Normal 2 46 3 2" xfId="6917" xr:uid="{00000000-0005-0000-0000-0000B3170000}"/>
    <cellStyle name="Normal 2 46 3 2 2" xfId="15350" xr:uid="{00000000-0005-0000-0000-0000B4170000}"/>
    <cellStyle name="Normal 2 46 3 2 2 2" xfId="27244" xr:uid="{74E1D4D0-9F45-442A-B0F6-6309E4836172}"/>
    <cellStyle name="Normal 2 46 3 2 2 3" xfId="21584" xr:uid="{58730CB7-B2A2-473B-AF95-25FFE5FE22FE}"/>
    <cellStyle name="Normal 2 46 3 2 2 4" xfId="32624" xr:uid="{BF74E6BA-2783-4AA3-BA17-1558C8A85157}"/>
    <cellStyle name="Normal 2 46 3 2 2 5" xfId="38516" xr:uid="{44245589-4062-4E18-A87F-8E97DD0A9CD0}"/>
    <cellStyle name="Normal 2 46 3 2 3" xfId="24411" xr:uid="{E0A8253C-67F5-430C-B184-FB287ED76141}"/>
    <cellStyle name="Normal 2 46 3 2 4" xfId="18751" xr:uid="{79A96042-917A-4DE4-82F2-1EB17688BB51}"/>
    <cellStyle name="Normal 2 46 3 2 5" xfId="30072" xr:uid="{2FF852E1-84B4-405F-A76A-A72FA80DA6C3}"/>
    <cellStyle name="Normal 2 46 3 2 6" xfId="38515" xr:uid="{A97ED30E-6D74-48EC-8827-D91A9313F3E0}"/>
    <cellStyle name="Normal 2 46 3 3" xfId="13949" xr:uid="{00000000-0005-0000-0000-0000B5170000}"/>
    <cellStyle name="Normal 2 46 3 3 2" xfId="25990" xr:uid="{D710F84A-EEAE-4DFA-9741-AB61BF88CDEC}"/>
    <cellStyle name="Normal 2 46 3 3 3" xfId="20330" xr:uid="{BEFF3B6B-7668-4321-90F6-8626CEA053FB}"/>
    <cellStyle name="Normal 2 46 3 3 4" xfId="31370" xr:uid="{B015A9A8-B1E9-4385-844C-876F0163474D}"/>
    <cellStyle name="Normal 2 46 3 3 5" xfId="38517" xr:uid="{F66F2AE0-B4C4-4DCE-9415-E775CF245CB3}"/>
    <cellStyle name="Normal 2 46 3 4" xfId="22849" xr:uid="{C845FD56-E5E9-464C-AA04-9D4FBD540DEB}"/>
    <cellStyle name="Normal 2 46 3 5" xfId="17189" xr:uid="{83FBD32B-AE04-45D5-83D7-879A66E238A1}"/>
    <cellStyle name="Normal 2 46 3 6" xfId="28510" xr:uid="{1B8DFECF-39AD-4B15-A26B-7EA858E6D654}"/>
    <cellStyle name="Normal 2 46 3 7" xfId="38514" xr:uid="{7408E885-A921-4F37-85BE-DCA0A637C47A}"/>
    <cellStyle name="Normal 2 46 4" xfId="6161" xr:uid="{00000000-0005-0000-0000-0000B6170000}"/>
    <cellStyle name="Normal 2 46 4 2" xfId="7500" xr:uid="{00000000-0005-0000-0000-0000B7170000}"/>
    <cellStyle name="Normal 2 46 4 2 2" xfId="15933" xr:uid="{00000000-0005-0000-0000-0000B8170000}"/>
    <cellStyle name="Normal 2 46 4 2 2 2" xfId="27827" xr:uid="{C41072F2-8A23-4BD0-8363-3FA15C982273}"/>
    <cellStyle name="Normal 2 46 4 2 2 3" xfId="22167" xr:uid="{893D2B8C-819F-4542-A31A-BEA28B11E808}"/>
    <cellStyle name="Normal 2 46 4 2 2 4" xfId="33207" xr:uid="{1C53B9D0-A187-41C8-B1ED-580DCD4DE053}"/>
    <cellStyle name="Normal 2 46 4 2 2 5" xfId="38520" xr:uid="{91236544-0470-4FC3-AF65-77658275BBCC}"/>
    <cellStyle name="Normal 2 46 4 2 3" xfId="24994" xr:uid="{3B96EE02-70C9-4CDF-9747-29831C62751F}"/>
    <cellStyle name="Normal 2 46 4 2 4" xfId="19334" xr:uid="{C16D1B32-EC06-4B22-A37F-BDFB4730763C}"/>
    <cellStyle name="Normal 2 46 4 2 5" xfId="30655" xr:uid="{0B509B0D-696E-493D-A6A0-979137229B15}"/>
    <cellStyle name="Normal 2 46 4 2 6" xfId="38519" xr:uid="{37A4F379-F3DC-4943-B956-E150AF2DB053}"/>
    <cellStyle name="Normal 2 46 4 3" xfId="14613" xr:uid="{00000000-0005-0000-0000-0000B9170000}"/>
    <cellStyle name="Normal 2 46 4 3 2" xfId="26571" xr:uid="{3A0F25CF-2B8D-4FB9-953E-59097058BED5}"/>
    <cellStyle name="Normal 2 46 4 3 3" xfId="20911" xr:uid="{9B3B8213-6660-4D7F-8BC0-BA62CE224606}"/>
    <cellStyle name="Normal 2 46 4 3 4" xfId="31951" xr:uid="{EDD012CF-C825-43D9-8C84-DE53E1ADF9E8}"/>
    <cellStyle name="Normal 2 46 4 3 5" xfId="38521" xr:uid="{41BD25FF-6BC9-4062-9A3F-F3C3663639DF}"/>
    <cellStyle name="Normal 2 46 4 4" xfId="23738" xr:uid="{61BF1B74-E458-4A7E-BEFB-36F196B7B7CC}"/>
    <cellStyle name="Normal 2 46 4 5" xfId="18078" xr:uid="{85B455AF-CF8C-4F54-B53E-C368AD09C7D2}"/>
    <cellStyle name="Normal 2 46 4 6" xfId="29399" xr:uid="{A7EE4A6E-813E-4D00-83EA-9360632F9706}"/>
    <cellStyle name="Normal 2 46 4 7" xfId="38518" xr:uid="{96D5C0D8-B014-43AA-BAEA-03CBCDFF6280}"/>
    <cellStyle name="Normal 2 46 5" xfId="6499" xr:uid="{00000000-0005-0000-0000-0000BA170000}"/>
    <cellStyle name="Normal 2 46 5 2" xfId="14932" xr:uid="{00000000-0005-0000-0000-0000BB170000}"/>
    <cellStyle name="Normal 2 46 5 2 2" xfId="26826" xr:uid="{39E75AE8-311E-4B6A-89A0-EE8CAB9EF0BF}"/>
    <cellStyle name="Normal 2 46 5 2 3" xfId="21166" xr:uid="{EC4AC4DF-5166-4E57-B442-8279B1D48BCE}"/>
    <cellStyle name="Normal 2 46 5 2 4" xfId="32206" xr:uid="{7FD1C547-8DF7-4EB8-943B-F958F373DF4C}"/>
    <cellStyle name="Normal 2 46 5 2 5" xfId="38523" xr:uid="{3FFFB7FF-60DE-4969-9191-6E3C44E33DC4}"/>
    <cellStyle name="Normal 2 46 5 3" xfId="23993" xr:uid="{317B259C-3FC6-4F77-B51F-64E3BC8AC800}"/>
    <cellStyle name="Normal 2 46 5 4" xfId="18333" xr:uid="{056432A2-8426-47DB-99F2-662C089DC8C7}"/>
    <cellStyle name="Normal 2 46 5 5" xfId="29654" xr:uid="{7C3E348F-FCAC-4F42-9028-B5DE20F4BCF9}"/>
    <cellStyle name="Normal 2 46 5 6" xfId="38522" xr:uid="{9313617D-F69D-4764-A8E8-836162E9B3F3}"/>
    <cellStyle name="Normal 2 46 6" xfId="7935" xr:uid="{00000000-0005-0000-0000-0000BC170000}"/>
    <cellStyle name="Normal 2 46 6 2" xfId="25416" xr:uid="{DF3D5C4C-8A3A-4A0E-8B6F-1BF7F53F6F52}"/>
    <cellStyle name="Normal 2 46 6 3" xfId="19756" xr:uid="{6A31DC18-2E42-494C-B099-71934D445CD3}"/>
    <cellStyle name="Normal 2 46 6 4" xfId="31077" xr:uid="{F8A7F2D1-A90D-4C77-9136-2D557E26183D}"/>
    <cellStyle name="Normal 2 46 6 5" xfId="38524" xr:uid="{749D4B04-FFB7-4307-9B93-77A9D6717A38}"/>
    <cellStyle name="Normal 2 46 7" xfId="22431" xr:uid="{162E1F86-0A3D-4EAC-B6C1-935F4941979D}"/>
    <cellStyle name="Normal 2 46 8" xfId="16771" xr:uid="{B1B3CCF8-9DB6-4065-8A56-65CE9DA1F452}"/>
    <cellStyle name="Normal 2 46 9" xfId="28092" xr:uid="{FB797249-3FA7-4505-BF39-7E3500D0ED5A}"/>
    <cellStyle name="Normal 2 47" xfId="4781" xr:uid="{00000000-0005-0000-0000-0000BD170000}"/>
    <cellStyle name="Normal 2 47 10" xfId="38525" xr:uid="{0E98D784-86C7-4E11-B208-180D4F4257DF}"/>
    <cellStyle name="Normal 2 47 2" xfId="4995" xr:uid="{00000000-0005-0000-0000-0000BE170000}"/>
    <cellStyle name="Normal 2 47 2 2" xfId="5413" xr:uid="{00000000-0005-0000-0000-0000BF170000}"/>
    <cellStyle name="Normal 2 47 2 2 2" xfId="7276" xr:uid="{00000000-0005-0000-0000-0000C0170000}"/>
    <cellStyle name="Normal 2 47 2 2 2 2" xfId="15709" xr:uid="{00000000-0005-0000-0000-0000C1170000}"/>
    <cellStyle name="Normal 2 47 2 2 2 2 2" xfId="27603" xr:uid="{76CFE01E-DB8E-4E18-BC36-0EC8DC375C03}"/>
    <cellStyle name="Normal 2 47 2 2 2 2 3" xfId="21943" xr:uid="{81B61C8A-D7CE-475E-A8D7-30B3C9C61600}"/>
    <cellStyle name="Normal 2 47 2 2 2 2 4" xfId="32983" xr:uid="{51EB87F8-7E76-45D8-8501-F9F9F435DDCF}"/>
    <cellStyle name="Normal 2 47 2 2 2 2 5" xfId="38529" xr:uid="{81111E83-3635-4DC3-8922-BAF7DC2B9FD6}"/>
    <cellStyle name="Normal 2 47 2 2 2 3" xfId="24770" xr:uid="{90D1B08E-25AB-4ECD-8C9B-F273AAF8738E}"/>
    <cellStyle name="Normal 2 47 2 2 2 4" xfId="19110" xr:uid="{903A5E4A-827B-42DF-83C1-C61E3D8A6429}"/>
    <cellStyle name="Normal 2 47 2 2 2 5" xfId="30431" xr:uid="{4DC1C3B3-D00A-44BB-B684-C2F42C32FE99}"/>
    <cellStyle name="Normal 2 47 2 2 2 6" xfId="38528" xr:uid="{83395463-34D6-4D12-A8E6-DCBB88A716B9}"/>
    <cellStyle name="Normal 2 47 2 2 3" xfId="14299" xr:uid="{00000000-0005-0000-0000-0000C2170000}"/>
    <cellStyle name="Normal 2 47 2 2 3 2" xfId="26338" xr:uid="{01F22B48-E60A-40B7-95EC-1FAF8F46D3FA}"/>
    <cellStyle name="Normal 2 47 2 2 3 3" xfId="20678" xr:uid="{5F4D924A-64E2-4070-9201-0750C91F7658}"/>
    <cellStyle name="Normal 2 47 2 2 3 4" xfId="31718" xr:uid="{266CFA0A-9228-4562-83CE-D1FE8592A03F}"/>
    <cellStyle name="Normal 2 47 2 2 3 5" xfId="38530" xr:uid="{247B22CB-45A7-4BA2-9DAE-06D1A17CC021}"/>
    <cellStyle name="Normal 2 47 2 2 4" xfId="23208" xr:uid="{EF6F0092-D07C-4CE1-AFA0-205E496A1318}"/>
    <cellStyle name="Normal 2 47 2 2 5" xfId="17548" xr:uid="{F8E99C03-6E98-4B3C-BC58-C1CF941B9AD5}"/>
    <cellStyle name="Normal 2 47 2 2 6" xfId="28869" xr:uid="{B03067D1-81BA-440B-AD34-857A410E5C64}"/>
    <cellStyle name="Normal 2 47 2 2 7" xfId="38527" xr:uid="{321F4EA0-AFF6-4FBA-92AC-CD216215ECA1}"/>
    <cellStyle name="Normal 2 47 2 3" xfId="6164" xr:uid="{00000000-0005-0000-0000-0000C3170000}"/>
    <cellStyle name="Normal 2 47 2 3 2" xfId="7503" xr:uid="{00000000-0005-0000-0000-0000C4170000}"/>
    <cellStyle name="Normal 2 47 2 3 2 2" xfId="15936" xr:uid="{00000000-0005-0000-0000-0000C5170000}"/>
    <cellStyle name="Normal 2 47 2 3 2 2 2" xfId="27830" xr:uid="{FE255426-4823-47F6-8449-95033F181F1D}"/>
    <cellStyle name="Normal 2 47 2 3 2 2 3" xfId="22170" xr:uid="{46DB7E66-033A-44B7-9FD6-FF618B18D10A}"/>
    <cellStyle name="Normal 2 47 2 3 2 2 4" xfId="33210" xr:uid="{E6E815F1-747B-473A-B921-1DE528D5A7F3}"/>
    <cellStyle name="Normal 2 47 2 3 2 2 5" xfId="38533" xr:uid="{64B364BB-3C91-455B-8F7A-2D5D5435A7CF}"/>
    <cellStyle name="Normal 2 47 2 3 2 3" xfId="24997" xr:uid="{2EBA4BD0-B04F-4CC8-BD12-EE8A9FADB46C}"/>
    <cellStyle name="Normal 2 47 2 3 2 4" xfId="19337" xr:uid="{17F9B097-1B9F-48E4-ACD9-F126FF982475}"/>
    <cellStyle name="Normal 2 47 2 3 2 5" xfId="30658" xr:uid="{9F6714CB-442B-482A-A059-FA44F1DBF67E}"/>
    <cellStyle name="Normal 2 47 2 3 2 6" xfId="38532" xr:uid="{3FC63BF5-51FD-466E-A10E-2CB16BCF1DB5}"/>
    <cellStyle name="Normal 2 47 2 3 3" xfId="14616" xr:uid="{00000000-0005-0000-0000-0000C6170000}"/>
    <cellStyle name="Normal 2 47 2 3 3 2" xfId="26574" xr:uid="{B2E0BF2F-1FBF-4099-9C27-DBA59102A3EA}"/>
    <cellStyle name="Normal 2 47 2 3 3 3" xfId="20914" xr:uid="{70CF187E-2E50-4171-B11E-E5358A8A29CA}"/>
    <cellStyle name="Normal 2 47 2 3 3 4" xfId="31954" xr:uid="{959C6770-2968-471E-9FE2-5D783E5B9711}"/>
    <cellStyle name="Normal 2 47 2 3 3 5" xfId="38534" xr:uid="{019A4733-DD8D-4357-B950-33E71F3A90D4}"/>
    <cellStyle name="Normal 2 47 2 3 4" xfId="23741" xr:uid="{B9BB75E2-D2BA-431C-98DC-8FE1F28DBF2D}"/>
    <cellStyle name="Normal 2 47 2 3 5" xfId="18081" xr:uid="{B2E127A6-D361-4ACB-89CD-1AFF96F2D5CA}"/>
    <cellStyle name="Normal 2 47 2 3 6" xfId="29402" xr:uid="{D6B8743A-05F4-40FB-B877-5C0C37615E64}"/>
    <cellStyle name="Normal 2 47 2 3 7" xfId="38531" xr:uid="{6B4247B6-D5CA-4466-ABE6-033519327EAD}"/>
    <cellStyle name="Normal 2 47 2 4" xfId="6858" xr:uid="{00000000-0005-0000-0000-0000C7170000}"/>
    <cellStyle name="Normal 2 47 2 4 2" xfId="15291" xr:uid="{00000000-0005-0000-0000-0000C8170000}"/>
    <cellStyle name="Normal 2 47 2 4 2 2" xfId="27185" xr:uid="{E63BA138-2B75-4FD6-85C4-8BB2A7244B2D}"/>
    <cellStyle name="Normal 2 47 2 4 2 3" xfId="21525" xr:uid="{2ACA99E2-D07B-4434-97EC-9D6D3B4AE7F7}"/>
    <cellStyle name="Normal 2 47 2 4 2 4" xfId="32565" xr:uid="{B94DA930-B356-4E35-8B95-0C871221E089}"/>
    <cellStyle name="Normal 2 47 2 4 2 5" xfId="38536" xr:uid="{47DAA78A-B2EA-4F98-9856-DE275481934D}"/>
    <cellStyle name="Normal 2 47 2 4 3" xfId="24352" xr:uid="{10215929-FA1A-48F0-9FE1-5C6BFDE11170}"/>
    <cellStyle name="Normal 2 47 2 4 4" xfId="18692" xr:uid="{8217984E-2FAE-4E6C-B205-2986DC731566}"/>
    <cellStyle name="Normal 2 47 2 4 5" xfId="30013" xr:uid="{B355C2E7-2784-4E24-BC2E-B6A45A3F5B71}"/>
    <cellStyle name="Normal 2 47 2 4 6" xfId="38535" xr:uid="{D8CE5625-F1BC-4268-A292-CEE923055845}"/>
    <cellStyle name="Normal 2 47 2 5" xfId="7938" xr:uid="{00000000-0005-0000-0000-0000C9170000}"/>
    <cellStyle name="Normal 2 47 2 5 2" xfId="25419" xr:uid="{53971043-4BA4-467C-AC96-92D86ECF8A5F}"/>
    <cellStyle name="Normal 2 47 2 5 3" xfId="19759" xr:uid="{36A4A8CE-6B59-4F8D-972D-51E5DCD70E38}"/>
    <cellStyle name="Normal 2 47 2 5 4" xfId="31080" xr:uid="{334811A3-15C0-4243-BAAA-3C43282763E2}"/>
    <cellStyle name="Normal 2 47 2 5 5" xfId="38537" xr:uid="{2F8E8C7F-3413-4730-91F5-BD8EFBD96C00}"/>
    <cellStyle name="Normal 2 47 2 6" xfId="22790" xr:uid="{0FE65E1C-34F7-48B5-9371-81EA5588185A}"/>
    <cellStyle name="Normal 2 47 2 7" xfId="17130" xr:uid="{4DF8E541-29AA-4334-8232-6146654A2ED3}"/>
    <cellStyle name="Normal 2 47 2 8" xfId="28451" xr:uid="{AF5CDE55-9F33-48A7-ACCD-C469B18C7096}"/>
    <cellStyle name="Normal 2 47 2 9" xfId="38526" xr:uid="{82798DA0-9E5A-4286-B90E-5585F26A9677}"/>
    <cellStyle name="Normal 2 47 3" xfId="5204" xr:uid="{00000000-0005-0000-0000-0000CA170000}"/>
    <cellStyle name="Normal 2 47 3 2" xfId="7067" xr:uid="{00000000-0005-0000-0000-0000CB170000}"/>
    <cellStyle name="Normal 2 47 3 2 2" xfId="15500" xr:uid="{00000000-0005-0000-0000-0000CC170000}"/>
    <cellStyle name="Normal 2 47 3 2 2 2" xfId="27394" xr:uid="{96F549C6-FDB9-4FB2-8D87-E0DCC730FC7B}"/>
    <cellStyle name="Normal 2 47 3 2 2 3" xfId="21734" xr:uid="{126E1E44-573A-414E-B9AE-FBD5BD6F6052}"/>
    <cellStyle name="Normal 2 47 3 2 2 4" xfId="32774" xr:uid="{2575DEE6-DA10-455F-9A8B-4A23FCE7F98F}"/>
    <cellStyle name="Normal 2 47 3 2 2 5" xfId="38540" xr:uid="{B9C81164-F14C-4A67-B4AA-FFA435A6DBBC}"/>
    <cellStyle name="Normal 2 47 3 2 3" xfId="24561" xr:uid="{7D6CA298-B5DC-4712-915D-5A4206B1F43E}"/>
    <cellStyle name="Normal 2 47 3 2 4" xfId="18901" xr:uid="{7FF71544-C3F4-4256-9EC6-B9C885E78470}"/>
    <cellStyle name="Normal 2 47 3 2 5" xfId="30222" xr:uid="{3101F626-8D88-404D-AB3B-86CD3F28600A}"/>
    <cellStyle name="Normal 2 47 3 2 6" xfId="38539" xr:uid="{B7B28E76-284B-43D4-82FD-77D32A6F0F35}"/>
    <cellStyle name="Normal 2 47 3 3" xfId="14090" xr:uid="{00000000-0005-0000-0000-0000CD170000}"/>
    <cellStyle name="Normal 2 47 3 3 2" xfId="26129" xr:uid="{FAB4E055-6921-4A6B-99F2-9B76E72D9109}"/>
    <cellStyle name="Normal 2 47 3 3 3" xfId="20469" xr:uid="{622313EC-DE31-4EDF-9775-AA4384F7E371}"/>
    <cellStyle name="Normal 2 47 3 3 4" xfId="31509" xr:uid="{4A3FA7E5-D098-4D93-80E3-35868A1D9C50}"/>
    <cellStyle name="Normal 2 47 3 3 5" xfId="38541" xr:uid="{8E21EDFB-416F-42F7-9458-DB4F8BAEAA27}"/>
    <cellStyle name="Normal 2 47 3 4" xfId="22999" xr:uid="{398CA48F-EB95-4180-A6C9-99D6A07A3F93}"/>
    <cellStyle name="Normal 2 47 3 5" xfId="17339" xr:uid="{0A618FC1-250F-4321-87A2-E0F25F464CA8}"/>
    <cellStyle name="Normal 2 47 3 6" xfId="28660" xr:uid="{5537EC10-6805-4270-A2C4-AB73758BD9AA}"/>
    <cellStyle name="Normal 2 47 3 7" xfId="38538" xr:uid="{537BEB41-2466-49B3-9275-DE3A6DFE324D}"/>
    <cellStyle name="Normal 2 47 4" xfId="6163" xr:uid="{00000000-0005-0000-0000-0000CE170000}"/>
    <cellStyle name="Normal 2 47 4 2" xfId="7502" xr:uid="{00000000-0005-0000-0000-0000CF170000}"/>
    <cellStyle name="Normal 2 47 4 2 2" xfId="15935" xr:uid="{00000000-0005-0000-0000-0000D0170000}"/>
    <cellStyle name="Normal 2 47 4 2 2 2" xfId="27829" xr:uid="{59C32629-4D3A-4B4D-935B-40B973A5815F}"/>
    <cellStyle name="Normal 2 47 4 2 2 3" xfId="22169" xr:uid="{899DAFB1-0EB6-4121-AC34-5A5F77782745}"/>
    <cellStyle name="Normal 2 47 4 2 2 4" xfId="33209" xr:uid="{1AE76F05-EEE8-446C-8BA3-AEE7B5DE9781}"/>
    <cellStyle name="Normal 2 47 4 2 2 5" xfId="38544" xr:uid="{58B642AF-4C0D-4926-8FA6-DD1C01E52968}"/>
    <cellStyle name="Normal 2 47 4 2 3" xfId="24996" xr:uid="{16BCFCC4-C986-436B-A9C3-1EE7C11F88B5}"/>
    <cellStyle name="Normal 2 47 4 2 4" xfId="19336" xr:uid="{E0398E3D-388F-4088-966D-BBF7952D6C60}"/>
    <cellStyle name="Normal 2 47 4 2 5" xfId="30657" xr:uid="{DBCE4CD0-4C8C-4D17-A69A-0EC083D11CFD}"/>
    <cellStyle name="Normal 2 47 4 2 6" xfId="38543" xr:uid="{D11F4CAA-BE28-42D8-9113-5EC2172DEA70}"/>
    <cellStyle name="Normal 2 47 4 3" xfId="14615" xr:uid="{00000000-0005-0000-0000-0000D1170000}"/>
    <cellStyle name="Normal 2 47 4 3 2" xfId="26573" xr:uid="{7FDFDE57-E471-4538-A9E8-76249E756730}"/>
    <cellStyle name="Normal 2 47 4 3 3" xfId="20913" xr:uid="{90A85621-3287-4F0E-ACCF-D75B8BDEA315}"/>
    <cellStyle name="Normal 2 47 4 3 4" xfId="31953" xr:uid="{7A8C6283-AFCF-48A2-B4FE-3B98A811A000}"/>
    <cellStyle name="Normal 2 47 4 3 5" xfId="38545" xr:uid="{62C9ADCC-078F-4859-ABC0-20487B0AE5F1}"/>
    <cellStyle name="Normal 2 47 4 4" xfId="23740" xr:uid="{D425CAF2-6F62-4313-B423-F2D9A71C86B9}"/>
    <cellStyle name="Normal 2 47 4 5" xfId="18080" xr:uid="{DCB8E3B9-56DC-4707-9A17-80AD3DBABE43}"/>
    <cellStyle name="Normal 2 47 4 6" xfId="29401" xr:uid="{4B2D0868-1EC2-40A5-93E9-EA63CD5C5E8D}"/>
    <cellStyle name="Normal 2 47 4 7" xfId="38542" xr:uid="{8C03C76D-A52D-4C87-BF99-67342DDBB2D0}"/>
    <cellStyle name="Normal 2 47 5" xfId="6649" xr:uid="{00000000-0005-0000-0000-0000D2170000}"/>
    <cellStyle name="Normal 2 47 5 2" xfId="15082" xr:uid="{00000000-0005-0000-0000-0000D3170000}"/>
    <cellStyle name="Normal 2 47 5 2 2" xfId="26976" xr:uid="{E0475DD7-EBD0-4907-8268-6FF7B0FB4354}"/>
    <cellStyle name="Normal 2 47 5 2 3" xfId="21316" xr:uid="{022D3B31-4D1F-45BA-BF9F-277445FF8FBB}"/>
    <cellStyle name="Normal 2 47 5 2 4" xfId="32356" xr:uid="{8D215FE9-35F8-417F-99E4-01CD782FA2F7}"/>
    <cellStyle name="Normal 2 47 5 2 5" xfId="38547" xr:uid="{E3721CA2-B02F-4ED9-9E17-4A19645EAD42}"/>
    <cellStyle name="Normal 2 47 5 3" xfId="24143" xr:uid="{73095976-F068-40CA-BE72-B7BD4A8F21E1}"/>
    <cellStyle name="Normal 2 47 5 4" xfId="18483" xr:uid="{FFD8FF56-47AE-4801-B106-DAE842410EFD}"/>
    <cellStyle name="Normal 2 47 5 5" xfId="29804" xr:uid="{47F556B5-4A74-4A11-9FB8-26EF7E56A45A}"/>
    <cellStyle name="Normal 2 47 5 6" xfId="38546" xr:uid="{537E956A-D46A-425C-9DED-187478DF6117}"/>
    <cellStyle name="Normal 2 47 6" xfId="7937" xr:uid="{00000000-0005-0000-0000-0000D4170000}"/>
    <cellStyle name="Normal 2 47 6 2" xfId="25418" xr:uid="{AA396933-0740-45A0-9812-8BE8C5CC3290}"/>
    <cellStyle name="Normal 2 47 6 3" xfId="19758" xr:uid="{8FB8A620-CCD3-4DC2-9149-E7EF7DB83109}"/>
    <cellStyle name="Normal 2 47 6 4" xfId="31079" xr:uid="{CBE470B6-B7CF-4815-BB29-E1229A1C742D}"/>
    <cellStyle name="Normal 2 47 6 5" xfId="38548" xr:uid="{D14DC167-C8DB-48A4-A14F-D9D66F5A1B5D}"/>
    <cellStyle name="Normal 2 47 7" xfId="22581" xr:uid="{9B2C5FF9-A6D8-4AD7-9F25-93C003B06420}"/>
    <cellStyle name="Normal 2 47 8" xfId="16921" xr:uid="{DCF99AC6-50F2-44CD-A3E6-44FCE1BB90C9}"/>
    <cellStyle name="Normal 2 47 9" xfId="28242" xr:uid="{E484688D-C1AD-4C9A-B409-6F2BDC46CF1E}"/>
    <cellStyle name="Normal 2 48" xfId="4793" xr:uid="{00000000-0005-0000-0000-0000D5170000}"/>
    <cellStyle name="Normal 2 48 10" xfId="38549" xr:uid="{4489EAEE-1BEF-47A8-803C-FEE5C259836B}"/>
    <cellStyle name="Normal 2 48 2" xfId="5007" xr:uid="{00000000-0005-0000-0000-0000D6170000}"/>
    <cellStyle name="Normal 2 48 2 2" xfId="5425" xr:uid="{00000000-0005-0000-0000-0000D7170000}"/>
    <cellStyle name="Normal 2 48 2 2 2" xfId="7288" xr:uid="{00000000-0005-0000-0000-0000D8170000}"/>
    <cellStyle name="Normal 2 48 2 2 2 2" xfId="15721" xr:uid="{00000000-0005-0000-0000-0000D9170000}"/>
    <cellStyle name="Normal 2 48 2 2 2 2 2" xfId="27615" xr:uid="{A5536B99-959C-41D4-968C-A74848CC45DF}"/>
    <cellStyle name="Normal 2 48 2 2 2 2 3" xfId="21955" xr:uid="{E0124B02-883F-4C17-A2BE-53FE5EB8195F}"/>
    <cellStyle name="Normal 2 48 2 2 2 2 4" xfId="32995" xr:uid="{4EED86C7-3FAC-4D49-9E36-3FC3731FA83A}"/>
    <cellStyle name="Normal 2 48 2 2 2 2 5" xfId="38553" xr:uid="{6502AFC8-26A5-4E7F-84A6-0E30AD8DC605}"/>
    <cellStyle name="Normal 2 48 2 2 2 3" xfId="24782" xr:uid="{ED9978FD-D970-42B3-8EE5-C6CD0E05C1B3}"/>
    <cellStyle name="Normal 2 48 2 2 2 4" xfId="19122" xr:uid="{23229409-56BC-4B3B-ABF6-7DC83F5DE711}"/>
    <cellStyle name="Normal 2 48 2 2 2 5" xfId="30443" xr:uid="{DEFC7C88-25CF-4931-BBA4-0E3CD98A151F}"/>
    <cellStyle name="Normal 2 48 2 2 2 6" xfId="38552" xr:uid="{25B50176-F258-4D08-9EDB-E7B44984CBA0}"/>
    <cellStyle name="Normal 2 48 2 2 3" xfId="14311" xr:uid="{00000000-0005-0000-0000-0000DA170000}"/>
    <cellStyle name="Normal 2 48 2 2 3 2" xfId="26350" xr:uid="{ED2A5DEC-3A7D-49E5-A0D9-AF7053D89B5C}"/>
    <cellStyle name="Normal 2 48 2 2 3 3" xfId="20690" xr:uid="{5E7689DC-7BDC-43CE-B7D6-2C0D9912FE82}"/>
    <cellStyle name="Normal 2 48 2 2 3 4" xfId="31730" xr:uid="{031B7584-49BD-4F8E-A689-90AFF51E60FA}"/>
    <cellStyle name="Normal 2 48 2 2 3 5" xfId="38554" xr:uid="{9F13E0B2-A23C-4AE4-9DBA-F8AB62BC52D5}"/>
    <cellStyle name="Normal 2 48 2 2 4" xfId="23220" xr:uid="{79595A9B-78BC-4215-BBC1-B85053BCF4D3}"/>
    <cellStyle name="Normal 2 48 2 2 5" xfId="17560" xr:uid="{48F18311-2B0A-4147-BC35-90FC21009967}"/>
    <cellStyle name="Normal 2 48 2 2 6" xfId="28881" xr:uid="{4CD18BFA-4E63-4841-91AB-53072F349203}"/>
    <cellStyle name="Normal 2 48 2 2 7" xfId="38551" xr:uid="{1284BF9F-47D7-4DB1-A3A1-5AC10080DE50}"/>
    <cellStyle name="Normal 2 48 2 3" xfId="6166" xr:uid="{00000000-0005-0000-0000-0000DB170000}"/>
    <cellStyle name="Normal 2 48 2 3 2" xfId="7505" xr:uid="{00000000-0005-0000-0000-0000DC170000}"/>
    <cellStyle name="Normal 2 48 2 3 2 2" xfId="15938" xr:uid="{00000000-0005-0000-0000-0000DD170000}"/>
    <cellStyle name="Normal 2 48 2 3 2 2 2" xfId="27832" xr:uid="{4DB97133-31D7-483A-B6E4-37DEAE46D93A}"/>
    <cellStyle name="Normal 2 48 2 3 2 2 3" xfId="22172" xr:uid="{75073AC8-E637-4978-BC95-61688D95E5E1}"/>
    <cellStyle name="Normal 2 48 2 3 2 2 4" xfId="33212" xr:uid="{8C39DA07-C0D5-4548-83F2-35B0B7AF1EC9}"/>
    <cellStyle name="Normal 2 48 2 3 2 2 5" xfId="38557" xr:uid="{7A86E9E0-1124-4A96-8ACF-DC346935F644}"/>
    <cellStyle name="Normal 2 48 2 3 2 3" xfId="24999" xr:uid="{39390438-449A-41E5-9C2E-83EE1D2D9483}"/>
    <cellStyle name="Normal 2 48 2 3 2 4" xfId="19339" xr:uid="{41422388-3305-474B-A9BF-C9BBDA12A46A}"/>
    <cellStyle name="Normal 2 48 2 3 2 5" xfId="30660" xr:uid="{1951F04C-D872-49F8-B4D4-6D9FB461F553}"/>
    <cellStyle name="Normal 2 48 2 3 2 6" xfId="38556" xr:uid="{1F0B165D-20BC-47CB-ADEB-DED385F213E7}"/>
    <cellStyle name="Normal 2 48 2 3 3" xfId="14618" xr:uid="{00000000-0005-0000-0000-0000DE170000}"/>
    <cellStyle name="Normal 2 48 2 3 3 2" xfId="26576" xr:uid="{271B2B25-1B33-4462-8B4B-E9779D85652E}"/>
    <cellStyle name="Normal 2 48 2 3 3 3" xfId="20916" xr:uid="{AA5C3031-25F2-4BE4-88EE-6098E356EC35}"/>
    <cellStyle name="Normal 2 48 2 3 3 4" xfId="31956" xr:uid="{CCDA3388-E309-427F-8327-4DFAF26EBFAD}"/>
    <cellStyle name="Normal 2 48 2 3 3 5" xfId="38558" xr:uid="{09EAF8D1-00D3-4FC7-B888-84144D9E52C8}"/>
    <cellStyle name="Normal 2 48 2 3 4" xfId="23743" xr:uid="{A838C120-64E5-4941-B244-ADEEC817A053}"/>
    <cellStyle name="Normal 2 48 2 3 5" xfId="18083" xr:uid="{F11131A4-21A9-4BAA-AA90-419F24DDED91}"/>
    <cellStyle name="Normal 2 48 2 3 6" xfId="29404" xr:uid="{71E0919E-8F92-4681-9C13-E44ADD439C27}"/>
    <cellStyle name="Normal 2 48 2 3 7" xfId="38555" xr:uid="{8E6391DC-35AD-4445-BE70-C662A6E76BF6}"/>
    <cellStyle name="Normal 2 48 2 4" xfId="6870" xr:uid="{00000000-0005-0000-0000-0000DF170000}"/>
    <cellStyle name="Normal 2 48 2 4 2" xfId="15303" xr:uid="{00000000-0005-0000-0000-0000E0170000}"/>
    <cellStyle name="Normal 2 48 2 4 2 2" xfId="27197" xr:uid="{9A6098A2-7948-4091-84A6-7042CA51FD6A}"/>
    <cellStyle name="Normal 2 48 2 4 2 3" xfId="21537" xr:uid="{2392D044-77AB-48B0-A523-0ED452787242}"/>
    <cellStyle name="Normal 2 48 2 4 2 4" xfId="32577" xr:uid="{9A5405E5-96AA-4BD8-8B21-7607D105543B}"/>
    <cellStyle name="Normal 2 48 2 4 2 5" xfId="38560" xr:uid="{19430B40-3A28-4E6F-B836-A5A7031AC330}"/>
    <cellStyle name="Normal 2 48 2 4 3" xfId="24364" xr:uid="{D492B2DB-6F08-43ED-8121-76EDEBC71C72}"/>
    <cellStyle name="Normal 2 48 2 4 4" xfId="18704" xr:uid="{6E264A2D-CC5E-4B2D-A554-765AE365AEEF}"/>
    <cellStyle name="Normal 2 48 2 4 5" xfId="30025" xr:uid="{0D3A698D-B086-4A54-A56B-98F8F8CF87B3}"/>
    <cellStyle name="Normal 2 48 2 4 6" xfId="38559" xr:uid="{AA2A406A-F0A6-425F-A809-6BF6855BFC8D}"/>
    <cellStyle name="Normal 2 48 2 5" xfId="7940" xr:uid="{00000000-0005-0000-0000-0000E1170000}"/>
    <cellStyle name="Normal 2 48 2 5 2" xfId="25421" xr:uid="{0E3EB6C3-DDA5-4A82-A3D5-568FB33770DC}"/>
    <cellStyle name="Normal 2 48 2 5 3" xfId="19761" xr:uid="{D429C362-314E-4E20-9632-3B640CF10052}"/>
    <cellStyle name="Normal 2 48 2 5 4" xfId="31082" xr:uid="{4F6E4005-F441-4AC6-B0F8-570EC871B7E6}"/>
    <cellStyle name="Normal 2 48 2 5 5" xfId="38561" xr:uid="{DA0A6379-09EB-48DD-819F-B474D3F007D1}"/>
    <cellStyle name="Normal 2 48 2 6" xfId="22802" xr:uid="{0F0BAF51-82B2-43E0-8D57-AE0167DBCEC8}"/>
    <cellStyle name="Normal 2 48 2 7" xfId="17142" xr:uid="{9E357D76-40A4-42DA-9802-E8B5D724B96E}"/>
    <cellStyle name="Normal 2 48 2 8" xfId="28463" xr:uid="{7C85BA3A-5783-47E9-B409-B849660FACA9}"/>
    <cellStyle name="Normal 2 48 2 9" xfId="38550" xr:uid="{DD2A4A36-2004-40B5-9A8E-3BA2BEC44962}"/>
    <cellStyle name="Normal 2 48 3" xfId="5216" xr:uid="{00000000-0005-0000-0000-0000E2170000}"/>
    <cellStyle name="Normal 2 48 3 2" xfId="7079" xr:uid="{00000000-0005-0000-0000-0000E3170000}"/>
    <cellStyle name="Normal 2 48 3 2 2" xfId="15512" xr:uid="{00000000-0005-0000-0000-0000E4170000}"/>
    <cellStyle name="Normal 2 48 3 2 2 2" xfId="27406" xr:uid="{7AD78A51-C4EC-4BDE-86DB-B84791DCDC9D}"/>
    <cellStyle name="Normal 2 48 3 2 2 3" xfId="21746" xr:uid="{0738967B-D537-4A22-9A70-932647133105}"/>
    <cellStyle name="Normal 2 48 3 2 2 4" xfId="32786" xr:uid="{489B1315-7469-425B-A727-6ECFC49EC9AB}"/>
    <cellStyle name="Normal 2 48 3 2 2 5" xfId="38564" xr:uid="{AFFC63DF-0299-4A31-8836-6B307D622AA3}"/>
    <cellStyle name="Normal 2 48 3 2 3" xfId="24573" xr:uid="{72C554D1-8B33-489F-979D-E5005C508E3F}"/>
    <cellStyle name="Normal 2 48 3 2 4" xfId="18913" xr:uid="{385D8EC2-6946-4199-8788-580E5337BE11}"/>
    <cellStyle name="Normal 2 48 3 2 5" xfId="30234" xr:uid="{1A28FBF9-7CA6-4E0E-B766-7312395DB1E1}"/>
    <cellStyle name="Normal 2 48 3 2 6" xfId="38563" xr:uid="{A95DB459-0F53-4E3B-A619-5D3E2B26A7D6}"/>
    <cellStyle name="Normal 2 48 3 3" xfId="14102" xr:uid="{00000000-0005-0000-0000-0000E5170000}"/>
    <cellStyle name="Normal 2 48 3 3 2" xfId="26141" xr:uid="{37CD95C2-025D-4D5E-A15D-1DB8AF8DE6E9}"/>
    <cellStyle name="Normal 2 48 3 3 3" xfId="20481" xr:uid="{F3FED6BF-AB3C-4231-A625-3C3E66BAC2DD}"/>
    <cellStyle name="Normal 2 48 3 3 4" xfId="31521" xr:uid="{76803B15-1E74-4824-8D87-5401F1E604BB}"/>
    <cellStyle name="Normal 2 48 3 3 5" xfId="38565" xr:uid="{5B4C8F8A-F77F-41D4-A32D-7D168400EB9B}"/>
    <cellStyle name="Normal 2 48 3 4" xfId="23011" xr:uid="{40A52D36-E20C-41E5-A96B-B1A73DA11646}"/>
    <cellStyle name="Normal 2 48 3 5" xfId="17351" xr:uid="{4D4C2B0D-F1A9-4256-BDBA-D68FE881F866}"/>
    <cellStyle name="Normal 2 48 3 6" xfId="28672" xr:uid="{7D8BA24F-4002-4B17-9DA2-88FCEFB1D46F}"/>
    <cellStyle name="Normal 2 48 3 7" xfId="38562" xr:uid="{CC4CFAA5-C9D1-45EA-A916-6991143D36EB}"/>
    <cellStyle name="Normal 2 48 4" xfId="6165" xr:uid="{00000000-0005-0000-0000-0000E6170000}"/>
    <cellStyle name="Normal 2 48 4 2" xfId="7504" xr:uid="{00000000-0005-0000-0000-0000E7170000}"/>
    <cellStyle name="Normal 2 48 4 2 2" xfId="15937" xr:uid="{00000000-0005-0000-0000-0000E8170000}"/>
    <cellStyle name="Normal 2 48 4 2 2 2" xfId="27831" xr:uid="{644432DC-2675-42CC-BE60-30FD9B6E7773}"/>
    <cellStyle name="Normal 2 48 4 2 2 3" xfId="22171" xr:uid="{AF1F168E-2B29-47ED-9C76-22EF53A97E3B}"/>
    <cellStyle name="Normal 2 48 4 2 2 4" xfId="33211" xr:uid="{36619274-4923-4669-B1F5-32409EFDEF76}"/>
    <cellStyle name="Normal 2 48 4 2 2 5" xfId="38568" xr:uid="{8700B67E-4BE0-477E-9C57-08FCDF281C1E}"/>
    <cellStyle name="Normal 2 48 4 2 3" xfId="24998" xr:uid="{43630D13-9691-46EF-B37A-DF461FCCDB0D}"/>
    <cellStyle name="Normal 2 48 4 2 4" xfId="19338" xr:uid="{49E12830-7082-49C3-B3FC-A2C83E3D5830}"/>
    <cellStyle name="Normal 2 48 4 2 5" xfId="30659" xr:uid="{2998E5FB-29AA-48D2-99D9-0FC26DC38546}"/>
    <cellStyle name="Normal 2 48 4 2 6" xfId="38567" xr:uid="{D2127F15-9B82-4E09-A3F1-8B42AD1B70E1}"/>
    <cellStyle name="Normal 2 48 4 3" xfId="14617" xr:uid="{00000000-0005-0000-0000-0000E9170000}"/>
    <cellStyle name="Normal 2 48 4 3 2" xfId="26575" xr:uid="{D370BA3E-20C0-4178-829E-93335B61148B}"/>
    <cellStyle name="Normal 2 48 4 3 3" xfId="20915" xr:uid="{7563D2DF-580D-4B34-8E6F-3E8AD453B2BD}"/>
    <cellStyle name="Normal 2 48 4 3 4" xfId="31955" xr:uid="{6BB3C7CA-1602-42BD-B473-5F9C297D95F2}"/>
    <cellStyle name="Normal 2 48 4 3 5" xfId="38569" xr:uid="{74B4E6BF-E5C8-4F86-9C06-E5C97D35FEE7}"/>
    <cellStyle name="Normal 2 48 4 4" xfId="23742" xr:uid="{99CDF846-71B8-4D90-B3C2-98342BFD015D}"/>
    <cellStyle name="Normal 2 48 4 5" xfId="18082" xr:uid="{76F6CBAA-3A8B-4E40-979B-1142F0F968F4}"/>
    <cellStyle name="Normal 2 48 4 6" xfId="29403" xr:uid="{89E59965-BDD4-4761-895D-8C26802F60F8}"/>
    <cellStyle name="Normal 2 48 4 7" xfId="38566" xr:uid="{0FBCEBEC-C4FD-463E-B8CA-115DC18CFB34}"/>
    <cellStyle name="Normal 2 48 5" xfId="6661" xr:uid="{00000000-0005-0000-0000-0000EA170000}"/>
    <cellStyle name="Normal 2 48 5 2" xfId="15094" xr:uid="{00000000-0005-0000-0000-0000EB170000}"/>
    <cellStyle name="Normal 2 48 5 2 2" xfId="26988" xr:uid="{98E3AFB7-253F-475D-948F-C8FC60733306}"/>
    <cellStyle name="Normal 2 48 5 2 3" xfId="21328" xr:uid="{5CA1D75F-47ED-40EF-918A-10ECC1F5AC71}"/>
    <cellStyle name="Normal 2 48 5 2 4" xfId="32368" xr:uid="{3A51F2C4-B033-4490-BD24-E36925A18C48}"/>
    <cellStyle name="Normal 2 48 5 2 5" xfId="38571" xr:uid="{670EB41E-F9BD-44F6-9002-92FF30D6E468}"/>
    <cellStyle name="Normal 2 48 5 3" xfId="24155" xr:uid="{C1692667-0161-4164-B534-4A5BF5B97462}"/>
    <cellStyle name="Normal 2 48 5 4" xfId="18495" xr:uid="{31953DC5-C452-47A6-9EF7-F4EEFD116D62}"/>
    <cellStyle name="Normal 2 48 5 5" xfId="29816" xr:uid="{DC7AA1F3-40E3-4E39-9C3F-CB213F7D3143}"/>
    <cellStyle name="Normal 2 48 5 6" xfId="38570" xr:uid="{FDA2116F-5F05-4D98-B2E6-B2C461D48FA7}"/>
    <cellStyle name="Normal 2 48 6" xfId="7939" xr:uid="{00000000-0005-0000-0000-0000EC170000}"/>
    <cellStyle name="Normal 2 48 6 2" xfId="25420" xr:uid="{B271667C-93F8-4598-9F0F-BC95C94EEC45}"/>
    <cellStyle name="Normal 2 48 6 3" xfId="19760" xr:uid="{87A77EDC-41DA-4C8C-B07D-4D6D56D8A23F}"/>
    <cellStyle name="Normal 2 48 6 4" xfId="31081" xr:uid="{0ECAA703-71C3-4A53-8D8E-5FFE7F37EFD3}"/>
    <cellStyle name="Normal 2 48 6 5" xfId="38572" xr:uid="{986C1C72-4623-41ED-BE63-912E251A31B4}"/>
    <cellStyle name="Normal 2 48 7" xfId="22593" xr:uid="{C1169768-7686-4CFD-A7C7-C24930A38F5B}"/>
    <cellStyle name="Normal 2 48 8" xfId="16933" xr:uid="{79EDF504-8A81-4AFB-9615-D221D3004E9C}"/>
    <cellStyle name="Normal 2 48 9" xfId="28254" xr:uid="{A790A723-DA58-49A9-9E45-BAB8874329F0}"/>
    <cellStyle name="Normal 2 49" xfId="4797" xr:uid="{00000000-0005-0000-0000-0000ED170000}"/>
    <cellStyle name="Normal 2 49 2" xfId="5219" xr:uid="{00000000-0005-0000-0000-0000EE170000}"/>
    <cellStyle name="Normal 2 49 2 2" xfId="7082" xr:uid="{00000000-0005-0000-0000-0000EF170000}"/>
    <cellStyle name="Normal 2 49 2 2 2" xfId="15515" xr:uid="{00000000-0005-0000-0000-0000F0170000}"/>
    <cellStyle name="Normal 2 49 2 2 2 2" xfId="27409" xr:uid="{66C6F614-DC4F-4B2F-9E63-4FCC20748BBE}"/>
    <cellStyle name="Normal 2 49 2 2 2 3" xfId="21749" xr:uid="{E6267929-6379-4043-8DC9-30422BBB5D91}"/>
    <cellStyle name="Normal 2 49 2 2 2 4" xfId="32789" xr:uid="{2369DD39-A750-44D1-9261-462402DA525A}"/>
    <cellStyle name="Normal 2 49 2 2 2 5" xfId="38576" xr:uid="{AE1DC470-4733-4749-80D7-2AD37E9D7276}"/>
    <cellStyle name="Normal 2 49 2 2 3" xfId="24576" xr:uid="{655CB5C7-359E-41E8-A197-F1E2C932EE4F}"/>
    <cellStyle name="Normal 2 49 2 2 4" xfId="18916" xr:uid="{C17AD372-E33A-4371-B9A5-0FCBF7CFB15E}"/>
    <cellStyle name="Normal 2 49 2 2 5" xfId="30237" xr:uid="{D7A2FA3D-4492-4FD9-987C-61A4D8E5F210}"/>
    <cellStyle name="Normal 2 49 2 2 6" xfId="38575" xr:uid="{A048A432-A249-4B26-9FE3-F58196880BD5}"/>
    <cellStyle name="Normal 2 49 2 3" xfId="14105" xr:uid="{00000000-0005-0000-0000-0000F1170000}"/>
    <cellStyle name="Normal 2 49 2 3 2" xfId="26144" xr:uid="{0A62153C-F8D9-4B47-82C2-849BE723A7F7}"/>
    <cellStyle name="Normal 2 49 2 3 3" xfId="20484" xr:uid="{C442AFD6-7648-4AB6-B0F2-D3100FAB4D1F}"/>
    <cellStyle name="Normal 2 49 2 3 4" xfId="31524" xr:uid="{A0FD10AA-F190-4170-9B1E-5A2D4B1D5CAF}"/>
    <cellStyle name="Normal 2 49 2 3 5" xfId="38577" xr:uid="{C9CAE516-B006-44C0-AE10-4102349C6EA6}"/>
    <cellStyle name="Normal 2 49 2 4" xfId="23014" xr:uid="{572FA7E1-F5F4-4319-9086-9B3F61DB77A9}"/>
    <cellStyle name="Normal 2 49 2 5" xfId="17354" xr:uid="{27EA0A22-AB62-4465-93A4-C87C8C4AF8C1}"/>
    <cellStyle name="Normal 2 49 2 6" xfId="28675" xr:uid="{A8135294-5186-4B05-AC05-12FF015F95D1}"/>
    <cellStyle name="Normal 2 49 2 7" xfId="38574" xr:uid="{6D4B9388-C3A4-4083-A7AC-E85630E39A22}"/>
    <cellStyle name="Normal 2 49 3" xfId="6167" xr:uid="{00000000-0005-0000-0000-0000F2170000}"/>
    <cellStyle name="Normal 2 49 3 2" xfId="7506" xr:uid="{00000000-0005-0000-0000-0000F3170000}"/>
    <cellStyle name="Normal 2 49 3 2 2" xfId="15939" xr:uid="{00000000-0005-0000-0000-0000F4170000}"/>
    <cellStyle name="Normal 2 49 3 2 2 2" xfId="27833" xr:uid="{2CCC3EF6-5C7A-4CA5-99CE-F90FDE579B33}"/>
    <cellStyle name="Normal 2 49 3 2 2 3" xfId="22173" xr:uid="{1A238461-F98C-4622-9A40-4F4BEE14DAAF}"/>
    <cellStyle name="Normal 2 49 3 2 2 4" xfId="33213" xr:uid="{EA072DD1-038D-44E5-9D4A-B443912964FB}"/>
    <cellStyle name="Normal 2 49 3 2 2 5" xfId="38580" xr:uid="{E7D04A20-9E6F-4FEB-884D-0E24CFBB73F7}"/>
    <cellStyle name="Normal 2 49 3 2 3" xfId="25000" xr:uid="{DF3C60BB-62E9-40F6-9406-EB9558EB6087}"/>
    <cellStyle name="Normal 2 49 3 2 4" xfId="19340" xr:uid="{8BC66FE5-6146-4B24-96BA-932E969F7BEB}"/>
    <cellStyle name="Normal 2 49 3 2 5" xfId="30661" xr:uid="{6D195AA1-61B0-4152-B441-792C51B2EBB2}"/>
    <cellStyle name="Normal 2 49 3 2 6" xfId="38579" xr:uid="{85E61DC3-54C9-4BD7-BF00-A5FA45FDF26A}"/>
    <cellStyle name="Normal 2 49 3 3" xfId="14619" xr:uid="{00000000-0005-0000-0000-0000F5170000}"/>
    <cellStyle name="Normal 2 49 3 3 2" xfId="26577" xr:uid="{AF6F397D-92C8-4B85-82AB-B22B6C579254}"/>
    <cellStyle name="Normal 2 49 3 3 3" xfId="20917" xr:uid="{4E960EA5-D850-4B42-A7C2-28FAC2CBCEC7}"/>
    <cellStyle name="Normal 2 49 3 3 4" xfId="31957" xr:uid="{9290242D-AE5F-4637-A36E-56A983787C48}"/>
    <cellStyle name="Normal 2 49 3 3 5" xfId="38581" xr:uid="{1217DB38-EA5E-4A57-8FE3-BB27D8BAEF2F}"/>
    <cellStyle name="Normal 2 49 3 4" xfId="23744" xr:uid="{81B798CF-58AB-401F-B304-949F4604A23A}"/>
    <cellStyle name="Normal 2 49 3 5" xfId="18084" xr:uid="{18023BC4-85F1-4217-A26B-6404CD010BF4}"/>
    <cellStyle name="Normal 2 49 3 6" xfId="29405" xr:uid="{FF6D02AD-4E36-41DC-AF93-5C46EF58BF87}"/>
    <cellStyle name="Normal 2 49 3 7" xfId="38578" xr:uid="{EE944BD1-79A4-46EE-AFAD-868801B44A5F}"/>
    <cellStyle name="Normal 2 49 4" xfId="6664" xr:uid="{00000000-0005-0000-0000-0000F6170000}"/>
    <cellStyle name="Normal 2 49 4 2" xfId="15097" xr:uid="{00000000-0005-0000-0000-0000F7170000}"/>
    <cellStyle name="Normal 2 49 4 2 2" xfId="26991" xr:uid="{2791B2DE-DC4A-46E1-A722-DEFF35244CB0}"/>
    <cellStyle name="Normal 2 49 4 2 3" xfId="21331" xr:uid="{96D6F33D-3119-42E5-A708-C6C165E0354C}"/>
    <cellStyle name="Normal 2 49 4 2 4" xfId="32371" xr:uid="{4BC7B597-7F9B-447E-8621-45DF4E7566B6}"/>
    <cellStyle name="Normal 2 49 4 2 5" xfId="38583" xr:uid="{7EA69065-2EF3-4FE8-B457-7C7254090A2F}"/>
    <cellStyle name="Normal 2 49 4 3" xfId="24158" xr:uid="{C3DD57E3-B732-4E3E-8235-C59E2123921F}"/>
    <cellStyle name="Normal 2 49 4 4" xfId="18498" xr:uid="{DDFEE6D8-DA3A-4CDE-8E7E-85C9898F6DFE}"/>
    <cellStyle name="Normal 2 49 4 5" xfId="29819" xr:uid="{DBA65A27-B798-42F4-9749-9310853F6267}"/>
    <cellStyle name="Normal 2 49 4 6" xfId="38582" xr:uid="{311C69C2-721F-426A-8429-9536C63E1075}"/>
    <cellStyle name="Normal 2 49 5" xfId="7941" xr:uid="{00000000-0005-0000-0000-0000F8170000}"/>
    <cellStyle name="Normal 2 49 5 2" xfId="25422" xr:uid="{929FFF42-BE31-4690-ABB6-BB8820F5AC7D}"/>
    <cellStyle name="Normal 2 49 5 3" xfId="19762" xr:uid="{496883D5-06E1-445E-84B0-F2AE6C3F1169}"/>
    <cellStyle name="Normal 2 49 5 4" xfId="31083" xr:uid="{E3CF5B63-2060-4B10-A4FA-A76D786370B3}"/>
    <cellStyle name="Normal 2 49 5 5" xfId="38584" xr:uid="{1FD24F9D-AB84-49B3-85F3-BF56CB2B66D5}"/>
    <cellStyle name="Normal 2 49 6" xfId="22596" xr:uid="{1E87FD19-B347-47CA-9D73-DFEA35AA0D5C}"/>
    <cellStyle name="Normal 2 49 7" xfId="16936" xr:uid="{64E46BDE-A702-4936-95BF-B46917B6A0CA}"/>
    <cellStyle name="Normal 2 49 8" xfId="28257" xr:uid="{C52F306D-608A-4A9C-B9D6-5F811D6394D0}"/>
    <cellStyle name="Normal 2 49 9" xfId="38573" xr:uid="{7C4D7477-C0AE-4A17-879E-D9CE99A6BD44}"/>
    <cellStyle name="Normal 2 5" xfId="148" xr:uid="{00000000-0005-0000-0000-0000F9170000}"/>
    <cellStyle name="Normal 2 5 10" xfId="2081" xr:uid="{00000000-0005-0000-0000-0000FA170000}"/>
    <cellStyle name="Normal 2 5 10 2" xfId="38586" xr:uid="{7BAAB513-9AC8-42AA-A525-32893394334E}"/>
    <cellStyle name="Normal 2 5 11" xfId="2082" xr:uid="{00000000-0005-0000-0000-0000FB170000}"/>
    <cellStyle name="Normal 2 5 11 2" xfId="38587" xr:uid="{117DA501-E8EE-4491-BB21-C840CB36E9FE}"/>
    <cellStyle name="Normal 2 5 12" xfId="2083" xr:uid="{00000000-0005-0000-0000-0000FC170000}"/>
    <cellStyle name="Normal 2 5 12 2" xfId="38588" xr:uid="{259BBE4E-B8F2-451A-88A7-31CB75F56D5C}"/>
    <cellStyle name="Normal 2 5 13" xfId="2084" xr:uid="{00000000-0005-0000-0000-0000FD170000}"/>
    <cellStyle name="Normal 2 5 13 2" xfId="38589" xr:uid="{44E8BBA4-8403-47CA-B92C-C46DBCA50D8D}"/>
    <cellStyle name="Normal 2 5 14" xfId="2085" xr:uid="{00000000-0005-0000-0000-0000FE170000}"/>
    <cellStyle name="Normal 2 5 14 2" xfId="38590" xr:uid="{3B16FCAE-27A7-4573-8F8A-E7A7F793E48E}"/>
    <cellStyle name="Normal 2 5 15" xfId="2086" xr:uid="{00000000-0005-0000-0000-0000FF170000}"/>
    <cellStyle name="Normal 2 5 15 2" xfId="38591" xr:uid="{E62F11D7-49FF-4E9C-8F24-AC79C3BD9139}"/>
    <cellStyle name="Normal 2 5 16" xfId="2087" xr:uid="{00000000-0005-0000-0000-000000180000}"/>
    <cellStyle name="Normal 2 5 16 2" xfId="38593" xr:uid="{9473335B-74B5-486D-BA57-A2B3022A9A3F}"/>
    <cellStyle name="Normal 2 5 16 3" xfId="38594" xr:uid="{36E02C89-EB72-42B5-84CA-71046552B2BA}"/>
    <cellStyle name="Normal 2 5 16 4" xfId="38592" xr:uid="{39B638A1-5F2C-4562-A6D2-B9843C26DD07}"/>
    <cellStyle name="Normal 2 5 17" xfId="5789" xr:uid="{00000000-0005-0000-0000-000001180000}"/>
    <cellStyle name="Normal 2 5 17 2" xfId="38596" xr:uid="{7044C7EB-240F-4CE6-A14F-F423381155A4}"/>
    <cellStyle name="Normal 2 5 17 3" xfId="38595" xr:uid="{C685A522-C029-4899-A027-F3B15E566FC6}"/>
    <cellStyle name="Normal 2 5 18" xfId="38585" xr:uid="{A30F87D5-3AA6-4913-B744-C992B0749FD1}"/>
    <cellStyle name="Normal 2 5 2" xfId="149" xr:uid="{00000000-0005-0000-0000-000002180000}"/>
    <cellStyle name="Normal 2 5 2 10" xfId="7942" xr:uid="{00000000-0005-0000-0000-000003180000}"/>
    <cellStyle name="Normal 2 5 2 10 2" xfId="25423" xr:uid="{F86DFBA0-447E-4A40-B897-3B8869269868}"/>
    <cellStyle name="Normal 2 5 2 10 3" xfId="19763" xr:uid="{29C57D28-1FF8-4408-BF3F-5EF8666C4B69}"/>
    <cellStyle name="Normal 2 5 2 10 4" xfId="31084" xr:uid="{F64AFEAB-B7B7-4C75-9112-3C4A80E9B5A2}"/>
    <cellStyle name="Normal 2 5 2 10 5" xfId="38598" xr:uid="{FE6AB6C6-09FD-470E-A947-EBBFA64E0C0C}"/>
    <cellStyle name="Normal 2 5 2 11" xfId="22392" xr:uid="{5DE91007-DDD6-4222-B75E-CE1DCAD7CD18}"/>
    <cellStyle name="Normal 2 5 2 11 2" xfId="38599" xr:uid="{1BD5DE1E-4E8E-4E8F-8EA9-6324CAE77CB1}"/>
    <cellStyle name="Normal 2 5 2 12" xfId="16732" xr:uid="{B145AE05-1D41-4C38-B369-49D38A266F60}"/>
    <cellStyle name="Normal 2 5 2 13" xfId="28053" xr:uid="{BB067995-0EBA-4DBD-AC21-0D137FAFD82D}"/>
    <cellStyle name="Normal 2 5 2 14" xfId="38597" xr:uid="{E7D67D65-0F75-481A-9B03-BE0873B594A2}"/>
    <cellStyle name="Normal 2 5 2 2" xfId="309" xr:uid="{00000000-0005-0000-0000-000004180000}"/>
    <cellStyle name="Normal 2 5 2 2 10" xfId="28073" xr:uid="{A7EDD959-5F92-48CD-8F14-573180A185FC}"/>
    <cellStyle name="Normal 2 5 2 2 11" xfId="38600" xr:uid="{54089378-A26E-43F3-B0D8-FB0A072549AA}"/>
    <cellStyle name="Normal 2 5 2 2 2" xfId="2089" xr:uid="{00000000-0005-0000-0000-000005180000}"/>
    <cellStyle name="Normal 2 5 2 2 2 2" xfId="38601" xr:uid="{909F7B99-448A-49B9-BF56-8011BB437481}"/>
    <cellStyle name="Normal 2 5 2 2 3" xfId="4823" xr:uid="{00000000-0005-0000-0000-000006180000}"/>
    <cellStyle name="Normal 2 5 2 2 3 2" xfId="5244" xr:uid="{00000000-0005-0000-0000-000007180000}"/>
    <cellStyle name="Normal 2 5 2 2 3 2 2" xfId="7107" xr:uid="{00000000-0005-0000-0000-000008180000}"/>
    <cellStyle name="Normal 2 5 2 2 3 2 2 2" xfId="15540" xr:uid="{00000000-0005-0000-0000-000009180000}"/>
    <cellStyle name="Normal 2 5 2 2 3 2 2 2 2" xfId="27434" xr:uid="{2C6F1CDF-03D2-4EC9-B47E-ED8C9AFB18E0}"/>
    <cellStyle name="Normal 2 5 2 2 3 2 2 2 3" xfId="21774" xr:uid="{2D3834D5-0EE9-427F-B189-D1DF58E82619}"/>
    <cellStyle name="Normal 2 5 2 2 3 2 2 2 4" xfId="32814" xr:uid="{E5950B10-9B29-4322-8FCB-9F3C826C6ADA}"/>
    <cellStyle name="Normal 2 5 2 2 3 2 2 2 5" xfId="38605" xr:uid="{9335190D-01E1-4FFC-86CE-D42D10A7E867}"/>
    <cellStyle name="Normal 2 5 2 2 3 2 2 3" xfId="24601" xr:uid="{9C4748C0-032D-4C19-96E6-592200EBC0A6}"/>
    <cellStyle name="Normal 2 5 2 2 3 2 2 4" xfId="18941" xr:uid="{2BE456C6-732B-4BD4-861E-C94573C7CFB9}"/>
    <cellStyle name="Normal 2 5 2 2 3 2 2 5" xfId="30262" xr:uid="{486F561B-5A1F-436D-B650-5B3819FA81C2}"/>
    <cellStyle name="Normal 2 5 2 2 3 2 2 6" xfId="38604" xr:uid="{79322B02-876C-46DA-B558-03DF83D3CDB0}"/>
    <cellStyle name="Normal 2 5 2 2 3 2 3" xfId="14130" xr:uid="{00000000-0005-0000-0000-00000A180000}"/>
    <cellStyle name="Normal 2 5 2 2 3 2 3 2" xfId="26169" xr:uid="{190E13F5-DAB8-4781-82AB-1F34EA0FEC96}"/>
    <cellStyle name="Normal 2 5 2 2 3 2 3 3" xfId="20509" xr:uid="{6A5A0C69-BF98-4A89-9488-BA8399872069}"/>
    <cellStyle name="Normal 2 5 2 2 3 2 3 4" xfId="31549" xr:uid="{CE3432BC-1BE3-44F0-816B-AED510D805F5}"/>
    <cellStyle name="Normal 2 5 2 2 3 2 3 5" xfId="38606" xr:uid="{04459869-E0FC-4A25-A64D-AB0F2A12A657}"/>
    <cellStyle name="Normal 2 5 2 2 3 2 4" xfId="23039" xr:uid="{DA6E640C-3A40-4112-8514-06268790CEDE}"/>
    <cellStyle name="Normal 2 5 2 2 3 2 5" xfId="17379" xr:uid="{7971B1E5-265B-4955-AE76-B4D0A6AD43F3}"/>
    <cellStyle name="Normal 2 5 2 2 3 2 6" xfId="28700" xr:uid="{8E3A953C-6D25-45AD-958D-BA9EA618D4D1}"/>
    <cellStyle name="Normal 2 5 2 2 3 2 7" xfId="38603" xr:uid="{E1982753-1148-44FC-86D9-D318EE083710}"/>
    <cellStyle name="Normal 2 5 2 2 3 3" xfId="6169" xr:uid="{00000000-0005-0000-0000-00000B180000}"/>
    <cellStyle name="Normal 2 5 2 2 3 3 2" xfId="7508" xr:uid="{00000000-0005-0000-0000-00000C180000}"/>
    <cellStyle name="Normal 2 5 2 2 3 3 2 2" xfId="15941" xr:uid="{00000000-0005-0000-0000-00000D180000}"/>
    <cellStyle name="Normal 2 5 2 2 3 3 2 2 2" xfId="27835" xr:uid="{E121C26D-4E7E-438C-877F-9826F32654A0}"/>
    <cellStyle name="Normal 2 5 2 2 3 3 2 2 3" xfId="22175" xr:uid="{57E4DEA0-5508-465B-9B27-C5A2E631A8DF}"/>
    <cellStyle name="Normal 2 5 2 2 3 3 2 2 4" xfId="33215" xr:uid="{16CC6E3A-AD7B-4FE4-BC77-31D7300DAB3E}"/>
    <cellStyle name="Normal 2 5 2 2 3 3 2 2 5" xfId="38609" xr:uid="{C21BAC9F-521E-427F-871E-6C7724AA6E72}"/>
    <cellStyle name="Normal 2 5 2 2 3 3 2 3" xfId="25002" xr:uid="{86C0837D-5A2E-4656-96D4-28989A3D22F8}"/>
    <cellStyle name="Normal 2 5 2 2 3 3 2 4" xfId="19342" xr:uid="{6FCEE47A-11A3-497A-A8C7-5A5124A57A82}"/>
    <cellStyle name="Normal 2 5 2 2 3 3 2 5" xfId="30663" xr:uid="{0013D29E-7A3A-435A-9535-0466AD0E612B}"/>
    <cellStyle name="Normal 2 5 2 2 3 3 2 6" xfId="38608" xr:uid="{DDB1C848-30D9-4470-B07D-8FFD5DA0730C}"/>
    <cellStyle name="Normal 2 5 2 2 3 3 3" xfId="14621" xr:uid="{00000000-0005-0000-0000-00000E180000}"/>
    <cellStyle name="Normal 2 5 2 2 3 3 3 2" xfId="26579" xr:uid="{0A601CF2-E559-4D38-A2F8-78AB13AD42B7}"/>
    <cellStyle name="Normal 2 5 2 2 3 3 3 3" xfId="20919" xr:uid="{EC5115C0-A9C0-418C-9433-490E38C65089}"/>
    <cellStyle name="Normal 2 5 2 2 3 3 3 4" xfId="31959" xr:uid="{799D3ECD-A98A-4C2D-BB14-D635DF29B972}"/>
    <cellStyle name="Normal 2 5 2 2 3 3 3 5" xfId="38610" xr:uid="{0A522594-CC19-44E7-A4C9-D840A877BD20}"/>
    <cellStyle name="Normal 2 5 2 2 3 3 4" xfId="23746" xr:uid="{ABB88D87-EBA5-4BCD-A5EF-9EEE77FDA5B5}"/>
    <cellStyle name="Normal 2 5 2 2 3 3 5" xfId="18086" xr:uid="{03794A36-145B-4178-A93A-97BF42587B0E}"/>
    <cellStyle name="Normal 2 5 2 2 3 3 6" xfId="29407" xr:uid="{D677C218-FD4E-44FD-952C-A30C6CE11568}"/>
    <cellStyle name="Normal 2 5 2 2 3 3 7" xfId="38607" xr:uid="{B05CDAF0-4CF7-4708-92C8-034CF222F931}"/>
    <cellStyle name="Normal 2 5 2 2 3 4" xfId="6689" xr:uid="{00000000-0005-0000-0000-00000F180000}"/>
    <cellStyle name="Normal 2 5 2 2 3 4 2" xfId="15122" xr:uid="{00000000-0005-0000-0000-000010180000}"/>
    <cellStyle name="Normal 2 5 2 2 3 4 2 2" xfId="27016" xr:uid="{9C587967-BB7A-4451-82D8-C922DC601E3E}"/>
    <cellStyle name="Normal 2 5 2 2 3 4 2 3" xfId="21356" xr:uid="{763EA872-11F7-42B3-92D9-1C89E9D4158E}"/>
    <cellStyle name="Normal 2 5 2 2 3 4 2 4" xfId="32396" xr:uid="{25A0977E-CA8E-4185-AC01-6F74C531E662}"/>
    <cellStyle name="Normal 2 5 2 2 3 4 2 5" xfId="38612" xr:uid="{51057317-FBE0-43E5-895D-E64FCAE53982}"/>
    <cellStyle name="Normal 2 5 2 2 3 4 3" xfId="24183" xr:uid="{472FD3F9-0283-49CE-AA33-35645405E8ED}"/>
    <cellStyle name="Normal 2 5 2 2 3 4 4" xfId="18523" xr:uid="{571934D2-D338-40FB-AEEE-FD322C0BF2E0}"/>
    <cellStyle name="Normal 2 5 2 2 3 4 5" xfId="29844" xr:uid="{00C060F6-6B46-4802-9E68-A3439D2B059B}"/>
    <cellStyle name="Normal 2 5 2 2 3 4 6" xfId="38611" xr:uid="{D0C5F1DC-C70D-4C91-81C7-2FB335A4DE9C}"/>
    <cellStyle name="Normal 2 5 2 2 3 5" xfId="7944" xr:uid="{00000000-0005-0000-0000-000011180000}"/>
    <cellStyle name="Normal 2 5 2 2 3 5 2" xfId="25425" xr:uid="{8B535B6B-995C-4790-843D-C688BB6DAEF6}"/>
    <cellStyle name="Normal 2 5 2 2 3 5 3" xfId="19765" xr:uid="{6B31E9CC-8BEA-4236-9F91-5044156C8297}"/>
    <cellStyle name="Normal 2 5 2 2 3 5 4" xfId="31086" xr:uid="{E1B81AA9-CA1A-400F-8F0B-6F4682243B43}"/>
    <cellStyle name="Normal 2 5 2 2 3 5 5" xfId="38613" xr:uid="{D89DAD7F-7E00-429E-84C6-DD0DD9F31BD3}"/>
    <cellStyle name="Normal 2 5 2 2 3 6" xfId="22621" xr:uid="{1E187F09-2549-407E-8A6E-F6F49C2C04AC}"/>
    <cellStyle name="Normal 2 5 2 2 3 7" xfId="16961" xr:uid="{08DF9E57-1266-4BD8-B2F5-1ED05BD82589}"/>
    <cellStyle name="Normal 2 5 2 2 3 8" xfId="28282" xr:uid="{D79B1260-D6E0-4479-9743-D82A1EEB3034}"/>
    <cellStyle name="Normal 2 5 2 2 3 9" xfId="38602" xr:uid="{AE51224E-17F9-4756-9B2F-015A28917285}"/>
    <cellStyle name="Normal 2 5 2 2 4" xfId="5035" xr:uid="{00000000-0005-0000-0000-000012180000}"/>
    <cellStyle name="Normal 2 5 2 2 4 2" xfId="6898" xr:uid="{00000000-0005-0000-0000-000013180000}"/>
    <cellStyle name="Normal 2 5 2 2 4 2 2" xfId="15331" xr:uid="{00000000-0005-0000-0000-000014180000}"/>
    <cellStyle name="Normal 2 5 2 2 4 2 2 2" xfId="27225" xr:uid="{BA1D61A3-C121-4B99-96A6-8E71A5C4E55C}"/>
    <cellStyle name="Normal 2 5 2 2 4 2 2 3" xfId="21565" xr:uid="{FA547969-D08F-4212-B4E0-7462404E1674}"/>
    <cellStyle name="Normal 2 5 2 2 4 2 2 4" xfId="32605" xr:uid="{72849FCD-D7D1-4762-9955-D844E8E7B682}"/>
    <cellStyle name="Normal 2 5 2 2 4 2 2 5" xfId="38616" xr:uid="{6CA81B35-7665-4872-9CB8-1EC87B595ED8}"/>
    <cellStyle name="Normal 2 5 2 2 4 2 3" xfId="24392" xr:uid="{B11F2B9A-023D-4E90-97F2-F4E6AC47503E}"/>
    <cellStyle name="Normal 2 5 2 2 4 2 4" xfId="18732" xr:uid="{FF172473-D6AF-4508-BF86-1662E4BFB88B}"/>
    <cellStyle name="Normal 2 5 2 2 4 2 5" xfId="30053" xr:uid="{F33780DA-58C9-4188-AE2F-897A5491F15E}"/>
    <cellStyle name="Normal 2 5 2 2 4 2 6" xfId="38615" xr:uid="{4A8351CC-3D06-4A50-AA06-0E8661CC97B5}"/>
    <cellStyle name="Normal 2 5 2 2 4 3" xfId="13939" xr:uid="{00000000-0005-0000-0000-000015180000}"/>
    <cellStyle name="Normal 2 5 2 2 4 3 2" xfId="25980" xr:uid="{27A9F12B-D2F1-47C3-8B30-0209D77366EB}"/>
    <cellStyle name="Normal 2 5 2 2 4 3 3" xfId="20320" xr:uid="{7A490AAB-43AA-4758-80EB-F3180A319C7F}"/>
    <cellStyle name="Normal 2 5 2 2 4 3 4" xfId="31360" xr:uid="{67B9C0DB-20A2-4279-A0B0-FD40DD6120B5}"/>
    <cellStyle name="Normal 2 5 2 2 4 3 5" xfId="38617" xr:uid="{8A8B915B-FF20-4DCA-A530-17F6773D2ED8}"/>
    <cellStyle name="Normal 2 5 2 2 4 4" xfId="22830" xr:uid="{22E2CC39-7F14-4D59-9A46-4FE813CDA4A5}"/>
    <cellStyle name="Normal 2 5 2 2 4 5" xfId="17170" xr:uid="{9E0EB56C-F1A1-4398-847E-84DA312F674B}"/>
    <cellStyle name="Normal 2 5 2 2 4 6" xfId="28491" xr:uid="{5BE5CF69-92EF-4A37-87B7-0E7C37AB74F4}"/>
    <cellStyle name="Normal 2 5 2 2 4 7" xfId="38614" xr:uid="{1752BA66-FE9E-46E8-BB96-FBB0EBA30B71}"/>
    <cellStyle name="Normal 2 5 2 2 5" xfId="6168" xr:uid="{00000000-0005-0000-0000-000016180000}"/>
    <cellStyle name="Normal 2 5 2 2 5 2" xfId="7507" xr:uid="{00000000-0005-0000-0000-000017180000}"/>
    <cellStyle name="Normal 2 5 2 2 5 2 2" xfId="15940" xr:uid="{00000000-0005-0000-0000-000018180000}"/>
    <cellStyle name="Normal 2 5 2 2 5 2 2 2" xfId="27834" xr:uid="{52225215-A257-4E59-8ED2-D9D6C9EEC063}"/>
    <cellStyle name="Normal 2 5 2 2 5 2 2 3" xfId="22174" xr:uid="{B9303DD7-1F46-4D1D-8851-0675E89F8FED}"/>
    <cellStyle name="Normal 2 5 2 2 5 2 2 4" xfId="33214" xr:uid="{37FD63B9-8512-4B09-8E12-543F18364BDF}"/>
    <cellStyle name="Normal 2 5 2 2 5 2 2 5" xfId="38620" xr:uid="{CE7D2B80-7F84-464B-B4CF-7D7B858F4683}"/>
    <cellStyle name="Normal 2 5 2 2 5 2 3" xfId="25001" xr:uid="{A143933F-4E77-4E1E-A182-7620BB3DBBC6}"/>
    <cellStyle name="Normal 2 5 2 2 5 2 4" xfId="19341" xr:uid="{641DDF5F-1C6B-4302-8592-6B27AF2084F2}"/>
    <cellStyle name="Normal 2 5 2 2 5 2 5" xfId="30662" xr:uid="{2468CED3-896E-4A96-885C-04EA30B72146}"/>
    <cellStyle name="Normal 2 5 2 2 5 2 6" xfId="38619" xr:uid="{31C35C71-EEE5-483B-8F50-606C03386F69}"/>
    <cellStyle name="Normal 2 5 2 2 5 3" xfId="14620" xr:uid="{00000000-0005-0000-0000-000019180000}"/>
    <cellStyle name="Normal 2 5 2 2 5 3 2" xfId="26578" xr:uid="{266B220D-8937-45CA-8A7C-B830D6BD5E42}"/>
    <cellStyle name="Normal 2 5 2 2 5 3 3" xfId="20918" xr:uid="{B7069CF4-4C89-480E-B323-69D3DCD39A70}"/>
    <cellStyle name="Normal 2 5 2 2 5 3 4" xfId="31958" xr:uid="{0A5AB8EE-761A-4BB6-8B17-248BD03AA030}"/>
    <cellStyle name="Normal 2 5 2 2 5 3 5" xfId="38621" xr:uid="{994076B8-9EF5-4C2D-A0DF-B0B9F9B1CE3D}"/>
    <cellStyle name="Normal 2 5 2 2 5 4" xfId="23745" xr:uid="{D8E1AE4C-F818-46B1-9099-72419F8ED013}"/>
    <cellStyle name="Normal 2 5 2 2 5 5" xfId="18085" xr:uid="{ECC8F90F-8DD9-4D33-BF18-F41E1186F9CD}"/>
    <cellStyle name="Normal 2 5 2 2 5 6" xfId="29406" xr:uid="{9032E561-CE76-431C-8A31-4FFB2ABB1B6E}"/>
    <cellStyle name="Normal 2 5 2 2 5 7" xfId="38618" xr:uid="{E51BC357-0363-4AD8-839D-6E15C6C8A201}"/>
    <cellStyle name="Normal 2 5 2 2 6" xfId="6480" xr:uid="{00000000-0005-0000-0000-00001A180000}"/>
    <cellStyle name="Normal 2 5 2 2 6 2" xfId="14913" xr:uid="{00000000-0005-0000-0000-00001B180000}"/>
    <cellStyle name="Normal 2 5 2 2 6 2 2" xfId="26807" xr:uid="{C334D847-FB15-424E-8AC7-867934B9DFF4}"/>
    <cellStyle name="Normal 2 5 2 2 6 2 3" xfId="21147" xr:uid="{07230D70-B33A-41D2-BA26-4D074A3B0E3C}"/>
    <cellStyle name="Normal 2 5 2 2 6 2 4" xfId="32187" xr:uid="{5045520B-2BD6-4155-A5A5-18D0EC8BBF41}"/>
    <cellStyle name="Normal 2 5 2 2 6 2 5" xfId="38623" xr:uid="{9458C4F1-7B5C-43D6-AB5B-FB7415B527E2}"/>
    <cellStyle name="Normal 2 5 2 2 6 3" xfId="23974" xr:uid="{685FF99D-8D06-48AC-A43F-BB3F2E1532B5}"/>
    <cellStyle name="Normal 2 5 2 2 6 4" xfId="18314" xr:uid="{99C17AAC-21A2-40CB-AD80-B31E2801D4C1}"/>
    <cellStyle name="Normal 2 5 2 2 6 5" xfId="29635" xr:uid="{85466BDE-9C21-4F21-B263-3701798AE005}"/>
    <cellStyle name="Normal 2 5 2 2 6 6" xfId="38622" xr:uid="{6E602714-9D0F-4103-B3F6-9AC7F1FD1274}"/>
    <cellStyle name="Normal 2 5 2 2 7" xfId="7943" xr:uid="{00000000-0005-0000-0000-00001C180000}"/>
    <cellStyle name="Normal 2 5 2 2 7 2" xfId="25424" xr:uid="{E8B0C403-3F33-46FF-B125-04EBE466ECBF}"/>
    <cellStyle name="Normal 2 5 2 2 7 3" xfId="19764" xr:uid="{CE4D9DAD-FE53-44F5-8F33-6E942C187A8F}"/>
    <cellStyle name="Normal 2 5 2 2 7 4" xfId="31085" xr:uid="{9790CE66-6ACB-48C4-BA10-5FE0630AEE29}"/>
    <cellStyle name="Normal 2 5 2 2 7 5" xfId="38624" xr:uid="{3B93A6F1-B65C-41B0-B61F-2C7279752E86}"/>
    <cellStyle name="Normal 2 5 2 2 8" xfId="22412" xr:uid="{A177D189-6F9A-4ABA-A507-E562495BC8AD}"/>
    <cellStyle name="Normal 2 5 2 2 9" xfId="16752" xr:uid="{80F23BF1-9AB1-470D-9BA0-0405533A7B63}"/>
    <cellStyle name="Normal 2 5 2 3" xfId="2088" xr:uid="{00000000-0005-0000-0000-00001D180000}"/>
    <cellStyle name="Normal 2 5 2 3 10" xfId="38625" xr:uid="{1F72E7A6-9E70-4685-A9FF-56217BBD3C85}"/>
    <cellStyle name="Normal 2 5 2 3 2" xfId="4854" xr:uid="{00000000-0005-0000-0000-00001E180000}"/>
    <cellStyle name="Normal 2 5 2 3 2 2" xfId="5273" xr:uid="{00000000-0005-0000-0000-00001F180000}"/>
    <cellStyle name="Normal 2 5 2 3 2 2 2" xfId="7136" xr:uid="{00000000-0005-0000-0000-000020180000}"/>
    <cellStyle name="Normal 2 5 2 3 2 2 2 2" xfId="15569" xr:uid="{00000000-0005-0000-0000-000021180000}"/>
    <cellStyle name="Normal 2 5 2 3 2 2 2 2 2" xfId="27463" xr:uid="{705B0646-D354-4873-972E-389A94BE1CC7}"/>
    <cellStyle name="Normal 2 5 2 3 2 2 2 2 3" xfId="21803" xr:uid="{B908DF68-8ECE-433B-A9EA-863F5A25862B}"/>
    <cellStyle name="Normal 2 5 2 3 2 2 2 2 4" xfId="32843" xr:uid="{E8569285-420D-406B-9D66-C7C651A1B972}"/>
    <cellStyle name="Normal 2 5 2 3 2 2 2 2 5" xfId="38629" xr:uid="{A81026C1-5FC6-4F4F-B595-D81DF902C9AF}"/>
    <cellStyle name="Normal 2 5 2 3 2 2 2 3" xfId="24630" xr:uid="{69BCF5C0-EC8C-4496-AE65-314D5A8BE888}"/>
    <cellStyle name="Normal 2 5 2 3 2 2 2 4" xfId="18970" xr:uid="{A6843437-F1DD-4DC0-B056-1F3A60C4381B}"/>
    <cellStyle name="Normal 2 5 2 3 2 2 2 5" xfId="30291" xr:uid="{75C1DC0F-45BC-40DD-A94B-43495FC9DE20}"/>
    <cellStyle name="Normal 2 5 2 3 2 2 2 6" xfId="38628" xr:uid="{154FC45E-1833-4EF8-8144-3775D71A4FAF}"/>
    <cellStyle name="Normal 2 5 2 3 2 2 3" xfId="14159" xr:uid="{00000000-0005-0000-0000-000022180000}"/>
    <cellStyle name="Normal 2 5 2 3 2 2 3 2" xfId="26198" xr:uid="{601335D2-3F05-46E6-A8D9-0892A6584723}"/>
    <cellStyle name="Normal 2 5 2 3 2 2 3 3" xfId="20538" xr:uid="{B39197BA-230A-408E-ADDA-7EF693677D76}"/>
    <cellStyle name="Normal 2 5 2 3 2 2 3 4" xfId="31578" xr:uid="{4E812498-31BF-4506-AC41-DBAE7097D646}"/>
    <cellStyle name="Normal 2 5 2 3 2 2 3 5" xfId="38630" xr:uid="{0720F90D-309E-4A26-A8E5-DB6EDC618225}"/>
    <cellStyle name="Normal 2 5 2 3 2 2 4" xfId="23068" xr:uid="{1F757B29-C896-4D36-8707-04DD8B8C4C38}"/>
    <cellStyle name="Normal 2 5 2 3 2 2 5" xfId="17408" xr:uid="{463FD1DC-A425-4815-8761-D86EED2C4A21}"/>
    <cellStyle name="Normal 2 5 2 3 2 2 6" xfId="28729" xr:uid="{6045A10C-BC9E-478D-B08F-38F288BCB9DD}"/>
    <cellStyle name="Normal 2 5 2 3 2 2 7" xfId="38627" xr:uid="{AA0AFA92-45EC-4AC6-B396-3D79EAD2D342}"/>
    <cellStyle name="Normal 2 5 2 3 2 3" xfId="6171" xr:uid="{00000000-0005-0000-0000-000023180000}"/>
    <cellStyle name="Normal 2 5 2 3 2 3 2" xfId="7510" xr:uid="{00000000-0005-0000-0000-000024180000}"/>
    <cellStyle name="Normal 2 5 2 3 2 3 2 2" xfId="15943" xr:uid="{00000000-0005-0000-0000-000025180000}"/>
    <cellStyle name="Normal 2 5 2 3 2 3 2 2 2" xfId="27837" xr:uid="{1A5E7FE0-E277-4E21-AE9E-DF7B687E78D9}"/>
    <cellStyle name="Normal 2 5 2 3 2 3 2 2 3" xfId="22177" xr:uid="{E8EE5FFA-FD81-4853-A489-5FF8B0FF1E4C}"/>
    <cellStyle name="Normal 2 5 2 3 2 3 2 2 4" xfId="33217" xr:uid="{B2A51C36-63D1-42C9-AAD1-3B3E064E1F0E}"/>
    <cellStyle name="Normal 2 5 2 3 2 3 2 2 5" xfId="38633" xr:uid="{C6CD3076-BBC8-48E8-90C0-FEB98248AF99}"/>
    <cellStyle name="Normal 2 5 2 3 2 3 2 3" xfId="25004" xr:uid="{7E93C4EF-3FE7-46B3-806B-862365212A1F}"/>
    <cellStyle name="Normal 2 5 2 3 2 3 2 4" xfId="19344" xr:uid="{73F85B83-9F1B-4F56-AD35-E2F67A735546}"/>
    <cellStyle name="Normal 2 5 2 3 2 3 2 5" xfId="30665" xr:uid="{2F080D9F-D416-4225-9EF4-95A78C86A85A}"/>
    <cellStyle name="Normal 2 5 2 3 2 3 2 6" xfId="38632" xr:uid="{813DBB32-8EFE-4952-B232-C65A334D3DEC}"/>
    <cellStyle name="Normal 2 5 2 3 2 3 3" xfId="14623" xr:uid="{00000000-0005-0000-0000-000026180000}"/>
    <cellStyle name="Normal 2 5 2 3 2 3 3 2" xfId="26581" xr:uid="{E006213D-BD4A-4F18-B251-BB48ED545CEE}"/>
    <cellStyle name="Normal 2 5 2 3 2 3 3 3" xfId="20921" xr:uid="{23A750AE-6C7F-45A6-B268-720F04ECFF9F}"/>
    <cellStyle name="Normal 2 5 2 3 2 3 3 4" xfId="31961" xr:uid="{D2138AFD-7EAD-4D5A-9CBC-23BB0D565A26}"/>
    <cellStyle name="Normal 2 5 2 3 2 3 3 5" xfId="38634" xr:uid="{E4B2CE74-3CFA-41D9-834A-5407B245B173}"/>
    <cellStyle name="Normal 2 5 2 3 2 3 4" xfId="23748" xr:uid="{3F8085C9-D4A7-4FF0-A5C5-F8F360E5357D}"/>
    <cellStyle name="Normal 2 5 2 3 2 3 5" xfId="18088" xr:uid="{F9A2AEC5-F364-4F7E-B3D3-59E9E9D3635A}"/>
    <cellStyle name="Normal 2 5 2 3 2 3 6" xfId="29409" xr:uid="{22BD462A-D51F-4A48-8909-8EF029B7B490}"/>
    <cellStyle name="Normal 2 5 2 3 2 3 7" xfId="38631" xr:uid="{02DACFCC-AFFA-44BE-8EB1-A91F4A9BB208}"/>
    <cellStyle name="Normal 2 5 2 3 2 4" xfId="6718" xr:uid="{00000000-0005-0000-0000-000027180000}"/>
    <cellStyle name="Normal 2 5 2 3 2 4 2" xfId="15151" xr:uid="{00000000-0005-0000-0000-000028180000}"/>
    <cellStyle name="Normal 2 5 2 3 2 4 2 2" xfId="27045" xr:uid="{8191ABC0-5F4E-4DC6-8E2F-96C23BE0A766}"/>
    <cellStyle name="Normal 2 5 2 3 2 4 2 3" xfId="21385" xr:uid="{8AD015F0-35B8-4C01-9B0B-F747F89E1B93}"/>
    <cellStyle name="Normal 2 5 2 3 2 4 2 4" xfId="32425" xr:uid="{B4A993BD-B031-4016-8A06-CAB650E01AB6}"/>
    <cellStyle name="Normal 2 5 2 3 2 4 2 5" xfId="38636" xr:uid="{17261A0B-C66E-45C3-A5C4-BAC12401F097}"/>
    <cellStyle name="Normal 2 5 2 3 2 4 3" xfId="24212" xr:uid="{6775A0DB-091B-421B-8985-B520961C76CE}"/>
    <cellStyle name="Normal 2 5 2 3 2 4 4" xfId="18552" xr:uid="{54B86C0F-2A93-43FA-A72B-20B39A688E09}"/>
    <cellStyle name="Normal 2 5 2 3 2 4 5" xfId="29873" xr:uid="{9885F765-057A-45CB-B468-1546F39B3983}"/>
    <cellStyle name="Normal 2 5 2 3 2 4 6" xfId="38635" xr:uid="{2FE12EAD-FA19-44D6-BC64-668F62A4D944}"/>
    <cellStyle name="Normal 2 5 2 3 2 5" xfId="7946" xr:uid="{00000000-0005-0000-0000-000029180000}"/>
    <cellStyle name="Normal 2 5 2 3 2 5 2" xfId="25427" xr:uid="{D445E187-ACBF-463D-A736-3A8818344CD1}"/>
    <cellStyle name="Normal 2 5 2 3 2 5 3" xfId="19767" xr:uid="{7E775ED7-81AE-4909-A85C-F5EDD8DFB122}"/>
    <cellStyle name="Normal 2 5 2 3 2 5 4" xfId="31088" xr:uid="{085D3B26-4CFA-4F87-8378-655E0BB3CC8A}"/>
    <cellStyle name="Normal 2 5 2 3 2 5 5" xfId="38637" xr:uid="{11C013E1-ED81-48FB-B7E0-76D6164CBF30}"/>
    <cellStyle name="Normal 2 5 2 3 2 6" xfId="22650" xr:uid="{F6D1D1B1-C1AC-49AB-8A5F-8248F8ED4A21}"/>
    <cellStyle name="Normal 2 5 2 3 2 7" xfId="16990" xr:uid="{92A69ACA-739C-4A95-9497-C495C555D42B}"/>
    <cellStyle name="Normal 2 5 2 3 2 8" xfId="28311" xr:uid="{C101D8A7-F4EB-448B-8CAB-39373F67414F}"/>
    <cellStyle name="Normal 2 5 2 3 2 9" xfId="38626" xr:uid="{44C3D111-2F55-44CA-98F7-A6AB3AF14C70}"/>
    <cellStyle name="Normal 2 5 2 3 3" xfId="5064" xr:uid="{00000000-0005-0000-0000-00002A180000}"/>
    <cellStyle name="Normal 2 5 2 3 3 2" xfId="6927" xr:uid="{00000000-0005-0000-0000-00002B180000}"/>
    <cellStyle name="Normal 2 5 2 3 3 2 2" xfId="15360" xr:uid="{00000000-0005-0000-0000-00002C180000}"/>
    <cellStyle name="Normal 2 5 2 3 3 2 2 2" xfId="27254" xr:uid="{3F0999C0-A802-4EFD-BEA9-489F717130C9}"/>
    <cellStyle name="Normal 2 5 2 3 3 2 2 3" xfId="21594" xr:uid="{3C619625-B938-46FA-850E-B0FC100887EC}"/>
    <cellStyle name="Normal 2 5 2 3 3 2 2 4" xfId="32634" xr:uid="{62DACA28-1D18-4570-8043-BBE3D946A8EC}"/>
    <cellStyle name="Normal 2 5 2 3 3 2 2 5" xfId="38640" xr:uid="{13815527-2FE7-449D-BE50-8140EC418109}"/>
    <cellStyle name="Normal 2 5 2 3 3 2 3" xfId="24421" xr:uid="{0F325527-0ACE-4C21-B0C4-6F33A089E9C9}"/>
    <cellStyle name="Normal 2 5 2 3 3 2 4" xfId="18761" xr:uid="{478F14DA-7936-472B-98B4-E90969D4F3B1}"/>
    <cellStyle name="Normal 2 5 2 3 3 2 5" xfId="30082" xr:uid="{3E41A787-E67B-4F55-92DF-2559A28CF5C5}"/>
    <cellStyle name="Normal 2 5 2 3 3 2 6" xfId="38639" xr:uid="{98396FD4-92F6-4061-9BE9-00D8CC30B3A7}"/>
    <cellStyle name="Normal 2 5 2 3 3 3" xfId="13959" xr:uid="{00000000-0005-0000-0000-00002D180000}"/>
    <cellStyle name="Normal 2 5 2 3 3 3 2" xfId="26000" xr:uid="{43E7AB64-3B33-41C9-AA0C-B0CF74D919F0}"/>
    <cellStyle name="Normal 2 5 2 3 3 3 3" xfId="20340" xr:uid="{89D4E50B-EAB4-4DAA-B04A-580A9087DF84}"/>
    <cellStyle name="Normal 2 5 2 3 3 3 4" xfId="31380" xr:uid="{FEC8B812-CD72-42C1-99B7-BA8482E6F820}"/>
    <cellStyle name="Normal 2 5 2 3 3 3 5" xfId="38641" xr:uid="{6DFC3432-3ADC-4E48-A9AB-06B0E2958503}"/>
    <cellStyle name="Normal 2 5 2 3 3 4" xfId="22859" xr:uid="{B57128B9-D44F-4842-9EDC-E7833AF5DACF}"/>
    <cellStyle name="Normal 2 5 2 3 3 5" xfId="17199" xr:uid="{14A1AAF6-E2DB-4036-9FCB-0681C14DFB09}"/>
    <cellStyle name="Normal 2 5 2 3 3 6" xfId="28520" xr:uid="{BCB22CE9-8AA3-404E-A47C-EDD308A4B646}"/>
    <cellStyle name="Normal 2 5 2 3 3 7" xfId="38638" xr:uid="{BAF9E93A-0CDE-40D7-90A9-F871D0CA623C}"/>
    <cellStyle name="Normal 2 5 2 3 4" xfId="6170" xr:uid="{00000000-0005-0000-0000-00002E180000}"/>
    <cellStyle name="Normal 2 5 2 3 4 2" xfId="7509" xr:uid="{00000000-0005-0000-0000-00002F180000}"/>
    <cellStyle name="Normal 2 5 2 3 4 2 2" xfId="15942" xr:uid="{00000000-0005-0000-0000-000030180000}"/>
    <cellStyle name="Normal 2 5 2 3 4 2 2 2" xfId="27836" xr:uid="{EBD949DB-C8ED-40DD-A16A-841CE63F4984}"/>
    <cellStyle name="Normal 2 5 2 3 4 2 2 3" xfId="22176" xr:uid="{25ADFA12-824A-4FB6-B296-73AADFC632B8}"/>
    <cellStyle name="Normal 2 5 2 3 4 2 2 4" xfId="33216" xr:uid="{25ED4107-7E9B-44DA-BD56-0A7ABA5D1F0D}"/>
    <cellStyle name="Normal 2 5 2 3 4 2 2 5" xfId="38644" xr:uid="{62A163E0-9FB3-4F27-9767-98F6BCE771C7}"/>
    <cellStyle name="Normal 2 5 2 3 4 2 3" xfId="25003" xr:uid="{8CF61431-BD51-44BC-BB0D-6065FDCCEA67}"/>
    <cellStyle name="Normal 2 5 2 3 4 2 4" xfId="19343" xr:uid="{5657F909-8968-490E-BCB7-0EE98FD4E677}"/>
    <cellStyle name="Normal 2 5 2 3 4 2 5" xfId="30664" xr:uid="{813C65AB-6221-4BE3-A274-503EF1A7B04D}"/>
    <cellStyle name="Normal 2 5 2 3 4 2 6" xfId="38643" xr:uid="{99B15885-AD5F-4BBC-9750-3D73A95EEE51}"/>
    <cellStyle name="Normal 2 5 2 3 4 3" xfId="14622" xr:uid="{00000000-0005-0000-0000-000031180000}"/>
    <cellStyle name="Normal 2 5 2 3 4 3 2" xfId="26580" xr:uid="{5DE5EC5E-B69E-4420-BC88-A70F7207D5FC}"/>
    <cellStyle name="Normal 2 5 2 3 4 3 3" xfId="20920" xr:uid="{F1D1E556-5F1F-4F68-A5BD-99F1E40B5666}"/>
    <cellStyle name="Normal 2 5 2 3 4 3 4" xfId="31960" xr:uid="{CC16DCE8-D42C-4037-ABB6-493EBC291543}"/>
    <cellStyle name="Normal 2 5 2 3 4 3 5" xfId="38645" xr:uid="{AEC8630A-75A0-4BBC-990F-B703D301AEC5}"/>
    <cellStyle name="Normal 2 5 2 3 4 4" xfId="23747" xr:uid="{5484E82E-3F2F-47A6-8661-572218BB993E}"/>
    <cellStyle name="Normal 2 5 2 3 4 5" xfId="18087" xr:uid="{4E7C32A0-F40A-41F0-8522-82AC4A3E9F7E}"/>
    <cellStyle name="Normal 2 5 2 3 4 6" xfId="29408" xr:uid="{9661EB96-8AC4-4847-AEDD-D9189EB8FD02}"/>
    <cellStyle name="Normal 2 5 2 3 4 7" xfId="38642" xr:uid="{981739B5-AF16-4CC1-A915-5617640CE00B}"/>
    <cellStyle name="Normal 2 5 2 3 5" xfId="6509" xr:uid="{00000000-0005-0000-0000-000032180000}"/>
    <cellStyle name="Normal 2 5 2 3 5 2" xfId="14942" xr:uid="{00000000-0005-0000-0000-000033180000}"/>
    <cellStyle name="Normal 2 5 2 3 5 2 2" xfId="26836" xr:uid="{41071B09-DB44-4737-BA56-88064DB90306}"/>
    <cellStyle name="Normal 2 5 2 3 5 2 3" xfId="21176" xr:uid="{050B1638-8E1A-46D5-A3EE-027D5EBF2F48}"/>
    <cellStyle name="Normal 2 5 2 3 5 2 4" xfId="32216" xr:uid="{FFD1E9A7-2623-4347-B3AA-E116EEA903E9}"/>
    <cellStyle name="Normal 2 5 2 3 5 2 5" xfId="38647" xr:uid="{67B48320-85F8-4987-A878-036D0697DC48}"/>
    <cellStyle name="Normal 2 5 2 3 5 3" xfId="24003" xr:uid="{FA4343B9-9690-4B8D-9976-753F2C3B7440}"/>
    <cellStyle name="Normal 2 5 2 3 5 4" xfId="18343" xr:uid="{EDD30D8C-DDB1-4F1B-86E6-B34CC5925153}"/>
    <cellStyle name="Normal 2 5 2 3 5 5" xfId="29664" xr:uid="{B9EB4D61-EEAE-43E3-A7D5-A8BF0D7ECD76}"/>
    <cellStyle name="Normal 2 5 2 3 5 6" xfId="38646" xr:uid="{FA92B250-183C-4D2A-8106-862B55DDCD91}"/>
    <cellStyle name="Normal 2 5 2 3 6" xfId="7945" xr:uid="{00000000-0005-0000-0000-000034180000}"/>
    <cellStyle name="Normal 2 5 2 3 6 2" xfId="25426" xr:uid="{887B4C60-7020-4AD4-9402-2D9CE96A2051}"/>
    <cellStyle name="Normal 2 5 2 3 6 3" xfId="19766" xr:uid="{042471BB-C366-4F84-9644-7B3B3D54B777}"/>
    <cellStyle name="Normal 2 5 2 3 6 4" xfId="31087" xr:uid="{C79F646B-4CC5-4BCC-93AC-51B42C728433}"/>
    <cellStyle name="Normal 2 5 2 3 6 5" xfId="38648" xr:uid="{84E19756-8FA1-4059-9A3A-6707CB6102EE}"/>
    <cellStyle name="Normal 2 5 2 3 7" xfId="22441" xr:uid="{34D78101-D733-434F-A7C9-8DE950149C49}"/>
    <cellStyle name="Normal 2 5 2 3 8" xfId="16781" xr:uid="{EAE6D655-81E4-46B7-AEFE-AC56EC99F7BE}"/>
    <cellStyle name="Normal 2 5 2 3 9" xfId="28102" xr:uid="{BCD061DB-BD22-4B85-BC7E-16707FCEC7A2}"/>
    <cellStyle name="Normal 2 5 2 4" xfId="4203" xr:uid="{00000000-0005-0000-0000-000035180000}"/>
    <cellStyle name="Normal 2 5 2 4 10" xfId="38649" xr:uid="{0010158E-9E46-492B-801B-B00ED6BCB22B}"/>
    <cellStyle name="Normal 2 5 2 4 2" xfId="4949" xr:uid="{00000000-0005-0000-0000-000036180000}"/>
    <cellStyle name="Normal 2 5 2 4 2 2" xfId="5368" xr:uid="{00000000-0005-0000-0000-000037180000}"/>
    <cellStyle name="Normal 2 5 2 4 2 2 2" xfId="7231" xr:uid="{00000000-0005-0000-0000-000038180000}"/>
    <cellStyle name="Normal 2 5 2 4 2 2 2 2" xfId="15664" xr:uid="{00000000-0005-0000-0000-000039180000}"/>
    <cellStyle name="Normal 2 5 2 4 2 2 2 2 2" xfId="27558" xr:uid="{D05F6CB9-A926-42B1-B679-8FE58A4ED592}"/>
    <cellStyle name="Normal 2 5 2 4 2 2 2 2 3" xfId="21898" xr:uid="{904AD3E3-5526-4805-903F-CBB20DAC3789}"/>
    <cellStyle name="Normal 2 5 2 4 2 2 2 2 4" xfId="32938" xr:uid="{5ABF483D-A72D-442D-905D-3D4ECDF957AA}"/>
    <cellStyle name="Normal 2 5 2 4 2 2 2 2 5" xfId="38653" xr:uid="{C0FA082C-4435-468F-815B-813E781311C7}"/>
    <cellStyle name="Normal 2 5 2 4 2 2 2 3" xfId="24725" xr:uid="{BF276BAA-22E3-47C3-8796-B41A7A9FFA03}"/>
    <cellStyle name="Normal 2 5 2 4 2 2 2 4" xfId="19065" xr:uid="{BF06E504-3B32-450E-B870-D400AF142C89}"/>
    <cellStyle name="Normal 2 5 2 4 2 2 2 5" xfId="30386" xr:uid="{6AEAEA8F-1DB6-4061-8C7C-1E662C0FD87B}"/>
    <cellStyle name="Normal 2 5 2 4 2 2 2 6" xfId="38652" xr:uid="{B78EA9A3-693D-4868-BA4D-F255DEAB856F}"/>
    <cellStyle name="Normal 2 5 2 4 2 2 3" xfId="14254" xr:uid="{00000000-0005-0000-0000-00003A180000}"/>
    <cellStyle name="Normal 2 5 2 4 2 2 3 2" xfId="26293" xr:uid="{AFBC9B6B-EF6C-45BE-8D20-E69E3F24879A}"/>
    <cellStyle name="Normal 2 5 2 4 2 2 3 3" xfId="20633" xr:uid="{B76996F0-F794-4235-B910-1169764BF98C}"/>
    <cellStyle name="Normal 2 5 2 4 2 2 3 4" xfId="31673" xr:uid="{7D080226-FE1C-411F-9053-9F242AB12319}"/>
    <cellStyle name="Normal 2 5 2 4 2 2 3 5" xfId="38654" xr:uid="{514A3D12-BFC8-4FDD-B734-0A6CA4DB3772}"/>
    <cellStyle name="Normal 2 5 2 4 2 2 4" xfId="23163" xr:uid="{E1705525-B285-4E54-B12A-DC56F1848D18}"/>
    <cellStyle name="Normal 2 5 2 4 2 2 5" xfId="17503" xr:uid="{BDE31365-0913-482C-9E37-16433A60FD47}"/>
    <cellStyle name="Normal 2 5 2 4 2 2 6" xfId="28824" xr:uid="{665C6E26-7E93-4ECA-A7CC-2C1707D8F936}"/>
    <cellStyle name="Normal 2 5 2 4 2 2 7" xfId="38651" xr:uid="{8536D5AD-24EE-4C4A-AB26-CC3FF128C9AE}"/>
    <cellStyle name="Normal 2 5 2 4 2 3" xfId="6173" xr:uid="{00000000-0005-0000-0000-00003B180000}"/>
    <cellStyle name="Normal 2 5 2 4 2 3 2" xfId="7512" xr:uid="{00000000-0005-0000-0000-00003C180000}"/>
    <cellStyle name="Normal 2 5 2 4 2 3 2 2" xfId="15945" xr:uid="{00000000-0005-0000-0000-00003D180000}"/>
    <cellStyle name="Normal 2 5 2 4 2 3 2 2 2" xfId="27839" xr:uid="{CD0D6B36-FD62-4A99-9BCE-E4B7F90926E5}"/>
    <cellStyle name="Normal 2 5 2 4 2 3 2 2 3" xfId="22179" xr:uid="{DBCB06E3-583C-499B-9719-B65C90FC2D0C}"/>
    <cellStyle name="Normal 2 5 2 4 2 3 2 2 4" xfId="33219" xr:uid="{3BC6AD62-30E4-45E0-90A9-0FB4317F8BD0}"/>
    <cellStyle name="Normal 2 5 2 4 2 3 2 2 5" xfId="38657" xr:uid="{591D2158-7BCF-41BB-AFD9-BCE7773F6381}"/>
    <cellStyle name="Normal 2 5 2 4 2 3 2 3" xfId="25006" xr:uid="{EC39B2D4-2650-45EB-A2E3-808951937FF3}"/>
    <cellStyle name="Normal 2 5 2 4 2 3 2 4" xfId="19346" xr:uid="{24FE20C4-6D30-4BB2-8B64-C0AE4CA98E61}"/>
    <cellStyle name="Normal 2 5 2 4 2 3 2 5" xfId="30667" xr:uid="{751B6FE8-3EF7-450B-9ED3-1556B409BD9B}"/>
    <cellStyle name="Normal 2 5 2 4 2 3 2 6" xfId="38656" xr:uid="{ACAA97BA-B28C-439A-B37C-7C9E20413F7E}"/>
    <cellStyle name="Normal 2 5 2 4 2 3 3" xfId="14625" xr:uid="{00000000-0005-0000-0000-00003E180000}"/>
    <cellStyle name="Normal 2 5 2 4 2 3 3 2" xfId="26583" xr:uid="{FE21787B-D6DB-41F5-A727-97F1C004D658}"/>
    <cellStyle name="Normal 2 5 2 4 2 3 3 3" xfId="20923" xr:uid="{548F6905-830A-4817-BA14-FB798615BEF8}"/>
    <cellStyle name="Normal 2 5 2 4 2 3 3 4" xfId="31963" xr:uid="{68785C75-D40A-4ABE-B170-17099C5EF42A}"/>
    <cellStyle name="Normal 2 5 2 4 2 3 3 5" xfId="38658" xr:uid="{458B66C4-DDA0-4A0C-AB21-7500ACA20D63}"/>
    <cellStyle name="Normal 2 5 2 4 2 3 4" xfId="23750" xr:uid="{77AC2436-1DE9-43F9-BFA2-4067361D46D7}"/>
    <cellStyle name="Normal 2 5 2 4 2 3 5" xfId="18090" xr:uid="{661D8F0E-ED02-4E7C-A2DC-4BEB464DFA48}"/>
    <cellStyle name="Normal 2 5 2 4 2 3 6" xfId="29411" xr:uid="{16CA2D30-6BD8-47C1-96B1-20CBF462FE39}"/>
    <cellStyle name="Normal 2 5 2 4 2 3 7" xfId="38655" xr:uid="{11849980-8F17-4A8A-80CE-1ACB9BCD982F}"/>
    <cellStyle name="Normal 2 5 2 4 2 4" xfId="6813" xr:uid="{00000000-0005-0000-0000-00003F180000}"/>
    <cellStyle name="Normal 2 5 2 4 2 4 2" xfId="15246" xr:uid="{00000000-0005-0000-0000-000040180000}"/>
    <cellStyle name="Normal 2 5 2 4 2 4 2 2" xfId="27140" xr:uid="{D0E958E6-4477-4ABC-A14A-16A80B1C27FF}"/>
    <cellStyle name="Normal 2 5 2 4 2 4 2 3" xfId="21480" xr:uid="{7A349A82-E4DA-4704-A8CF-B47919AB815A}"/>
    <cellStyle name="Normal 2 5 2 4 2 4 2 4" xfId="32520" xr:uid="{003A0550-5590-4B7A-9934-A98D51EE6F4B}"/>
    <cellStyle name="Normal 2 5 2 4 2 4 2 5" xfId="38660" xr:uid="{FD7CD104-00C0-45D4-9470-35DCEEBE7397}"/>
    <cellStyle name="Normal 2 5 2 4 2 4 3" xfId="24307" xr:uid="{0FE4EB48-D831-431D-B68F-911FD572FF57}"/>
    <cellStyle name="Normal 2 5 2 4 2 4 4" xfId="18647" xr:uid="{AE0EB320-4767-498B-B415-9C378868003E}"/>
    <cellStyle name="Normal 2 5 2 4 2 4 5" xfId="29968" xr:uid="{B6D1CF54-B030-41B8-B075-F38316CA95A1}"/>
    <cellStyle name="Normal 2 5 2 4 2 4 6" xfId="38659" xr:uid="{8425A604-4EDE-4A6E-A751-36C2A35E3F2F}"/>
    <cellStyle name="Normal 2 5 2 4 2 5" xfId="7948" xr:uid="{00000000-0005-0000-0000-000041180000}"/>
    <cellStyle name="Normal 2 5 2 4 2 5 2" xfId="25429" xr:uid="{A104B3FC-7B3F-4261-8046-0AAE74AA6747}"/>
    <cellStyle name="Normal 2 5 2 4 2 5 3" xfId="19769" xr:uid="{FECA0498-EB1A-4E5F-9429-799A8C2C4259}"/>
    <cellStyle name="Normal 2 5 2 4 2 5 4" xfId="31090" xr:uid="{4263A7A9-9E86-4BB1-91D8-CFDB40931329}"/>
    <cellStyle name="Normal 2 5 2 4 2 5 5" xfId="38661" xr:uid="{BECD7160-9067-4856-ABAE-BE7063B21DAD}"/>
    <cellStyle name="Normal 2 5 2 4 2 6" xfId="22745" xr:uid="{C190D41E-B73E-4326-BED8-75CB9F80DBD9}"/>
    <cellStyle name="Normal 2 5 2 4 2 7" xfId="17085" xr:uid="{B5B7056C-5E02-475E-8F7B-90FC236BE2A6}"/>
    <cellStyle name="Normal 2 5 2 4 2 8" xfId="28406" xr:uid="{83C36FD4-8323-4005-84BC-7A679E348A81}"/>
    <cellStyle name="Normal 2 5 2 4 2 9" xfId="38650" xr:uid="{74C79089-DEDF-4036-81DA-F121C5D98BAF}"/>
    <cellStyle name="Normal 2 5 2 4 3" xfId="5159" xr:uid="{00000000-0005-0000-0000-000042180000}"/>
    <cellStyle name="Normal 2 5 2 4 3 2" xfId="7022" xr:uid="{00000000-0005-0000-0000-000043180000}"/>
    <cellStyle name="Normal 2 5 2 4 3 2 2" xfId="15455" xr:uid="{00000000-0005-0000-0000-000044180000}"/>
    <cellStyle name="Normal 2 5 2 4 3 2 2 2" xfId="27349" xr:uid="{6D9D6699-3850-42FA-AAFF-CBDE5A0C8327}"/>
    <cellStyle name="Normal 2 5 2 4 3 2 2 3" xfId="21689" xr:uid="{AA781C97-C4DE-42AB-BC96-D5A3316C6B17}"/>
    <cellStyle name="Normal 2 5 2 4 3 2 2 4" xfId="32729" xr:uid="{B6BF7150-062A-4727-9BBC-2B20D1A4BE3C}"/>
    <cellStyle name="Normal 2 5 2 4 3 2 2 5" xfId="38664" xr:uid="{BA12DB94-FB24-454C-B088-355E6FD9266E}"/>
    <cellStyle name="Normal 2 5 2 4 3 2 3" xfId="24516" xr:uid="{D3F0490D-0B02-42AB-9F3C-FBE1D5F13C80}"/>
    <cellStyle name="Normal 2 5 2 4 3 2 4" xfId="18856" xr:uid="{5A6A6F8F-B837-4646-8BFB-C4694E7FD89C}"/>
    <cellStyle name="Normal 2 5 2 4 3 2 5" xfId="30177" xr:uid="{D50DE2B1-9A6B-4070-9372-25432287D277}"/>
    <cellStyle name="Normal 2 5 2 4 3 2 6" xfId="38663" xr:uid="{334D98E9-32A7-4207-A142-CD3236ACACE3}"/>
    <cellStyle name="Normal 2 5 2 4 3 3" xfId="14046" xr:uid="{00000000-0005-0000-0000-000045180000}"/>
    <cellStyle name="Normal 2 5 2 4 3 3 2" xfId="26085" xr:uid="{47361244-EC12-4090-A2B2-9C1108B79FFD}"/>
    <cellStyle name="Normal 2 5 2 4 3 3 3" xfId="20425" xr:uid="{64A39ADD-12A5-4CC0-AB76-11182B3748FF}"/>
    <cellStyle name="Normal 2 5 2 4 3 3 4" xfId="31465" xr:uid="{0B6448B4-40DF-47FC-8221-03F232CEF7F8}"/>
    <cellStyle name="Normal 2 5 2 4 3 3 5" xfId="38665" xr:uid="{0F9DF473-24C7-41C6-BBA1-7EB4ED3ADA89}"/>
    <cellStyle name="Normal 2 5 2 4 3 4" xfId="22954" xr:uid="{754E7EDF-998F-4AC2-B101-1E0C66A8D81A}"/>
    <cellStyle name="Normal 2 5 2 4 3 5" xfId="17294" xr:uid="{DFECE577-5F80-4AC5-B503-3D1A57754480}"/>
    <cellStyle name="Normal 2 5 2 4 3 6" xfId="28615" xr:uid="{929E50B7-2BE7-4771-8CD0-03C1C0B537C5}"/>
    <cellStyle name="Normal 2 5 2 4 3 7" xfId="38662" xr:uid="{A1F57C43-072E-4585-BFBE-6E1B040641AC}"/>
    <cellStyle name="Normal 2 5 2 4 4" xfId="6172" xr:uid="{00000000-0005-0000-0000-000046180000}"/>
    <cellStyle name="Normal 2 5 2 4 4 2" xfId="7511" xr:uid="{00000000-0005-0000-0000-000047180000}"/>
    <cellStyle name="Normal 2 5 2 4 4 2 2" xfId="15944" xr:uid="{00000000-0005-0000-0000-000048180000}"/>
    <cellStyle name="Normal 2 5 2 4 4 2 2 2" xfId="27838" xr:uid="{2E3889D1-1237-4AD1-96CB-51A20546FAB6}"/>
    <cellStyle name="Normal 2 5 2 4 4 2 2 3" xfId="22178" xr:uid="{40CF57FD-BC99-4090-BED8-90DA991D220A}"/>
    <cellStyle name="Normal 2 5 2 4 4 2 2 4" xfId="33218" xr:uid="{B865DB89-29CD-4614-BC7A-F996182EF5FD}"/>
    <cellStyle name="Normal 2 5 2 4 4 2 2 5" xfId="38668" xr:uid="{B3CEEDB4-37B2-4852-9AB2-D2F3938F5DEE}"/>
    <cellStyle name="Normal 2 5 2 4 4 2 3" xfId="25005" xr:uid="{60BF1E52-88D7-4F58-A895-1573861B796B}"/>
    <cellStyle name="Normal 2 5 2 4 4 2 4" xfId="19345" xr:uid="{06BE7CF8-AB27-475A-B02A-BD9DB19766E5}"/>
    <cellStyle name="Normal 2 5 2 4 4 2 5" xfId="30666" xr:uid="{22625787-4FAC-40FF-B281-F25BAFC4BF04}"/>
    <cellStyle name="Normal 2 5 2 4 4 2 6" xfId="38667" xr:uid="{70F4FD13-7BB8-425E-B249-CCAC2FF7B81C}"/>
    <cellStyle name="Normal 2 5 2 4 4 3" xfId="14624" xr:uid="{00000000-0005-0000-0000-000049180000}"/>
    <cellStyle name="Normal 2 5 2 4 4 3 2" xfId="26582" xr:uid="{5007073B-F6F3-4B85-B139-BFE508412F89}"/>
    <cellStyle name="Normal 2 5 2 4 4 3 3" xfId="20922" xr:uid="{967AFEC2-137D-47E1-BC77-B6B1B4CCCF57}"/>
    <cellStyle name="Normal 2 5 2 4 4 3 4" xfId="31962" xr:uid="{1C5EB0EF-6501-43B7-940D-C8CC4B12FE3D}"/>
    <cellStyle name="Normal 2 5 2 4 4 3 5" xfId="38669" xr:uid="{C4437D11-C9A3-473F-95DC-17FA64BA7238}"/>
    <cellStyle name="Normal 2 5 2 4 4 4" xfId="23749" xr:uid="{E3EC7546-6383-43A4-9AA4-4F2EA10CD34E}"/>
    <cellStyle name="Normal 2 5 2 4 4 5" xfId="18089" xr:uid="{142EBC4C-D112-4211-B9C4-CA9F7D90E8E9}"/>
    <cellStyle name="Normal 2 5 2 4 4 6" xfId="29410" xr:uid="{AB5051F6-988E-4C84-BBDD-463B290B5A35}"/>
    <cellStyle name="Normal 2 5 2 4 4 7" xfId="38666" xr:uid="{DA700432-B433-407C-AAAF-DC8EB94220ED}"/>
    <cellStyle name="Normal 2 5 2 4 5" xfId="6604" xr:uid="{00000000-0005-0000-0000-00004A180000}"/>
    <cellStyle name="Normal 2 5 2 4 5 2" xfId="15037" xr:uid="{00000000-0005-0000-0000-00004B180000}"/>
    <cellStyle name="Normal 2 5 2 4 5 2 2" xfId="26931" xr:uid="{BC09510E-715E-4C61-ABDA-66C0CCFF4D87}"/>
    <cellStyle name="Normal 2 5 2 4 5 2 3" xfId="21271" xr:uid="{9870A794-D38F-4F1E-8D83-F5E55ECF6A8C}"/>
    <cellStyle name="Normal 2 5 2 4 5 2 4" xfId="32311" xr:uid="{CCC39C09-0C4A-40B7-A866-F3A8AA67C5BB}"/>
    <cellStyle name="Normal 2 5 2 4 5 2 5" xfId="38671" xr:uid="{4049B3A3-32C7-4B98-9CB3-0022EA17B997}"/>
    <cellStyle name="Normal 2 5 2 4 5 3" xfId="24098" xr:uid="{B0C493DD-FA3B-4182-B101-BDE41FDE7221}"/>
    <cellStyle name="Normal 2 5 2 4 5 4" xfId="18438" xr:uid="{243300EF-892A-4E6F-948D-967ECEBCF7B3}"/>
    <cellStyle name="Normal 2 5 2 4 5 5" xfId="29759" xr:uid="{6C6FDEDC-57AC-420A-BC3E-2EED8D352780}"/>
    <cellStyle name="Normal 2 5 2 4 5 6" xfId="38670" xr:uid="{E6D8BDEE-C22E-45A1-8D66-40B67BBFF572}"/>
    <cellStyle name="Normal 2 5 2 4 6" xfId="7947" xr:uid="{00000000-0005-0000-0000-00004C180000}"/>
    <cellStyle name="Normal 2 5 2 4 6 2" xfId="25428" xr:uid="{248D5EAB-DDCD-41E9-AA41-F556951AAA76}"/>
    <cellStyle name="Normal 2 5 2 4 6 3" xfId="19768" xr:uid="{9F690B58-036C-422F-89E6-5072006B2D2E}"/>
    <cellStyle name="Normal 2 5 2 4 6 4" xfId="31089" xr:uid="{D04F65F9-DE03-4B32-A4AA-0218E1BAA320}"/>
    <cellStyle name="Normal 2 5 2 4 6 5" xfId="38672" xr:uid="{EC4C3D99-C655-4FC3-969B-6BC54236AB2D}"/>
    <cellStyle name="Normal 2 5 2 4 7" xfId="22536" xr:uid="{6AC31BC8-850D-4A9E-9D13-D549A3666AEF}"/>
    <cellStyle name="Normal 2 5 2 4 8" xfId="16876" xr:uid="{AC545168-E809-4E20-8C73-79A8B33A48F7}"/>
    <cellStyle name="Normal 2 5 2 4 9" xfId="28197" xr:uid="{3057DD4F-C04A-4878-81DE-056218EEB39D}"/>
    <cellStyle name="Normal 2 5 2 5" xfId="4785" xr:uid="{00000000-0005-0000-0000-00004D180000}"/>
    <cellStyle name="Normal 2 5 2 5 10" xfId="38673" xr:uid="{55C39E81-0D11-43E9-9186-095A4850DBB9}"/>
    <cellStyle name="Normal 2 5 2 5 2" xfId="4999" xr:uid="{00000000-0005-0000-0000-00004E180000}"/>
    <cellStyle name="Normal 2 5 2 5 2 2" xfId="5417" xr:uid="{00000000-0005-0000-0000-00004F180000}"/>
    <cellStyle name="Normal 2 5 2 5 2 2 2" xfId="7280" xr:uid="{00000000-0005-0000-0000-000050180000}"/>
    <cellStyle name="Normal 2 5 2 5 2 2 2 2" xfId="15713" xr:uid="{00000000-0005-0000-0000-000051180000}"/>
    <cellStyle name="Normal 2 5 2 5 2 2 2 2 2" xfId="27607" xr:uid="{43D4460D-B60C-4510-9955-E3F31D64F7AE}"/>
    <cellStyle name="Normal 2 5 2 5 2 2 2 2 3" xfId="21947" xr:uid="{8D8D516C-D7C8-4D9B-AE1C-B60525C90979}"/>
    <cellStyle name="Normal 2 5 2 5 2 2 2 2 4" xfId="32987" xr:uid="{62CC7CF6-37D4-436A-AFAD-CAA9FAB196E7}"/>
    <cellStyle name="Normal 2 5 2 5 2 2 2 2 5" xfId="38677" xr:uid="{BFC81FEB-21A2-4EE9-8FC8-091D87C87EB7}"/>
    <cellStyle name="Normal 2 5 2 5 2 2 2 3" xfId="24774" xr:uid="{76B8A887-8094-4D94-82AD-ED501E1C8E9F}"/>
    <cellStyle name="Normal 2 5 2 5 2 2 2 4" xfId="19114" xr:uid="{4DA65E59-3F52-49DC-B64C-24D77377F3B0}"/>
    <cellStyle name="Normal 2 5 2 5 2 2 2 5" xfId="30435" xr:uid="{D895C09C-57CD-4771-B742-BC1D5255F904}"/>
    <cellStyle name="Normal 2 5 2 5 2 2 2 6" xfId="38676" xr:uid="{13556B4B-D062-4476-8285-AC8D4BDAADDA}"/>
    <cellStyle name="Normal 2 5 2 5 2 2 3" xfId="14303" xr:uid="{00000000-0005-0000-0000-000052180000}"/>
    <cellStyle name="Normal 2 5 2 5 2 2 3 2" xfId="26342" xr:uid="{0DBEDEDA-BBF9-48C7-974E-D0FE39FFB61A}"/>
    <cellStyle name="Normal 2 5 2 5 2 2 3 3" xfId="20682" xr:uid="{B2E4C6A4-831B-4173-BE01-F0B3583F00F4}"/>
    <cellStyle name="Normal 2 5 2 5 2 2 3 4" xfId="31722" xr:uid="{A3D06C03-8FD9-4DF8-84CD-3B7DFDAC1EEA}"/>
    <cellStyle name="Normal 2 5 2 5 2 2 3 5" xfId="38678" xr:uid="{2E5F1CF1-384A-411E-9713-C6883DA9FC25}"/>
    <cellStyle name="Normal 2 5 2 5 2 2 4" xfId="23212" xr:uid="{8C103647-2C28-4C75-A125-8EF61FDE8CF8}"/>
    <cellStyle name="Normal 2 5 2 5 2 2 5" xfId="17552" xr:uid="{7D79DAF7-2364-4EA2-A382-CF19BB943588}"/>
    <cellStyle name="Normal 2 5 2 5 2 2 6" xfId="28873" xr:uid="{2B120C1C-FF3A-4073-935D-86308E08E81A}"/>
    <cellStyle name="Normal 2 5 2 5 2 2 7" xfId="38675" xr:uid="{1BA3A69F-D2A9-4710-9237-3FD94FA79684}"/>
    <cellStyle name="Normal 2 5 2 5 2 3" xfId="6175" xr:uid="{00000000-0005-0000-0000-000053180000}"/>
    <cellStyle name="Normal 2 5 2 5 2 3 2" xfId="7514" xr:uid="{00000000-0005-0000-0000-000054180000}"/>
    <cellStyle name="Normal 2 5 2 5 2 3 2 2" xfId="15947" xr:uid="{00000000-0005-0000-0000-000055180000}"/>
    <cellStyle name="Normal 2 5 2 5 2 3 2 2 2" xfId="27841" xr:uid="{F7B28209-3018-4EA0-8F83-A5D1C1DE7B7A}"/>
    <cellStyle name="Normal 2 5 2 5 2 3 2 2 3" xfId="22181" xr:uid="{5A3FE9AD-68BC-4BF6-AA96-ED06DE8B82A2}"/>
    <cellStyle name="Normal 2 5 2 5 2 3 2 2 4" xfId="33221" xr:uid="{990F92CB-0BD2-4292-BCF5-1CA821F9684C}"/>
    <cellStyle name="Normal 2 5 2 5 2 3 2 2 5" xfId="38681" xr:uid="{4CCE741A-3C42-4A2D-86B8-B9DA89F1FB57}"/>
    <cellStyle name="Normal 2 5 2 5 2 3 2 3" xfId="25008" xr:uid="{24BAC977-C854-405F-B059-2383693B5203}"/>
    <cellStyle name="Normal 2 5 2 5 2 3 2 4" xfId="19348" xr:uid="{A9F531A0-C000-4A07-ABB1-0A3FEA9F2912}"/>
    <cellStyle name="Normal 2 5 2 5 2 3 2 5" xfId="30669" xr:uid="{7A10AF8D-22AB-4BF4-838E-1E108E3DBEA6}"/>
    <cellStyle name="Normal 2 5 2 5 2 3 2 6" xfId="38680" xr:uid="{6BDB6651-4592-47DF-9AD9-0E9321D17E8B}"/>
    <cellStyle name="Normal 2 5 2 5 2 3 3" xfId="14627" xr:uid="{00000000-0005-0000-0000-000056180000}"/>
    <cellStyle name="Normal 2 5 2 5 2 3 3 2" xfId="26585" xr:uid="{C5ABF068-A184-4D29-B0B3-098CCA4CD6E5}"/>
    <cellStyle name="Normal 2 5 2 5 2 3 3 3" xfId="20925" xr:uid="{43F1240B-0A7C-4D81-BE49-4AF7E0BF9856}"/>
    <cellStyle name="Normal 2 5 2 5 2 3 3 4" xfId="31965" xr:uid="{C01CB8B2-48AC-412C-B021-8268780C5836}"/>
    <cellStyle name="Normal 2 5 2 5 2 3 3 5" xfId="38682" xr:uid="{6A88DE91-43ED-4061-9366-094C4ADA441F}"/>
    <cellStyle name="Normal 2 5 2 5 2 3 4" xfId="23752" xr:uid="{608A30A2-879C-4489-9B74-77F07BF92AD8}"/>
    <cellStyle name="Normal 2 5 2 5 2 3 5" xfId="18092" xr:uid="{7E070C95-9DFB-452E-8047-40EA41C53845}"/>
    <cellStyle name="Normal 2 5 2 5 2 3 6" xfId="29413" xr:uid="{9410D64D-D497-45AA-8B00-22665356C101}"/>
    <cellStyle name="Normal 2 5 2 5 2 3 7" xfId="38679" xr:uid="{27B26F45-7BF2-41D4-B13A-5BA752BCC2EC}"/>
    <cellStyle name="Normal 2 5 2 5 2 4" xfId="6862" xr:uid="{00000000-0005-0000-0000-000057180000}"/>
    <cellStyle name="Normal 2 5 2 5 2 4 2" xfId="15295" xr:uid="{00000000-0005-0000-0000-000058180000}"/>
    <cellStyle name="Normal 2 5 2 5 2 4 2 2" xfId="27189" xr:uid="{36370CF4-C2CE-47C1-94F6-081BC86698A9}"/>
    <cellStyle name="Normal 2 5 2 5 2 4 2 3" xfId="21529" xr:uid="{C483AE86-0308-4F06-9EE6-2E6022FDA898}"/>
    <cellStyle name="Normal 2 5 2 5 2 4 2 4" xfId="32569" xr:uid="{539DBF72-056F-48B9-91D3-E4D5F0E4963C}"/>
    <cellStyle name="Normal 2 5 2 5 2 4 2 5" xfId="38684" xr:uid="{10513C95-D320-4B15-A0E2-30941B1E9139}"/>
    <cellStyle name="Normal 2 5 2 5 2 4 3" xfId="24356" xr:uid="{4027E617-C78F-4F86-9F4A-EBF14BF54137}"/>
    <cellStyle name="Normal 2 5 2 5 2 4 4" xfId="18696" xr:uid="{78930F99-4463-476C-92CB-F0E0ED9F0DB9}"/>
    <cellStyle name="Normal 2 5 2 5 2 4 5" xfId="30017" xr:uid="{EDBB474C-679D-41C5-B9DA-742026A135F7}"/>
    <cellStyle name="Normal 2 5 2 5 2 4 6" xfId="38683" xr:uid="{1602880B-7ADD-48A6-ACFD-3CA23AEA5B99}"/>
    <cellStyle name="Normal 2 5 2 5 2 5" xfId="7950" xr:uid="{00000000-0005-0000-0000-000059180000}"/>
    <cellStyle name="Normal 2 5 2 5 2 5 2" xfId="25431" xr:uid="{BF03877B-0E34-4206-9754-68E85C11BB45}"/>
    <cellStyle name="Normal 2 5 2 5 2 5 3" xfId="19771" xr:uid="{01802BC1-AE2B-4AB3-9CB5-F0076BC2A230}"/>
    <cellStyle name="Normal 2 5 2 5 2 5 4" xfId="31092" xr:uid="{B487A813-1477-4816-850E-56CF5C38ECEF}"/>
    <cellStyle name="Normal 2 5 2 5 2 5 5" xfId="38685" xr:uid="{31627B16-12C7-41D4-B440-424ED68F5BA4}"/>
    <cellStyle name="Normal 2 5 2 5 2 6" xfId="22794" xr:uid="{14666AC4-ADE1-4C06-8E19-0BD37D0BF04E}"/>
    <cellStyle name="Normal 2 5 2 5 2 7" xfId="17134" xr:uid="{AB3B70BE-8C3D-4BAD-847F-4D173BBC3A33}"/>
    <cellStyle name="Normal 2 5 2 5 2 8" xfId="28455" xr:uid="{DFD62123-96ED-4EE3-A6C4-AE4AB28AA9A7}"/>
    <cellStyle name="Normal 2 5 2 5 2 9" xfId="38674" xr:uid="{84FFCFCC-38A3-47B9-B178-E10D02DE8FEC}"/>
    <cellStyle name="Normal 2 5 2 5 3" xfId="5208" xr:uid="{00000000-0005-0000-0000-00005A180000}"/>
    <cellStyle name="Normal 2 5 2 5 3 2" xfId="7071" xr:uid="{00000000-0005-0000-0000-00005B180000}"/>
    <cellStyle name="Normal 2 5 2 5 3 2 2" xfId="15504" xr:uid="{00000000-0005-0000-0000-00005C180000}"/>
    <cellStyle name="Normal 2 5 2 5 3 2 2 2" xfId="27398" xr:uid="{34A948A7-46A9-4F7F-B663-F2C1BEAE1E84}"/>
    <cellStyle name="Normal 2 5 2 5 3 2 2 3" xfId="21738" xr:uid="{2B2638D6-1438-4A2E-98D6-E32A14848A63}"/>
    <cellStyle name="Normal 2 5 2 5 3 2 2 4" xfId="32778" xr:uid="{8E2333D6-E2FE-4ABC-8551-D1943A2AE8C0}"/>
    <cellStyle name="Normal 2 5 2 5 3 2 2 5" xfId="38688" xr:uid="{D0A015A7-B2C3-49FC-AF99-70C21058B5A5}"/>
    <cellStyle name="Normal 2 5 2 5 3 2 3" xfId="24565" xr:uid="{E2D20811-B890-4A76-94F9-C8668E871550}"/>
    <cellStyle name="Normal 2 5 2 5 3 2 4" xfId="18905" xr:uid="{1721E9E3-0D00-413B-8342-B9A3D1348270}"/>
    <cellStyle name="Normal 2 5 2 5 3 2 5" xfId="30226" xr:uid="{52996991-C3B3-4397-881E-3201393E9673}"/>
    <cellStyle name="Normal 2 5 2 5 3 2 6" xfId="38687" xr:uid="{DF840368-CA67-4179-80E6-107E99C4823C}"/>
    <cellStyle name="Normal 2 5 2 5 3 3" xfId="14094" xr:uid="{00000000-0005-0000-0000-00005D180000}"/>
    <cellStyle name="Normal 2 5 2 5 3 3 2" xfId="26133" xr:uid="{3F7D8084-9F76-4ECD-99DD-612560BB60CF}"/>
    <cellStyle name="Normal 2 5 2 5 3 3 3" xfId="20473" xr:uid="{2C0501E0-2B82-4043-9832-F32B42506460}"/>
    <cellStyle name="Normal 2 5 2 5 3 3 4" xfId="31513" xr:uid="{9F402A35-9363-494A-935A-8FE0A10E42FA}"/>
    <cellStyle name="Normal 2 5 2 5 3 3 5" xfId="38689" xr:uid="{513BB17F-4A3E-48D7-8BBE-3A26419EAC11}"/>
    <cellStyle name="Normal 2 5 2 5 3 4" xfId="23003" xr:uid="{A4339A13-7790-45AA-AFC3-E4EE4A4022F2}"/>
    <cellStyle name="Normal 2 5 2 5 3 5" xfId="17343" xr:uid="{225B2444-FF3D-48ED-B901-1B4EB1DB4B01}"/>
    <cellStyle name="Normal 2 5 2 5 3 6" xfId="28664" xr:uid="{16BDCACF-E31B-4D9A-BE02-29D4FB3F287F}"/>
    <cellStyle name="Normal 2 5 2 5 3 7" xfId="38686" xr:uid="{B5120A82-B1D7-4654-BD73-B74B9D54DEAB}"/>
    <cellStyle name="Normal 2 5 2 5 4" xfId="6174" xr:uid="{00000000-0005-0000-0000-00005E180000}"/>
    <cellStyle name="Normal 2 5 2 5 4 2" xfId="7513" xr:uid="{00000000-0005-0000-0000-00005F180000}"/>
    <cellStyle name="Normal 2 5 2 5 4 2 2" xfId="15946" xr:uid="{00000000-0005-0000-0000-000060180000}"/>
    <cellStyle name="Normal 2 5 2 5 4 2 2 2" xfId="27840" xr:uid="{23A85D5D-94BC-446F-8D3C-DAF9E8DF7106}"/>
    <cellStyle name="Normal 2 5 2 5 4 2 2 3" xfId="22180" xr:uid="{AC0A4E19-F5CA-4D18-9971-8E61F64E266A}"/>
    <cellStyle name="Normal 2 5 2 5 4 2 2 4" xfId="33220" xr:uid="{DFC8ACBD-F8A3-4C7A-82C4-0C81D8150D84}"/>
    <cellStyle name="Normal 2 5 2 5 4 2 2 5" xfId="38692" xr:uid="{94A25B01-408F-403B-875A-4FA1DDA7CB10}"/>
    <cellStyle name="Normal 2 5 2 5 4 2 3" xfId="25007" xr:uid="{97AA9EE6-6376-478A-A008-9CBCECE811BE}"/>
    <cellStyle name="Normal 2 5 2 5 4 2 4" xfId="19347" xr:uid="{663AB00F-4C4E-4A7C-8981-666419487936}"/>
    <cellStyle name="Normal 2 5 2 5 4 2 5" xfId="30668" xr:uid="{2981775B-F14F-4AC0-A882-8D6742F815E1}"/>
    <cellStyle name="Normal 2 5 2 5 4 2 6" xfId="38691" xr:uid="{DB83F5C4-6BFA-4CDB-A784-2EA493E50B84}"/>
    <cellStyle name="Normal 2 5 2 5 4 3" xfId="14626" xr:uid="{00000000-0005-0000-0000-000061180000}"/>
    <cellStyle name="Normal 2 5 2 5 4 3 2" xfId="26584" xr:uid="{27D3B2EA-C401-43EF-BA73-C9455BA60D7E}"/>
    <cellStyle name="Normal 2 5 2 5 4 3 3" xfId="20924" xr:uid="{6605A0E0-2AAE-4F4C-AD68-99821B255F75}"/>
    <cellStyle name="Normal 2 5 2 5 4 3 4" xfId="31964" xr:uid="{B7E89055-AE22-412C-8608-05397CBE0BC0}"/>
    <cellStyle name="Normal 2 5 2 5 4 3 5" xfId="38693" xr:uid="{B64493ED-F688-497C-B5A5-5D860F53A2A6}"/>
    <cellStyle name="Normal 2 5 2 5 4 4" xfId="23751" xr:uid="{EA431533-E1DE-4E5F-BEE7-B4877592C94F}"/>
    <cellStyle name="Normal 2 5 2 5 4 5" xfId="18091" xr:uid="{4D734B3D-9FBD-41EE-848A-1C179A1C6FFB}"/>
    <cellStyle name="Normal 2 5 2 5 4 6" xfId="29412" xr:uid="{088922BF-300E-4014-AD5B-8F9DDC2E7C8F}"/>
    <cellStyle name="Normal 2 5 2 5 4 7" xfId="38690" xr:uid="{BEFD5FBF-CB37-475B-98EA-D6183FA3BE26}"/>
    <cellStyle name="Normal 2 5 2 5 5" xfId="6653" xr:uid="{00000000-0005-0000-0000-000062180000}"/>
    <cellStyle name="Normal 2 5 2 5 5 2" xfId="15086" xr:uid="{00000000-0005-0000-0000-000063180000}"/>
    <cellStyle name="Normal 2 5 2 5 5 2 2" xfId="26980" xr:uid="{6156A22F-79D0-48F9-9941-62C85516DC43}"/>
    <cellStyle name="Normal 2 5 2 5 5 2 3" xfId="21320" xr:uid="{1671CBBB-0BEE-4A8C-9319-F06D231A069B}"/>
    <cellStyle name="Normal 2 5 2 5 5 2 4" xfId="32360" xr:uid="{57B1A469-36D0-44EE-870C-2A5FF8B14A69}"/>
    <cellStyle name="Normal 2 5 2 5 5 2 5" xfId="38695" xr:uid="{EE3E43A9-6319-470B-BB0C-88A3EF8E4D77}"/>
    <cellStyle name="Normal 2 5 2 5 5 3" xfId="24147" xr:uid="{9BA8F8EF-71D1-4C29-B22E-656D48F57C2B}"/>
    <cellStyle name="Normal 2 5 2 5 5 4" xfId="18487" xr:uid="{1446D240-4D2F-4D09-9C41-B4E249F52E00}"/>
    <cellStyle name="Normal 2 5 2 5 5 5" xfId="29808" xr:uid="{78AA2EEA-13ED-4921-A039-0FEC5653D8E5}"/>
    <cellStyle name="Normal 2 5 2 5 5 6" xfId="38694" xr:uid="{231CEBA2-1286-4EC6-B604-FEEF64D4EEF4}"/>
    <cellStyle name="Normal 2 5 2 5 6" xfId="7949" xr:uid="{00000000-0005-0000-0000-000064180000}"/>
    <cellStyle name="Normal 2 5 2 5 6 2" xfId="25430" xr:uid="{D8D3FD63-B3D0-4A4E-89A3-220CED623573}"/>
    <cellStyle name="Normal 2 5 2 5 6 3" xfId="19770" xr:uid="{1F0754E6-C804-40D4-8C42-66F1C5280C1E}"/>
    <cellStyle name="Normal 2 5 2 5 6 4" xfId="31091" xr:uid="{133FD856-84F9-4336-8E92-AD6CCE14AD7F}"/>
    <cellStyle name="Normal 2 5 2 5 6 5" xfId="38696" xr:uid="{09A8D81A-0CD1-4820-9E8D-2FBDDFF17A4F}"/>
    <cellStyle name="Normal 2 5 2 5 7" xfId="22585" xr:uid="{CED40721-65BC-40F1-9EEC-5BDA5D0252C7}"/>
    <cellStyle name="Normal 2 5 2 5 8" xfId="16925" xr:uid="{CCB080CB-E358-45E1-AC8D-6813D48DC638}"/>
    <cellStyle name="Normal 2 5 2 5 9" xfId="28246" xr:uid="{B4477021-2408-48FF-B2FD-AA2C14A2F628}"/>
    <cellStyle name="Normal 2 5 2 6" xfId="4802" xr:uid="{00000000-0005-0000-0000-000065180000}"/>
    <cellStyle name="Normal 2 5 2 6 2" xfId="5224" xr:uid="{00000000-0005-0000-0000-000066180000}"/>
    <cellStyle name="Normal 2 5 2 6 2 2" xfId="7087" xr:uid="{00000000-0005-0000-0000-000067180000}"/>
    <cellStyle name="Normal 2 5 2 6 2 2 2" xfId="15520" xr:uid="{00000000-0005-0000-0000-000068180000}"/>
    <cellStyle name="Normal 2 5 2 6 2 2 2 2" xfId="27414" xr:uid="{E95F569D-27AA-42B9-A692-90E290620704}"/>
    <cellStyle name="Normal 2 5 2 6 2 2 2 3" xfId="21754" xr:uid="{4C25317D-607E-4DB4-8432-9C1E7A751064}"/>
    <cellStyle name="Normal 2 5 2 6 2 2 2 4" xfId="32794" xr:uid="{0CF247CC-D5BA-48E7-8CB1-8DD158EC97C9}"/>
    <cellStyle name="Normal 2 5 2 6 2 2 2 5" xfId="38700" xr:uid="{EC5B6E0B-E522-4E7C-9281-93024EAA1E86}"/>
    <cellStyle name="Normal 2 5 2 6 2 2 3" xfId="24581" xr:uid="{364A5817-9092-41E2-8B1D-EDE132ADA857}"/>
    <cellStyle name="Normal 2 5 2 6 2 2 4" xfId="18921" xr:uid="{47A36EE8-EDFB-4DF3-8C6E-AA74AF0C3447}"/>
    <cellStyle name="Normal 2 5 2 6 2 2 5" xfId="30242" xr:uid="{B8934ED7-21BF-4EFB-A171-F8B5AFA23A4E}"/>
    <cellStyle name="Normal 2 5 2 6 2 2 6" xfId="38699" xr:uid="{E55E7028-CDF0-44AA-90D7-A17E4FB27C0E}"/>
    <cellStyle name="Normal 2 5 2 6 2 3" xfId="14110" xr:uid="{00000000-0005-0000-0000-000069180000}"/>
    <cellStyle name="Normal 2 5 2 6 2 3 2" xfId="26149" xr:uid="{158B9946-1260-4201-AC3A-5771040ED1B5}"/>
    <cellStyle name="Normal 2 5 2 6 2 3 3" xfId="20489" xr:uid="{4ABDA115-CAAB-4F4A-BDF4-47FFD55E60B9}"/>
    <cellStyle name="Normal 2 5 2 6 2 3 4" xfId="31529" xr:uid="{FD17C26A-FB21-4941-B35B-452BAA44E72E}"/>
    <cellStyle name="Normal 2 5 2 6 2 3 5" xfId="38701" xr:uid="{6935DD89-8492-4431-A333-0F793E997E72}"/>
    <cellStyle name="Normal 2 5 2 6 2 4" xfId="23019" xr:uid="{01AE7A6D-483A-4FFF-ABA7-CBF2613957EC}"/>
    <cellStyle name="Normal 2 5 2 6 2 5" xfId="17359" xr:uid="{6D7C07C6-3F18-4FA3-85C7-B1B786E006CC}"/>
    <cellStyle name="Normal 2 5 2 6 2 6" xfId="28680" xr:uid="{1891CEC4-A322-45D2-AB77-5BB88BDE130E}"/>
    <cellStyle name="Normal 2 5 2 6 2 7" xfId="38698" xr:uid="{4B0C6B7B-0F25-442D-BB43-993514AA0382}"/>
    <cellStyle name="Normal 2 5 2 6 3" xfId="6176" xr:uid="{00000000-0005-0000-0000-00006A180000}"/>
    <cellStyle name="Normal 2 5 2 6 3 2" xfId="7515" xr:uid="{00000000-0005-0000-0000-00006B180000}"/>
    <cellStyle name="Normal 2 5 2 6 3 2 2" xfId="15948" xr:uid="{00000000-0005-0000-0000-00006C180000}"/>
    <cellStyle name="Normal 2 5 2 6 3 2 2 2" xfId="27842" xr:uid="{E0B00DD7-C3B9-4213-BDCE-FE4F8992C87E}"/>
    <cellStyle name="Normal 2 5 2 6 3 2 2 3" xfId="22182" xr:uid="{21C025E4-1556-4605-B974-8A4FD792670F}"/>
    <cellStyle name="Normal 2 5 2 6 3 2 2 4" xfId="33222" xr:uid="{64FBC76F-7CD3-4DA3-B04A-E0C65668DCDE}"/>
    <cellStyle name="Normal 2 5 2 6 3 2 2 5" xfId="38704" xr:uid="{7585CEED-B715-4D57-B982-73D8E345790C}"/>
    <cellStyle name="Normal 2 5 2 6 3 2 3" xfId="25009" xr:uid="{0DE4583E-9C1B-4BB0-A609-CF4CF0F845ED}"/>
    <cellStyle name="Normal 2 5 2 6 3 2 4" xfId="19349" xr:uid="{0E9A03D9-B88B-4D5A-B162-D41FFF9370B3}"/>
    <cellStyle name="Normal 2 5 2 6 3 2 5" xfId="30670" xr:uid="{D2C3567D-2DCB-45A6-8EF3-91376688AF83}"/>
    <cellStyle name="Normal 2 5 2 6 3 2 6" xfId="38703" xr:uid="{979556D4-EF8E-49DC-9577-1AB84DCDDEDA}"/>
    <cellStyle name="Normal 2 5 2 6 3 3" xfId="14628" xr:uid="{00000000-0005-0000-0000-00006D180000}"/>
    <cellStyle name="Normal 2 5 2 6 3 3 2" xfId="26586" xr:uid="{2DD6309F-F1A1-4D57-87D1-F34F09F51081}"/>
    <cellStyle name="Normal 2 5 2 6 3 3 3" xfId="20926" xr:uid="{A9B6C2FB-339E-4EE7-BF89-F372840513F0}"/>
    <cellStyle name="Normal 2 5 2 6 3 3 4" xfId="31966" xr:uid="{50E90772-E479-4B4C-A742-BD1787456AF0}"/>
    <cellStyle name="Normal 2 5 2 6 3 3 5" xfId="38705" xr:uid="{1D5E9ACF-4DDA-4846-ACA1-0133C194E60C}"/>
    <cellStyle name="Normal 2 5 2 6 3 4" xfId="23753" xr:uid="{6E94E0E4-D9E1-44EA-B019-B372DE2C5F8A}"/>
    <cellStyle name="Normal 2 5 2 6 3 5" xfId="18093" xr:uid="{AE179ED8-FACB-4E09-B6EF-CB845219F6E1}"/>
    <cellStyle name="Normal 2 5 2 6 3 6" xfId="29414" xr:uid="{8C8EE3A8-11F9-4FFD-87B3-CFB46941073B}"/>
    <cellStyle name="Normal 2 5 2 6 3 7" xfId="38702" xr:uid="{D4F37AA5-3DE1-4A30-9D32-D1A6BF3E69E3}"/>
    <cellStyle name="Normal 2 5 2 6 4" xfId="6669" xr:uid="{00000000-0005-0000-0000-00006E180000}"/>
    <cellStyle name="Normal 2 5 2 6 4 2" xfId="15102" xr:uid="{00000000-0005-0000-0000-00006F180000}"/>
    <cellStyle name="Normal 2 5 2 6 4 2 2" xfId="26996" xr:uid="{368DAE5B-E807-4929-BB7E-81085DEB484C}"/>
    <cellStyle name="Normal 2 5 2 6 4 2 3" xfId="21336" xr:uid="{62DE3A90-7FA3-4CE1-A810-0259A3931A08}"/>
    <cellStyle name="Normal 2 5 2 6 4 2 4" xfId="32376" xr:uid="{3A33F4A9-EC3B-4ABE-A03C-278CA9DA87F1}"/>
    <cellStyle name="Normal 2 5 2 6 4 2 5" xfId="38707" xr:uid="{99CF9227-1622-400D-8A84-D11E5CFE90A1}"/>
    <cellStyle name="Normal 2 5 2 6 4 3" xfId="24163" xr:uid="{294D6635-EA15-415B-9DE4-3BF065AF86C3}"/>
    <cellStyle name="Normal 2 5 2 6 4 4" xfId="18503" xr:uid="{A789C7C8-9B20-42A5-B6DC-C6DA450A339D}"/>
    <cellStyle name="Normal 2 5 2 6 4 5" xfId="29824" xr:uid="{2F0505B7-7D79-440F-9D1D-5626DDEAC78E}"/>
    <cellStyle name="Normal 2 5 2 6 4 6" xfId="38706" xr:uid="{195BAB9F-1AAA-47CE-A844-7C425E5B52EB}"/>
    <cellStyle name="Normal 2 5 2 6 5" xfId="7951" xr:uid="{00000000-0005-0000-0000-000070180000}"/>
    <cellStyle name="Normal 2 5 2 6 5 2" xfId="25432" xr:uid="{5670CF65-A6DD-40C1-8BF6-89E919D7F98C}"/>
    <cellStyle name="Normal 2 5 2 6 5 3" xfId="19772" xr:uid="{7C270487-984E-4A52-AF2A-66B83C4A6080}"/>
    <cellStyle name="Normal 2 5 2 6 5 4" xfId="31093" xr:uid="{6D90DC2A-C395-43BA-86F8-0E1D6B7F8C6B}"/>
    <cellStyle name="Normal 2 5 2 6 5 5" xfId="38708" xr:uid="{5086786A-0BD2-4AD7-8578-A9E4C7D36ECB}"/>
    <cellStyle name="Normal 2 5 2 6 6" xfId="22601" xr:uid="{18CFFBD5-8974-4479-AE3F-29A82E3463B1}"/>
    <cellStyle name="Normal 2 5 2 6 7" xfId="16941" xr:uid="{A85811CD-71CE-4265-AC5C-885C051F3548}"/>
    <cellStyle name="Normal 2 5 2 6 8" xfId="28262" xr:uid="{FC562F13-8094-4539-AD67-52FF7185DF1E}"/>
    <cellStyle name="Normal 2 5 2 6 9" xfId="38697" xr:uid="{35846299-785A-4C3F-B090-EEC6FB321C20}"/>
    <cellStyle name="Normal 2 5 2 7" xfId="5015" xr:uid="{00000000-0005-0000-0000-000071180000}"/>
    <cellStyle name="Normal 2 5 2 7 2" xfId="6878" xr:uid="{00000000-0005-0000-0000-000072180000}"/>
    <cellStyle name="Normal 2 5 2 7 2 2" xfId="15311" xr:uid="{00000000-0005-0000-0000-000073180000}"/>
    <cellStyle name="Normal 2 5 2 7 2 2 2" xfId="27205" xr:uid="{D2AF456E-2F81-4C0D-A168-8D1D9E131D0C}"/>
    <cellStyle name="Normal 2 5 2 7 2 2 3" xfId="21545" xr:uid="{43A9DC6E-3AC4-4E63-9F91-89E4E3E90B3C}"/>
    <cellStyle name="Normal 2 5 2 7 2 2 4" xfId="32585" xr:uid="{5FD3CE0B-BEC9-4199-93EA-6B3F3F9EC345}"/>
    <cellStyle name="Normal 2 5 2 7 2 2 5" xfId="38711" xr:uid="{87235334-2F18-401A-878E-DC519B736D68}"/>
    <cellStyle name="Normal 2 5 2 7 2 3" xfId="24372" xr:uid="{4A4F8E8F-25C8-4DBC-AB73-B99A8472D326}"/>
    <cellStyle name="Normal 2 5 2 7 2 4" xfId="18712" xr:uid="{DD82EA5A-E5CD-49B7-A718-792865CE493C}"/>
    <cellStyle name="Normal 2 5 2 7 2 5" xfId="30033" xr:uid="{891B7252-1770-4954-9188-4EE3E8370B4D}"/>
    <cellStyle name="Normal 2 5 2 7 2 6" xfId="38710" xr:uid="{4F054C51-2C93-4C99-88F6-3785E50EA440}"/>
    <cellStyle name="Normal 2 5 2 7 3" xfId="13927" xr:uid="{00000000-0005-0000-0000-000074180000}"/>
    <cellStyle name="Normal 2 5 2 7 3 2" xfId="25968" xr:uid="{7130A463-EEC9-49D3-B25A-B852FB30EFFE}"/>
    <cellStyle name="Normal 2 5 2 7 3 3" xfId="20308" xr:uid="{2C6935A0-4C0E-4740-9233-8C304A76ABEC}"/>
    <cellStyle name="Normal 2 5 2 7 3 4" xfId="31348" xr:uid="{73CC0A8E-3DCE-4121-914E-672A07749CF5}"/>
    <cellStyle name="Normal 2 5 2 7 3 5" xfId="38712" xr:uid="{36F961EA-307E-4D37-8752-B600E2C8555B}"/>
    <cellStyle name="Normal 2 5 2 7 4" xfId="22810" xr:uid="{96976E3D-347C-4AD4-AF41-715952052DFB}"/>
    <cellStyle name="Normal 2 5 2 7 5" xfId="17150" xr:uid="{5DF73089-00AC-4542-BAF6-1522AA751F89}"/>
    <cellStyle name="Normal 2 5 2 7 6" xfId="28471" xr:uid="{AB482A4D-FEAB-4643-ADCA-A012A0514D7B}"/>
    <cellStyle name="Normal 2 5 2 7 7" xfId="38709" xr:uid="{0219D734-B407-4A34-90C3-047F645B84DF}"/>
    <cellStyle name="Normal 2 5 2 8" xfId="5790" xr:uid="{00000000-0005-0000-0000-000075180000}"/>
    <cellStyle name="Normal 2 5 2 8 2" xfId="7298" xr:uid="{00000000-0005-0000-0000-000076180000}"/>
    <cellStyle name="Normal 2 5 2 8 2 2" xfId="15731" xr:uid="{00000000-0005-0000-0000-000077180000}"/>
    <cellStyle name="Normal 2 5 2 8 2 2 2" xfId="27625" xr:uid="{7F75F8A1-3B2B-475F-B0DA-2FEF48250228}"/>
    <cellStyle name="Normal 2 5 2 8 2 2 3" xfId="21965" xr:uid="{BE9F2A98-C1D9-41B5-91E5-F38803D218CD}"/>
    <cellStyle name="Normal 2 5 2 8 2 2 4" xfId="33005" xr:uid="{1D222203-405D-4DAC-8877-446746B9A115}"/>
    <cellStyle name="Normal 2 5 2 8 2 2 5" xfId="38715" xr:uid="{7C76F7FC-2450-4F3D-A618-7C07E84D0099}"/>
    <cellStyle name="Normal 2 5 2 8 2 3" xfId="24792" xr:uid="{1E877570-40EF-4743-89D7-D9F2830C6A40}"/>
    <cellStyle name="Normal 2 5 2 8 2 4" xfId="19132" xr:uid="{96A9C1B1-A90B-41FD-8D02-506B054774B1}"/>
    <cellStyle name="Normal 2 5 2 8 2 5" xfId="30453" xr:uid="{F8C040A3-C3A0-4470-B2E3-310E51B8CB96}"/>
    <cellStyle name="Normal 2 5 2 8 2 6" xfId="38714" xr:uid="{C631994D-D274-4186-9054-EE86E789388B}"/>
    <cellStyle name="Normal 2 5 2 8 3" xfId="14373" xr:uid="{00000000-0005-0000-0000-000078180000}"/>
    <cellStyle name="Normal 2 5 2 8 3 2" xfId="26367" xr:uid="{C3E957EA-C627-46E1-B915-912A6AF636A2}"/>
    <cellStyle name="Normal 2 5 2 8 3 3" xfId="20707" xr:uid="{F84FFDF0-1157-45C4-9647-B7551A6EA244}"/>
    <cellStyle name="Normal 2 5 2 8 3 4" xfId="31747" xr:uid="{3E42FD52-4508-4B0F-9491-A2DBFD8BDBFD}"/>
    <cellStyle name="Normal 2 5 2 8 3 5" xfId="38716" xr:uid="{0C2AEB9D-93BC-426C-AECF-7203D0842F8A}"/>
    <cellStyle name="Normal 2 5 2 8 4" xfId="23451" xr:uid="{2C2F7184-C5C9-482D-82B2-6CC4D640A381}"/>
    <cellStyle name="Normal 2 5 2 8 5" xfId="17791" xr:uid="{72F3446C-E86F-4759-9952-D416A736EB93}"/>
    <cellStyle name="Normal 2 5 2 8 6" xfId="29112" xr:uid="{A78D66A2-86A1-40C9-A661-3DBF0C7B5A90}"/>
    <cellStyle name="Normal 2 5 2 8 7" xfId="38713" xr:uid="{FCB3E31A-D580-4E61-8582-50172EF2E52C}"/>
    <cellStyle name="Normal 2 5 2 9" xfId="6460" xr:uid="{00000000-0005-0000-0000-000079180000}"/>
    <cellStyle name="Normal 2 5 2 9 2" xfId="14893" xr:uid="{00000000-0005-0000-0000-00007A180000}"/>
    <cellStyle name="Normal 2 5 2 9 2 2" xfId="26787" xr:uid="{B99C75AD-35AD-484B-A763-587927A4E324}"/>
    <cellStyle name="Normal 2 5 2 9 2 3" xfId="21127" xr:uid="{74716540-4F9F-457A-990F-4DCF0D8D05DD}"/>
    <cellStyle name="Normal 2 5 2 9 2 4" xfId="32167" xr:uid="{71F6743D-EF5F-48B2-AEDF-3B11FE225A37}"/>
    <cellStyle name="Normal 2 5 2 9 2 5" xfId="38718" xr:uid="{FA43C5CD-848E-4F71-9D85-D89C3D06A5E0}"/>
    <cellStyle name="Normal 2 5 2 9 3" xfId="23954" xr:uid="{F7216570-680E-4C7A-8853-4DE5D8DCB041}"/>
    <cellStyle name="Normal 2 5 2 9 4" xfId="18294" xr:uid="{9C95AF4A-A849-4EBF-8A90-719BD6688220}"/>
    <cellStyle name="Normal 2 5 2 9 5" xfId="29615" xr:uid="{D22A20BE-B44A-4101-87E6-AA221009A349}"/>
    <cellStyle name="Normal 2 5 2 9 6" xfId="38717" xr:uid="{6B950642-B4A7-4B8D-B8E3-1DFD46475DB5}"/>
    <cellStyle name="Normal 2 5 3" xfId="2090" xr:uid="{00000000-0005-0000-0000-00007B180000}"/>
    <cellStyle name="Normal 2 5 3 2" xfId="38719" xr:uid="{7B2C71F4-8B4D-43C0-AE7F-2D41390B6FD4}"/>
    <cellStyle name="Normal 2 5 4" xfId="2091" xr:uid="{00000000-0005-0000-0000-00007C180000}"/>
    <cellStyle name="Normal 2 5 4 2" xfId="38720" xr:uid="{0B32874C-6A27-4C04-85FA-8B1D1E7FCBD0}"/>
    <cellStyle name="Normal 2 5 5" xfId="2092" xr:uid="{00000000-0005-0000-0000-00007D180000}"/>
    <cellStyle name="Normal 2 5 5 2" xfId="38721" xr:uid="{AF68445F-A115-476F-A6AB-433F2BD1692C}"/>
    <cellStyle name="Normal 2 5 6" xfId="2093" xr:uid="{00000000-0005-0000-0000-00007E180000}"/>
    <cellStyle name="Normal 2 5 6 2" xfId="38722" xr:uid="{54671DF4-2012-40B0-8F09-C3C56D4586EF}"/>
    <cellStyle name="Normal 2 5 7" xfId="2094" xr:uid="{00000000-0005-0000-0000-00007F180000}"/>
    <cellStyle name="Normal 2 5 7 2" xfId="38723" xr:uid="{A9342028-35D2-4137-B0B7-6C0D300E3B96}"/>
    <cellStyle name="Normal 2 5 8" xfId="2095" xr:uid="{00000000-0005-0000-0000-000080180000}"/>
    <cellStyle name="Normal 2 5 8 2" xfId="38724" xr:uid="{E795153D-234C-4FA5-A20A-D409AD504161}"/>
    <cellStyle name="Normal 2 5 9" xfId="2096" xr:uid="{00000000-0005-0000-0000-000081180000}"/>
    <cellStyle name="Normal 2 5 9 2" xfId="38725" xr:uid="{B09BF0AD-58F1-47CA-A153-7FDC376FAC52}"/>
    <cellStyle name="Normal 2 50" xfId="5010" xr:uid="{00000000-0005-0000-0000-000082180000}"/>
    <cellStyle name="Normal 2 50 2" xfId="6873" xr:uid="{00000000-0005-0000-0000-000083180000}"/>
    <cellStyle name="Normal 2 50 2 2" xfId="15306" xr:uid="{00000000-0005-0000-0000-000084180000}"/>
    <cellStyle name="Normal 2 50 2 2 2" xfId="27200" xr:uid="{F4BBBF4D-AB1C-4561-892B-9BD810018289}"/>
    <cellStyle name="Normal 2 50 2 2 3" xfId="21540" xr:uid="{5299AFA9-BC86-49EC-8F39-6F69B1A182A8}"/>
    <cellStyle name="Normal 2 50 2 2 4" xfId="32580" xr:uid="{3A01B63E-CC72-44F6-B474-D0E64E822E1E}"/>
    <cellStyle name="Normal 2 50 2 2 5" xfId="38728" xr:uid="{1F26683C-B515-4DC4-B453-48A99556D4D3}"/>
    <cellStyle name="Normal 2 50 2 3" xfId="24367" xr:uid="{EE19E5E0-8CB7-4E31-8960-06D5981FA624}"/>
    <cellStyle name="Normal 2 50 2 4" xfId="18707" xr:uid="{3587679B-D1CB-496B-8B5C-DBA9FF044CAD}"/>
    <cellStyle name="Normal 2 50 2 5" xfId="30028" xr:uid="{A7D0EAC9-14AF-4E6E-A207-3049D853B1FC}"/>
    <cellStyle name="Normal 2 50 2 6" xfId="38727" xr:uid="{680D3B06-C289-4808-9F41-B1A4FF02D323}"/>
    <cellStyle name="Normal 2 50 3" xfId="13923" xr:uid="{00000000-0005-0000-0000-000085180000}"/>
    <cellStyle name="Normal 2 50 3 2" xfId="25964" xr:uid="{F0AA283F-2A13-42BD-9219-C93A0D086192}"/>
    <cellStyle name="Normal 2 50 3 3" xfId="20304" xr:uid="{00197A92-B830-4039-91B3-B0ED71DEB1C2}"/>
    <cellStyle name="Normal 2 50 3 4" xfId="31344" xr:uid="{6D028481-68D8-49CC-B715-7F97FDDBE085}"/>
    <cellStyle name="Normal 2 50 3 5" xfId="38729" xr:uid="{E3CEBD49-CCC8-4047-A01A-84D82838359B}"/>
    <cellStyle name="Normal 2 50 4" xfId="22805" xr:uid="{43F7BD7E-47C3-495B-B4D6-18AD1A2CC47F}"/>
    <cellStyle name="Normal 2 50 5" xfId="17145" xr:uid="{AECE645B-E8B9-44F4-B0F9-FF7ACC01B6AC}"/>
    <cellStyle name="Normal 2 50 6" xfId="28466" xr:uid="{A06FBC23-6546-47DA-9E93-BF4B0099982D}"/>
    <cellStyle name="Normal 2 50 7" xfId="38726" xr:uid="{F2B4A5D7-22E5-4D76-9953-E4E90DFC2E0A}"/>
    <cellStyle name="Normal 2 51" xfId="5647" xr:uid="{00000000-0005-0000-0000-000086180000}"/>
    <cellStyle name="Normal 2 51 2" xfId="14346" xr:uid="{00000000-0005-0000-0000-000087180000}"/>
    <cellStyle name="Normal 2 51 2 2" xfId="38731" xr:uid="{4A5DCD0D-062C-4258-8BA4-88FB50CC3773}"/>
    <cellStyle name="Normal 2 51 3" xfId="38730" xr:uid="{4973A0C3-5520-4526-A582-4C0F8D7C912E}"/>
    <cellStyle name="Normal 2 52" xfId="6428" xr:uid="{00000000-0005-0000-0000-000088180000}"/>
    <cellStyle name="Normal 2 52 2" xfId="14863" xr:uid="{00000000-0005-0000-0000-000089180000}"/>
    <cellStyle name="Normal 2 52 2 2" xfId="38733" xr:uid="{EC163EF4-A5F7-4F8E-A859-ABE013310FFE}"/>
    <cellStyle name="Normal 2 52 3" xfId="38732" xr:uid="{064FF094-0B91-4AFC-B40F-DAEB0664B2B5}"/>
    <cellStyle name="Normal 2 53" xfId="6455" xr:uid="{00000000-0005-0000-0000-00008A180000}"/>
    <cellStyle name="Normal 2 53 2" xfId="14888" xr:uid="{00000000-0005-0000-0000-00008B180000}"/>
    <cellStyle name="Normal 2 53 2 2" xfId="26782" xr:uid="{CFA7970F-B887-4233-A2AE-2595DE1DF8E6}"/>
    <cellStyle name="Normal 2 53 2 3" xfId="21122" xr:uid="{54A8BC3F-0DA1-46BE-8A75-F6C9FB2C0C8B}"/>
    <cellStyle name="Normal 2 53 2 4" xfId="32162" xr:uid="{1C581B63-93A8-4F17-A58D-53F18DB5DD4B}"/>
    <cellStyle name="Normal 2 53 2 5" xfId="38735" xr:uid="{BBDCCFBE-DF8F-40EE-919F-0BA7E705626F}"/>
    <cellStyle name="Normal 2 53 3" xfId="23949" xr:uid="{B51ADEB0-7DD4-4E52-B687-3BCE7E000FC4}"/>
    <cellStyle name="Normal 2 53 4" xfId="18289" xr:uid="{E75C2A43-E59D-4159-BB27-581D64BDAB16}"/>
    <cellStyle name="Normal 2 53 5" xfId="29610" xr:uid="{89CED43A-25F5-4964-A053-05573A6DE416}"/>
    <cellStyle name="Normal 2 53 6" xfId="38734" xr:uid="{0E715CC9-4ECB-4939-8D37-A5CA6DA93B09}"/>
    <cellStyle name="Normal 2 54" xfId="7711" xr:uid="{00000000-0005-0000-0000-00008C180000}"/>
    <cellStyle name="Normal 2 54 2" xfId="16144" xr:uid="{00000000-0005-0000-0000-00008D180000}"/>
    <cellStyle name="Normal 2 54 2 2" xfId="28038" xr:uid="{9D9CE5B9-FAB4-482A-93F4-4A1981145A7A}"/>
    <cellStyle name="Normal 2 54 2 3" xfId="22378" xr:uid="{937DA69F-AABC-4F5B-BAB5-D8AEB7D57AEB}"/>
    <cellStyle name="Normal 2 54 2 4" xfId="33418" xr:uid="{14103135-57BC-4CB4-97C9-74BF8383AAEA}"/>
    <cellStyle name="Normal 2 54 2 5" xfId="38737" xr:uid="{09F6AC91-6AF8-4952-8AC5-EB24C320EE25}"/>
    <cellStyle name="Normal 2 54 3" xfId="25205" xr:uid="{72480EB4-5A79-4EE7-81B7-FC430BB1A62E}"/>
    <cellStyle name="Normal 2 54 4" xfId="19545" xr:uid="{31BD9D60-4951-4384-999A-18219FAECBAE}"/>
    <cellStyle name="Normal 2 54 5" xfId="30866" xr:uid="{34346D64-A5F2-47B6-8BFA-4B5A4A56F9E3}"/>
    <cellStyle name="Normal 2 54 6" xfId="38736" xr:uid="{412E6A33-B4AB-4E96-8E1A-10CC863FBB8D}"/>
    <cellStyle name="Normal 2 55" xfId="22387" xr:uid="{40E3FB5A-8FF8-48CF-898F-CCED084A3008}"/>
    <cellStyle name="Normal 2 56" xfId="16727" xr:uid="{22CA3ADB-F180-45AC-88B7-26205F3030DF}"/>
    <cellStyle name="Normal 2 57" xfId="28048" xr:uid="{FF4B664C-F5C3-4425-9BE2-37B4BBF48E04}"/>
    <cellStyle name="Normal 2 58" xfId="36954" xr:uid="{AC7336B9-E17D-4003-BA7E-02D11B02A760}"/>
    <cellStyle name="Normal 2 6" xfId="150" xr:uid="{00000000-0005-0000-0000-00008E180000}"/>
    <cellStyle name="Normal 2 6 10" xfId="2098" xr:uid="{00000000-0005-0000-0000-00008F180000}"/>
    <cellStyle name="Normal 2 6 10 2" xfId="38739" xr:uid="{1CC71312-0ECA-47FD-808C-25F1539BC1C2}"/>
    <cellStyle name="Normal 2 6 11" xfId="2099" xr:uid="{00000000-0005-0000-0000-000090180000}"/>
    <cellStyle name="Normal 2 6 11 2" xfId="38740" xr:uid="{F77B5F42-5C6E-4D14-875A-8A376C88E285}"/>
    <cellStyle name="Normal 2 6 12" xfId="2100" xr:uid="{00000000-0005-0000-0000-000091180000}"/>
    <cellStyle name="Normal 2 6 12 2" xfId="38741" xr:uid="{8F953C87-1208-404D-8831-C538AEF2EEFF}"/>
    <cellStyle name="Normal 2 6 13" xfId="2101" xr:uid="{00000000-0005-0000-0000-000092180000}"/>
    <cellStyle name="Normal 2 6 13 2" xfId="38742" xr:uid="{908A548D-1556-45B9-A7A8-071DE440B61D}"/>
    <cellStyle name="Normal 2 6 14" xfId="2102" xr:uid="{00000000-0005-0000-0000-000093180000}"/>
    <cellStyle name="Normal 2 6 14 2" xfId="38743" xr:uid="{54D115FF-3A95-4C7D-97C0-A970EE921F51}"/>
    <cellStyle name="Normal 2 6 15" xfId="2103" xr:uid="{00000000-0005-0000-0000-000094180000}"/>
    <cellStyle name="Normal 2 6 15 2" xfId="38744" xr:uid="{9FAD6C2A-0064-41A5-BD0C-7C587992B477}"/>
    <cellStyle name="Normal 2 6 16" xfId="2104" xr:uid="{00000000-0005-0000-0000-000095180000}"/>
    <cellStyle name="Normal 2 6 16 2" xfId="38746" xr:uid="{F4A6C5F2-41CE-41DA-96A7-071F23730FFE}"/>
    <cellStyle name="Normal 2 6 16 3" xfId="38745" xr:uid="{022DB3E1-EF3C-4BCC-A661-ED2A34723819}"/>
    <cellStyle name="Normal 2 6 17" xfId="2097" xr:uid="{00000000-0005-0000-0000-000096180000}"/>
    <cellStyle name="Normal 2 6 17 10" xfId="38747" xr:uid="{C44AABA0-0397-4827-B056-8EC7F52EB349}"/>
    <cellStyle name="Normal 2 6 17 2" xfId="4855" xr:uid="{00000000-0005-0000-0000-000097180000}"/>
    <cellStyle name="Normal 2 6 17 2 2" xfId="5274" xr:uid="{00000000-0005-0000-0000-000098180000}"/>
    <cellStyle name="Normal 2 6 17 2 2 2" xfId="7137" xr:uid="{00000000-0005-0000-0000-000099180000}"/>
    <cellStyle name="Normal 2 6 17 2 2 2 2" xfId="15570" xr:uid="{00000000-0005-0000-0000-00009A180000}"/>
    <cellStyle name="Normal 2 6 17 2 2 2 2 2" xfId="27464" xr:uid="{8EDEA2DE-F2F4-4527-9114-BC2F7A52C248}"/>
    <cellStyle name="Normal 2 6 17 2 2 2 2 3" xfId="21804" xr:uid="{A18FD5B3-3A12-491B-A799-958369EFE4C1}"/>
    <cellStyle name="Normal 2 6 17 2 2 2 2 4" xfId="32844" xr:uid="{7A8E5173-F467-4B40-B9C4-8ED04C9228DD}"/>
    <cellStyle name="Normal 2 6 17 2 2 2 2 5" xfId="38751" xr:uid="{9213B449-FA98-4FA4-92FA-C009527657C8}"/>
    <cellStyle name="Normal 2 6 17 2 2 2 3" xfId="24631" xr:uid="{6E6CC5AB-C4D1-4241-AC73-89746FAB4D6C}"/>
    <cellStyle name="Normal 2 6 17 2 2 2 4" xfId="18971" xr:uid="{4969E7E9-A6DC-4B38-B373-F5E8EC80E8F5}"/>
    <cellStyle name="Normal 2 6 17 2 2 2 5" xfId="30292" xr:uid="{14416B2D-5B88-4F39-A0B9-60C3D3D3FCBE}"/>
    <cellStyle name="Normal 2 6 17 2 2 2 6" xfId="38750" xr:uid="{7BFBB63F-E01D-4A71-96A5-D714CA78FB98}"/>
    <cellStyle name="Normal 2 6 17 2 2 3" xfId="14160" xr:uid="{00000000-0005-0000-0000-00009B180000}"/>
    <cellStyle name="Normal 2 6 17 2 2 3 2" xfId="26199" xr:uid="{642E1C7F-DD1D-4F3B-999F-AF1345067DC2}"/>
    <cellStyle name="Normal 2 6 17 2 2 3 3" xfId="20539" xr:uid="{FD0772B0-510D-4728-BF6F-ADB17E72A679}"/>
    <cellStyle name="Normal 2 6 17 2 2 3 4" xfId="31579" xr:uid="{3E3B9B44-B1D8-4D28-998D-F5FDCEE2B078}"/>
    <cellStyle name="Normal 2 6 17 2 2 3 5" xfId="38752" xr:uid="{7C7E0017-349B-4B19-951A-106DAB360F58}"/>
    <cellStyle name="Normal 2 6 17 2 2 4" xfId="23069" xr:uid="{5BE5C5D4-4210-4DCB-91A6-A1A4F7268F6E}"/>
    <cellStyle name="Normal 2 6 17 2 2 5" xfId="17409" xr:uid="{703356D1-E42F-42B9-9BC9-F7C4A23BC8F5}"/>
    <cellStyle name="Normal 2 6 17 2 2 6" xfId="28730" xr:uid="{003AD4AA-A3CB-430F-A452-81697CF80882}"/>
    <cellStyle name="Normal 2 6 17 2 2 7" xfId="38749" xr:uid="{29A82DE9-290B-4F35-AB89-111EA562863E}"/>
    <cellStyle name="Normal 2 6 17 2 3" xfId="6178" xr:uid="{00000000-0005-0000-0000-00009C180000}"/>
    <cellStyle name="Normal 2 6 17 2 3 2" xfId="7517" xr:uid="{00000000-0005-0000-0000-00009D180000}"/>
    <cellStyle name="Normal 2 6 17 2 3 2 2" xfId="15950" xr:uid="{00000000-0005-0000-0000-00009E180000}"/>
    <cellStyle name="Normal 2 6 17 2 3 2 2 2" xfId="27844" xr:uid="{37D3398F-7F2E-45FB-B8E2-C1715BD7A44C}"/>
    <cellStyle name="Normal 2 6 17 2 3 2 2 3" xfId="22184" xr:uid="{77066B81-3B7D-4649-BE53-C3C869370FFA}"/>
    <cellStyle name="Normal 2 6 17 2 3 2 2 4" xfId="33224" xr:uid="{9F1B037E-E3A0-4E15-9630-C150968D6B22}"/>
    <cellStyle name="Normal 2 6 17 2 3 2 2 5" xfId="38755" xr:uid="{09AB2514-C1C0-45DD-96BD-FD57E2BE1485}"/>
    <cellStyle name="Normal 2 6 17 2 3 2 3" xfId="25011" xr:uid="{DB18A53A-D71D-4A21-8293-1B8E54F8F4EC}"/>
    <cellStyle name="Normal 2 6 17 2 3 2 4" xfId="19351" xr:uid="{6FD2B93D-8A33-4C0C-A9AD-50C9AAE35AA5}"/>
    <cellStyle name="Normal 2 6 17 2 3 2 5" xfId="30672" xr:uid="{A9333442-AD17-4D77-A4A7-036922AF4EA7}"/>
    <cellStyle name="Normal 2 6 17 2 3 2 6" xfId="38754" xr:uid="{B5187DF4-672C-4E78-9178-F208922D27C6}"/>
    <cellStyle name="Normal 2 6 17 2 3 3" xfId="14630" xr:uid="{00000000-0005-0000-0000-00009F180000}"/>
    <cellStyle name="Normal 2 6 17 2 3 3 2" xfId="26588" xr:uid="{EF7BABC3-1B3E-47D5-B4BE-C97F88A30084}"/>
    <cellStyle name="Normal 2 6 17 2 3 3 3" xfId="20928" xr:uid="{9931315F-C3C4-4CD9-B60C-1ED9B27949D7}"/>
    <cellStyle name="Normal 2 6 17 2 3 3 4" xfId="31968" xr:uid="{45D2C4FE-B1C1-4A02-891B-53793F8DAF0B}"/>
    <cellStyle name="Normal 2 6 17 2 3 3 5" xfId="38756" xr:uid="{B5E4D50A-F649-41D4-B847-0F6B393F53EF}"/>
    <cellStyle name="Normal 2 6 17 2 3 4" xfId="23755" xr:uid="{354BD9AE-FFB3-401D-A959-465D394271C6}"/>
    <cellStyle name="Normal 2 6 17 2 3 5" xfId="18095" xr:uid="{F8FED6B2-4C86-40AD-99AE-19911DBBAD21}"/>
    <cellStyle name="Normal 2 6 17 2 3 6" xfId="29416" xr:uid="{4B3E5422-DB0F-4142-B623-3C326C7E4C52}"/>
    <cellStyle name="Normal 2 6 17 2 3 7" xfId="38753" xr:uid="{EA6135F9-EA10-4A56-9428-00C0E8B76D6C}"/>
    <cellStyle name="Normal 2 6 17 2 4" xfId="6719" xr:uid="{00000000-0005-0000-0000-0000A0180000}"/>
    <cellStyle name="Normal 2 6 17 2 4 2" xfId="15152" xr:uid="{00000000-0005-0000-0000-0000A1180000}"/>
    <cellStyle name="Normal 2 6 17 2 4 2 2" xfId="27046" xr:uid="{EE459E23-0E8E-4788-A8C0-97644C96B08B}"/>
    <cellStyle name="Normal 2 6 17 2 4 2 3" xfId="21386" xr:uid="{E3DEBE40-1708-4F9D-AEE8-A07C9962F956}"/>
    <cellStyle name="Normal 2 6 17 2 4 2 4" xfId="32426" xr:uid="{E575F645-6A8F-40DC-9205-142FF71CC45D}"/>
    <cellStyle name="Normal 2 6 17 2 4 2 5" xfId="38758" xr:uid="{CD1520F9-A020-4BC6-8563-55667B1DD2D4}"/>
    <cellStyle name="Normal 2 6 17 2 4 3" xfId="24213" xr:uid="{B87D05B0-7F1F-4B6E-A09B-86B09CFDFE1B}"/>
    <cellStyle name="Normal 2 6 17 2 4 4" xfId="18553" xr:uid="{B39B7DBF-E7AE-4E0E-9FD8-1303BBE2745F}"/>
    <cellStyle name="Normal 2 6 17 2 4 5" xfId="29874" xr:uid="{9DF6EDF6-5FE0-4BF2-B903-10745ED35C42}"/>
    <cellStyle name="Normal 2 6 17 2 4 6" xfId="38757" xr:uid="{C96D1BD0-DBB1-4EC9-88B7-DEA28E1DE2D1}"/>
    <cellStyle name="Normal 2 6 17 2 5" xfId="7953" xr:uid="{00000000-0005-0000-0000-0000A2180000}"/>
    <cellStyle name="Normal 2 6 17 2 5 2" xfId="25434" xr:uid="{52CCC4A4-E327-4BE6-BD05-38D460A28F09}"/>
    <cellStyle name="Normal 2 6 17 2 5 3" xfId="19774" xr:uid="{3305627E-F8AE-41C5-928D-EBEF4F40718E}"/>
    <cellStyle name="Normal 2 6 17 2 5 4" xfId="31095" xr:uid="{10A02D28-F538-4E17-88A7-2EAA336405D9}"/>
    <cellStyle name="Normal 2 6 17 2 5 5" xfId="38759" xr:uid="{E43B8EA3-0CC5-4D97-8BB8-82102A718CA7}"/>
    <cellStyle name="Normal 2 6 17 2 6" xfId="22651" xr:uid="{BCC6A4D2-38A5-46A3-BC93-96DC5948A1D4}"/>
    <cellStyle name="Normal 2 6 17 2 7" xfId="16991" xr:uid="{9574ABBE-928B-4C25-B17F-7E9348C50301}"/>
    <cellStyle name="Normal 2 6 17 2 8" xfId="28312" xr:uid="{4B1A034D-FC7F-4F3D-9856-92456294DEF5}"/>
    <cellStyle name="Normal 2 6 17 2 9" xfId="38748" xr:uid="{73A20A9D-A266-491A-AF16-AAF157B0E128}"/>
    <cellStyle name="Normal 2 6 17 3" xfId="5065" xr:uid="{00000000-0005-0000-0000-0000A3180000}"/>
    <cellStyle name="Normal 2 6 17 3 2" xfId="6928" xr:uid="{00000000-0005-0000-0000-0000A4180000}"/>
    <cellStyle name="Normal 2 6 17 3 2 2" xfId="15361" xr:uid="{00000000-0005-0000-0000-0000A5180000}"/>
    <cellStyle name="Normal 2 6 17 3 2 2 2" xfId="27255" xr:uid="{B271037F-77B2-4F45-9A2B-B7F9176BAF91}"/>
    <cellStyle name="Normal 2 6 17 3 2 2 3" xfId="21595" xr:uid="{3C6A3853-0409-4F0C-A632-2507CB5DBA75}"/>
    <cellStyle name="Normal 2 6 17 3 2 2 4" xfId="32635" xr:uid="{C359D61F-4050-4844-90B3-CB3C483400F8}"/>
    <cellStyle name="Normal 2 6 17 3 2 2 5" xfId="38762" xr:uid="{4A0D91C4-7CA8-403F-9598-0B015FF85921}"/>
    <cellStyle name="Normal 2 6 17 3 2 3" xfId="24422" xr:uid="{6AEA3381-B9B3-4809-9F33-8AB962310B37}"/>
    <cellStyle name="Normal 2 6 17 3 2 4" xfId="18762" xr:uid="{59B7BB54-968C-4ED0-BA1F-DF22BB2E710E}"/>
    <cellStyle name="Normal 2 6 17 3 2 5" xfId="30083" xr:uid="{4EB54544-7D8D-46E5-9856-D541BC9AC9C4}"/>
    <cellStyle name="Normal 2 6 17 3 2 6" xfId="38761" xr:uid="{75416261-15BC-45E6-8CD5-0D1354562B0F}"/>
    <cellStyle name="Normal 2 6 17 3 3" xfId="13960" xr:uid="{00000000-0005-0000-0000-0000A6180000}"/>
    <cellStyle name="Normal 2 6 17 3 3 2" xfId="26001" xr:uid="{FC23A2DD-965B-42FB-B17E-4C5A40864C06}"/>
    <cellStyle name="Normal 2 6 17 3 3 3" xfId="20341" xr:uid="{9F678088-D049-488C-BBBC-50C8B8FA7BC6}"/>
    <cellStyle name="Normal 2 6 17 3 3 4" xfId="31381" xr:uid="{33E6ECBC-AE96-40D5-97E9-813473EB92D9}"/>
    <cellStyle name="Normal 2 6 17 3 3 5" xfId="38763" xr:uid="{219BF801-E885-4231-8A19-B1A57ED925C1}"/>
    <cellStyle name="Normal 2 6 17 3 4" xfId="22860" xr:uid="{CBB3BB31-3B01-4C81-8F50-235E693A73B2}"/>
    <cellStyle name="Normal 2 6 17 3 5" xfId="17200" xr:uid="{71467674-A068-41E6-ADB6-81970215D9B9}"/>
    <cellStyle name="Normal 2 6 17 3 6" xfId="28521" xr:uid="{56B778D1-6D20-4A14-8F78-CBDA9689B63A}"/>
    <cellStyle name="Normal 2 6 17 3 7" xfId="38760" xr:uid="{A6A4FCBB-B0A5-4C10-B8F9-4DEF0937D8EA}"/>
    <cellStyle name="Normal 2 6 17 4" xfId="6177" xr:uid="{00000000-0005-0000-0000-0000A7180000}"/>
    <cellStyle name="Normal 2 6 17 4 2" xfId="7516" xr:uid="{00000000-0005-0000-0000-0000A8180000}"/>
    <cellStyle name="Normal 2 6 17 4 2 2" xfId="15949" xr:uid="{00000000-0005-0000-0000-0000A9180000}"/>
    <cellStyle name="Normal 2 6 17 4 2 2 2" xfId="27843" xr:uid="{DF6CCDD1-5C30-4688-A635-80A35ED9AE94}"/>
    <cellStyle name="Normal 2 6 17 4 2 2 3" xfId="22183" xr:uid="{C8434B13-D8DA-4298-95BC-5012938A2E23}"/>
    <cellStyle name="Normal 2 6 17 4 2 2 4" xfId="33223" xr:uid="{1F3DC6AE-5A8A-413A-872B-1C1CA48EE571}"/>
    <cellStyle name="Normal 2 6 17 4 2 2 5" xfId="38766" xr:uid="{FF372E95-F423-414F-8786-B032D18A977D}"/>
    <cellStyle name="Normal 2 6 17 4 2 3" xfId="25010" xr:uid="{E07159D9-CBC8-419E-A8FF-C0D51CAEF2DA}"/>
    <cellStyle name="Normal 2 6 17 4 2 4" xfId="19350" xr:uid="{26A35229-AD79-4AA5-AC32-85BE53109309}"/>
    <cellStyle name="Normal 2 6 17 4 2 5" xfId="30671" xr:uid="{921B4F00-0E9D-4431-A28D-2562F662CBF2}"/>
    <cellStyle name="Normal 2 6 17 4 2 6" xfId="38765" xr:uid="{EBEBF19D-2021-4D03-AAB8-1DE908A173EC}"/>
    <cellStyle name="Normal 2 6 17 4 3" xfId="14629" xr:uid="{00000000-0005-0000-0000-0000AA180000}"/>
    <cellStyle name="Normal 2 6 17 4 3 2" xfId="26587" xr:uid="{12C30A07-0A90-4B80-B5BB-65276D988A79}"/>
    <cellStyle name="Normal 2 6 17 4 3 3" xfId="20927" xr:uid="{1F21AFCF-04BE-4C79-B26A-0A33879B3098}"/>
    <cellStyle name="Normal 2 6 17 4 3 4" xfId="31967" xr:uid="{989FA20E-DD5A-4AEB-AB2F-D29C616B2339}"/>
    <cellStyle name="Normal 2 6 17 4 3 5" xfId="38767" xr:uid="{C0447C51-322C-47B1-A4EF-F017CCDE73A9}"/>
    <cellStyle name="Normal 2 6 17 4 4" xfId="23754" xr:uid="{46492AEA-0F28-4D49-B57D-14F239A5FD49}"/>
    <cellStyle name="Normal 2 6 17 4 5" xfId="18094" xr:uid="{F8C1473D-A567-4CEF-A904-5634FD32498B}"/>
    <cellStyle name="Normal 2 6 17 4 6" xfId="29415" xr:uid="{BA9568D0-D4B5-427C-98FE-0D1E5E27EC49}"/>
    <cellStyle name="Normal 2 6 17 4 7" xfId="38764" xr:uid="{D6B23B61-A074-4757-99B2-D7D3CB2C0DF6}"/>
    <cellStyle name="Normal 2 6 17 5" xfId="6510" xr:uid="{00000000-0005-0000-0000-0000AB180000}"/>
    <cellStyle name="Normal 2 6 17 5 2" xfId="14943" xr:uid="{00000000-0005-0000-0000-0000AC180000}"/>
    <cellStyle name="Normal 2 6 17 5 2 2" xfId="26837" xr:uid="{69757B16-9002-4058-A22A-55067F09A3CE}"/>
    <cellStyle name="Normal 2 6 17 5 2 3" xfId="21177" xr:uid="{7CD4C4FD-8240-4D64-83E5-0A213DB794C9}"/>
    <cellStyle name="Normal 2 6 17 5 2 4" xfId="32217" xr:uid="{D1D5CEC7-0A4C-49D4-A4A6-15486FC622C7}"/>
    <cellStyle name="Normal 2 6 17 5 2 5" xfId="38769" xr:uid="{3AD250DA-442A-479D-94C2-8B3F138CB02C}"/>
    <cellStyle name="Normal 2 6 17 5 3" xfId="24004" xr:uid="{C9E2F081-4D26-40BA-93C0-60B04A38EE21}"/>
    <cellStyle name="Normal 2 6 17 5 4" xfId="18344" xr:uid="{977A99B9-4534-405C-8BC4-070ECB0C511A}"/>
    <cellStyle name="Normal 2 6 17 5 5" xfId="29665" xr:uid="{30FD985C-54A2-4FA6-BF82-65BD4B9AEB0A}"/>
    <cellStyle name="Normal 2 6 17 5 6" xfId="38768" xr:uid="{F7318CA5-459C-4DF1-A8F6-9EBB84E6C84C}"/>
    <cellStyle name="Normal 2 6 17 6" xfId="7952" xr:uid="{00000000-0005-0000-0000-0000AD180000}"/>
    <cellStyle name="Normal 2 6 17 6 2" xfId="25433" xr:uid="{974E0E7D-B8F4-401C-BEA5-3BD45BE62035}"/>
    <cellStyle name="Normal 2 6 17 6 3" xfId="19773" xr:uid="{9A2114A4-B0A8-4FAB-834A-AE405850774E}"/>
    <cellStyle name="Normal 2 6 17 6 4" xfId="31094" xr:uid="{66E24C78-5D43-4C63-A30A-027A6D62192B}"/>
    <cellStyle name="Normal 2 6 17 6 5" xfId="38770" xr:uid="{A5AA2D65-2F8A-4570-9FC5-71E1E68DCF0C}"/>
    <cellStyle name="Normal 2 6 17 7" xfId="22442" xr:uid="{1B7EBE75-FFAB-42B5-8FC0-31F9A53CE51A}"/>
    <cellStyle name="Normal 2 6 17 8" xfId="16782" xr:uid="{ECFBCBA1-3356-4E20-9DEE-9654067D6015}"/>
    <cellStyle name="Normal 2 6 17 9" xfId="28103" xr:uid="{4C7A04F3-C9F6-4CEA-B447-1D9B4E440596}"/>
    <cellStyle name="Normal 2 6 18" xfId="4786" xr:uid="{00000000-0005-0000-0000-0000AE180000}"/>
    <cellStyle name="Normal 2 6 18 10" xfId="38771" xr:uid="{005220BD-7D57-4DBD-A9AF-F824C607CB6A}"/>
    <cellStyle name="Normal 2 6 18 2" xfId="5000" xr:uid="{00000000-0005-0000-0000-0000AF180000}"/>
    <cellStyle name="Normal 2 6 18 2 2" xfId="5418" xr:uid="{00000000-0005-0000-0000-0000B0180000}"/>
    <cellStyle name="Normal 2 6 18 2 2 2" xfId="7281" xr:uid="{00000000-0005-0000-0000-0000B1180000}"/>
    <cellStyle name="Normal 2 6 18 2 2 2 2" xfId="15714" xr:uid="{00000000-0005-0000-0000-0000B2180000}"/>
    <cellStyle name="Normal 2 6 18 2 2 2 2 2" xfId="27608" xr:uid="{D93B4222-27BE-4657-8405-C42BDFBBA7F9}"/>
    <cellStyle name="Normal 2 6 18 2 2 2 2 3" xfId="21948" xr:uid="{91F5ADF1-D8EF-464E-82BC-18EE80ED725C}"/>
    <cellStyle name="Normal 2 6 18 2 2 2 2 4" xfId="32988" xr:uid="{CF2BFD57-9C21-45BB-BACE-8FE63FAD77E8}"/>
    <cellStyle name="Normal 2 6 18 2 2 2 2 5" xfId="38775" xr:uid="{3D6CD6FA-E4D6-4E7F-9173-9DE8F8F9F2D9}"/>
    <cellStyle name="Normal 2 6 18 2 2 2 3" xfId="24775" xr:uid="{7B3372E8-2FD1-435C-9E45-17A3A5E0841C}"/>
    <cellStyle name="Normal 2 6 18 2 2 2 4" xfId="19115" xr:uid="{3FB1560B-AC28-407E-A577-2E66C2476FFF}"/>
    <cellStyle name="Normal 2 6 18 2 2 2 5" xfId="30436" xr:uid="{025F614B-6B62-4D0B-80B6-14AC5C3948AB}"/>
    <cellStyle name="Normal 2 6 18 2 2 2 6" xfId="38774" xr:uid="{B0531DC6-D6CC-4E1B-8EF3-ABA121901487}"/>
    <cellStyle name="Normal 2 6 18 2 2 3" xfId="14304" xr:uid="{00000000-0005-0000-0000-0000B3180000}"/>
    <cellStyle name="Normal 2 6 18 2 2 3 2" xfId="26343" xr:uid="{174CADB9-0517-43C2-A889-62F94D66F078}"/>
    <cellStyle name="Normal 2 6 18 2 2 3 3" xfId="20683" xr:uid="{BFDC7173-4263-43A5-BCE7-643C4BAF9D4B}"/>
    <cellStyle name="Normal 2 6 18 2 2 3 4" xfId="31723" xr:uid="{1A350E68-9AE3-47BF-ACE2-7C985BB2A2A9}"/>
    <cellStyle name="Normal 2 6 18 2 2 3 5" xfId="38776" xr:uid="{332C741C-A0DF-41EA-8D1A-964BB14796EC}"/>
    <cellStyle name="Normal 2 6 18 2 2 4" xfId="23213" xr:uid="{F60982D1-270C-44A5-8C53-B6EEA61DABC2}"/>
    <cellStyle name="Normal 2 6 18 2 2 5" xfId="17553" xr:uid="{0632D799-647B-43FE-8037-C4EDB33ECDFA}"/>
    <cellStyle name="Normal 2 6 18 2 2 6" xfId="28874" xr:uid="{D679E5B8-2F45-44F0-9B15-7B8F5D191628}"/>
    <cellStyle name="Normal 2 6 18 2 2 7" xfId="38773" xr:uid="{C93B3016-389F-4405-BCCD-DC0C7EB14A03}"/>
    <cellStyle name="Normal 2 6 18 2 3" xfId="6180" xr:uid="{00000000-0005-0000-0000-0000B4180000}"/>
    <cellStyle name="Normal 2 6 18 2 3 2" xfId="7519" xr:uid="{00000000-0005-0000-0000-0000B5180000}"/>
    <cellStyle name="Normal 2 6 18 2 3 2 2" xfId="15952" xr:uid="{00000000-0005-0000-0000-0000B6180000}"/>
    <cellStyle name="Normal 2 6 18 2 3 2 2 2" xfId="27846" xr:uid="{E4AEF047-4958-48CD-8E4E-F50F98A1C8C4}"/>
    <cellStyle name="Normal 2 6 18 2 3 2 2 3" xfId="22186" xr:uid="{EDCED913-C6C8-4581-8B46-225218CC2AEC}"/>
    <cellStyle name="Normal 2 6 18 2 3 2 2 4" xfId="33226" xr:uid="{602FE437-CA93-40B2-A418-617A1E774409}"/>
    <cellStyle name="Normal 2 6 18 2 3 2 2 5" xfId="38779" xr:uid="{0BE0175E-431B-4A0E-80E4-56FE72952A61}"/>
    <cellStyle name="Normal 2 6 18 2 3 2 3" xfId="25013" xr:uid="{6AF7206B-A7FC-4A90-A5E2-D66BAE6876BA}"/>
    <cellStyle name="Normal 2 6 18 2 3 2 4" xfId="19353" xr:uid="{35B1A45C-D91C-41BF-B087-9795873EF41D}"/>
    <cellStyle name="Normal 2 6 18 2 3 2 5" xfId="30674" xr:uid="{FF2A5645-2771-4A8C-BD0A-BC6B856BCD4F}"/>
    <cellStyle name="Normal 2 6 18 2 3 2 6" xfId="38778" xr:uid="{2D56A940-282C-42A6-9359-DADFDB1E3160}"/>
    <cellStyle name="Normal 2 6 18 2 3 3" xfId="14632" xr:uid="{00000000-0005-0000-0000-0000B7180000}"/>
    <cellStyle name="Normal 2 6 18 2 3 3 2" xfId="26590" xr:uid="{C8E2103D-9B46-4696-A205-02C8D71A8BA6}"/>
    <cellStyle name="Normal 2 6 18 2 3 3 3" xfId="20930" xr:uid="{7AD5B5E4-A23C-4715-9A78-C00A9597B8EE}"/>
    <cellStyle name="Normal 2 6 18 2 3 3 4" xfId="31970" xr:uid="{B32D2760-A91C-4F32-8621-5E795E805C4D}"/>
    <cellStyle name="Normal 2 6 18 2 3 3 5" xfId="38780" xr:uid="{352E1C21-4747-4590-A373-B1DA8032411C}"/>
    <cellStyle name="Normal 2 6 18 2 3 4" xfId="23757" xr:uid="{227FB873-F80A-4D83-B82E-B71E4E7C6235}"/>
    <cellStyle name="Normal 2 6 18 2 3 5" xfId="18097" xr:uid="{215B02C3-045A-4534-A496-C42F621F2F51}"/>
    <cellStyle name="Normal 2 6 18 2 3 6" xfId="29418" xr:uid="{71EE8DEE-2A65-46A9-92A5-922E3783C065}"/>
    <cellStyle name="Normal 2 6 18 2 3 7" xfId="38777" xr:uid="{B74A8D95-DD89-4385-8166-C6CD31AA903B}"/>
    <cellStyle name="Normal 2 6 18 2 4" xfId="6863" xr:uid="{00000000-0005-0000-0000-0000B8180000}"/>
    <cellStyle name="Normal 2 6 18 2 4 2" xfId="15296" xr:uid="{00000000-0005-0000-0000-0000B9180000}"/>
    <cellStyle name="Normal 2 6 18 2 4 2 2" xfId="27190" xr:uid="{62F768C5-B74F-4ADF-84AC-4DEDA5169FD8}"/>
    <cellStyle name="Normal 2 6 18 2 4 2 3" xfId="21530" xr:uid="{70E6BB9F-0657-4071-AE6D-9E93938E42C3}"/>
    <cellStyle name="Normal 2 6 18 2 4 2 4" xfId="32570" xr:uid="{0ED005AA-4A3B-4A1A-AC5E-9C3B120B0595}"/>
    <cellStyle name="Normal 2 6 18 2 4 2 5" xfId="38782" xr:uid="{42F11D66-E32C-43FA-904C-D994DC239042}"/>
    <cellStyle name="Normal 2 6 18 2 4 3" xfId="24357" xr:uid="{5C9CF010-30CB-40F7-B493-9B5DE1827A44}"/>
    <cellStyle name="Normal 2 6 18 2 4 4" xfId="18697" xr:uid="{E2BAD47C-59C6-4A2F-8D79-BBDE4F5CDDBA}"/>
    <cellStyle name="Normal 2 6 18 2 4 5" xfId="30018" xr:uid="{3D2663BB-B8D9-4A6B-B3B4-66B2B56D96CE}"/>
    <cellStyle name="Normal 2 6 18 2 4 6" xfId="38781" xr:uid="{DD7B41E3-33E0-4216-B4C1-5B816C86720D}"/>
    <cellStyle name="Normal 2 6 18 2 5" xfId="7955" xr:uid="{00000000-0005-0000-0000-0000BA180000}"/>
    <cellStyle name="Normal 2 6 18 2 5 2" xfId="25436" xr:uid="{B5230434-C8D7-43D2-91B3-3FE76C8DECDF}"/>
    <cellStyle name="Normal 2 6 18 2 5 3" xfId="19776" xr:uid="{49187238-4365-4CFB-8B7F-71B6ABF5583D}"/>
    <cellStyle name="Normal 2 6 18 2 5 4" xfId="31097" xr:uid="{68341DE9-4D91-4634-93CA-A94E8E97033D}"/>
    <cellStyle name="Normal 2 6 18 2 5 5" xfId="38783" xr:uid="{508A4C73-971D-4163-B4F4-CA3384E1D4FE}"/>
    <cellStyle name="Normal 2 6 18 2 6" xfId="22795" xr:uid="{515D7377-FD10-43C6-90F5-362BFA2AFFFC}"/>
    <cellStyle name="Normal 2 6 18 2 7" xfId="17135" xr:uid="{22A56340-4D38-4B23-B065-468A4A5DE4D0}"/>
    <cellStyle name="Normal 2 6 18 2 8" xfId="28456" xr:uid="{A50454B4-0876-4401-BA43-C3CCBD78CC03}"/>
    <cellStyle name="Normal 2 6 18 2 9" xfId="38772" xr:uid="{EA281CC4-E28B-40BB-B15F-BC8C9709A7EF}"/>
    <cellStyle name="Normal 2 6 18 3" xfId="5209" xr:uid="{00000000-0005-0000-0000-0000BB180000}"/>
    <cellStyle name="Normal 2 6 18 3 2" xfId="7072" xr:uid="{00000000-0005-0000-0000-0000BC180000}"/>
    <cellStyle name="Normal 2 6 18 3 2 2" xfId="15505" xr:uid="{00000000-0005-0000-0000-0000BD180000}"/>
    <cellStyle name="Normal 2 6 18 3 2 2 2" xfId="27399" xr:uid="{16023420-73F6-47DF-8ECF-D88C3EA6CA26}"/>
    <cellStyle name="Normal 2 6 18 3 2 2 3" xfId="21739" xr:uid="{A1B1455B-4CEC-4B11-9547-0574D71A4E87}"/>
    <cellStyle name="Normal 2 6 18 3 2 2 4" xfId="32779" xr:uid="{DFB577A0-80D6-48CC-AE60-4F4785714766}"/>
    <cellStyle name="Normal 2 6 18 3 2 2 5" xfId="38786" xr:uid="{4F354D0F-325F-4D22-A0F8-294FB47CB72C}"/>
    <cellStyle name="Normal 2 6 18 3 2 3" xfId="24566" xr:uid="{801345F4-F5D4-43EA-B4AA-476992DCE6CA}"/>
    <cellStyle name="Normal 2 6 18 3 2 4" xfId="18906" xr:uid="{1B402A15-67E0-491F-85BC-347ADA186705}"/>
    <cellStyle name="Normal 2 6 18 3 2 5" xfId="30227" xr:uid="{E43C546A-BBFE-4A7D-A271-F096CD1CBDA2}"/>
    <cellStyle name="Normal 2 6 18 3 2 6" xfId="38785" xr:uid="{4535A834-12DC-4732-9B74-50529D98EF35}"/>
    <cellStyle name="Normal 2 6 18 3 3" xfId="14095" xr:uid="{00000000-0005-0000-0000-0000BE180000}"/>
    <cellStyle name="Normal 2 6 18 3 3 2" xfId="26134" xr:uid="{F99A302D-F1D3-416A-B840-7330B351FE7B}"/>
    <cellStyle name="Normal 2 6 18 3 3 3" xfId="20474" xr:uid="{61A0408C-EBE6-4DC5-B72D-64C331669C95}"/>
    <cellStyle name="Normal 2 6 18 3 3 4" xfId="31514" xr:uid="{A4C008A1-300B-47F8-AA26-DA8F7570692E}"/>
    <cellStyle name="Normal 2 6 18 3 3 5" xfId="38787" xr:uid="{7D5E3B37-485C-481E-BE98-2BFD4B24BD17}"/>
    <cellStyle name="Normal 2 6 18 3 4" xfId="23004" xr:uid="{C7DE0FC1-4629-4765-B592-4AB266028A6A}"/>
    <cellStyle name="Normal 2 6 18 3 5" xfId="17344" xr:uid="{9B6C4364-154D-43FC-8DF1-E544DA3537AC}"/>
    <cellStyle name="Normal 2 6 18 3 6" xfId="28665" xr:uid="{CC026EF8-E904-4B46-92FD-8ED5BB14D9E3}"/>
    <cellStyle name="Normal 2 6 18 3 7" xfId="38784" xr:uid="{CA75A2B3-390F-4473-AFBE-179C462FD673}"/>
    <cellStyle name="Normal 2 6 18 4" xfId="6179" xr:uid="{00000000-0005-0000-0000-0000BF180000}"/>
    <cellStyle name="Normal 2 6 18 4 2" xfId="7518" xr:uid="{00000000-0005-0000-0000-0000C0180000}"/>
    <cellStyle name="Normal 2 6 18 4 2 2" xfId="15951" xr:uid="{00000000-0005-0000-0000-0000C1180000}"/>
    <cellStyle name="Normal 2 6 18 4 2 2 2" xfId="27845" xr:uid="{1C78E176-6DCB-4FA6-8FEF-7E0FD9BE996D}"/>
    <cellStyle name="Normal 2 6 18 4 2 2 3" xfId="22185" xr:uid="{499143EF-3374-4037-8D21-839B76429F8B}"/>
    <cellStyle name="Normal 2 6 18 4 2 2 4" xfId="33225" xr:uid="{71AE7D9A-2869-469D-88C0-FCE50247D90B}"/>
    <cellStyle name="Normal 2 6 18 4 2 2 5" xfId="38790" xr:uid="{DCA5F745-B91A-4CE2-B7D5-7D5A2C2A0D0A}"/>
    <cellStyle name="Normal 2 6 18 4 2 3" xfId="25012" xr:uid="{622105F7-E1E1-4B74-B1D6-666A68ADE1E6}"/>
    <cellStyle name="Normal 2 6 18 4 2 4" xfId="19352" xr:uid="{00885CDB-6975-43C2-930F-220BA34E1820}"/>
    <cellStyle name="Normal 2 6 18 4 2 5" xfId="30673" xr:uid="{154647FF-4C91-44A1-9E88-C943DA201FB8}"/>
    <cellStyle name="Normal 2 6 18 4 2 6" xfId="38789" xr:uid="{29FC1576-AC2C-41A1-AD9D-B944F565A4BB}"/>
    <cellStyle name="Normal 2 6 18 4 3" xfId="14631" xr:uid="{00000000-0005-0000-0000-0000C2180000}"/>
    <cellStyle name="Normal 2 6 18 4 3 2" xfId="26589" xr:uid="{45C9C4B0-9BCC-4C37-8650-0A7149703593}"/>
    <cellStyle name="Normal 2 6 18 4 3 3" xfId="20929" xr:uid="{5C8FD594-0573-47C5-A5B3-348DC2F643CD}"/>
    <cellStyle name="Normal 2 6 18 4 3 4" xfId="31969" xr:uid="{8A65BB8F-E369-4C4B-B8FC-8F7CEFA51312}"/>
    <cellStyle name="Normal 2 6 18 4 3 5" xfId="38791" xr:uid="{C7B28AB7-A029-4F76-9484-8B23333570EE}"/>
    <cellStyle name="Normal 2 6 18 4 4" xfId="23756" xr:uid="{8EC79ECB-219D-4ED2-BE17-14CA6F2872B0}"/>
    <cellStyle name="Normal 2 6 18 4 5" xfId="18096" xr:uid="{79870590-D6C3-459B-8FF3-B51F553415DC}"/>
    <cellStyle name="Normal 2 6 18 4 6" xfId="29417" xr:uid="{402C1A28-EE0C-49B1-8D79-C5055A207684}"/>
    <cellStyle name="Normal 2 6 18 4 7" xfId="38788" xr:uid="{FDB453E7-3051-4247-857B-019DFDB46A11}"/>
    <cellStyle name="Normal 2 6 18 5" xfId="6654" xr:uid="{00000000-0005-0000-0000-0000C3180000}"/>
    <cellStyle name="Normal 2 6 18 5 2" xfId="15087" xr:uid="{00000000-0005-0000-0000-0000C4180000}"/>
    <cellStyle name="Normal 2 6 18 5 2 2" xfId="26981" xr:uid="{93D27571-6B87-4424-BDF0-E7D8E319545A}"/>
    <cellStyle name="Normal 2 6 18 5 2 3" xfId="21321" xr:uid="{E42B3F2E-E471-4189-8C7A-C894F3102DA1}"/>
    <cellStyle name="Normal 2 6 18 5 2 4" xfId="32361" xr:uid="{6E157B37-2F0E-4850-80FD-DC7203039DA8}"/>
    <cellStyle name="Normal 2 6 18 5 2 5" xfId="38793" xr:uid="{C385234E-B580-444F-AC06-1D165061AD2A}"/>
    <cellStyle name="Normal 2 6 18 5 3" xfId="24148" xr:uid="{9FF3707C-152E-48D0-ADCF-B5FF3BC15033}"/>
    <cellStyle name="Normal 2 6 18 5 4" xfId="18488" xr:uid="{5BBB0032-0B4B-4470-8A47-B21E18A015D1}"/>
    <cellStyle name="Normal 2 6 18 5 5" xfId="29809" xr:uid="{525D3B03-D668-4374-AA43-915B5DA8A92D}"/>
    <cellStyle name="Normal 2 6 18 5 6" xfId="38792" xr:uid="{3803E32C-4943-4BF0-977B-6E32B7C18D2D}"/>
    <cellStyle name="Normal 2 6 18 6" xfId="7954" xr:uid="{00000000-0005-0000-0000-0000C5180000}"/>
    <cellStyle name="Normal 2 6 18 6 2" xfId="25435" xr:uid="{9E41E58F-15BF-4FB7-A507-F2E21019A08E}"/>
    <cellStyle name="Normal 2 6 18 6 3" xfId="19775" xr:uid="{8F5A05C0-65A1-445D-B6F8-DD227266CFFE}"/>
    <cellStyle name="Normal 2 6 18 6 4" xfId="31096" xr:uid="{1754290A-76FE-41C6-90AC-92EAB2F8F982}"/>
    <cellStyle name="Normal 2 6 18 6 5" xfId="38794" xr:uid="{957AFBDB-0BFE-45CA-9DB2-B452EC84B55A}"/>
    <cellStyle name="Normal 2 6 18 7" xfId="22586" xr:uid="{1C860509-1812-4F4E-B060-790E521891A6}"/>
    <cellStyle name="Normal 2 6 18 8" xfId="16926" xr:uid="{AD5688E6-821D-4E7E-A1BC-5E6842DE5F07}"/>
    <cellStyle name="Normal 2 6 18 9" xfId="28247" xr:uid="{B1E020AB-E7CD-45E1-A40C-3C24FF9E35CE}"/>
    <cellStyle name="Normal 2 6 19" xfId="4803" xr:uid="{00000000-0005-0000-0000-0000C6180000}"/>
    <cellStyle name="Normal 2 6 19 2" xfId="5225" xr:uid="{00000000-0005-0000-0000-0000C7180000}"/>
    <cellStyle name="Normal 2 6 19 2 2" xfId="7088" xr:uid="{00000000-0005-0000-0000-0000C8180000}"/>
    <cellStyle name="Normal 2 6 19 2 2 2" xfId="15521" xr:uid="{00000000-0005-0000-0000-0000C9180000}"/>
    <cellStyle name="Normal 2 6 19 2 2 2 2" xfId="27415" xr:uid="{439715B2-7C60-4130-A470-B382C9844639}"/>
    <cellStyle name="Normal 2 6 19 2 2 2 3" xfId="21755" xr:uid="{D577EAD9-CB1F-4964-B0EA-607C800F6E23}"/>
    <cellStyle name="Normal 2 6 19 2 2 2 4" xfId="32795" xr:uid="{63BDEC0B-C9E8-4789-A77D-4195E9B1B393}"/>
    <cellStyle name="Normal 2 6 19 2 2 2 5" xfId="38798" xr:uid="{8CDCB475-2708-4028-9209-2B97FF78EF13}"/>
    <cellStyle name="Normal 2 6 19 2 2 3" xfId="24582" xr:uid="{8E515EAB-A779-423E-BEB4-B2BCA7BBD704}"/>
    <cellStyle name="Normal 2 6 19 2 2 4" xfId="18922" xr:uid="{B0978027-2538-467C-90FC-0479CB8D9565}"/>
    <cellStyle name="Normal 2 6 19 2 2 5" xfId="30243" xr:uid="{AEFE1E85-F40E-4899-9754-C0E892FA1787}"/>
    <cellStyle name="Normal 2 6 19 2 2 6" xfId="38797" xr:uid="{605053CD-E61B-45A4-84C8-C6C99556BC40}"/>
    <cellStyle name="Normal 2 6 19 2 3" xfId="14111" xr:uid="{00000000-0005-0000-0000-0000CA180000}"/>
    <cellStyle name="Normal 2 6 19 2 3 2" xfId="26150" xr:uid="{79047378-C45F-43C9-A270-86C557523151}"/>
    <cellStyle name="Normal 2 6 19 2 3 3" xfId="20490" xr:uid="{8ED9AA79-91D9-43CD-9EF4-96859975048F}"/>
    <cellStyle name="Normal 2 6 19 2 3 4" xfId="31530" xr:uid="{0D5AC0A1-E908-4420-A8E5-0487AB6BE529}"/>
    <cellStyle name="Normal 2 6 19 2 3 5" xfId="38799" xr:uid="{49BDB3AD-5CE8-4E04-9D46-B99675E5D1F9}"/>
    <cellStyle name="Normal 2 6 19 2 4" xfId="23020" xr:uid="{DE35DF6B-5D73-4939-85E2-F1AF15ED22C1}"/>
    <cellStyle name="Normal 2 6 19 2 5" xfId="17360" xr:uid="{6201B1D2-08B9-45FE-B165-53AF89FEFC81}"/>
    <cellStyle name="Normal 2 6 19 2 6" xfId="28681" xr:uid="{897DCAD2-53AF-448D-BD94-9238C448F0D6}"/>
    <cellStyle name="Normal 2 6 19 2 7" xfId="38796" xr:uid="{977FE6D7-6477-4D86-91EC-12E194937C75}"/>
    <cellStyle name="Normal 2 6 19 3" xfId="6181" xr:uid="{00000000-0005-0000-0000-0000CB180000}"/>
    <cellStyle name="Normal 2 6 19 3 2" xfId="7520" xr:uid="{00000000-0005-0000-0000-0000CC180000}"/>
    <cellStyle name="Normal 2 6 19 3 2 2" xfId="15953" xr:uid="{00000000-0005-0000-0000-0000CD180000}"/>
    <cellStyle name="Normal 2 6 19 3 2 2 2" xfId="27847" xr:uid="{2EBA358D-9F65-4032-8262-0A5C7AEBAAE9}"/>
    <cellStyle name="Normal 2 6 19 3 2 2 3" xfId="22187" xr:uid="{89146738-AED3-49C7-9A38-1422358F4459}"/>
    <cellStyle name="Normal 2 6 19 3 2 2 4" xfId="33227" xr:uid="{61FD23CF-7FD4-4C48-90C5-B840DB7FE7EE}"/>
    <cellStyle name="Normal 2 6 19 3 2 2 5" xfId="38802" xr:uid="{DE6D491B-2972-43B5-AD58-D28939BD9626}"/>
    <cellStyle name="Normal 2 6 19 3 2 3" xfId="25014" xr:uid="{BD551806-C621-4A63-8C79-BEFFECEF4D8B}"/>
    <cellStyle name="Normal 2 6 19 3 2 4" xfId="19354" xr:uid="{FE64469C-CC3F-4FAC-B830-79C516EABA47}"/>
    <cellStyle name="Normal 2 6 19 3 2 5" xfId="30675" xr:uid="{61FCED52-2F49-45C1-82E0-DCC7BC93C736}"/>
    <cellStyle name="Normal 2 6 19 3 2 6" xfId="38801" xr:uid="{B1E7C9D8-3808-4C2E-A501-DC97826A27DC}"/>
    <cellStyle name="Normal 2 6 19 3 3" xfId="14633" xr:uid="{00000000-0005-0000-0000-0000CE180000}"/>
    <cellStyle name="Normal 2 6 19 3 3 2" xfId="26591" xr:uid="{63E54D1A-C51E-4DD0-9DBE-74033C7BF450}"/>
    <cellStyle name="Normal 2 6 19 3 3 3" xfId="20931" xr:uid="{D7DD6604-1B54-472A-B121-95059A0F1F5D}"/>
    <cellStyle name="Normal 2 6 19 3 3 4" xfId="31971" xr:uid="{AD970AFB-9CA5-434A-BC54-6D2BDF9C7E9B}"/>
    <cellStyle name="Normal 2 6 19 3 3 5" xfId="38803" xr:uid="{7A290460-B1D6-478A-90E8-D587C58AE60A}"/>
    <cellStyle name="Normal 2 6 19 3 4" xfId="23758" xr:uid="{609E6C25-2C86-4EF2-8EA6-E10D150C7A90}"/>
    <cellStyle name="Normal 2 6 19 3 5" xfId="18098" xr:uid="{9B584174-896D-4148-BCDD-FA4B34E630D0}"/>
    <cellStyle name="Normal 2 6 19 3 6" xfId="29419" xr:uid="{FCB009A4-9A51-4201-BC95-7EE1E7440DB1}"/>
    <cellStyle name="Normal 2 6 19 3 7" xfId="38800" xr:uid="{CE695442-5DC4-48B9-81FD-329819112C51}"/>
    <cellStyle name="Normal 2 6 19 4" xfId="6670" xr:uid="{00000000-0005-0000-0000-0000CF180000}"/>
    <cellStyle name="Normal 2 6 19 4 2" xfId="15103" xr:uid="{00000000-0005-0000-0000-0000D0180000}"/>
    <cellStyle name="Normal 2 6 19 4 2 2" xfId="26997" xr:uid="{A32F9811-6ADA-4C29-B233-879E060B66EB}"/>
    <cellStyle name="Normal 2 6 19 4 2 3" xfId="21337" xr:uid="{9C659C3E-6866-4618-BCD8-166AD3045669}"/>
    <cellStyle name="Normal 2 6 19 4 2 4" xfId="32377" xr:uid="{250F7A7D-9D75-485C-9C41-61DAE5299303}"/>
    <cellStyle name="Normal 2 6 19 4 2 5" xfId="38805" xr:uid="{0FC9850A-94B4-450C-8244-8CA70795C7E3}"/>
    <cellStyle name="Normal 2 6 19 4 3" xfId="24164" xr:uid="{AF32C42A-924C-4075-A142-2D2796F33E98}"/>
    <cellStyle name="Normal 2 6 19 4 4" xfId="18504" xr:uid="{33586C2A-E8EA-462C-B815-20ADBE41DC1E}"/>
    <cellStyle name="Normal 2 6 19 4 5" xfId="29825" xr:uid="{2CF6AC73-F7AA-40BC-96B6-627EDD2D0ACC}"/>
    <cellStyle name="Normal 2 6 19 4 6" xfId="38804" xr:uid="{CD4CEAC6-AB59-4E40-8E18-E35C87382C7B}"/>
    <cellStyle name="Normal 2 6 19 5" xfId="7956" xr:uid="{00000000-0005-0000-0000-0000D1180000}"/>
    <cellStyle name="Normal 2 6 19 5 2" xfId="25437" xr:uid="{AE595A49-2447-4075-AAA6-C0DAF495563B}"/>
    <cellStyle name="Normal 2 6 19 5 3" xfId="19777" xr:uid="{C8138EDA-B041-4741-9E7A-D5A9B56584E2}"/>
    <cellStyle name="Normal 2 6 19 5 4" xfId="31098" xr:uid="{B84659A1-AE39-475D-971E-3A91CCF0F201}"/>
    <cellStyle name="Normal 2 6 19 5 5" xfId="38806" xr:uid="{09F2C751-AD8D-4CA1-9738-386AFF5D3241}"/>
    <cellStyle name="Normal 2 6 19 6" xfId="22602" xr:uid="{D0A61A0C-200A-4010-A4F4-10C31D5C6D75}"/>
    <cellStyle name="Normal 2 6 19 7" xfId="16942" xr:uid="{95909A13-C934-48B1-8FC3-3B06E7B96288}"/>
    <cellStyle name="Normal 2 6 19 8" xfId="28263" xr:uid="{DF470428-E052-4A51-8E39-B65D0C5EB7F1}"/>
    <cellStyle name="Normal 2 6 19 9" xfId="38795" xr:uid="{C2C3A3C8-7899-43FA-8B57-26B84C172406}"/>
    <cellStyle name="Normal 2 6 2" xfId="311" xr:uid="{00000000-0005-0000-0000-0000D2180000}"/>
    <cellStyle name="Normal 2 6 2 10" xfId="22414" xr:uid="{9CFDD9DA-A351-4CA8-8368-668603770349}"/>
    <cellStyle name="Normal 2 6 2 10 2" xfId="38808" xr:uid="{C42FA3C0-1CA1-406E-9658-DCCD4CECEE20}"/>
    <cellStyle name="Normal 2 6 2 11" xfId="16754" xr:uid="{FA2F4C74-23E1-4D85-9AB8-36333511B5CC}"/>
    <cellStyle name="Normal 2 6 2 12" xfId="28075" xr:uid="{A6C0EBA4-D3AF-494E-B4D3-9A3218BFC480}"/>
    <cellStyle name="Normal 2 6 2 13" xfId="38807" xr:uid="{42F02B74-3065-4BEB-AD42-5231A92CF054}"/>
    <cellStyle name="Normal 2 6 2 2" xfId="2106" xr:uid="{00000000-0005-0000-0000-0000D3180000}"/>
    <cellStyle name="Normal 2 6 2 2 2" xfId="38809" xr:uid="{C75F7365-89B1-4D9A-89B4-84782EDA79A3}"/>
    <cellStyle name="Normal 2 6 2 3" xfId="2105" xr:uid="{00000000-0005-0000-0000-0000D4180000}"/>
    <cellStyle name="Normal 2 6 2 3 10" xfId="38810" xr:uid="{943116E3-5344-4EE8-8433-9EFCCD550778}"/>
    <cellStyle name="Normal 2 6 2 3 2" xfId="4856" xr:uid="{00000000-0005-0000-0000-0000D5180000}"/>
    <cellStyle name="Normal 2 6 2 3 2 2" xfId="5275" xr:uid="{00000000-0005-0000-0000-0000D6180000}"/>
    <cellStyle name="Normal 2 6 2 3 2 2 2" xfId="7138" xr:uid="{00000000-0005-0000-0000-0000D7180000}"/>
    <cellStyle name="Normal 2 6 2 3 2 2 2 2" xfId="15571" xr:uid="{00000000-0005-0000-0000-0000D8180000}"/>
    <cellStyle name="Normal 2 6 2 3 2 2 2 2 2" xfId="27465" xr:uid="{384C7DC6-6BB8-4ED5-844B-576A57EAE62F}"/>
    <cellStyle name="Normal 2 6 2 3 2 2 2 2 3" xfId="21805" xr:uid="{977E6BE4-1C47-4E81-846E-938B58AD7844}"/>
    <cellStyle name="Normal 2 6 2 3 2 2 2 2 4" xfId="32845" xr:uid="{550B9D33-6B33-4ECC-BEB0-D2CE68077657}"/>
    <cellStyle name="Normal 2 6 2 3 2 2 2 2 5" xfId="38814" xr:uid="{62FD4199-B6B1-449B-B982-95B1D296CBC4}"/>
    <cellStyle name="Normal 2 6 2 3 2 2 2 3" xfId="24632" xr:uid="{1184FFB0-07AB-41AB-A7A0-992256E327A1}"/>
    <cellStyle name="Normal 2 6 2 3 2 2 2 4" xfId="18972" xr:uid="{813163D4-6D91-46AD-9306-74EC40C2DC89}"/>
    <cellStyle name="Normal 2 6 2 3 2 2 2 5" xfId="30293" xr:uid="{6AF6BC2B-FEFA-46B6-ACCE-18C0C691E011}"/>
    <cellStyle name="Normal 2 6 2 3 2 2 2 6" xfId="38813" xr:uid="{963B9A51-CF4E-4140-AB33-31738C543D59}"/>
    <cellStyle name="Normal 2 6 2 3 2 2 3" xfId="14161" xr:uid="{00000000-0005-0000-0000-0000D9180000}"/>
    <cellStyle name="Normal 2 6 2 3 2 2 3 2" xfId="26200" xr:uid="{2EE343B7-094F-4FC4-8BA2-37719D51B95D}"/>
    <cellStyle name="Normal 2 6 2 3 2 2 3 3" xfId="20540" xr:uid="{5E43FD15-839B-4D30-B9F0-C8FEF8DD40F8}"/>
    <cellStyle name="Normal 2 6 2 3 2 2 3 4" xfId="31580" xr:uid="{8D9F20C2-CE57-4C59-BE18-AF015D6C682D}"/>
    <cellStyle name="Normal 2 6 2 3 2 2 3 5" xfId="38815" xr:uid="{929CA989-F442-4A82-88FE-58EF8AC03106}"/>
    <cellStyle name="Normal 2 6 2 3 2 2 4" xfId="23070" xr:uid="{62EFC11F-89D5-4951-AD34-B2F441D37723}"/>
    <cellStyle name="Normal 2 6 2 3 2 2 5" xfId="17410" xr:uid="{540105BD-227C-4041-801A-B4C6F46085E6}"/>
    <cellStyle name="Normal 2 6 2 3 2 2 6" xfId="28731" xr:uid="{BFBA89B6-F37D-4DF2-B573-BCBBF1334A23}"/>
    <cellStyle name="Normal 2 6 2 3 2 2 7" xfId="38812" xr:uid="{A2A6EAB5-3406-4D85-9CE2-60B0D6D34371}"/>
    <cellStyle name="Normal 2 6 2 3 2 3" xfId="6184" xr:uid="{00000000-0005-0000-0000-0000DA180000}"/>
    <cellStyle name="Normal 2 6 2 3 2 3 2" xfId="7523" xr:uid="{00000000-0005-0000-0000-0000DB180000}"/>
    <cellStyle name="Normal 2 6 2 3 2 3 2 2" xfId="15956" xr:uid="{00000000-0005-0000-0000-0000DC180000}"/>
    <cellStyle name="Normal 2 6 2 3 2 3 2 2 2" xfId="27850" xr:uid="{039BCE11-2144-46AC-B2B3-33720748EF2F}"/>
    <cellStyle name="Normal 2 6 2 3 2 3 2 2 3" xfId="22190" xr:uid="{8050952C-2DC9-4FA0-A8B1-6F69A5D8461C}"/>
    <cellStyle name="Normal 2 6 2 3 2 3 2 2 4" xfId="33230" xr:uid="{FBCB15DD-851E-4B2E-8080-29B9BB133147}"/>
    <cellStyle name="Normal 2 6 2 3 2 3 2 2 5" xfId="38818" xr:uid="{AD4C7637-B52E-460C-97C9-1D247675F6AA}"/>
    <cellStyle name="Normal 2 6 2 3 2 3 2 3" xfId="25017" xr:uid="{391CE658-640A-40EA-BC41-7F432EE92579}"/>
    <cellStyle name="Normal 2 6 2 3 2 3 2 4" xfId="19357" xr:uid="{0EEB9D3F-41D0-46A4-BA35-3BF46D9CCE2C}"/>
    <cellStyle name="Normal 2 6 2 3 2 3 2 5" xfId="30678" xr:uid="{7563ED6E-9EB3-49E7-857B-B34214020E2E}"/>
    <cellStyle name="Normal 2 6 2 3 2 3 2 6" xfId="38817" xr:uid="{8DD7AC10-9CF2-449E-9764-E390A7AD7669}"/>
    <cellStyle name="Normal 2 6 2 3 2 3 3" xfId="14636" xr:uid="{00000000-0005-0000-0000-0000DD180000}"/>
    <cellStyle name="Normal 2 6 2 3 2 3 3 2" xfId="26594" xr:uid="{257BBC7B-09A8-4DAC-A7E8-B7AA9CA11F76}"/>
    <cellStyle name="Normal 2 6 2 3 2 3 3 3" xfId="20934" xr:uid="{CEBAB2A0-F08B-4908-BC79-9D03FD921312}"/>
    <cellStyle name="Normal 2 6 2 3 2 3 3 4" xfId="31974" xr:uid="{A623C868-C3E0-4CAE-9525-4CD5A113F003}"/>
    <cellStyle name="Normal 2 6 2 3 2 3 3 5" xfId="38819" xr:uid="{81BE4068-E957-4F59-A1AD-37C865011FFC}"/>
    <cellStyle name="Normal 2 6 2 3 2 3 4" xfId="23761" xr:uid="{83A55605-7C34-4071-849D-C110D1BFB285}"/>
    <cellStyle name="Normal 2 6 2 3 2 3 5" xfId="18101" xr:uid="{E0AC926C-B280-4704-9BF4-360880BA15DA}"/>
    <cellStyle name="Normal 2 6 2 3 2 3 6" xfId="29422" xr:uid="{46CBCDF5-8F02-40A8-A8BF-2E9D80A258A0}"/>
    <cellStyle name="Normal 2 6 2 3 2 3 7" xfId="38816" xr:uid="{680B7E1A-D156-4881-9FEE-7F3E3E71C35B}"/>
    <cellStyle name="Normal 2 6 2 3 2 4" xfId="6720" xr:uid="{00000000-0005-0000-0000-0000DE180000}"/>
    <cellStyle name="Normal 2 6 2 3 2 4 2" xfId="15153" xr:uid="{00000000-0005-0000-0000-0000DF180000}"/>
    <cellStyle name="Normal 2 6 2 3 2 4 2 2" xfId="27047" xr:uid="{37A11576-E655-4102-B4EF-352756462751}"/>
    <cellStyle name="Normal 2 6 2 3 2 4 2 3" xfId="21387" xr:uid="{C4477214-2571-4BB6-8E6C-8DE2A9D9F99E}"/>
    <cellStyle name="Normal 2 6 2 3 2 4 2 4" xfId="32427" xr:uid="{65AB7C91-BA52-49C7-B292-795B4C503485}"/>
    <cellStyle name="Normal 2 6 2 3 2 4 2 5" xfId="38821" xr:uid="{4F6E18FC-6CAD-4775-A332-6C7203DD65F7}"/>
    <cellStyle name="Normal 2 6 2 3 2 4 3" xfId="24214" xr:uid="{3FCBBCEA-6E48-440C-AB17-F4CA6C3DF3FB}"/>
    <cellStyle name="Normal 2 6 2 3 2 4 4" xfId="18554" xr:uid="{CD6E04EF-194A-4F2E-A5B8-6A00E013EC0E}"/>
    <cellStyle name="Normal 2 6 2 3 2 4 5" xfId="29875" xr:uid="{18BFE095-3C6D-45D0-9A8C-832ECEA129AC}"/>
    <cellStyle name="Normal 2 6 2 3 2 4 6" xfId="38820" xr:uid="{8438703F-59D1-4402-A01D-E34E34C36CE7}"/>
    <cellStyle name="Normal 2 6 2 3 2 5" xfId="7959" xr:uid="{00000000-0005-0000-0000-0000E0180000}"/>
    <cellStyle name="Normal 2 6 2 3 2 5 2" xfId="25440" xr:uid="{93487221-3778-4592-B6ED-F5062F9EA61E}"/>
    <cellStyle name="Normal 2 6 2 3 2 5 3" xfId="19780" xr:uid="{75829838-B180-4E14-9762-5D45716BF59B}"/>
    <cellStyle name="Normal 2 6 2 3 2 5 4" xfId="31101" xr:uid="{94C568D2-9937-4A0B-9822-5A2F1CD14118}"/>
    <cellStyle name="Normal 2 6 2 3 2 5 5" xfId="38822" xr:uid="{E49B2D28-FE14-433F-B203-81018B8DADA9}"/>
    <cellStyle name="Normal 2 6 2 3 2 6" xfId="22652" xr:uid="{923307DA-58AB-4AAD-BF82-54599C5074F3}"/>
    <cellStyle name="Normal 2 6 2 3 2 7" xfId="16992" xr:uid="{B29F95EC-11A4-409C-96D1-2A739F3D6FDE}"/>
    <cellStyle name="Normal 2 6 2 3 2 8" xfId="28313" xr:uid="{A3504FA6-88E2-48DD-BBD1-4CD0C410F2AD}"/>
    <cellStyle name="Normal 2 6 2 3 2 9" xfId="38811" xr:uid="{549EA061-02BD-4D32-B925-7ABF74063D1C}"/>
    <cellStyle name="Normal 2 6 2 3 3" xfId="5066" xr:uid="{00000000-0005-0000-0000-0000E1180000}"/>
    <cellStyle name="Normal 2 6 2 3 3 2" xfId="6929" xr:uid="{00000000-0005-0000-0000-0000E2180000}"/>
    <cellStyle name="Normal 2 6 2 3 3 2 2" xfId="15362" xr:uid="{00000000-0005-0000-0000-0000E3180000}"/>
    <cellStyle name="Normal 2 6 2 3 3 2 2 2" xfId="27256" xr:uid="{6D1B38E7-C968-4C79-8DD7-3377D82293CD}"/>
    <cellStyle name="Normal 2 6 2 3 3 2 2 3" xfId="21596" xr:uid="{0CD743BA-7568-4901-90F4-6A9567B0082F}"/>
    <cellStyle name="Normal 2 6 2 3 3 2 2 4" xfId="32636" xr:uid="{831F8577-F683-438D-B011-565B3BA0725F}"/>
    <cellStyle name="Normal 2 6 2 3 3 2 2 5" xfId="38825" xr:uid="{FD114A0D-4855-4B4C-9C38-14ACC2B8A4DC}"/>
    <cellStyle name="Normal 2 6 2 3 3 2 3" xfId="24423" xr:uid="{B783D714-42EB-490D-AB90-39DAF2FA820C}"/>
    <cellStyle name="Normal 2 6 2 3 3 2 4" xfId="18763" xr:uid="{E4D139B1-7AC8-450A-92E1-DA05640C658C}"/>
    <cellStyle name="Normal 2 6 2 3 3 2 5" xfId="30084" xr:uid="{5D2A0482-0778-4A5E-90CC-0896C07A0931}"/>
    <cellStyle name="Normal 2 6 2 3 3 2 6" xfId="38824" xr:uid="{03B66A92-3D4A-4A5A-AE92-42A1C2BA8B64}"/>
    <cellStyle name="Normal 2 6 2 3 3 3" xfId="13961" xr:uid="{00000000-0005-0000-0000-0000E4180000}"/>
    <cellStyle name="Normal 2 6 2 3 3 3 2" xfId="26002" xr:uid="{54A20598-0394-480B-9FDD-B4D29EC1EC9F}"/>
    <cellStyle name="Normal 2 6 2 3 3 3 3" xfId="20342" xr:uid="{3A83D09D-E8F4-4ACA-BD7B-D74C9EB897E6}"/>
    <cellStyle name="Normal 2 6 2 3 3 3 4" xfId="31382" xr:uid="{F585D55A-2BEE-49DD-9D54-C78D07536A7D}"/>
    <cellStyle name="Normal 2 6 2 3 3 3 5" xfId="38826" xr:uid="{74769FBC-B53C-49DC-B5FF-DC4C8C91A183}"/>
    <cellStyle name="Normal 2 6 2 3 3 4" xfId="22861" xr:uid="{BCD86AFE-914C-45F3-9727-2B151B40ECAE}"/>
    <cellStyle name="Normal 2 6 2 3 3 5" xfId="17201" xr:uid="{7FC1D406-AF4E-4E67-A744-6C17DD54347E}"/>
    <cellStyle name="Normal 2 6 2 3 3 6" xfId="28522" xr:uid="{CB3413C7-E402-4D1F-9719-A86123FD8E8C}"/>
    <cellStyle name="Normal 2 6 2 3 3 7" xfId="38823" xr:uid="{F63882B1-1EC6-4F60-AAC6-75C830693795}"/>
    <cellStyle name="Normal 2 6 2 3 4" xfId="6183" xr:uid="{00000000-0005-0000-0000-0000E5180000}"/>
    <cellStyle name="Normal 2 6 2 3 4 2" xfId="7522" xr:uid="{00000000-0005-0000-0000-0000E6180000}"/>
    <cellStyle name="Normal 2 6 2 3 4 2 2" xfId="15955" xr:uid="{00000000-0005-0000-0000-0000E7180000}"/>
    <cellStyle name="Normal 2 6 2 3 4 2 2 2" xfId="27849" xr:uid="{2C63683C-61D9-4C23-B020-452CC5449995}"/>
    <cellStyle name="Normal 2 6 2 3 4 2 2 3" xfId="22189" xr:uid="{4A9B5228-98A5-4611-81AE-12BAA4586024}"/>
    <cellStyle name="Normal 2 6 2 3 4 2 2 4" xfId="33229" xr:uid="{AA21E725-4FCE-45B8-8D4A-9771969F697E}"/>
    <cellStyle name="Normal 2 6 2 3 4 2 2 5" xfId="38829" xr:uid="{E31EEE16-FBA9-40F7-9F98-19F23BE373B0}"/>
    <cellStyle name="Normal 2 6 2 3 4 2 3" xfId="25016" xr:uid="{413F1269-B8C2-4655-BF5A-55DAE6AF4A08}"/>
    <cellStyle name="Normal 2 6 2 3 4 2 4" xfId="19356" xr:uid="{B376A4FD-31D7-4539-BBA2-5A9978411334}"/>
    <cellStyle name="Normal 2 6 2 3 4 2 5" xfId="30677" xr:uid="{9838B211-809E-4638-BEF7-286683B585B6}"/>
    <cellStyle name="Normal 2 6 2 3 4 2 6" xfId="38828" xr:uid="{F335FDAC-E2F5-4D85-850B-796F70C5758A}"/>
    <cellStyle name="Normal 2 6 2 3 4 3" xfId="14635" xr:uid="{00000000-0005-0000-0000-0000E8180000}"/>
    <cellStyle name="Normal 2 6 2 3 4 3 2" xfId="26593" xr:uid="{23BEDF37-96F7-4344-B931-A98E9131AF88}"/>
    <cellStyle name="Normal 2 6 2 3 4 3 3" xfId="20933" xr:uid="{43BB189B-36E2-4F3B-A17D-7B9292E87532}"/>
    <cellStyle name="Normal 2 6 2 3 4 3 4" xfId="31973" xr:uid="{021DDFC0-66CA-4191-9AE2-A91412F558A1}"/>
    <cellStyle name="Normal 2 6 2 3 4 3 5" xfId="38830" xr:uid="{098E1E1E-EC90-4136-BF34-63B787203959}"/>
    <cellStyle name="Normal 2 6 2 3 4 4" xfId="23760" xr:uid="{F7C9DCB9-8164-4AFC-A018-65F766DC99A3}"/>
    <cellStyle name="Normal 2 6 2 3 4 5" xfId="18100" xr:uid="{15B5B861-D02A-4A92-A02D-D7641FF1EC12}"/>
    <cellStyle name="Normal 2 6 2 3 4 6" xfId="29421" xr:uid="{5A0C0E52-127C-47B6-95FE-7BDAAC131F96}"/>
    <cellStyle name="Normal 2 6 2 3 4 7" xfId="38827" xr:uid="{D764A4B9-195A-4F68-A617-CD1C30591D39}"/>
    <cellStyle name="Normal 2 6 2 3 5" xfId="6511" xr:uid="{00000000-0005-0000-0000-0000E9180000}"/>
    <cellStyle name="Normal 2 6 2 3 5 2" xfId="14944" xr:uid="{00000000-0005-0000-0000-0000EA180000}"/>
    <cellStyle name="Normal 2 6 2 3 5 2 2" xfId="26838" xr:uid="{AA435B91-F136-4584-A258-8C642DB6DC7E}"/>
    <cellStyle name="Normal 2 6 2 3 5 2 3" xfId="21178" xr:uid="{3CAB5072-5965-4181-AFA2-610DECE7BDF0}"/>
    <cellStyle name="Normal 2 6 2 3 5 2 4" xfId="32218" xr:uid="{70266A05-BF84-449D-98E9-A05D803A2B70}"/>
    <cellStyle name="Normal 2 6 2 3 5 2 5" xfId="38832" xr:uid="{549663DC-B9A5-48BD-B232-B49435ED40C6}"/>
    <cellStyle name="Normal 2 6 2 3 5 3" xfId="24005" xr:uid="{A22039D1-9BE6-4BCE-B1BA-4F321FA15FC1}"/>
    <cellStyle name="Normal 2 6 2 3 5 4" xfId="18345" xr:uid="{98BE2F20-FE7B-48E8-9777-E19A5E6E1D48}"/>
    <cellStyle name="Normal 2 6 2 3 5 5" xfId="29666" xr:uid="{E410954D-5603-411E-9245-E021671A5A95}"/>
    <cellStyle name="Normal 2 6 2 3 5 6" xfId="38831" xr:uid="{32EDACA5-5B83-4006-BA6F-6C6A0447B8DD}"/>
    <cellStyle name="Normal 2 6 2 3 6" xfId="7958" xr:uid="{00000000-0005-0000-0000-0000EB180000}"/>
    <cellStyle name="Normal 2 6 2 3 6 2" xfId="25439" xr:uid="{18DFCDAE-3D06-4770-98BE-96A658AA2546}"/>
    <cellStyle name="Normal 2 6 2 3 6 3" xfId="19779" xr:uid="{94C3A11D-5A58-4B60-8DBE-86B617E30B2B}"/>
    <cellStyle name="Normal 2 6 2 3 6 4" xfId="31100" xr:uid="{F78EC7EA-AC77-43BB-89BE-3DC1204822E5}"/>
    <cellStyle name="Normal 2 6 2 3 6 5" xfId="38833" xr:uid="{FF9301D8-BD99-46DF-AEEB-DC2FE7E7F2C5}"/>
    <cellStyle name="Normal 2 6 2 3 7" xfId="22443" xr:uid="{009E3F5F-ED7C-4882-BFC7-E3B019636F6D}"/>
    <cellStyle name="Normal 2 6 2 3 8" xfId="16783" xr:uid="{6DD22E30-3637-4571-9EFC-EE2EDC4854C3}"/>
    <cellStyle name="Normal 2 6 2 3 9" xfId="28104" xr:uid="{51A709F0-5616-486C-B472-13E8CC409378}"/>
    <cellStyle name="Normal 2 6 2 4" xfId="4204" xr:uid="{00000000-0005-0000-0000-0000EC180000}"/>
    <cellStyle name="Normal 2 6 2 4 10" xfId="38834" xr:uid="{5131BF65-833B-43A8-B0B6-A59D5DF941DB}"/>
    <cellStyle name="Normal 2 6 2 4 2" xfId="4950" xr:uid="{00000000-0005-0000-0000-0000ED180000}"/>
    <cellStyle name="Normal 2 6 2 4 2 2" xfId="5369" xr:uid="{00000000-0005-0000-0000-0000EE180000}"/>
    <cellStyle name="Normal 2 6 2 4 2 2 2" xfId="7232" xr:uid="{00000000-0005-0000-0000-0000EF180000}"/>
    <cellStyle name="Normal 2 6 2 4 2 2 2 2" xfId="15665" xr:uid="{00000000-0005-0000-0000-0000F0180000}"/>
    <cellStyle name="Normal 2 6 2 4 2 2 2 2 2" xfId="27559" xr:uid="{2A86CA11-99B5-4B4B-87CD-FE4E5F2A849A}"/>
    <cellStyle name="Normal 2 6 2 4 2 2 2 2 3" xfId="21899" xr:uid="{81D716AB-5171-4B8A-874F-66A193D71961}"/>
    <cellStyle name="Normal 2 6 2 4 2 2 2 2 4" xfId="32939" xr:uid="{319AC33B-1332-442A-B25D-0B5F4B985228}"/>
    <cellStyle name="Normal 2 6 2 4 2 2 2 2 5" xfId="38838" xr:uid="{809F9B1B-FD1A-4B58-AA40-3DDABA33886D}"/>
    <cellStyle name="Normal 2 6 2 4 2 2 2 3" xfId="24726" xr:uid="{C904B68B-B754-43FF-8E4C-A628BC17ECE4}"/>
    <cellStyle name="Normal 2 6 2 4 2 2 2 4" xfId="19066" xr:uid="{5DF38AA4-3FC4-4572-90B9-322A9C82EBB6}"/>
    <cellStyle name="Normal 2 6 2 4 2 2 2 5" xfId="30387" xr:uid="{35E52310-F645-49D9-8C99-7CF89B34877B}"/>
    <cellStyle name="Normal 2 6 2 4 2 2 2 6" xfId="38837" xr:uid="{A16207C0-0107-4F96-8C98-2D458468F610}"/>
    <cellStyle name="Normal 2 6 2 4 2 2 3" xfId="14255" xr:uid="{00000000-0005-0000-0000-0000F1180000}"/>
    <cellStyle name="Normal 2 6 2 4 2 2 3 2" xfId="26294" xr:uid="{F449A077-A7FC-4106-B5B7-3E2A95D01730}"/>
    <cellStyle name="Normal 2 6 2 4 2 2 3 3" xfId="20634" xr:uid="{12F02E67-CDD9-4BDE-97E4-175CC4217BA0}"/>
    <cellStyle name="Normal 2 6 2 4 2 2 3 4" xfId="31674" xr:uid="{F2BB6D9E-5879-4A6B-A92A-5EB58FBB4537}"/>
    <cellStyle name="Normal 2 6 2 4 2 2 3 5" xfId="38839" xr:uid="{344979C8-2A99-4CD0-8413-DC7334379F89}"/>
    <cellStyle name="Normal 2 6 2 4 2 2 4" xfId="23164" xr:uid="{FD529019-86B7-452F-B581-C77C56604BE4}"/>
    <cellStyle name="Normal 2 6 2 4 2 2 5" xfId="17504" xr:uid="{43406ECE-C78D-4C8B-940E-4F2F505184E1}"/>
    <cellStyle name="Normal 2 6 2 4 2 2 6" xfId="28825" xr:uid="{6D5EDA62-47E0-402E-95EC-63874EBEDAE5}"/>
    <cellStyle name="Normal 2 6 2 4 2 2 7" xfId="38836" xr:uid="{3F447792-8DCE-4996-A3D3-6FF4E1DFF619}"/>
    <cellStyle name="Normal 2 6 2 4 2 3" xfId="6186" xr:uid="{00000000-0005-0000-0000-0000F2180000}"/>
    <cellStyle name="Normal 2 6 2 4 2 3 2" xfId="7525" xr:uid="{00000000-0005-0000-0000-0000F3180000}"/>
    <cellStyle name="Normal 2 6 2 4 2 3 2 2" xfId="15958" xr:uid="{00000000-0005-0000-0000-0000F4180000}"/>
    <cellStyle name="Normal 2 6 2 4 2 3 2 2 2" xfId="27852" xr:uid="{29A10796-62E5-460B-B261-87E95E8B20DE}"/>
    <cellStyle name="Normal 2 6 2 4 2 3 2 2 3" xfId="22192" xr:uid="{DB3A200A-3D8C-4692-A444-FDE18701669D}"/>
    <cellStyle name="Normal 2 6 2 4 2 3 2 2 4" xfId="33232" xr:uid="{05178D82-66D4-4609-9990-CF3D0C98A7FF}"/>
    <cellStyle name="Normal 2 6 2 4 2 3 2 2 5" xfId="38842" xr:uid="{EA8FDB11-6CAD-406F-88CC-FBA616DF0D81}"/>
    <cellStyle name="Normal 2 6 2 4 2 3 2 3" xfId="25019" xr:uid="{92176A0C-AEF7-4480-80B6-0138DAD01F93}"/>
    <cellStyle name="Normal 2 6 2 4 2 3 2 4" xfId="19359" xr:uid="{C9F3EFB4-517A-4721-9A80-FDC1471C2F02}"/>
    <cellStyle name="Normal 2 6 2 4 2 3 2 5" xfId="30680" xr:uid="{368582AD-B4E6-4EC7-940D-66AE62E50B22}"/>
    <cellStyle name="Normal 2 6 2 4 2 3 2 6" xfId="38841" xr:uid="{14F5E928-11C4-4250-9FCA-B722FECDDD90}"/>
    <cellStyle name="Normal 2 6 2 4 2 3 3" xfId="14638" xr:uid="{00000000-0005-0000-0000-0000F5180000}"/>
    <cellStyle name="Normal 2 6 2 4 2 3 3 2" xfId="26596" xr:uid="{0974B9BE-C949-45F4-8F00-9E304B01347A}"/>
    <cellStyle name="Normal 2 6 2 4 2 3 3 3" xfId="20936" xr:uid="{3033AB35-ECCB-429A-9FB9-1AEF41A0FF5A}"/>
    <cellStyle name="Normal 2 6 2 4 2 3 3 4" xfId="31976" xr:uid="{0A40A0DD-ED3D-4B20-955F-3612A7A7EAD5}"/>
    <cellStyle name="Normal 2 6 2 4 2 3 3 5" xfId="38843" xr:uid="{E77EF4AF-D774-41A5-8574-757B98A1871A}"/>
    <cellStyle name="Normal 2 6 2 4 2 3 4" xfId="23763" xr:uid="{6BA8CE12-24EF-4B65-9AF0-7743DED45EAE}"/>
    <cellStyle name="Normal 2 6 2 4 2 3 5" xfId="18103" xr:uid="{6304A084-44DF-436B-A7D8-912901CFD4F1}"/>
    <cellStyle name="Normal 2 6 2 4 2 3 6" xfId="29424" xr:uid="{2BDE5307-DB37-47A2-9C83-228F2E65F105}"/>
    <cellStyle name="Normal 2 6 2 4 2 3 7" xfId="38840" xr:uid="{64423F62-4FBA-4319-B5DA-7CDA7423C5ED}"/>
    <cellStyle name="Normal 2 6 2 4 2 4" xfId="6814" xr:uid="{00000000-0005-0000-0000-0000F6180000}"/>
    <cellStyle name="Normal 2 6 2 4 2 4 2" xfId="15247" xr:uid="{00000000-0005-0000-0000-0000F7180000}"/>
    <cellStyle name="Normal 2 6 2 4 2 4 2 2" xfId="27141" xr:uid="{FD9A2C21-271B-4B04-A7E6-97DCC3A16BB5}"/>
    <cellStyle name="Normal 2 6 2 4 2 4 2 3" xfId="21481" xr:uid="{722D6836-4692-4B0E-AE8E-435D3DB091D1}"/>
    <cellStyle name="Normal 2 6 2 4 2 4 2 4" xfId="32521" xr:uid="{8F9B91CD-6662-493D-8CF3-E6CD45B0EE27}"/>
    <cellStyle name="Normal 2 6 2 4 2 4 2 5" xfId="38845" xr:uid="{28250ADA-D31B-4D3C-91AC-03032F36401B}"/>
    <cellStyle name="Normal 2 6 2 4 2 4 3" xfId="24308" xr:uid="{C811992E-D2D7-422E-AD38-F898794100C6}"/>
    <cellStyle name="Normal 2 6 2 4 2 4 4" xfId="18648" xr:uid="{26A9CE19-74B2-420B-930E-75F0977E9D9F}"/>
    <cellStyle name="Normal 2 6 2 4 2 4 5" xfId="29969" xr:uid="{F6C82F17-A4B4-4F1A-9DCC-20BBBCAEB123}"/>
    <cellStyle name="Normal 2 6 2 4 2 4 6" xfId="38844" xr:uid="{C5FE8F15-DB88-44EB-967E-20253DF34E87}"/>
    <cellStyle name="Normal 2 6 2 4 2 5" xfId="7961" xr:uid="{00000000-0005-0000-0000-0000F8180000}"/>
    <cellStyle name="Normal 2 6 2 4 2 5 2" xfId="25442" xr:uid="{F238CF85-9662-468B-A500-395485A764A5}"/>
    <cellStyle name="Normal 2 6 2 4 2 5 3" xfId="19782" xr:uid="{8C4BD852-2AC3-4A52-AF59-0E17AEB081B8}"/>
    <cellStyle name="Normal 2 6 2 4 2 5 4" xfId="31103" xr:uid="{9AADD1BA-FA73-4ACC-8215-F06FBFBA276D}"/>
    <cellStyle name="Normal 2 6 2 4 2 5 5" xfId="38846" xr:uid="{04E859D5-2025-4024-B982-688481DF11CC}"/>
    <cellStyle name="Normal 2 6 2 4 2 6" xfId="22746" xr:uid="{BFB19770-E425-40CE-80DF-E657A84C9552}"/>
    <cellStyle name="Normal 2 6 2 4 2 7" xfId="17086" xr:uid="{7C9D2064-CFFE-41CE-A318-00DED6C582FE}"/>
    <cellStyle name="Normal 2 6 2 4 2 8" xfId="28407" xr:uid="{45FDD0D8-3037-4F24-A518-CF9408AF9126}"/>
    <cellStyle name="Normal 2 6 2 4 2 9" xfId="38835" xr:uid="{9BEED422-91E0-434F-A4C7-60A383652C15}"/>
    <cellStyle name="Normal 2 6 2 4 3" xfId="5160" xr:uid="{00000000-0005-0000-0000-0000F9180000}"/>
    <cellStyle name="Normal 2 6 2 4 3 2" xfId="7023" xr:uid="{00000000-0005-0000-0000-0000FA180000}"/>
    <cellStyle name="Normal 2 6 2 4 3 2 2" xfId="15456" xr:uid="{00000000-0005-0000-0000-0000FB180000}"/>
    <cellStyle name="Normal 2 6 2 4 3 2 2 2" xfId="27350" xr:uid="{FFCCE947-75EC-4D42-AE35-46B93C17EA4A}"/>
    <cellStyle name="Normal 2 6 2 4 3 2 2 3" xfId="21690" xr:uid="{D54A8885-2D3A-4599-9E09-72DE1792F4C8}"/>
    <cellStyle name="Normal 2 6 2 4 3 2 2 4" xfId="32730" xr:uid="{AE46FD38-0B99-4D6F-8341-58F4A704F6EA}"/>
    <cellStyle name="Normal 2 6 2 4 3 2 2 5" xfId="38849" xr:uid="{62D6CE65-B930-443F-B73F-BAF50F9CBAA8}"/>
    <cellStyle name="Normal 2 6 2 4 3 2 3" xfId="24517" xr:uid="{F31EC1AD-8A55-44E9-9E52-7626F39278C6}"/>
    <cellStyle name="Normal 2 6 2 4 3 2 4" xfId="18857" xr:uid="{E61FFD52-5253-4BB4-B000-359CF1D3E597}"/>
    <cellStyle name="Normal 2 6 2 4 3 2 5" xfId="30178" xr:uid="{50BAC38C-EA7A-46C4-93B2-4797B90B8D4C}"/>
    <cellStyle name="Normal 2 6 2 4 3 2 6" xfId="38848" xr:uid="{72A73297-CE25-472B-9510-C329E174DB97}"/>
    <cellStyle name="Normal 2 6 2 4 3 3" xfId="14047" xr:uid="{00000000-0005-0000-0000-0000FC180000}"/>
    <cellStyle name="Normal 2 6 2 4 3 3 2" xfId="26086" xr:uid="{4342D8FD-F36F-434E-B50D-CE1D6321C600}"/>
    <cellStyle name="Normal 2 6 2 4 3 3 3" xfId="20426" xr:uid="{FD29F870-4D79-4B74-B42F-07E9AF2F46AE}"/>
    <cellStyle name="Normal 2 6 2 4 3 3 4" xfId="31466" xr:uid="{FAB62379-FE40-4DB4-A3DE-6F71BF7B7E49}"/>
    <cellStyle name="Normal 2 6 2 4 3 3 5" xfId="38850" xr:uid="{707D46BA-4648-4968-A65D-70E78660EF77}"/>
    <cellStyle name="Normal 2 6 2 4 3 4" xfId="22955" xr:uid="{CD50C45B-5587-4B3F-995F-BD9A700459B8}"/>
    <cellStyle name="Normal 2 6 2 4 3 5" xfId="17295" xr:uid="{8D59DE8A-A4FD-4E7C-B175-69AB4E1B48B5}"/>
    <cellStyle name="Normal 2 6 2 4 3 6" xfId="28616" xr:uid="{B1C9E009-10AF-45D7-97B9-B11B26C39885}"/>
    <cellStyle name="Normal 2 6 2 4 3 7" xfId="38847" xr:uid="{AA513251-5939-42AE-974B-533800A29FC2}"/>
    <cellStyle name="Normal 2 6 2 4 4" xfId="6185" xr:uid="{00000000-0005-0000-0000-0000FD180000}"/>
    <cellStyle name="Normal 2 6 2 4 4 2" xfId="7524" xr:uid="{00000000-0005-0000-0000-0000FE180000}"/>
    <cellStyle name="Normal 2 6 2 4 4 2 2" xfId="15957" xr:uid="{00000000-0005-0000-0000-0000FF180000}"/>
    <cellStyle name="Normal 2 6 2 4 4 2 2 2" xfId="27851" xr:uid="{0C1FDDDB-E61B-43A1-B2E9-9EE1EB06DC38}"/>
    <cellStyle name="Normal 2 6 2 4 4 2 2 3" xfId="22191" xr:uid="{4961834B-B968-44A5-A5C1-5388C37EA610}"/>
    <cellStyle name="Normal 2 6 2 4 4 2 2 4" xfId="33231" xr:uid="{374038BD-1810-428A-AC0B-7E006C713F1E}"/>
    <cellStyle name="Normal 2 6 2 4 4 2 2 5" xfId="38853" xr:uid="{B69818CB-49DD-4A54-B949-768543713AF5}"/>
    <cellStyle name="Normal 2 6 2 4 4 2 3" xfId="25018" xr:uid="{6402C415-CBCE-415C-9995-6F08C146A4E0}"/>
    <cellStyle name="Normal 2 6 2 4 4 2 4" xfId="19358" xr:uid="{8AEEA4A7-DB9F-42FC-A767-344A00F71E9C}"/>
    <cellStyle name="Normal 2 6 2 4 4 2 5" xfId="30679" xr:uid="{7FB71FE8-55BA-4A45-ACEC-87389ABDD986}"/>
    <cellStyle name="Normal 2 6 2 4 4 2 6" xfId="38852" xr:uid="{9E748FA3-797B-42D4-BBF1-8F24E351908C}"/>
    <cellStyle name="Normal 2 6 2 4 4 3" xfId="14637" xr:uid="{00000000-0005-0000-0000-000000190000}"/>
    <cellStyle name="Normal 2 6 2 4 4 3 2" xfId="26595" xr:uid="{FF0E6630-DCB0-49F2-AE65-254406242326}"/>
    <cellStyle name="Normal 2 6 2 4 4 3 3" xfId="20935" xr:uid="{F74ED337-8C13-4774-8DFE-E740B8393499}"/>
    <cellStyle name="Normal 2 6 2 4 4 3 4" xfId="31975" xr:uid="{9C9139E9-616D-41D1-99FF-2407F2705914}"/>
    <cellStyle name="Normal 2 6 2 4 4 3 5" xfId="38854" xr:uid="{4B49AA04-3C84-4FDE-96B9-A8BB7DA779D4}"/>
    <cellStyle name="Normal 2 6 2 4 4 4" xfId="23762" xr:uid="{26F32C4D-D72A-4F26-9BDE-090CEBCDF7B3}"/>
    <cellStyle name="Normal 2 6 2 4 4 5" xfId="18102" xr:uid="{644281F7-185D-4692-81E9-60736B2BE0F2}"/>
    <cellStyle name="Normal 2 6 2 4 4 6" xfId="29423" xr:uid="{51137182-B1D6-4ABE-B772-9335E4F11F29}"/>
    <cellStyle name="Normal 2 6 2 4 4 7" xfId="38851" xr:uid="{C4544A53-A162-4E7C-8DB8-672AC35F2F01}"/>
    <cellStyle name="Normal 2 6 2 4 5" xfId="6605" xr:uid="{00000000-0005-0000-0000-000001190000}"/>
    <cellStyle name="Normal 2 6 2 4 5 2" xfId="15038" xr:uid="{00000000-0005-0000-0000-000002190000}"/>
    <cellStyle name="Normal 2 6 2 4 5 2 2" xfId="26932" xr:uid="{444C96E0-4B97-4D3E-B021-A1CEA2043C4C}"/>
    <cellStyle name="Normal 2 6 2 4 5 2 3" xfId="21272" xr:uid="{59C46D22-8447-4B39-AF28-679BE3B81CA2}"/>
    <cellStyle name="Normal 2 6 2 4 5 2 4" xfId="32312" xr:uid="{3ADC9B1E-A960-4C5F-9FB3-B3625D72167A}"/>
    <cellStyle name="Normal 2 6 2 4 5 2 5" xfId="38856" xr:uid="{EA8DB908-C3FC-43FC-B50E-00A3857DE5BB}"/>
    <cellStyle name="Normal 2 6 2 4 5 3" xfId="24099" xr:uid="{2A7D65E7-98F0-429C-B42C-4377FEA56F76}"/>
    <cellStyle name="Normal 2 6 2 4 5 4" xfId="18439" xr:uid="{389F119F-D084-47BF-B258-26FF39D8D07E}"/>
    <cellStyle name="Normal 2 6 2 4 5 5" xfId="29760" xr:uid="{D6C60871-E56C-4E32-8D98-890AB94F9688}"/>
    <cellStyle name="Normal 2 6 2 4 5 6" xfId="38855" xr:uid="{63E7061D-B5CB-4D11-B95E-6FDDFF41C115}"/>
    <cellStyle name="Normal 2 6 2 4 6" xfId="7960" xr:uid="{00000000-0005-0000-0000-000003190000}"/>
    <cellStyle name="Normal 2 6 2 4 6 2" xfId="25441" xr:uid="{8058D008-A73E-41AF-8B02-79AFA52B8BD6}"/>
    <cellStyle name="Normal 2 6 2 4 6 3" xfId="19781" xr:uid="{D97F57DE-2020-42BE-AAC5-72265F3D0347}"/>
    <cellStyle name="Normal 2 6 2 4 6 4" xfId="31102" xr:uid="{FC21B257-EEAE-4CEB-BA0C-0EF4E2EF7E0C}"/>
    <cellStyle name="Normal 2 6 2 4 6 5" xfId="38857" xr:uid="{B121445A-7A45-45B4-B8D6-99005C160BEA}"/>
    <cellStyle name="Normal 2 6 2 4 7" xfId="22537" xr:uid="{A66B254C-CDB2-4FBF-A537-2D4CCBBB81DB}"/>
    <cellStyle name="Normal 2 6 2 4 8" xfId="16877" xr:uid="{176ECF74-656D-4FE1-8BB6-B3DB4AAF0022}"/>
    <cellStyle name="Normal 2 6 2 4 9" xfId="28198" xr:uid="{1AC6C630-7D9B-4F49-BC47-B56B6E190AF6}"/>
    <cellStyle name="Normal 2 6 2 5" xfId="4825" xr:uid="{00000000-0005-0000-0000-000004190000}"/>
    <cellStyle name="Normal 2 6 2 5 2" xfId="5246" xr:uid="{00000000-0005-0000-0000-000005190000}"/>
    <cellStyle name="Normal 2 6 2 5 2 2" xfId="7109" xr:uid="{00000000-0005-0000-0000-000006190000}"/>
    <cellStyle name="Normal 2 6 2 5 2 2 2" xfId="15542" xr:uid="{00000000-0005-0000-0000-000007190000}"/>
    <cellStyle name="Normal 2 6 2 5 2 2 2 2" xfId="27436" xr:uid="{596B747F-31CA-4903-B78E-C08C8FA30F71}"/>
    <cellStyle name="Normal 2 6 2 5 2 2 2 3" xfId="21776" xr:uid="{023F4B5E-CEF2-4A4C-9E76-B3940FBD881B}"/>
    <cellStyle name="Normal 2 6 2 5 2 2 2 4" xfId="32816" xr:uid="{825018D0-DE24-48E4-B466-7E6A12BF3A8E}"/>
    <cellStyle name="Normal 2 6 2 5 2 2 2 5" xfId="38861" xr:uid="{B6AD1894-D135-42BA-8DAE-4F202C8F03C4}"/>
    <cellStyle name="Normal 2 6 2 5 2 2 3" xfId="24603" xr:uid="{1B80DCD0-CE08-41EB-B29B-A1B37059C19E}"/>
    <cellStyle name="Normal 2 6 2 5 2 2 4" xfId="18943" xr:uid="{394A476F-72D7-40E8-B3EF-45F464E785BB}"/>
    <cellStyle name="Normal 2 6 2 5 2 2 5" xfId="30264" xr:uid="{29042860-8A3F-46F3-A7EC-1C88316463ED}"/>
    <cellStyle name="Normal 2 6 2 5 2 2 6" xfId="38860" xr:uid="{9E6C5906-797C-4829-91CC-9446716AE6DA}"/>
    <cellStyle name="Normal 2 6 2 5 2 3" xfId="14132" xr:uid="{00000000-0005-0000-0000-000008190000}"/>
    <cellStyle name="Normal 2 6 2 5 2 3 2" xfId="26171" xr:uid="{4D671BC4-E040-4D42-A53A-F8FC88D62111}"/>
    <cellStyle name="Normal 2 6 2 5 2 3 3" xfId="20511" xr:uid="{BF315413-E68B-4F27-B329-DEE1ADDDBDAE}"/>
    <cellStyle name="Normal 2 6 2 5 2 3 4" xfId="31551" xr:uid="{5E4CA6C3-ED86-4060-8A35-C5561EBAFD96}"/>
    <cellStyle name="Normal 2 6 2 5 2 3 5" xfId="38862" xr:uid="{6A33D6F8-588E-4440-B5DB-40D8BB28CD08}"/>
    <cellStyle name="Normal 2 6 2 5 2 4" xfId="23041" xr:uid="{268099A9-EBA2-42C8-99B4-BCCC88466FF2}"/>
    <cellStyle name="Normal 2 6 2 5 2 5" xfId="17381" xr:uid="{E85EEFA1-56D8-4B00-9F9C-60594F7862F4}"/>
    <cellStyle name="Normal 2 6 2 5 2 6" xfId="28702" xr:uid="{023B2825-5EF0-4AF9-95CC-05CBD7373953}"/>
    <cellStyle name="Normal 2 6 2 5 2 7" xfId="38859" xr:uid="{82026720-95E0-4BF2-92FA-729DEB9BBFD2}"/>
    <cellStyle name="Normal 2 6 2 5 3" xfId="6187" xr:uid="{00000000-0005-0000-0000-000009190000}"/>
    <cellStyle name="Normal 2 6 2 5 3 2" xfId="7526" xr:uid="{00000000-0005-0000-0000-00000A190000}"/>
    <cellStyle name="Normal 2 6 2 5 3 2 2" xfId="15959" xr:uid="{00000000-0005-0000-0000-00000B190000}"/>
    <cellStyle name="Normal 2 6 2 5 3 2 2 2" xfId="27853" xr:uid="{363028B2-2081-4087-973D-0F15ED599B44}"/>
    <cellStyle name="Normal 2 6 2 5 3 2 2 3" xfId="22193" xr:uid="{1F1FD1B4-031B-4FA3-956C-6C30322B5C1F}"/>
    <cellStyle name="Normal 2 6 2 5 3 2 2 4" xfId="33233" xr:uid="{60DFF09C-37A3-407A-A0B4-CD7F0D0D7E09}"/>
    <cellStyle name="Normal 2 6 2 5 3 2 2 5" xfId="38865" xr:uid="{67AFE5DF-68DA-41B9-8D38-8CDCE768669D}"/>
    <cellStyle name="Normal 2 6 2 5 3 2 3" xfId="25020" xr:uid="{20EADFDB-8859-40C6-A01E-C1E7F55B6A77}"/>
    <cellStyle name="Normal 2 6 2 5 3 2 4" xfId="19360" xr:uid="{1B1324DE-4EFD-44A9-8131-D6E9CF4A4494}"/>
    <cellStyle name="Normal 2 6 2 5 3 2 5" xfId="30681" xr:uid="{C59F131D-F610-4FB9-A6FF-0985A8F758A6}"/>
    <cellStyle name="Normal 2 6 2 5 3 2 6" xfId="38864" xr:uid="{CE52B324-60B4-4904-87C6-09F2221F91E4}"/>
    <cellStyle name="Normal 2 6 2 5 3 3" xfId="14639" xr:uid="{00000000-0005-0000-0000-00000C190000}"/>
    <cellStyle name="Normal 2 6 2 5 3 3 2" xfId="26597" xr:uid="{E7CDFC14-64B7-4C6C-870D-AB61B453FBA1}"/>
    <cellStyle name="Normal 2 6 2 5 3 3 3" xfId="20937" xr:uid="{B157D1E3-ADEC-49A4-867D-C40DECEEEAE0}"/>
    <cellStyle name="Normal 2 6 2 5 3 3 4" xfId="31977" xr:uid="{BAA3A69B-A593-4CA8-90E2-6B947E3BCDB1}"/>
    <cellStyle name="Normal 2 6 2 5 3 3 5" xfId="38866" xr:uid="{7927B1D4-A6F9-4CB0-BC11-F51B0BD4F88A}"/>
    <cellStyle name="Normal 2 6 2 5 3 4" xfId="23764" xr:uid="{D2A5F128-80BD-4C7A-9203-D01EE021EDFA}"/>
    <cellStyle name="Normal 2 6 2 5 3 5" xfId="18104" xr:uid="{4204DFC0-AC37-4AAC-8E84-4C5B7D680DFE}"/>
    <cellStyle name="Normal 2 6 2 5 3 6" xfId="29425" xr:uid="{C8CA0CAA-E21D-4EA2-9D27-65764F8E92F8}"/>
    <cellStyle name="Normal 2 6 2 5 3 7" xfId="38863" xr:uid="{BD36199D-664B-4CA2-B706-F20F7B50B6C0}"/>
    <cellStyle name="Normal 2 6 2 5 4" xfId="6691" xr:uid="{00000000-0005-0000-0000-00000D190000}"/>
    <cellStyle name="Normal 2 6 2 5 4 2" xfId="15124" xr:uid="{00000000-0005-0000-0000-00000E190000}"/>
    <cellStyle name="Normal 2 6 2 5 4 2 2" xfId="27018" xr:uid="{A7F3EFAD-2AC3-4D1A-B3EF-AAE991396D5C}"/>
    <cellStyle name="Normal 2 6 2 5 4 2 3" xfId="21358" xr:uid="{34D79B6E-BE25-4172-8175-3AA9EB917AAD}"/>
    <cellStyle name="Normal 2 6 2 5 4 2 4" xfId="32398" xr:uid="{D05D0791-3377-4E7B-A1D8-78AB4CBA2B75}"/>
    <cellStyle name="Normal 2 6 2 5 4 2 5" xfId="38868" xr:uid="{613794A0-CC61-45E0-B7EC-30ACAF007C6C}"/>
    <cellStyle name="Normal 2 6 2 5 4 3" xfId="24185" xr:uid="{77353B9D-EA1D-4381-A697-F461E9AA6837}"/>
    <cellStyle name="Normal 2 6 2 5 4 4" xfId="18525" xr:uid="{0C7CEE8D-5A34-461E-AA0E-B8270A593C96}"/>
    <cellStyle name="Normal 2 6 2 5 4 5" xfId="29846" xr:uid="{5253A08C-166D-46B2-963D-1180F797C608}"/>
    <cellStyle name="Normal 2 6 2 5 4 6" xfId="38867" xr:uid="{15B91516-0E2F-4462-8377-CF902FB30333}"/>
    <cellStyle name="Normal 2 6 2 5 5" xfId="7962" xr:uid="{00000000-0005-0000-0000-00000F190000}"/>
    <cellStyle name="Normal 2 6 2 5 5 2" xfId="25443" xr:uid="{3B667B94-482E-4A25-889D-230CFFC5221E}"/>
    <cellStyle name="Normal 2 6 2 5 5 3" xfId="19783" xr:uid="{FF2F863F-04EE-4085-9128-C85741EA39FE}"/>
    <cellStyle name="Normal 2 6 2 5 5 4" xfId="31104" xr:uid="{9D139EBA-5720-46A1-81E2-36124F38B38D}"/>
    <cellStyle name="Normal 2 6 2 5 5 5" xfId="38869" xr:uid="{C2AFA41D-EE4B-4EFF-AF1C-44CDFAFE1638}"/>
    <cellStyle name="Normal 2 6 2 5 6" xfId="22623" xr:uid="{29BD39FD-B70A-4DDE-B096-08D15AC94B9C}"/>
    <cellStyle name="Normal 2 6 2 5 7" xfId="16963" xr:uid="{612065EF-33AF-4E7A-9F12-EF1413D9944D}"/>
    <cellStyle name="Normal 2 6 2 5 8" xfId="28284" xr:uid="{BB6D4C88-695D-4C57-94A4-714FD08579A6}"/>
    <cellStyle name="Normal 2 6 2 5 9" xfId="38858" xr:uid="{116F8BCA-B609-4550-8B84-426581B4EEFE}"/>
    <cellStyle name="Normal 2 6 2 6" xfId="5037" xr:uid="{00000000-0005-0000-0000-000010190000}"/>
    <cellStyle name="Normal 2 6 2 6 2" xfId="6900" xr:uid="{00000000-0005-0000-0000-000011190000}"/>
    <cellStyle name="Normal 2 6 2 6 2 2" xfId="15333" xr:uid="{00000000-0005-0000-0000-000012190000}"/>
    <cellStyle name="Normal 2 6 2 6 2 2 2" xfId="27227" xr:uid="{64C86864-8331-47FE-B6CA-62C2724051A4}"/>
    <cellStyle name="Normal 2 6 2 6 2 2 3" xfId="21567" xr:uid="{F406A04A-AE1E-4DF9-BBFA-0D77D2DFC582}"/>
    <cellStyle name="Normal 2 6 2 6 2 2 4" xfId="32607" xr:uid="{474D3A2D-8B8F-46FE-AB90-3359F82A74B0}"/>
    <cellStyle name="Normal 2 6 2 6 2 2 5" xfId="38872" xr:uid="{2DE15F84-B417-40E4-960A-9614427EE6FF}"/>
    <cellStyle name="Normal 2 6 2 6 2 3" xfId="24394" xr:uid="{F67FE64C-F762-475A-BD22-8A65CBD6F685}"/>
    <cellStyle name="Normal 2 6 2 6 2 4" xfId="18734" xr:uid="{00BB08D1-AF0D-4AC6-BC8C-519F2CFA8924}"/>
    <cellStyle name="Normal 2 6 2 6 2 5" xfId="30055" xr:uid="{1240619F-434E-41D1-BB55-9EFADD54EF4B}"/>
    <cellStyle name="Normal 2 6 2 6 2 6" xfId="38871" xr:uid="{FBD96D33-3547-4223-B9AA-50E5CA77271E}"/>
    <cellStyle name="Normal 2 6 2 6 3" xfId="13941" xr:uid="{00000000-0005-0000-0000-000013190000}"/>
    <cellStyle name="Normal 2 6 2 6 3 2" xfId="25982" xr:uid="{FA17BC70-3D15-49FD-8780-AB38ECE8E7BF}"/>
    <cellStyle name="Normal 2 6 2 6 3 3" xfId="20322" xr:uid="{6DDC6D9B-437B-4C5C-97E8-67070619FA14}"/>
    <cellStyle name="Normal 2 6 2 6 3 4" xfId="31362" xr:uid="{9A9C9EE0-5D5C-4EFC-95CD-747B3FCAE925}"/>
    <cellStyle name="Normal 2 6 2 6 3 5" xfId="38873" xr:uid="{952F08A4-1C9A-46F8-B9AF-5008C095BA01}"/>
    <cellStyle name="Normal 2 6 2 6 4" xfId="22832" xr:uid="{2AACFE4A-2B1A-4DB4-8EE0-C02A863D60D0}"/>
    <cellStyle name="Normal 2 6 2 6 5" xfId="17172" xr:uid="{0F0331B5-BE5F-47FB-80A6-CE970F220327}"/>
    <cellStyle name="Normal 2 6 2 6 6" xfId="28493" xr:uid="{0C2B749C-484E-4BD7-ADD7-F1FA8CA21F66}"/>
    <cellStyle name="Normal 2 6 2 6 7" xfId="38870" xr:uid="{4AFD92CE-61CD-4BAF-BE9E-7DB01D5BBCAB}"/>
    <cellStyle name="Normal 2 6 2 7" xfId="6182" xr:uid="{00000000-0005-0000-0000-000014190000}"/>
    <cellStyle name="Normal 2 6 2 7 2" xfId="7521" xr:uid="{00000000-0005-0000-0000-000015190000}"/>
    <cellStyle name="Normal 2 6 2 7 2 2" xfId="15954" xr:uid="{00000000-0005-0000-0000-000016190000}"/>
    <cellStyle name="Normal 2 6 2 7 2 2 2" xfId="27848" xr:uid="{EFF5B4F2-9F8D-42DA-A89F-C66F0BF829AB}"/>
    <cellStyle name="Normal 2 6 2 7 2 2 3" xfId="22188" xr:uid="{2A2B9E1A-8478-4D5C-9DD6-0DF761AD96C6}"/>
    <cellStyle name="Normal 2 6 2 7 2 2 4" xfId="33228" xr:uid="{132ACF13-0E15-4CBD-A352-B5B237CF8B44}"/>
    <cellStyle name="Normal 2 6 2 7 2 2 5" xfId="38876" xr:uid="{8A202E8A-BE85-469F-AB68-D1C3FD53D4E7}"/>
    <cellStyle name="Normal 2 6 2 7 2 3" xfId="25015" xr:uid="{78388B43-BBAE-4DBF-98B6-536FA790200E}"/>
    <cellStyle name="Normal 2 6 2 7 2 4" xfId="19355" xr:uid="{0027F341-AAD7-481A-AB25-E8FE6D6CF4BB}"/>
    <cellStyle name="Normal 2 6 2 7 2 5" xfId="30676" xr:uid="{EA5581F5-AC35-4A52-893C-F12E8073EBAB}"/>
    <cellStyle name="Normal 2 6 2 7 2 6" xfId="38875" xr:uid="{AB6323A3-9B9C-4E11-A245-261D00157E34}"/>
    <cellStyle name="Normal 2 6 2 7 3" xfId="14634" xr:uid="{00000000-0005-0000-0000-000017190000}"/>
    <cellStyle name="Normal 2 6 2 7 3 2" xfId="26592" xr:uid="{2B2D8E04-E510-4CFF-AADA-DB97371C1D45}"/>
    <cellStyle name="Normal 2 6 2 7 3 3" xfId="20932" xr:uid="{B7EC70DB-F6EF-4675-87C5-3EE95710571F}"/>
    <cellStyle name="Normal 2 6 2 7 3 4" xfId="31972" xr:uid="{128E9CDB-15A7-48F6-A05F-3C7D11D40D9A}"/>
    <cellStyle name="Normal 2 6 2 7 3 5" xfId="38877" xr:uid="{2D3AFD45-D647-4E82-8F52-E9DC0BDD4A52}"/>
    <cellStyle name="Normal 2 6 2 7 4" xfId="23759" xr:uid="{B68C88B2-3DCE-4E59-BE49-A2860E3DA3DA}"/>
    <cellStyle name="Normal 2 6 2 7 5" xfId="18099" xr:uid="{F52C3449-4FDF-4345-99A5-252F2DEEBC60}"/>
    <cellStyle name="Normal 2 6 2 7 6" xfId="29420" xr:uid="{CE84C12C-0B88-4DF0-B176-81A59229CE2C}"/>
    <cellStyle name="Normal 2 6 2 7 7" xfId="38874" xr:uid="{CAF6D9BA-5B3C-4195-9A11-05967F974420}"/>
    <cellStyle name="Normal 2 6 2 8" xfId="6482" xr:uid="{00000000-0005-0000-0000-000018190000}"/>
    <cellStyle name="Normal 2 6 2 8 2" xfId="14915" xr:uid="{00000000-0005-0000-0000-000019190000}"/>
    <cellStyle name="Normal 2 6 2 8 2 2" xfId="26809" xr:uid="{DD635E22-F389-4432-A87A-21FA51156498}"/>
    <cellStyle name="Normal 2 6 2 8 2 3" xfId="21149" xr:uid="{93A855BE-22ED-4FBC-B309-7C0FCBE8F28C}"/>
    <cellStyle name="Normal 2 6 2 8 2 4" xfId="32189" xr:uid="{D64C585A-E115-4D76-88A3-36CF5BCFC239}"/>
    <cellStyle name="Normal 2 6 2 8 2 5" xfId="38879" xr:uid="{6652D63F-3E04-4297-B552-9D303451305F}"/>
    <cellStyle name="Normal 2 6 2 8 3" xfId="23976" xr:uid="{C2FB69E1-52FC-4BE6-8FD3-B3CE2C0B131F}"/>
    <cellStyle name="Normal 2 6 2 8 4" xfId="18316" xr:uid="{40F06D93-5456-43BC-BBF0-50856B25921E}"/>
    <cellStyle name="Normal 2 6 2 8 5" xfId="29637" xr:uid="{F7170882-D170-4684-AF09-38EE6B52ECC2}"/>
    <cellStyle name="Normal 2 6 2 8 6" xfId="38878" xr:uid="{DAB008E5-CB37-453D-AE41-E0DC516477F5}"/>
    <cellStyle name="Normal 2 6 2 9" xfId="7957" xr:uid="{00000000-0005-0000-0000-00001A190000}"/>
    <cellStyle name="Normal 2 6 2 9 2" xfId="25438" xr:uid="{1C024B31-4D7D-42E1-981A-37760C3BB7F9}"/>
    <cellStyle name="Normal 2 6 2 9 3" xfId="19778" xr:uid="{CB0887E9-B3ED-41DE-BC7D-5868F7E9D7BE}"/>
    <cellStyle name="Normal 2 6 2 9 4" xfId="31099" xr:uid="{C3BA02B9-4CD8-46DA-B97B-A419EBBEA945}"/>
    <cellStyle name="Normal 2 6 2 9 5" xfId="38880" xr:uid="{190C84C7-69C1-4C93-BB2A-A4184693074A}"/>
    <cellStyle name="Normal 2 6 20" xfId="5016" xr:uid="{00000000-0005-0000-0000-00001B190000}"/>
    <cellStyle name="Normal 2 6 20 2" xfId="5791" xr:uid="{00000000-0005-0000-0000-00001C190000}"/>
    <cellStyle name="Normal 2 6 20 2 2" xfId="7299" xr:uid="{00000000-0005-0000-0000-00001D190000}"/>
    <cellStyle name="Normal 2 6 20 2 2 2" xfId="15732" xr:uid="{00000000-0005-0000-0000-00001E190000}"/>
    <cellStyle name="Normal 2 6 20 2 2 2 2" xfId="27626" xr:uid="{AB9E686B-8012-41BC-9930-BA50187B9190}"/>
    <cellStyle name="Normal 2 6 20 2 2 2 3" xfId="21966" xr:uid="{5B3A24D6-C177-433C-9375-2C7070799087}"/>
    <cellStyle name="Normal 2 6 20 2 2 2 4" xfId="33006" xr:uid="{7EAF12DF-B18E-49A2-86D7-CB51A4CD20E9}"/>
    <cellStyle name="Normal 2 6 20 2 2 2 5" xfId="38884" xr:uid="{20F2268D-3321-4989-B01F-46010849422E}"/>
    <cellStyle name="Normal 2 6 20 2 2 3" xfId="24793" xr:uid="{28E0AC77-5CB6-4187-8D5D-6F6055DC1308}"/>
    <cellStyle name="Normal 2 6 20 2 2 4" xfId="19133" xr:uid="{E267F0B9-46FB-47C9-AC44-E401906E20C0}"/>
    <cellStyle name="Normal 2 6 20 2 2 5" xfId="30454" xr:uid="{4B75A793-E027-4026-8F70-9C72C469585F}"/>
    <cellStyle name="Normal 2 6 20 2 2 6" xfId="38883" xr:uid="{FFD8567D-8DB8-4CE8-89A2-5D3D43203E6E}"/>
    <cellStyle name="Normal 2 6 20 2 3" xfId="14374" xr:uid="{00000000-0005-0000-0000-00001F190000}"/>
    <cellStyle name="Normal 2 6 20 2 3 2" xfId="26368" xr:uid="{A7E01D1A-9089-4935-9CFE-6A1CA7B7153F}"/>
    <cellStyle name="Normal 2 6 20 2 3 3" xfId="20708" xr:uid="{97D17D97-AE20-4B35-9058-649B94637F60}"/>
    <cellStyle name="Normal 2 6 20 2 3 4" xfId="31748" xr:uid="{461D84C1-43F2-48F6-A886-97C6C2C37D93}"/>
    <cellStyle name="Normal 2 6 20 2 3 5" xfId="38885" xr:uid="{D671FC00-2E79-4AB2-831C-A3B8779DF36C}"/>
    <cellStyle name="Normal 2 6 20 2 4" xfId="23452" xr:uid="{A292AD92-27F4-4F47-9CBA-1A8DF47FE2A8}"/>
    <cellStyle name="Normal 2 6 20 2 5" xfId="17792" xr:uid="{7C4391BF-DDB5-4CD2-91A5-3EC383B2F1A4}"/>
    <cellStyle name="Normal 2 6 20 2 6" xfId="29113" xr:uid="{98886A20-2BB1-4943-81E6-52560D1522FC}"/>
    <cellStyle name="Normal 2 6 20 2 7" xfId="38882" xr:uid="{B20085BB-175B-4C56-A0AF-54A5F302CDEC}"/>
    <cellStyle name="Normal 2 6 20 3" xfId="6879" xr:uid="{00000000-0005-0000-0000-000020190000}"/>
    <cellStyle name="Normal 2 6 20 3 2" xfId="15312" xr:uid="{00000000-0005-0000-0000-000021190000}"/>
    <cellStyle name="Normal 2 6 20 3 2 2" xfId="27206" xr:uid="{D500E164-8B02-4C6D-8305-A6721DCAC47C}"/>
    <cellStyle name="Normal 2 6 20 3 2 3" xfId="21546" xr:uid="{A3DED54F-23BA-42B6-B60C-CECAD6B2EAD6}"/>
    <cellStyle name="Normal 2 6 20 3 2 4" xfId="32586" xr:uid="{C6E5E5F4-C91D-4B56-A997-774C2CEC32B6}"/>
    <cellStyle name="Normal 2 6 20 3 2 5" xfId="38887" xr:uid="{09BD4FAF-BA55-486A-969B-9B219232EA6C}"/>
    <cellStyle name="Normal 2 6 20 3 3" xfId="24373" xr:uid="{C557E6A2-F664-4E9E-ACBC-1F9B337DF59E}"/>
    <cellStyle name="Normal 2 6 20 3 4" xfId="18713" xr:uid="{1ABEABDC-37B5-4BA6-9C21-EE90DF8DA36F}"/>
    <cellStyle name="Normal 2 6 20 3 5" xfId="30034" xr:uid="{C92A4861-10FD-4F16-ADF8-6F119B72447D}"/>
    <cellStyle name="Normal 2 6 20 3 6" xfId="38886" xr:uid="{92B329B0-36C4-4B4A-A3E9-6450AEDD1447}"/>
    <cellStyle name="Normal 2 6 20 4" xfId="13928" xr:uid="{00000000-0005-0000-0000-000022190000}"/>
    <cellStyle name="Normal 2 6 20 4 2" xfId="25969" xr:uid="{6F8914EB-646A-434E-A3A6-2FC66554DC20}"/>
    <cellStyle name="Normal 2 6 20 4 3" xfId="20309" xr:uid="{92D7B14E-2FB7-489E-87CB-F3A25ECC1FF4}"/>
    <cellStyle name="Normal 2 6 20 4 4" xfId="31349" xr:uid="{7F1AD788-AA82-4FDB-899A-574B9EFAD079}"/>
    <cellStyle name="Normal 2 6 20 4 5" xfId="38888" xr:uid="{20D141A9-0EA8-4410-83D0-E475EB55FDEB}"/>
    <cellStyle name="Normal 2 6 20 5" xfId="22811" xr:uid="{4B773285-06F5-4E8A-B274-6D0FFF140D5A}"/>
    <cellStyle name="Normal 2 6 20 6" xfId="17151" xr:uid="{B7339DE9-867D-4CCA-9BC3-344E22003BB2}"/>
    <cellStyle name="Normal 2 6 20 7" xfId="28472" xr:uid="{410F0502-A53D-49E3-85AE-829E01C45507}"/>
    <cellStyle name="Normal 2 6 20 8" xfId="38881" xr:uid="{D6723B7F-1ECD-4209-A0EB-FC034F91D6C4}"/>
    <cellStyle name="Normal 2 6 21" xfId="6461" xr:uid="{00000000-0005-0000-0000-000023190000}"/>
    <cellStyle name="Normal 2 6 21 2" xfId="14894" xr:uid="{00000000-0005-0000-0000-000024190000}"/>
    <cellStyle name="Normal 2 6 21 2 2" xfId="26788" xr:uid="{CAC55D46-F76E-44A1-A549-80E183D62F8E}"/>
    <cellStyle name="Normal 2 6 21 2 3" xfId="21128" xr:uid="{4DA29575-2E03-401E-92E3-69F9EC06B6E5}"/>
    <cellStyle name="Normal 2 6 21 2 4" xfId="32168" xr:uid="{18891809-82BC-42AF-A479-FBA50BF712BC}"/>
    <cellStyle name="Normal 2 6 21 2 5" xfId="38890" xr:uid="{8903A962-3941-41D3-AEC0-AF3CA9D490D3}"/>
    <cellStyle name="Normal 2 6 21 3" xfId="23955" xr:uid="{2EF3DFFA-7979-45E7-9F29-AFE92D2264EF}"/>
    <cellStyle name="Normal 2 6 21 4" xfId="18295" xr:uid="{63B60772-A0F4-41AC-9411-D7492DA8ED6D}"/>
    <cellStyle name="Normal 2 6 21 5" xfId="29616" xr:uid="{D93ECBDD-9340-41FD-A957-00916750532E}"/>
    <cellStyle name="Normal 2 6 21 6" xfId="38889" xr:uid="{A56F32E9-1F99-4566-B882-3FDB4B63FD19}"/>
    <cellStyle name="Normal 2 6 22" xfId="22393" xr:uid="{68827B6E-5598-44D5-9DBF-3550F775224F}"/>
    <cellStyle name="Normal 2 6 23" xfId="16733" xr:uid="{0DD823E5-109A-4654-B4E5-18C3C37C2822}"/>
    <cellStyle name="Normal 2 6 24" xfId="28054" xr:uid="{8DDEAE04-1A9A-4661-B55B-D7595B1DF2B5}"/>
    <cellStyle name="Normal 2 6 25" xfId="38738" xr:uid="{6C359F79-291B-4A9A-BF0B-FD6DA07C2A14}"/>
    <cellStyle name="Normal 2 6 3" xfId="310" xr:uid="{00000000-0005-0000-0000-000025190000}"/>
    <cellStyle name="Normal 2 6 3 10" xfId="28074" xr:uid="{8CEB446B-8939-424C-ADA5-52DF52C744F9}"/>
    <cellStyle name="Normal 2 6 3 11" xfId="38891" xr:uid="{AB915E10-2896-41AD-BACF-32A19FC66D7F}"/>
    <cellStyle name="Normal 2 6 3 2" xfId="2107" xr:uid="{00000000-0005-0000-0000-000026190000}"/>
    <cellStyle name="Normal 2 6 3 2 2" xfId="38892" xr:uid="{A2242E45-7891-4D62-BF5F-8F9DFA983D69}"/>
    <cellStyle name="Normal 2 6 3 3" xfId="4824" xr:uid="{00000000-0005-0000-0000-000027190000}"/>
    <cellStyle name="Normal 2 6 3 3 2" xfId="5245" xr:uid="{00000000-0005-0000-0000-000028190000}"/>
    <cellStyle name="Normal 2 6 3 3 2 2" xfId="7108" xr:uid="{00000000-0005-0000-0000-000029190000}"/>
    <cellStyle name="Normal 2 6 3 3 2 2 2" xfId="15541" xr:uid="{00000000-0005-0000-0000-00002A190000}"/>
    <cellStyle name="Normal 2 6 3 3 2 2 2 2" xfId="27435" xr:uid="{A24F3515-1FC8-4705-A8D0-36EC5876DB18}"/>
    <cellStyle name="Normal 2 6 3 3 2 2 2 3" xfId="21775" xr:uid="{71ECEB72-C013-40D0-98ED-E5288FC1F894}"/>
    <cellStyle name="Normal 2 6 3 3 2 2 2 4" xfId="32815" xr:uid="{9094390F-42D9-46F5-8ADE-7C6CFBBBED22}"/>
    <cellStyle name="Normal 2 6 3 3 2 2 2 5" xfId="38896" xr:uid="{5C922237-A673-45B0-9317-AF4DDBD66831}"/>
    <cellStyle name="Normal 2 6 3 3 2 2 3" xfId="24602" xr:uid="{831304C6-5162-46D1-B93D-71727B6F5E7F}"/>
    <cellStyle name="Normal 2 6 3 3 2 2 4" xfId="18942" xr:uid="{D2A541C8-53AE-4990-903E-E8FE0C54166A}"/>
    <cellStyle name="Normal 2 6 3 3 2 2 5" xfId="30263" xr:uid="{FA6E2A52-6456-43EE-B630-737472876D17}"/>
    <cellStyle name="Normal 2 6 3 3 2 2 6" xfId="38895" xr:uid="{84EC6CC5-30B1-4E5C-A55A-E0A58844E3C5}"/>
    <cellStyle name="Normal 2 6 3 3 2 3" xfId="14131" xr:uid="{00000000-0005-0000-0000-00002B190000}"/>
    <cellStyle name="Normal 2 6 3 3 2 3 2" xfId="26170" xr:uid="{A8E93FC2-511E-4591-B94D-C2853AA3CBCB}"/>
    <cellStyle name="Normal 2 6 3 3 2 3 3" xfId="20510" xr:uid="{EC2B8D42-EB08-4431-A573-BBFBBE206D69}"/>
    <cellStyle name="Normal 2 6 3 3 2 3 4" xfId="31550" xr:uid="{9719E8F5-BAEC-4637-9D76-5EA91C371887}"/>
    <cellStyle name="Normal 2 6 3 3 2 3 5" xfId="38897" xr:uid="{82A975DE-8E23-451D-A102-2094B7C4D315}"/>
    <cellStyle name="Normal 2 6 3 3 2 4" xfId="23040" xr:uid="{4A433C09-1F37-4FDF-B572-1CC800062623}"/>
    <cellStyle name="Normal 2 6 3 3 2 5" xfId="17380" xr:uid="{78425B5C-19F0-4A36-B81D-AEB493630F0D}"/>
    <cellStyle name="Normal 2 6 3 3 2 6" xfId="28701" xr:uid="{87A822CA-1237-4054-A128-93A3A58CF8F1}"/>
    <cellStyle name="Normal 2 6 3 3 2 7" xfId="38894" xr:uid="{ED86A8EF-BCF1-4153-AA34-2D8B2514B20B}"/>
    <cellStyle name="Normal 2 6 3 3 3" xfId="6189" xr:uid="{00000000-0005-0000-0000-00002C190000}"/>
    <cellStyle name="Normal 2 6 3 3 3 2" xfId="7528" xr:uid="{00000000-0005-0000-0000-00002D190000}"/>
    <cellStyle name="Normal 2 6 3 3 3 2 2" xfId="15961" xr:uid="{00000000-0005-0000-0000-00002E190000}"/>
    <cellStyle name="Normal 2 6 3 3 3 2 2 2" xfId="27855" xr:uid="{CB4740C9-B068-4D85-ADD5-2DDCCEDA56DA}"/>
    <cellStyle name="Normal 2 6 3 3 3 2 2 3" xfId="22195" xr:uid="{99CD0357-CAB4-4DC8-944D-D2B6D9CD780E}"/>
    <cellStyle name="Normal 2 6 3 3 3 2 2 4" xfId="33235" xr:uid="{592D20EF-519A-4B06-BB01-8A49B356EF78}"/>
    <cellStyle name="Normal 2 6 3 3 3 2 2 5" xfId="38900" xr:uid="{3F399AB0-3182-47E2-8F61-AE0E9810DB7C}"/>
    <cellStyle name="Normal 2 6 3 3 3 2 3" xfId="25022" xr:uid="{4F008B48-B966-49DB-9195-A0DAA22BAE31}"/>
    <cellStyle name="Normal 2 6 3 3 3 2 4" xfId="19362" xr:uid="{FD2AC17B-CFDE-45C2-8703-2783294CAF64}"/>
    <cellStyle name="Normal 2 6 3 3 3 2 5" xfId="30683" xr:uid="{71950F00-15F8-45E7-838A-BA9911B6836E}"/>
    <cellStyle name="Normal 2 6 3 3 3 2 6" xfId="38899" xr:uid="{489E749A-53E1-49BF-8E2A-9B50FA4BCA5F}"/>
    <cellStyle name="Normal 2 6 3 3 3 3" xfId="14641" xr:uid="{00000000-0005-0000-0000-00002F190000}"/>
    <cellStyle name="Normal 2 6 3 3 3 3 2" xfId="26599" xr:uid="{64E429B7-32DC-44D2-9F20-32E93C2DD997}"/>
    <cellStyle name="Normal 2 6 3 3 3 3 3" xfId="20939" xr:uid="{1F159E4F-6799-4907-BAE4-5377969C1D9C}"/>
    <cellStyle name="Normal 2 6 3 3 3 3 4" xfId="31979" xr:uid="{42BCE3D3-0468-43EA-899A-ABDBF03AB254}"/>
    <cellStyle name="Normal 2 6 3 3 3 3 5" xfId="38901" xr:uid="{8C369E26-4630-4A74-B461-7DC34AEF4D5D}"/>
    <cellStyle name="Normal 2 6 3 3 3 4" xfId="23766" xr:uid="{E22F4F91-F37F-47E6-ABB5-A7B8644DF7DC}"/>
    <cellStyle name="Normal 2 6 3 3 3 5" xfId="18106" xr:uid="{9AB31B9E-C7C2-4EC5-80D6-5DEA09DCF2DD}"/>
    <cellStyle name="Normal 2 6 3 3 3 6" xfId="29427" xr:uid="{E61CC179-7466-405F-B1F9-38A9FEB4E4EA}"/>
    <cellStyle name="Normal 2 6 3 3 3 7" xfId="38898" xr:uid="{96E8B285-942E-4C5F-8749-723A590F0C7A}"/>
    <cellStyle name="Normal 2 6 3 3 4" xfId="6690" xr:uid="{00000000-0005-0000-0000-000030190000}"/>
    <cellStyle name="Normal 2 6 3 3 4 2" xfId="15123" xr:uid="{00000000-0005-0000-0000-000031190000}"/>
    <cellStyle name="Normal 2 6 3 3 4 2 2" xfId="27017" xr:uid="{56CD2FFB-D188-470F-89A6-7AAEA148ACB3}"/>
    <cellStyle name="Normal 2 6 3 3 4 2 3" xfId="21357" xr:uid="{73B67AFC-48AC-4BD7-8015-6EBEC776E9ED}"/>
    <cellStyle name="Normal 2 6 3 3 4 2 4" xfId="32397" xr:uid="{628E36E2-F50F-4835-9958-1530CE18BA5E}"/>
    <cellStyle name="Normal 2 6 3 3 4 2 5" xfId="38903" xr:uid="{7781876A-8F95-4497-B662-AECC4FEF9FF4}"/>
    <cellStyle name="Normal 2 6 3 3 4 3" xfId="24184" xr:uid="{CA2DDF9B-1A5B-49A9-8DFC-9CD1E5912324}"/>
    <cellStyle name="Normal 2 6 3 3 4 4" xfId="18524" xr:uid="{3EC1A63B-21EC-4FE7-9F28-6354615BC37A}"/>
    <cellStyle name="Normal 2 6 3 3 4 5" xfId="29845" xr:uid="{16F842B1-E84F-40E3-B2D1-009327D75B28}"/>
    <cellStyle name="Normal 2 6 3 3 4 6" xfId="38902" xr:uid="{B3B2993B-0970-42A0-8A5D-D58801A1EC7D}"/>
    <cellStyle name="Normal 2 6 3 3 5" xfId="7964" xr:uid="{00000000-0005-0000-0000-000032190000}"/>
    <cellStyle name="Normal 2 6 3 3 5 2" xfId="25445" xr:uid="{A54F871E-B5FB-4CC6-A704-650440F1BBD3}"/>
    <cellStyle name="Normal 2 6 3 3 5 3" xfId="19785" xr:uid="{FA26A5A6-CCD4-466C-8C95-9F300617674D}"/>
    <cellStyle name="Normal 2 6 3 3 5 4" xfId="31106" xr:uid="{43603FB2-08B9-46CF-AFDC-A1C279E8071C}"/>
    <cellStyle name="Normal 2 6 3 3 5 5" xfId="38904" xr:uid="{EB5344A7-45E3-4BBC-B826-99EDAEF7CC2C}"/>
    <cellStyle name="Normal 2 6 3 3 6" xfId="22622" xr:uid="{A12CC225-3BFC-42E3-A663-B0F436AA017F}"/>
    <cellStyle name="Normal 2 6 3 3 7" xfId="16962" xr:uid="{1288F0FF-BEBA-43C7-BC70-AF1ED9613542}"/>
    <cellStyle name="Normal 2 6 3 3 8" xfId="28283" xr:uid="{26313E76-2234-495C-AC98-107498813611}"/>
    <cellStyle name="Normal 2 6 3 3 9" xfId="38893" xr:uid="{4F1BA977-5011-4ACD-867F-8397E2B0C7DA}"/>
    <cellStyle name="Normal 2 6 3 4" xfId="5036" xr:uid="{00000000-0005-0000-0000-000033190000}"/>
    <cellStyle name="Normal 2 6 3 4 2" xfId="6899" xr:uid="{00000000-0005-0000-0000-000034190000}"/>
    <cellStyle name="Normal 2 6 3 4 2 2" xfId="15332" xr:uid="{00000000-0005-0000-0000-000035190000}"/>
    <cellStyle name="Normal 2 6 3 4 2 2 2" xfId="27226" xr:uid="{90DC787F-30A8-4F7D-9043-862F32AF5913}"/>
    <cellStyle name="Normal 2 6 3 4 2 2 3" xfId="21566" xr:uid="{75FC6C91-2BE4-4FAD-8631-9F9877682160}"/>
    <cellStyle name="Normal 2 6 3 4 2 2 4" xfId="32606" xr:uid="{78DB912E-3F51-4BE1-9ACF-AACFE2E899CC}"/>
    <cellStyle name="Normal 2 6 3 4 2 2 5" xfId="38907" xr:uid="{E55BEE67-8C82-4350-80DD-B3803840B215}"/>
    <cellStyle name="Normal 2 6 3 4 2 3" xfId="24393" xr:uid="{3C87D7D3-B065-44C8-AE38-E3764AD02625}"/>
    <cellStyle name="Normal 2 6 3 4 2 4" xfId="18733" xr:uid="{13D9D44E-FCA0-4692-912C-0973C8859509}"/>
    <cellStyle name="Normal 2 6 3 4 2 5" xfId="30054" xr:uid="{6C51CE7A-616D-41A3-B3AE-10F01014B8E9}"/>
    <cellStyle name="Normal 2 6 3 4 2 6" xfId="38906" xr:uid="{D225DB42-47B2-427A-AF9A-513C98B5A268}"/>
    <cellStyle name="Normal 2 6 3 4 3" xfId="13940" xr:uid="{00000000-0005-0000-0000-000036190000}"/>
    <cellStyle name="Normal 2 6 3 4 3 2" xfId="25981" xr:uid="{87FFDD19-C20B-44D8-B10B-6FA18415BFB1}"/>
    <cellStyle name="Normal 2 6 3 4 3 3" xfId="20321" xr:uid="{61F329C5-6D08-41B0-B175-7433239B770B}"/>
    <cellStyle name="Normal 2 6 3 4 3 4" xfId="31361" xr:uid="{C6AB8F81-6DEC-4DCA-BF04-7F3DEEB8A67A}"/>
    <cellStyle name="Normal 2 6 3 4 3 5" xfId="38908" xr:uid="{F407BEF1-94A2-4B8B-BAA4-1DF3453AC4DD}"/>
    <cellStyle name="Normal 2 6 3 4 4" xfId="22831" xr:uid="{128B1AA4-E0F3-4DC7-9792-38172200889F}"/>
    <cellStyle name="Normal 2 6 3 4 5" xfId="17171" xr:uid="{A1AE5A4B-CB1E-4F91-B570-125884C7E67D}"/>
    <cellStyle name="Normal 2 6 3 4 6" xfId="28492" xr:uid="{58609357-6B4F-415F-8A18-F0364B4CFB12}"/>
    <cellStyle name="Normal 2 6 3 4 7" xfId="38905" xr:uid="{A4C52C15-5D47-4164-A5E2-7F3CAAC27C50}"/>
    <cellStyle name="Normal 2 6 3 5" xfId="6188" xr:uid="{00000000-0005-0000-0000-000037190000}"/>
    <cellStyle name="Normal 2 6 3 5 2" xfId="7527" xr:uid="{00000000-0005-0000-0000-000038190000}"/>
    <cellStyle name="Normal 2 6 3 5 2 2" xfId="15960" xr:uid="{00000000-0005-0000-0000-000039190000}"/>
    <cellStyle name="Normal 2 6 3 5 2 2 2" xfId="27854" xr:uid="{6DBB69CA-5056-49CE-AEB0-78ADAB41B770}"/>
    <cellStyle name="Normal 2 6 3 5 2 2 3" xfId="22194" xr:uid="{093C2A7A-C01D-4159-9C7A-73767830B9F2}"/>
    <cellStyle name="Normal 2 6 3 5 2 2 4" xfId="33234" xr:uid="{499CB71A-2ABE-470E-86CB-096405F7AE36}"/>
    <cellStyle name="Normal 2 6 3 5 2 2 5" xfId="38911" xr:uid="{0574DCD5-3B92-4895-AB36-241E479CC073}"/>
    <cellStyle name="Normal 2 6 3 5 2 3" xfId="25021" xr:uid="{DB029170-9BEC-41D0-AA68-B33FD3D9CDEB}"/>
    <cellStyle name="Normal 2 6 3 5 2 4" xfId="19361" xr:uid="{3ECD8B8F-9F23-4B28-AD68-157B10D9B905}"/>
    <cellStyle name="Normal 2 6 3 5 2 5" xfId="30682" xr:uid="{189F6E8F-D3EE-44ED-8563-A04E5B52CEFF}"/>
    <cellStyle name="Normal 2 6 3 5 2 6" xfId="38910" xr:uid="{4162A03A-9BFC-4C0F-9DF8-482D88985F28}"/>
    <cellStyle name="Normal 2 6 3 5 3" xfId="14640" xr:uid="{00000000-0005-0000-0000-00003A190000}"/>
    <cellStyle name="Normal 2 6 3 5 3 2" xfId="26598" xr:uid="{BA7151E2-2D64-47C1-8D45-6D4082C7C972}"/>
    <cellStyle name="Normal 2 6 3 5 3 3" xfId="20938" xr:uid="{44B53AF6-F6CD-4D52-99AC-18E9CA0BD936}"/>
    <cellStyle name="Normal 2 6 3 5 3 4" xfId="31978" xr:uid="{A472FF5F-E990-4CF0-BD78-9335AA48D0B2}"/>
    <cellStyle name="Normal 2 6 3 5 3 5" xfId="38912" xr:uid="{D77E074C-796F-4521-B8BD-3627A614CE16}"/>
    <cellStyle name="Normal 2 6 3 5 4" xfId="23765" xr:uid="{5CF0DFEE-8DF1-4944-AC4F-3ECA5A655879}"/>
    <cellStyle name="Normal 2 6 3 5 5" xfId="18105" xr:uid="{111E88EA-5C0E-457D-9A62-5E15111DC3D5}"/>
    <cellStyle name="Normal 2 6 3 5 6" xfId="29426" xr:uid="{717BFC0A-73F0-441D-B4A8-8B07E651AB4B}"/>
    <cellStyle name="Normal 2 6 3 5 7" xfId="38909" xr:uid="{35D3B042-2D8E-4C58-9591-0DB179A25540}"/>
    <cellStyle name="Normal 2 6 3 6" xfId="6481" xr:uid="{00000000-0005-0000-0000-00003B190000}"/>
    <cellStyle name="Normal 2 6 3 6 2" xfId="14914" xr:uid="{00000000-0005-0000-0000-00003C190000}"/>
    <cellStyle name="Normal 2 6 3 6 2 2" xfId="26808" xr:uid="{1BB84E48-8E77-4F22-9A0C-7CCA12A20975}"/>
    <cellStyle name="Normal 2 6 3 6 2 3" xfId="21148" xr:uid="{3B27FFA3-8122-4664-AA93-1EF0F305ADC2}"/>
    <cellStyle name="Normal 2 6 3 6 2 4" xfId="32188" xr:uid="{8B8A29A1-B817-46EE-9908-5B576D9E1571}"/>
    <cellStyle name="Normal 2 6 3 6 2 5" xfId="38914" xr:uid="{D3150063-E04E-4DD7-8093-D16007440A4D}"/>
    <cellStyle name="Normal 2 6 3 6 3" xfId="23975" xr:uid="{8D01B027-DCEA-4D0F-BD5A-8EBE8E064DE0}"/>
    <cellStyle name="Normal 2 6 3 6 4" xfId="18315" xr:uid="{2F910D4C-A66A-49DF-9B40-63741808FA1B}"/>
    <cellStyle name="Normal 2 6 3 6 5" xfId="29636" xr:uid="{8CED8E71-89B2-4FA1-8184-69F504DDEC6D}"/>
    <cellStyle name="Normal 2 6 3 6 6" xfId="38913" xr:uid="{334F1486-E933-473B-9D11-9E2CAAEA184C}"/>
    <cellStyle name="Normal 2 6 3 7" xfId="7963" xr:uid="{00000000-0005-0000-0000-00003D190000}"/>
    <cellStyle name="Normal 2 6 3 7 2" xfId="25444" xr:uid="{D9CC348A-C5CD-4838-9CB5-D61CFD43EB53}"/>
    <cellStyle name="Normal 2 6 3 7 3" xfId="19784" xr:uid="{A8FE5E89-8B2B-4859-BFDB-D0591AE26D0E}"/>
    <cellStyle name="Normal 2 6 3 7 4" xfId="31105" xr:uid="{AAA6D45C-C2FE-4AB6-99F5-F8ED9EA3ED3F}"/>
    <cellStyle name="Normal 2 6 3 7 5" xfId="38915" xr:uid="{DF30412B-5912-4F4A-B723-19941100D6F8}"/>
    <cellStyle name="Normal 2 6 3 8" xfId="22413" xr:uid="{4F7ED857-4E57-4A42-A5F2-B73928B0F7F7}"/>
    <cellStyle name="Normal 2 6 3 8 2" xfId="38916" xr:uid="{8B36C6FA-2C22-4CF0-8983-2C241A1CC756}"/>
    <cellStyle name="Normal 2 6 3 9" xfId="16753" xr:uid="{CE66AE56-E45E-415B-9BE3-4E454657E0BE}"/>
    <cellStyle name="Normal 2 6 4" xfId="2108" xr:uid="{00000000-0005-0000-0000-00003E190000}"/>
    <cellStyle name="Normal 2 6 4 2" xfId="38917" xr:uid="{FF9616EA-A4B2-466F-A102-7667522FCE0A}"/>
    <cellStyle name="Normal 2 6 5" xfId="2109" xr:uid="{00000000-0005-0000-0000-00003F190000}"/>
    <cellStyle name="Normal 2 6 5 2" xfId="38918" xr:uid="{5F559BC1-BC38-4749-BB1E-32CD2E2CCF12}"/>
    <cellStyle name="Normal 2 6 6" xfId="2110" xr:uid="{00000000-0005-0000-0000-000040190000}"/>
    <cellStyle name="Normal 2 6 6 2" xfId="38919" xr:uid="{CB9ADAB1-9278-40A8-ABF7-27F8440991C4}"/>
    <cellStyle name="Normal 2 6 7" xfId="2111" xr:uid="{00000000-0005-0000-0000-000041190000}"/>
    <cellStyle name="Normal 2 6 7 2" xfId="38920" xr:uid="{D00E60F8-EACE-452D-BD90-E5B2AB52959F}"/>
    <cellStyle name="Normal 2 6 8" xfId="2112" xr:uid="{00000000-0005-0000-0000-000042190000}"/>
    <cellStyle name="Normal 2 6 8 2" xfId="38921" xr:uid="{0235691E-EE84-467F-89EA-D1F1C0A579AC}"/>
    <cellStyle name="Normal 2 6 9" xfId="2113" xr:uid="{00000000-0005-0000-0000-000043190000}"/>
    <cellStyle name="Normal 2 6 9 2" xfId="38922" xr:uid="{9328F334-32E6-4F4D-BC36-CA6DDFBD4834}"/>
    <cellStyle name="Normal 2 7" xfId="151" xr:uid="{00000000-0005-0000-0000-000044190000}"/>
    <cellStyle name="Normal 2 7 2" xfId="4205" xr:uid="{00000000-0005-0000-0000-000045190000}"/>
    <cellStyle name="Normal 2 7 2 2" xfId="38924" xr:uid="{8CFEA19D-C838-4BB1-BFC0-4D5281327CA9}"/>
    <cellStyle name="Normal 2 7 3" xfId="38923" xr:uid="{4F440E34-C920-4DFB-9FEB-CABAC6BD461A}"/>
    <cellStyle name="Normal 2 8" xfId="152" xr:uid="{00000000-0005-0000-0000-000046190000}"/>
    <cellStyle name="Normal 2 8 2" xfId="153" xr:uid="{00000000-0005-0000-0000-000047190000}"/>
    <cellStyle name="Normal 2 8 2 2" xfId="38926" xr:uid="{2E625C38-AEB1-411A-BEA9-AADB61BFE88B}"/>
    <cellStyle name="Normal 2 8 3" xfId="154" xr:uid="{00000000-0005-0000-0000-000048190000}"/>
    <cellStyle name="Normal 2 8 3 2" xfId="38927" xr:uid="{C39E744A-92DF-4BB8-BB7D-BAC391B73358}"/>
    <cellStyle name="Normal 2 8 4" xfId="312" xr:uid="{00000000-0005-0000-0000-000049190000}"/>
    <cellStyle name="Normal 2 8 4 2" xfId="2114" xr:uid="{00000000-0005-0000-0000-00004A190000}"/>
    <cellStyle name="Normal 2 8 4 2 2" xfId="38929" xr:uid="{68FA0583-823C-4768-A605-EEB8CEE1F690}"/>
    <cellStyle name="Normal 2 8 4 3" xfId="38928" xr:uid="{2E2B74B1-CDF6-4E71-A574-F9E3C0FC0973}"/>
    <cellStyle name="Normal 2 8 5" xfId="38925" xr:uid="{93C9CEA9-2FB7-467B-B32F-232954ECD7CD}"/>
    <cellStyle name="Normal 2 9" xfId="263" xr:uid="{00000000-0005-0000-0000-00004B190000}"/>
    <cellStyle name="Normal 2 9 10" xfId="38930" xr:uid="{F11327EA-C414-4C55-AE01-BCAB622A4289}"/>
    <cellStyle name="Normal 2 9 2" xfId="313" xr:uid="{00000000-0005-0000-0000-00004C190000}"/>
    <cellStyle name="Normal 2 9 2 10" xfId="28076" xr:uid="{914874A8-B23C-46EB-8F07-3F215701D1AF}"/>
    <cellStyle name="Normal 2 9 2 11" xfId="38931" xr:uid="{17AF17E4-EC59-4509-99B8-A57229C213F1}"/>
    <cellStyle name="Normal 2 9 2 2" xfId="2116" xr:uid="{00000000-0005-0000-0000-00004D190000}"/>
    <cellStyle name="Normal 2 9 2 2 2" xfId="38932" xr:uid="{97565865-7043-491B-92DA-4F3D3E418F5C}"/>
    <cellStyle name="Normal 2 9 2 3" xfId="4826" xr:uid="{00000000-0005-0000-0000-00004E190000}"/>
    <cellStyle name="Normal 2 9 2 3 2" xfId="5247" xr:uid="{00000000-0005-0000-0000-00004F190000}"/>
    <cellStyle name="Normal 2 9 2 3 2 2" xfId="7110" xr:uid="{00000000-0005-0000-0000-000050190000}"/>
    <cellStyle name="Normal 2 9 2 3 2 2 2" xfId="15543" xr:uid="{00000000-0005-0000-0000-000051190000}"/>
    <cellStyle name="Normal 2 9 2 3 2 2 2 2" xfId="27437" xr:uid="{B391EC49-943E-4C6F-A5D5-B7D42EE0B235}"/>
    <cellStyle name="Normal 2 9 2 3 2 2 2 3" xfId="21777" xr:uid="{39D3573D-AAC0-453F-A3F7-714FF79C8460}"/>
    <cellStyle name="Normal 2 9 2 3 2 2 2 4" xfId="32817" xr:uid="{CD2CA2DD-3F0F-44D8-92BB-91B44C2027C1}"/>
    <cellStyle name="Normal 2 9 2 3 2 2 2 5" xfId="38936" xr:uid="{7466E6C4-1607-4CEA-9F5B-98032C2FFF98}"/>
    <cellStyle name="Normal 2 9 2 3 2 2 3" xfId="24604" xr:uid="{131EB791-B1CB-46AC-BD55-BAC89491027D}"/>
    <cellStyle name="Normal 2 9 2 3 2 2 4" xfId="18944" xr:uid="{C082DF24-5E06-43C9-B961-7E6902E5780A}"/>
    <cellStyle name="Normal 2 9 2 3 2 2 5" xfId="30265" xr:uid="{EACBF065-4272-4632-8178-94F0293B42DE}"/>
    <cellStyle name="Normal 2 9 2 3 2 2 6" xfId="38935" xr:uid="{7122C864-0F8F-4A1E-AEC0-BD7389F1CED0}"/>
    <cellStyle name="Normal 2 9 2 3 2 3" xfId="14133" xr:uid="{00000000-0005-0000-0000-000052190000}"/>
    <cellStyle name="Normal 2 9 2 3 2 3 2" xfId="26172" xr:uid="{56AB6E4A-1383-4AE9-B583-2CD152F4F5D5}"/>
    <cellStyle name="Normal 2 9 2 3 2 3 3" xfId="20512" xr:uid="{BF5F5AD1-091E-4DFD-9AC8-76D80F69BEDA}"/>
    <cellStyle name="Normal 2 9 2 3 2 3 4" xfId="31552" xr:uid="{D01E6B7C-D43B-46E7-B571-6D7C6BBA1BE7}"/>
    <cellStyle name="Normal 2 9 2 3 2 3 5" xfId="38937" xr:uid="{3937116D-4DB3-4A28-868E-AA914C3DF20B}"/>
    <cellStyle name="Normal 2 9 2 3 2 4" xfId="23042" xr:uid="{A10B5B6A-6302-4855-9A9B-0D200A5EFF7E}"/>
    <cellStyle name="Normal 2 9 2 3 2 5" xfId="17382" xr:uid="{B16633A8-115C-436C-8301-F38C51D6FF72}"/>
    <cellStyle name="Normal 2 9 2 3 2 6" xfId="28703" xr:uid="{E681CCD7-DFBA-405C-9A92-161DF92A600F}"/>
    <cellStyle name="Normal 2 9 2 3 2 7" xfId="38934" xr:uid="{DF35C923-DE63-4360-A7B9-C14C059B274B}"/>
    <cellStyle name="Normal 2 9 2 3 3" xfId="6192" xr:uid="{00000000-0005-0000-0000-000053190000}"/>
    <cellStyle name="Normal 2 9 2 3 3 2" xfId="7531" xr:uid="{00000000-0005-0000-0000-000054190000}"/>
    <cellStyle name="Normal 2 9 2 3 3 2 2" xfId="15964" xr:uid="{00000000-0005-0000-0000-000055190000}"/>
    <cellStyle name="Normal 2 9 2 3 3 2 2 2" xfId="27858" xr:uid="{2212CBCD-6E5A-42B7-A3B4-4EF58BAFFFE1}"/>
    <cellStyle name="Normal 2 9 2 3 3 2 2 3" xfId="22198" xr:uid="{A71FEDBB-D605-496E-A661-A4496B010F43}"/>
    <cellStyle name="Normal 2 9 2 3 3 2 2 4" xfId="33238" xr:uid="{335321E9-0796-468A-94F8-9D0C4A4E99E3}"/>
    <cellStyle name="Normal 2 9 2 3 3 2 2 5" xfId="38940" xr:uid="{7EA7EE6F-E8A8-4ECC-A2AF-88BF3478E224}"/>
    <cellStyle name="Normal 2 9 2 3 3 2 3" xfId="25025" xr:uid="{0F743885-BD72-48BA-9A07-3C980EB1EAA4}"/>
    <cellStyle name="Normal 2 9 2 3 3 2 4" xfId="19365" xr:uid="{C5DD5176-A5D1-4B93-BD5D-DA7F27302E5C}"/>
    <cellStyle name="Normal 2 9 2 3 3 2 5" xfId="30686" xr:uid="{1AD35CB5-7DF2-4683-81B2-1E39F38878FD}"/>
    <cellStyle name="Normal 2 9 2 3 3 2 6" xfId="38939" xr:uid="{575E3DBC-B13A-4C3A-83D8-775199E1A4E8}"/>
    <cellStyle name="Normal 2 9 2 3 3 3" xfId="14644" xr:uid="{00000000-0005-0000-0000-000056190000}"/>
    <cellStyle name="Normal 2 9 2 3 3 3 2" xfId="26602" xr:uid="{7BBEBF97-D1DD-46FF-91EB-12989A3DC8D6}"/>
    <cellStyle name="Normal 2 9 2 3 3 3 3" xfId="20942" xr:uid="{AFA04CB5-A82D-4446-8427-908EEF79393A}"/>
    <cellStyle name="Normal 2 9 2 3 3 3 4" xfId="31982" xr:uid="{5CB25EA7-197B-42A4-8048-407E6BC0471E}"/>
    <cellStyle name="Normal 2 9 2 3 3 3 5" xfId="38941" xr:uid="{F152AA69-B3D4-4561-BF6A-9E536931E77B}"/>
    <cellStyle name="Normal 2 9 2 3 3 4" xfId="23769" xr:uid="{35E1380E-E832-44FB-8436-1E1E0C2F895E}"/>
    <cellStyle name="Normal 2 9 2 3 3 5" xfId="18109" xr:uid="{912AE59E-34B1-4908-A685-D8DC60AA80A9}"/>
    <cellStyle name="Normal 2 9 2 3 3 6" xfId="29430" xr:uid="{E4531F8F-E8BC-4338-B93D-7007A9D86341}"/>
    <cellStyle name="Normal 2 9 2 3 3 7" xfId="38938" xr:uid="{DC53D315-20CC-46DB-84CE-7FCAA706F260}"/>
    <cellStyle name="Normal 2 9 2 3 4" xfId="6692" xr:uid="{00000000-0005-0000-0000-000057190000}"/>
    <cellStyle name="Normal 2 9 2 3 4 2" xfId="15125" xr:uid="{00000000-0005-0000-0000-000058190000}"/>
    <cellStyle name="Normal 2 9 2 3 4 2 2" xfId="27019" xr:uid="{6CCE47E5-4FE4-4AEB-BDA0-C3A3A7D33F72}"/>
    <cellStyle name="Normal 2 9 2 3 4 2 3" xfId="21359" xr:uid="{4A18F8AD-FCF6-4E61-8FEC-6765085C6572}"/>
    <cellStyle name="Normal 2 9 2 3 4 2 4" xfId="32399" xr:uid="{57507EC7-0025-4457-8A2E-69A9B2D718AD}"/>
    <cellStyle name="Normal 2 9 2 3 4 2 5" xfId="38943" xr:uid="{76502A4C-0DA6-4625-9FF2-C44A3FBEF370}"/>
    <cellStyle name="Normal 2 9 2 3 4 3" xfId="24186" xr:uid="{66D2732C-2E06-422D-9F89-45445575DB21}"/>
    <cellStyle name="Normal 2 9 2 3 4 4" xfId="18526" xr:uid="{B04A18B4-341D-4FEA-A742-1DFE107A559A}"/>
    <cellStyle name="Normal 2 9 2 3 4 5" xfId="29847" xr:uid="{AA8B983E-9A82-4321-B671-4C191325D4ED}"/>
    <cellStyle name="Normal 2 9 2 3 4 6" xfId="38942" xr:uid="{971EA419-1808-4447-8029-FCC3A4085210}"/>
    <cellStyle name="Normal 2 9 2 3 5" xfId="7966" xr:uid="{00000000-0005-0000-0000-000059190000}"/>
    <cellStyle name="Normal 2 9 2 3 5 2" xfId="25447" xr:uid="{84D92738-F8F2-4241-8BB7-1C6D27B0EFEF}"/>
    <cellStyle name="Normal 2 9 2 3 5 3" xfId="19787" xr:uid="{1F2E8A9A-2AAD-4B33-A6BD-3E82D9AAF93A}"/>
    <cellStyle name="Normal 2 9 2 3 5 4" xfId="31108" xr:uid="{91AF9849-F63B-488E-9268-E4CC8431797C}"/>
    <cellStyle name="Normal 2 9 2 3 5 5" xfId="38944" xr:uid="{8743E818-D5E1-49CE-976F-CDBC6E6D31A0}"/>
    <cellStyle name="Normal 2 9 2 3 6" xfId="22624" xr:uid="{ABE6F117-42A8-45A5-997A-598AB8A8D23B}"/>
    <cellStyle name="Normal 2 9 2 3 7" xfId="16964" xr:uid="{5813F086-A358-4E94-9F25-26C7D84FF1C6}"/>
    <cellStyle name="Normal 2 9 2 3 8" xfId="28285" xr:uid="{CBF93F78-4FBF-4D4C-AA94-F7C98ED0CE9E}"/>
    <cellStyle name="Normal 2 9 2 3 9" xfId="38933" xr:uid="{A3E54CFB-F0CE-427E-A05E-7EBA0B49A69E}"/>
    <cellStyle name="Normal 2 9 2 4" xfId="5038" xr:uid="{00000000-0005-0000-0000-00005A190000}"/>
    <cellStyle name="Normal 2 9 2 4 2" xfId="6901" xr:uid="{00000000-0005-0000-0000-00005B190000}"/>
    <cellStyle name="Normal 2 9 2 4 2 2" xfId="15334" xr:uid="{00000000-0005-0000-0000-00005C190000}"/>
    <cellStyle name="Normal 2 9 2 4 2 2 2" xfId="27228" xr:uid="{26A74AD3-3AD9-4020-8E23-754EE41BAE32}"/>
    <cellStyle name="Normal 2 9 2 4 2 2 3" xfId="21568" xr:uid="{30F55B6D-EB31-4E1D-9DAD-179F1B6C8ED7}"/>
    <cellStyle name="Normal 2 9 2 4 2 2 4" xfId="32608" xr:uid="{2C705725-1310-4433-8847-66A32E8C0461}"/>
    <cellStyle name="Normal 2 9 2 4 2 2 5" xfId="38947" xr:uid="{CC8ECEB4-3DF8-400C-A630-C970A25A67AA}"/>
    <cellStyle name="Normal 2 9 2 4 2 3" xfId="24395" xr:uid="{0DC52FA8-1C39-4BDF-A34B-159B25807093}"/>
    <cellStyle name="Normal 2 9 2 4 2 4" xfId="18735" xr:uid="{7663AB70-CA6E-43FA-9DD1-A2E056B697EE}"/>
    <cellStyle name="Normal 2 9 2 4 2 5" xfId="30056" xr:uid="{A8B59BB7-25C1-465B-9C97-F4789BFF173B}"/>
    <cellStyle name="Normal 2 9 2 4 2 6" xfId="38946" xr:uid="{520B48CE-C357-4613-A40C-65166BF5C2E9}"/>
    <cellStyle name="Normal 2 9 2 4 3" xfId="13942" xr:uid="{00000000-0005-0000-0000-00005D190000}"/>
    <cellStyle name="Normal 2 9 2 4 3 2" xfId="25983" xr:uid="{E99F8381-255B-4116-ABF1-71713D2F8A51}"/>
    <cellStyle name="Normal 2 9 2 4 3 3" xfId="20323" xr:uid="{C2D4F8AD-4F1B-449F-B8A4-983C35CBF9A6}"/>
    <cellStyle name="Normal 2 9 2 4 3 4" xfId="31363" xr:uid="{E4B7F204-79D9-4CCE-A359-3A83B59EB6E5}"/>
    <cellStyle name="Normal 2 9 2 4 3 5" xfId="38948" xr:uid="{E15F07AB-502B-4095-90EF-3D0C97D31508}"/>
    <cellStyle name="Normal 2 9 2 4 4" xfId="22833" xr:uid="{11F8E577-52D0-4A2F-9479-70501942BB11}"/>
    <cellStyle name="Normal 2 9 2 4 5" xfId="17173" xr:uid="{A24BA968-4C3B-463E-80EC-E9A1475FBAD7}"/>
    <cellStyle name="Normal 2 9 2 4 6" xfId="28494" xr:uid="{063A8ABF-1FB1-4C9D-9DB9-624FC63CF3CD}"/>
    <cellStyle name="Normal 2 9 2 4 7" xfId="38945" xr:uid="{5EDCF65F-AF83-4BE1-A267-A5321925225C}"/>
    <cellStyle name="Normal 2 9 2 5" xfId="6191" xr:uid="{00000000-0005-0000-0000-00005E190000}"/>
    <cellStyle name="Normal 2 9 2 5 2" xfId="7530" xr:uid="{00000000-0005-0000-0000-00005F190000}"/>
    <cellStyle name="Normal 2 9 2 5 2 2" xfId="15963" xr:uid="{00000000-0005-0000-0000-000060190000}"/>
    <cellStyle name="Normal 2 9 2 5 2 2 2" xfId="27857" xr:uid="{93BDDCAD-A245-4F64-B0CD-76003DD6D58E}"/>
    <cellStyle name="Normal 2 9 2 5 2 2 3" xfId="22197" xr:uid="{BA2D4AEA-50C9-4E94-9A94-F2CEA8AB88C9}"/>
    <cellStyle name="Normal 2 9 2 5 2 2 4" xfId="33237" xr:uid="{53F2F4F0-F54A-4066-BF52-9388A17F84E1}"/>
    <cellStyle name="Normal 2 9 2 5 2 2 5" xfId="38951" xr:uid="{18CF95FD-56BD-42A6-BD60-A17AF993637D}"/>
    <cellStyle name="Normal 2 9 2 5 2 3" xfId="25024" xr:uid="{867CF6FC-30E0-440C-816E-399B4F73C69F}"/>
    <cellStyle name="Normal 2 9 2 5 2 4" xfId="19364" xr:uid="{FA8FD858-4E89-4656-8506-B7961753ECAC}"/>
    <cellStyle name="Normal 2 9 2 5 2 5" xfId="30685" xr:uid="{13983F66-011C-43C8-AB69-232681A0B868}"/>
    <cellStyle name="Normal 2 9 2 5 2 6" xfId="38950" xr:uid="{75544618-E751-48C3-88CD-673D08B9ED7C}"/>
    <cellStyle name="Normal 2 9 2 5 3" xfId="14643" xr:uid="{00000000-0005-0000-0000-000061190000}"/>
    <cellStyle name="Normal 2 9 2 5 3 2" xfId="26601" xr:uid="{B8F75CF0-FD16-4F44-9EAB-6274E876BF0C}"/>
    <cellStyle name="Normal 2 9 2 5 3 3" xfId="20941" xr:uid="{7BDA8882-D4DF-43FD-9045-2D9C1AF350B8}"/>
    <cellStyle name="Normal 2 9 2 5 3 4" xfId="31981" xr:uid="{D3713AE2-CB72-458C-94BE-E973214214A4}"/>
    <cellStyle name="Normal 2 9 2 5 3 5" xfId="38952" xr:uid="{627F4095-6DC6-457B-B989-5A9F6CDC46CE}"/>
    <cellStyle name="Normal 2 9 2 5 4" xfId="23768" xr:uid="{8D11D93F-8D61-4572-BAFC-0DAD3365608C}"/>
    <cellStyle name="Normal 2 9 2 5 5" xfId="18108" xr:uid="{4383F79C-5ABF-4B66-930B-C15505D776BE}"/>
    <cellStyle name="Normal 2 9 2 5 6" xfId="29429" xr:uid="{B06A1927-14A8-4141-A99F-5F6F372D36B5}"/>
    <cellStyle name="Normal 2 9 2 5 7" xfId="38949" xr:uid="{11872192-CB38-414C-83D1-F2A3A9429DE7}"/>
    <cellStyle name="Normal 2 9 2 6" xfId="6483" xr:uid="{00000000-0005-0000-0000-000062190000}"/>
    <cellStyle name="Normal 2 9 2 6 2" xfId="14916" xr:uid="{00000000-0005-0000-0000-000063190000}"/>
    <cellStyle name="Normal 2 9 2 6 2 2" xfId="26810" xr:uid="{B1DFB33D-7F9D-441B-B3D9-ED6D704FB88D}"/>
    <cellStyle name="Normal 2 9 2 6 2 3" xfId="21150" xr:uid="{A9DB79A9-8BDD-4E05-BF79-1982FF8043AD}"/>
    <cellStyle name="Normal 2 9 2 6 2 4" xfId="32190" xr:uid="{2FE884E6-AD05-411A-87B5-34AD17F8C930}"/>
    <cellStyle name="Normal 2 9 2 6 2 5" xfId="38954" xr:uid="{5D7ED446-882A-41A9-9DE7-B50C4D4229D8}"/>
    <cellStyle name="Normal 2 9 2 6 3" xfId="23977" xr:uid="{9553760B-1765-4FB5-815D-F44FFE008FFC}"/>
    <cellStyle name="Normal 2 9 2 6 4" xfId="18317" xr:uid="{76B65485-F21A-4790-9D32-3899722DEF78}"/>
    <cellStyle name="Normal 2 9 2 6 5" xfId="29638" xr:uid="{E39378B7-BD34-49EA-AF54-CDBF1AAE5CAB}"/>
    <cellStyle name="Normal 2 9 2 6 6" xfId="38953" xr:uid="{BC24E953-A3AF-4EAA-8438-61CE0770D352}"/>
    <cellStyle name="Normal 2 9 2 7" xfId="7965" xr:uid="{00000000-0005-0000-0000-000064190000}"/>
    <cellStyle name="Normal 2 9 2 7 2" xfId="25446" xr:uid="{AF8314B8-B47A-4C22-BFFB-C7A28E880BD8}"/>
    <cellStyle name="Normal 2 9 2 7 3" xfId="19786" xr:uid="{3CACF834-4396-4B40-8D86-A685170082EC}"/>
    <cellStyle name="Normal 2 9 2 7 4" xfId="31107" xr:uid="{8621E159-835A-447E-9EE5-E521750849FF}"/>
    <cellStyle name="Normal 2 9 2 7 5" xfId="38955" xr:uid="{31BD55E5-577E-48AB-8BAC-B7940768FEC5}"/>
    <cellStyle name="Normal 2 9 2 8" xfId="22415" xr:uid="{861264B9-D9B3-44C7-A096-3F9DA409CB39}"/>
    <cellStyle name="Normal 2 9 2 9" xfId="16755" xr:uid="{EA4633F4-7741-4E5B-88A5-E03E603D6283}"/>
    <cellStyle name="Normal 2 9 3" xfId="2115" xr:uid="{00000000-0005-0000-0000-000065190000}"/>
    <cellStyle name="Normal 2 9 3 10" xfId="38956" xr:uid="{69E47BC7-152A-4213-A713-28B3FFA42D55}"/>
    <cellStyle name="Normal 2 9 3 2" xfId="4857" xr:uid="{00000000-0005-0000-0000-000066190000}"/>
    <cellStyle name="Normal 2 9 3 2 2" xfId="5276" xr:uid="{00000000-0005-0000-0000-000067190000}"/>
    <cellStyle name="Normal 2 9 3 2 2 2" xfId="7139" xr:uid="{00000000-0005-0000-0000-000068190000}"/>
    <cellStyle name="Normal 2 9 3 2 2 2 2" xfId="15572" xr:uid="{00000000-0005-0000-0000-000069190000}"/>
    <cellStyle name="Normal 2 9 3 2 2 2 2 2" xfId="27466" xr:uid="{3A99C4D0-F88C-4026-8467-F689D1FFDEE0}"/>
    <cellStyle name="Normal 2 9 3 2 2 2 2 3" xfId="21806" xr:uid="{982FF5EC-F224-413E-BB1A-508E9CFB0AB3}"/>
    <cellStyle name="Normal 2 9 3 2 2 2 2 4" xfId="32846" xr:uid="{766A9AA0-F620-4B5F-8E33-143CC3779AB0}"/>
    <cellStyle name="Normal 2 9 3 2 2 2 2 5" xfId="38960" xr:uid="{837E3005-6FCD-4AF1-AA47-9AFE963ABE34}"/>
    <cellStyle name="Normal 2 9 3 2 2 2 3" xfId="24633" xr:uid="{99E3FD08-EB51-4B87-AEF6-A2AEDDD09C04}"/>
    <cellStyle name="Normal 2 9 3 2 2 2 4" xfId="18973" xr:uid="{E4DEE0F1-D4D3-4BA5-A3FB-D8A9A81D7B7C}"/>
    <cellStyle name="Normal 2 9 3 2 2 2 5" xfId="30294" xr:uid="{797B8ABE-709E-428B-9686-FF5150D09EFB}"/>
    <cellStyle name="Normal 2 9 3 2 2 2 6" xfId="38959" xr:uid="{BD0586A5-332E-47C5-A5CC-1C71C8B1DB26}"/>
    <cellStyle name="Normal 2 9 3 2 2 3" xfId="14162" xr:uid="{00000000-0005-0000-0000-00006A190000}"/>
    <cellStyle name="Normal 2 9 3 2 2 3 2" xfId="26201" xr:uid="{32D20F1E-60CC-4383-B4B4-69CF699CFA0E}"/>
    <cellStyle name="Normal 2 9 3 2 2 3 3" xfId="20541" xr:uid="{45036DB1-58E9-46C5-B0A0-69E110A36B4F}"/>
    <cellStyle name="Normal 2 9 3 2 2 3 4" xfId="31581" xr:uid="{1731723A-1901-4984-83E9-B585EE67F1FC}"/>
    <cellStyle name="Normal 2 9 3 2 2 3 5" xfId="38961" xr:uid="{23217D45-8C5F-40D0-B5EB-72FCA354256F}"/>
    <cellStyle name="Normal 2 9 3 2 2 4" xfId="23071" xr:uid="{B91A1974-69BD-46E3-9D6B-D295CD8742E7}"/>
    <cellStyle name="Normal 2 9 3 2 2 5" xfId="17411" xr:uid="{EA662244-4CF4-425F-8DA8-32F8FF79B8F5}"/>
    <cellStyle name="Normal 2 9 3 2 2 6" xfId="28732" xr:uid="{F6D2DBF2-4B06-445D-A93D-D05095A3ADFC}"/>
    <cellStyle name="Normal 2 9 3 2 2 7" xfId="38958" xr:uid="{559813A9-74C2-4DA8-8352-36DA621E8C7C}"/>
    <cellStyle name="Normal 2 9 3 2 3" xfId="6194" xr:uid="{00000000-0005-0000-0000-00006B190000}"/>
    <cellStyle name="Normal 2 9 3 2 3 2" xfId="7533" xr:uid="{00000000-0005-0000-0000-00006C190000}"/>
    <cellStyle name="Normal 2 9 3 2 3 2 2" xfId="15966" xr:uid="{00000000-0005-0000-0000-00006D190000}"/>
    <cellStyle name="Normal 2 9 3 2 3 2 2 2" xfId="27860" xr:uid="{071489B7-0901-41FA-A3AA-A72A5AC2D5C1}"/>
    <cellStyle name="Normal 2 9 3 2 3 2 2 3" xfId="22200" xr:uid="{1CEE7093-119B-47F3-B221-086761E8BB72}"/>
    <cellStyle name="Normal 2 9 3 2 3 2 2 4" xfId="33240" xr:uid="{8AF130CB-2169-4243-AE24-392F634BF370}"/>
    <cellStyle name="Normal 2 9 3 2 3 2 2 5" xfId="38964" xr:uid="{83F22F17-5B0C-478A-BC71-EFCFBEB54374}"/>
    <cellStyle name="Normal 2 9 3 2 3 2 3" xfId="25027" xr:uid="{0EDE62F1-12D7-4A5C-B058-8AFB141E1649}"/>
    <cellStyle name="Normal 2 9 3 2 3 2 4" xfId="19367" xr:uid="{230FCDA0-7569-4797-AC78-C943DE1C808E}"/>
    <cellStyle name="Normal 2 9 3 2 3 2 5" xfId="30688" xr:uid="{90FF17E3-7B27-48BA-A40D-D6ABB22EB6E0}"/>
    <cellStyle name="Normal 2 9 3 2 3 2 6" xfId="38963" xr:uid="{5C38A860-F297-4653-8575-9686C30DBC50}"/>
    <cellStyle name="Normal 2 9 3 2 3 3" xfId="14646" xr:uid="{00000000-0005-0000-0000-00006E190000}"/>
    <cellStyle name="Normal 2 9 3 2 3 3 2" xfId="26604" xr:uid="{E7913E49-217C-439D-811C-5F4B83527E16}"/>
    <cellStyle name="Normal 2 9 3 2 3 3 3" xfId="20944" xr:uid="{3C44B2AB-BEB2-4271-82D2-49E81CC2D8A4}"/>
    <cellStyle name="Normal 2 9 3 2 3 3 4" xfId="31984" xr:uid="{2D1DF8F4-294A-4B9A-A45D-AE28AE2AB831}"/>
    <cellStyle name="Normal 2 9 3 2 3 3 5" xfId="38965" xr:uid="{EC9D2A64-8072-48FA-AD2A-EDA1B89A3A2F}"/>
    <cellStyle name="Normal 2 9 3 2 3 4" xfId="23771" xr:uid="{49AD513E-A1C8-4A10-A250-506398888D51}"/>
    <cellStyle name="Normal 2 9 3 2 3 5" xfId="18111" xr:uid="{EDED0F00-D462-4108-82F1-E2BBF54B0EAB}"/>
    <cellStyle name="Normal 2 9 3 2 3 6" xfId="29432" xr:uid="{4C992A52-6413-478A-BCC4-589358DBDE01}"/>
    <cellStyle name="Normal 2 9 3 2 3 7" xfId="38962" xr:uid="{A65D2D9E-050B-4478-9155-65649D09A1C8}"/>
    <cellStyle name="Normal 2 9 3 2 4" xfId="6721" xr:uid="{00000000-0005-0000-0000-00006F190000}"/>
    <cellStyle name="Normal 2 9 3 2 4 2" xfId="15154" xr:uid="{00000000-0005-0000-0000-000070190000}"/>
    <cellStyle name="Normal 2 9 3 2 4 2 2" xfId="27048" xr:uid="{7B010EA0-70C6-4269-9E0C-F517EBEF559E}"/>
    <cellStyle name="Normal 2 9 3 2 4 2 3" xfId="21388" xr:uid="{4D43139A-676D-47DF-8412-CC04B7C7672A}"/>
    <cellStyle name="Normal 2 9 3 2 4 2 4" xfId="32428" xr:uid="{CCDBEE6A-6B82-49AF-9219-E0645DF28E5D}"/>
    <cellStyle name="Normal 2 9 3 2 4 2 5" xfId="38967" xr:uid="{831F21C4-8FAA-4297-9B70-A6D3FD612841}"/>
    <cellStyle name="Normal 2 9 3 2 4 3" xfId="24215" xr:uid="{B30F6922-FC18-43AB-A875-6DF3C858765B}"/>
    <cellStyle name="Normal 2 9 3 2 4 4" xfId="18555" xr:uid="{A320F854-9514-4975-8206-49F9ABE389A4}"/>
    <cellStyle name="Normal 2 9 3 2 4 5" xfId="29876" xr:uid="{5C4F9E1C-21BD-469B-B296-F51E5E25797B}"/>
    <cellStyle name="Normal 2 9 3 2 4 6" xfId="38966" xr:uid="{3DB79EF8-A2F8-4E11-BA57-667CFFB3DA91}"/>
    <cellStyle name="Normal 2 9 3 2 5" xfId="7968" xr:uid="{00000000-0005-0000-0000-000071190000}"/>
    <cellStyle name="Normal 2 9 3 2 5 2" xfId="25449" xr:uid="{44EDE8D1-CF6C-4F55-93DA-BD48A0E6483B}"/>
    <cellStyle name="Normal 2 9 3 2 5 3" xfId="19789" xr:uid="{7BB8CBB7-BDBF-4A6C-B486-8EEF3B808714}"/>
    <cellStyle name="Normal 2 9 3 2 5 4" xfId="31110" xr:uid="{8D9F6001-44F2-4D9C-BDDB-E03AEF216FB9}"/>
    <cellStyle name="Normal 2 9 3 2 5 5" xfId="38968" xr:uid="{DE28FFCB-8438-4CBF-A597-FE3A4BDE3F93}"/>
    <cellStyle name="Normal 2 9 3 2 6" xfId="22653" xr:uid="{C032243C-2CF3-40D6-A24C-64C311106059}"/>
    <cellStyle name="Normal 2 9 3 2 7" xfId="16993" xr:uid="{F8062B0E-6C72-4C70-B6FF-445A82BB3B09}"/>
    <cellStyle name="Normal 2 9 3 2 8" xfId="28314" xr:uid="{825CE040-ABB5-4D2C-81A9-C0E38BE0EF3E}"/>
    <cellStyle name="Normal 2 9 3 2 9" xfId="38957" xr:uid="{FEFF126F-1262-44B7-B193-77074595C8AF}"/>
    <cellStyle name="Normal 2 9 3 3" xfId="5067" xr:uid="{00000000-0005-0000-0000-000072190000}"/>
    <cellStyle name="Normal 2 9 3 3 2" xfId="6930" xr:uid="{00000000-0005-0000-0000-000073190000}"/>
    <cellStyle name="Normal 2 9 3 3 2 2" xfId="15363" xr:uid="{00000000-0005-0000-0000-000074190000}"/>
    <cellStyle name="Normal 2 9 3 3 2 2 2" xfId="27257" xr:uid="{EED91536-0D42-45ED-AB0A-53873C704D8A}"/>
    <cellStyle name="Normal 2 9 3 3 2 2 3" xfId="21597" xr:uid="{9A658285-5E6B-4515-9D1C-B4AABBBDD013}"/>
    <cellStyle name="Normal 2 9 3 3 2 2 4" xfId="32637" xr:uid="{52CD53D5-BF57-422D-AABF-EBA6419ECB20}"/>
    <cellStyle name="Normal 2 9 3 3 2 2 5" xfId="38971" xr:uid="{8838F399-7EE0-42A2-8716-FB61A09ECA68}"/>
    <cellStyle name="Normal 2 9 3 3 2 3" xfId="24424" xr:uid="{EF98E140-5F42-4D0B-951E-0E1CC4E787F1}"/>
    <cellStyle name="Normal 2 9 3 3 2 4" xfId="18764" xr:uid="{AE1A920A-BCD5-4D8C-9D00-CA171A6B5761}"/>
    <cellStyle name="Normal 2 9 3 3 2 5" xfId="30085" xr:uid="{915AE481-788D-4A64-8017-58911E333677}"/>
    <cellStyle name="Normal 2 9 3 3 2 6" xfId="38970" xr:uid="{6B525BCA-6D38-494E-8F38-F5CAC84768E0}"/>
    <cellStyle name="Normal 2 9 3 3 3" xfId="13962" xr:uid="{00000000-0005-0000-0000-000075190000}"/>
    <cellStyle name="Normal 2 9 3 3 3 2" xfId="26003" xr:uid="{A220FCB8-FD22-4B0F-9565-47ED6FDAA5D9}"/>
    <cellStyle name="Normal 2 9 3 3 3 3" xfId="20343" xr:uid="{E5296161-85E4-4899-B9B4-47E8D0770F8C}"/>
    <cellStyle name="Normal 2 9 3 3 3 4" xfId="31383" xr:uid="{66624B42-999B-404E-9757-B98502CADD68}"/>
    <cellStyle name="Normal 2 9 3 3 3 5" xfId="38972" xr:uid="{921B685D-D6AB-4DA6-AC91-55A8C99A1919}"/>
    <cellStyle name="Normal 2 9 3 3 4" xfId="22862" xr:uid="{40ED1DDD-00D1-4358-B1D1-AE6C09F97B39}"/>
    <cellStyle name="Normal 2 9 3 3 5" xfId="17202" xr:uid="{11740325-D67D-4277-8728-7FCFA3C0A95D}"/>
    <cellStyle name="Normal 2 9 3 3 6" xfId="28523" xr:uid="{AE44DA65-6BEF-4AEE-860D-BD1C918C44B9}"/>
    <cellStyle name="Normal 2 9 3 3 7" xfId="38969" xr:uid="{5888E3E9-3486-4247-86FB-9DC991E31972}"/>
    <cellStyle name="Normal 2 9 3 4" xfId="6193" xr:uid="{00000000-0005-0000-0000-000076190000}"/>
    <cellStyle name="Normal 2 9 3 4 2" xfId="7532" xr:uid="{00000000-0005-0000-0000-000077190000}"/>
    <cellStyle name="Normal 2 9 3 4 2 2" xfId="15965" xr:uid="{00000000-0005-0000-0000-000078190000}"/>
    <cellStyle name="Normal 2 9 3 4 2 2 2" xfId="27859" xr:uid="{07C97D1E-7472-426D-9281-F53587CA8188}"/>
    <cellStyle name="Normal 2 9 3 4 2 2 3" xfId="22199" xr:uid="{F8425EE9-5E1F-4DDE-9260-D9A419F7CD42}"/>
    <cellStyle name="Normal 2 9 3 4 2 2 4" xfId="33239" xr:uid="{66E83F9C-783E-4611-8DEE-5719F610E240}"/>
    <cellStyle name="Normal 2 9 3 4 2 2 5" xfId="38975" xr:uid="{BD67061E-7894-41E5-9D2F-7739FF0BEDFF}"/>
    <cellStyle name="Normal 2 9 3 4 2 3" xfId="25026" xr:uid="{C889084D-AA63-4FDA-9398-7D3E3F172DD8}"/>
    <cellStyle name="Normal 2 9 3 4 2 4" xfId="19366" xr:uid="{85D3274D-E420-43BD-AA43-4571ED5DF491}"/>
    <cellStyle name="Normal 2 9 3 4 2 5" xfId="30687" xr:uid="{F1C16C58-9C07-4F5D-A041-4499A1DD3C59}"/>
    <cellStyle name="Normal 2 9 3 4 2 6" xfId="38974" xr:uid="{C3332CDA-D646-434B-BF62-9E4E6F7C5BB2}"/>
    <cellStyle name="Normal 2 9 3 4 3" xfId="14645" xr:uid="{00000000-0005-0000-0000-000079190000}"/>
    <cellStyle name="Normal 2 9 3 4 3 2" xfId="26603" xr:uid="{D2F56FB4-1B1F-4599-841E-4A1DE530591C}"/>
    <cellStyle name="Normal 2 9 3 4 3 3" xfId="20943" xr:uid="{DB4D3ECE-77E8-44CA-BD43-8BBB327001C2}"/>
    <cellStyle name="Normal 2 9 3 4 3 4" xfId="31983" xr:uid="{F7DC00CB-ACB7-4E13-8F7A-2DFF51DD0054}"/>
    <cellStyle name="Normal 2 9 3 4 3 5" xfId="38976" xr:uid="{EE2A7EFA-46D1-432F-8959-9D2065D29F53}"/>
    <cellStyle name="Normal 2 9 3 4 4" xfId="23770" xr:uid="{34ECDD74-7AFB-4044-B602-2E9805211B3A}"/>
    <cellStyle name="Normal 2 9 3 4 5" xfId="18110" xr:uid="{E2B41F5C-8339-42DA-8A71-6B7AF11C9955}"/>
    <cellStyle name="Normal 2 9 3 4 6" xfId="29431" xr:uid="{95647901-4150-4E4B-A282-DC0571BC3FA9}"/>
    <cellStyle name="Normal 2 9 3 4 7" xfId="38973" xr:uid="{EE6534C5-24BF-438E-B388-D39BF4CE0919}"/>
    <cellStyle name="Normal 2 9 3 5" xfId="6512" xr:uid="{00000000-0005-0000-0000-00007A190000}"/>
    <cellStyle name="Normal 2 9 3 5 2" xfId="14945" xr:uid="{00000000-0005-0000-0000-00007B190000}"/>
    <cellStyle name="Normal 2 9 3 5 2 2" xfId="26839" xr:uid="{0B1397AC-F415-41EC-BCCE-19D465345664}"/>
    <cellStyle name="Normal 2 9 3 5 2 3" xfId="21179" xr:uid="{6596FD24-6CEF-4AB9-AFEF-57BD7C59512B}"/>
    <cellStyle name="Normal 2 9 3 5 2 4" xfId="32219" xr:uid="{019BACFD-B2E2-49A7-A8EB-F5B17A8B7E6C}"/>
    <cellStyle name="Normal 2 9 3 5 2 5" xfId="38978" xr:uid="{B8771191-F5FF-45E6-B763-B29885A3FE42}"/>
    <cellStyle name="Normal 2 9 3 5 3" xfId="24006" xr:uid="{B7E44BD4-9142-482D-8411-D42DA9F8F7EC}"/>
    <cellStyle name="Normal 2 9 3 5 4" xfId="18346" xr:uid="{A548FDC4-658B-45BF-B404-9E337F52E589}"/>
    <cellStyle name="Normal 2 9 3 5 5" xfId="29667" xr:uid="{1AAEBB7F-6E38-4B75-8EDE-F490E6B7FB43}"/>
    <cellStyle name="Normal 2 9 3 5 6" xfId="38977" xr:uid="{28193A9F-CCDC-4291-B6C8-5EB7DF68D96F}"/>
    <cellStyle name="Normal 2 9 3 6" xfId="7967" xr:uid="{00000000-0005-0000-0000-00007C190000}"/>
    <cellStyle name="Normal 2 9 3 6 2" xfId="25448" xr:uid="{247C0261-6E0A-44B3-81B0-BAADB46C04D1}"/>
    <cellStyle name="Normal 2 9 3 6 3" xfId="19788" xr:uid="{22668355-6502-42A9-A285-3FBD75F1EC7C}"/>
    <cellStyle name="Normal 2 9 3 6 4" xfId="31109" xr:uid="{728397CC-92DD-4BA2-930E-FB22DE90F551}"/>
    <cellStyle name="Normal 2 9 3 6 5" xfId="38979" xr:uid="{4CE43952-744A-4AB7-9B93-C9EBBBB4C693}"/>
    <cellStyle name="Normal 2 9 3 7" xfId="22444" xr:uid="{2D402086-D0CB-48B1-A957-040B3D2C5247}"/>
    <cellStyle name="Normal 2 9 3 8" xfId="16784" xr:uid="{9B6F7296-B695-4F2C-869D-7BC4D3E0CAFF}"/>
    <cellStyle name="Normal 2 9 3 9" xfId="28105" xr:uid="{2F06A586-9F25-4AF5-B788-0FC224777689}"/>
    <cellStyle name="Normal 2 9 4" xfId="4810" xr:uid="{00000000-0005-0000-0000-00007D190000}"/>
    <cellStyle name="Normal 2 9 4 2" xfId="5232" xr:uid="{00000000-0005-0000-0000-00007E190000}"/>
    <cellStyle name="Normal 2 9 4 2 2" xfId="7095" xr:uid="{00000000-0005-0000-0000-00007F190000}"/>
    <cellStyle name="Normal 2 9 4 2 2 2" xfId="15528" xr:uid="{00000000-0005-0000-0000-000080190000}"/>
    <cellStyle name="Normal 2 9 4 2 2 2 2" xfId="27422" xr:uid="{FCE9BED0-FE2C-4123-A2A6-991A980134AE}"/>
    <cellStyle name="Normal 2 9 4 2 2 2 3" xfId="21762" xr:uid="{E6375BB6-3A8C-4E5E-9D50-6D77B77617E0}"/>
    <cellStyle name="Normal 2 9 4 2 2 2 4" xfId="32802" xr:uid="{427ACCB0-2799-47E8-B889-C401D53873A1}"/>
    <cellStyle name="Normal 2 9 4 2 2 2 5" xfId="38983" xr:uid="{0CE9B429-9B7B-4305-B54E-5644212E3EAC}"/>
    <cellStyle name="Normal 2 9 4 2 2 3" xfId="24589" xr:uid="{BE805C68-A4EC-4696-ACB0-24221B30EDAA}"/>
    <cellStyle name="Normal 2 9 4 2 2 4" xfId="18929" xr:uid="{C0FF1A57-DCBB-4A22-AD89-8EE18421A6B7}"/>
    <cellStyle name="Normal 2 9 4 2 2 5" xfId="30250" xr:uid="{8CD99AE1-46EA-42C6-AFBF-25FD68E544CD}"/>
    <cellStyle name="Normal 2 9 4 2 2 6" xfId="38982" xr:uid="{523E1DCF-0FC5-4137-856A-B9FA0CF452A4}"/>
    <cellStyle name="Normal 2 9 4 2 3" xfId="14118" xr:uid="{00000000-0005-0000-0000-000081190000}"/>
    <cellStyle name="Normal 2 9 4 2 3 2" xfId="26157" xr:uid="{DF5A901C-04DC-482E-B649-D07293E5455F}"/>
    <cellStyle name="Normal 2 9 4 2 3 3" xfId="20497" xr:uid="{8F0772D7-EAF7-4EAB-A6FD-7807BA2C6880}"/>
    <cellStyle name="Normal 2 9 4 2 3 4" xfId="31537" xr:uid="{50A81D57-553C-4CB4-BD16-E1AA206AF6A7}"/>
    <cellStyle name="Normal 2 9 4 2 3 5" xfId="38984" xr:uid="{BE6C6A41-04BC-4FEA-98A7-894653F86796}"/>
    <cellStyle name="Normal 2 9 4 2 4" xfId="23027" xr:uid="{8FF92E53-CCE3-4F62-88BA-90C973280313}"/>
    <cellStyle name="Normal 2 9 4 2 5" xfId="17367" xr:uid="{6701A540-767B-4B87-838B-9604E58609D0}"/>
    <cellStyle name="Normal 2 9 4 2 6" xfId="28688" xr:uid="{F85203A4-0875-409A-84EF-427A4ADC0C98}"/>
    <cellStyle name="Normal 2 9 4 2 7" xfId="38981" xr:uid="{55B5887E-0050-4D4E-B7D7-A92AD92A3916}"/>
    <cellStyle name="Normal 2 9 4 3" xfId="6195" xr:uid="{00000000-0005-0000-0000-000082190000}"/>
    <cellStyle name="Normal 2 9 4 3 2" xfId="7534" xr:uid="{00000000-0005-0000-0000-000083190000}"/>
    <cellStyle name="Normal 2 9 4 3 2 2" xfId="15967" xr:uid="{00000000-0005-0000-0000-000084190000}"/>
    <cellStyle name="Normal 2 9 4 3 2 2 2" xfId="27861" xr:uid="{429F866D-E90B-405D-A868-91D0DC907199}"/>
    <cellStyle name="Normal 2 9 4 3 2 2 3" xfId="22201" xr:uid="{EEC27602-CF07-42DC-8F30-26B0338C84D2}"/>
    <cellStyle name="Normal 2 9 4 3 2 2 4" xfId="33241" xr:uid="{8AF71F2A-3801-4F47-9142-90C7BE71622E}"/>
    <cellStyle name="Normal 2 9 4 3 2 2 5" xfId="38987" xr:uid="{2EF8CA41-B7A8-45F8-B999-743310083D62}"/>
    <cellStyle name="Normal 2 9 4 3 2 3" xfId="25028" xr:uid="{B7AEB78D-41DC-47AF-AD57-0ED24118220D}"/>
    <cellStyle name="Normal 2 9 4 3 2 4" xfId="19368" xr:uid="{F89A00EF-7F83-4818-A460-26AEFF6355D9}"/>
    <cellStyle name="Normal 2 9 4 3 2 5" xfId="30689" xr:uid="{A9ED3CF8-2813-4587-B273-129CA43437C2}"/>
    <cellStyle name="Normal 2 9 4 3 2 6" xfId="38986" xr:uid="{7504A379-D4C9-4812-9360-A6B06CE4BA5F}"/>
    <cellStyle name="Normal 2 9 4 3 3" xfId="14647" xr:uid="{00000000-0005-0000-0000-000085190000}"/>
    <cellStyle name="Normal 2 9 4 3 3 2" xfId="26605" xr:uid="{D01D12FE-B317-46CE-B0AA-A66AB6CD671A}"/>
    <cellStyle name="Normal 2 9 4 3 3 3" xfId="20945" xr:uid="{45D75F66-11F4-4B35-979D-FB95952B88A1}"/>
    <cellStyle name="Normal 2 9 4 3 3 4" xfId="31985" xr:uid="{9BE87C90-6B76-4728-A7C6-0BBEBA62604B}"/>
    <cellStyle name="Normal 2 9 4 3 3 5" xfId="38988" xr:uid="{E5CC0FE6-5C25-442D-A8F3-5BBB06FAFEB9}"/>
    <cellStyle name="Normal 2 9 4 3 4" xfId="23772" xr:uid="{D924D6C2-7A4F-477B-92E7-09BBAF46243E}"/>
    <cellStyle name="Normal 2 9 4 3 5" xfId="18112" xr:uid="{816076A2-36DF-41E6-9552-E04C6A03510B}"/>
    <cellStyle name="Normal 2 9 4 3 6" xfId="29433" xr:uid="{41BD0F87-8D6C-49DF-B49B-B7F0F00BE92C}"/>
    <cellStyle name="Normal 2 9 4 3 7" xfId="38985" xr:uid="{AED516FA-47A2-4EE6-87BA-853E26DA9A35}"/>
    <cellStyle name="Normal 2 9 4 4" xfId="6677" xr:uid="{00000000-0005-0000-0000-000086190000}"/>
    <cellStyle name="Normal 2 9 4 4 2" xfId="15110" xr:uid="{00000000-0005-0000-0000-000087190000}"/>
    <cellStyle name="Normal 2 9 4 4 2 2" xfId="27004" xr:uid="{B311BD09-284A-48A0-AF06-CBB3C38BB29C}"/>
    <cellStyle name="Normal 2 9 4 4 2 3" xfId="21344" xr:uid="{FF242E8A-89EB-4577-8DEC-F03C275FBA27}"/>
    <cellStyle name="Normal 2 9 4 4 2 4" xfId="32384" xr:uid="{7452FF4C-6FB8-4AE3-86FE-7A4A5A9D6F4E}"/>
    <cellStyle name="Normal 2 9 4 4 2 5" xfId="38990" xr:uid="{13DD45A7-D4C2-4B53-A039-892EAA13252B}"/>
    <cellStyle name="Normal 2 9 4 4 3" xfId="24171" xr:uid="{D9134116-E83B-4395-B670-B90702B5DB76}"/>
    <cellStyle name="Normal 2 9 4 4 4" xfId="18511" xr:uid="{A78FB7D5-0993-45A1-9455-9C6097067BFB}"/>
    <cellStyle name="Normal 2 9 4 4 5" xfId="29832" xr:uid="{7562573A-3F84-4ACA-BA8B-63A5D482F659}"/>
    <cellStyle name="Normal 2 9 4 4 6" xfId="38989" xr:uid="{E60B030A-7442-45F7-9711-F7B0576821CC}"/>
    <cellStyle name="Normal 2 9 4 5" xfId="7969" xr:uid="{00000000-0005-0000-0000-000088190000}"/>
    <cellStyle name="Normal 2 9 4 5 2" xfId="25450" xr:uid="{A687253A-D982-4E98-90FA-85642F3B6E6A}"/>
    <cellStyle name="Normal 2 9 4 5 3" xfId="19790" xr:uid="{77926694-2D70-4A06-B8DF-CBD7E758BEA0}"/>
    <cellStyle name="Normal 2 9 4 5 4" xfId="31111" xr:uid="{83D82F36-8137-4DD6-BB0D-593A50C48E28}"/>
    <cellStyle name="Normal 2 9 4 5 5" xfId="38991" xr:uid="{FFFC9F40-CA4D-45E7-9478-D3E520A4D6E1}"/>
    <cellStyle name="Normal 2 9 4 6" xfId="22609" xr:uid="{120C56F7-92F1-4197-938C-AA6A9C668633}"/>
    <cellStyle name="Normal 2 9 4 7" xfId="16949" xr:uid="{9A9F36BF-5FEC-47F5-9BA5-4690C9CA1E20}"/>
    <cellStyle name="Normal 2 9 4 8" xfId="28270" xr:uid="{B16E3B8D-6CC2-4661-AE18-BDD668EF6AC4}"/>
    <cellStyle name="Normal 2 9 4 9" xfId="38980" xr:uid="{1B3D9AB4-78E7-4F92-ACC5-4E870A0FEBE2}"/>
    <cellStyle name="Normal 2 9 5" xfId="5023" xr:uid="{00000000-0005-0000-0000-000089190000}"/>
    <cellStyle name="Normal 2 9 5 2" xfId="6190" xr:uid="{00000000-0005-0000-0000-00008A190000}"/>
    <cellStyle name="Normal 2 9 5 2 2" xfId="7529" xr:uid="{00000000-0005-0000-0000-00008B190000}"/>
    <cellStyle name="Normal 2 9 5 2 2 2" xfId="15962" xr:uid="{00000000-0005-0000-0000-00008C190000}"/>
    <cellStyle name="Normal 2 9 5 2 2 2 2" xfId="27856" xr:uid="{5A837DB2-A2DB-414C-BCC7-9D47896DCFD3}"/>
    <cellStyle name="Normal 2 9 5 2 2 2 3" xfId="22196" xr:uid="{E1A9D643-4947-40FB-AC53-B20FFE8698A8}"/>
    <cellStyle name="Normal 2 9 5 2 2 2 4" xfId="33236" xr:uid="{3EB43D4A-F2F0-45BF-B6C1-0B7DFB3F316D}"/>
    <cellStyle name="Normal 2 9 5 2 2 2 5" xfId="38995" xr:uid="{3AC80891-F392-4F0F-ADA4-95D07996951C}"/>
    <cellStyle name="Normal 2 9 5 2 2 3" xfId="25023" xr:uid="{5498D87A-69F9-4529-945E-724D763E4D25}"/>
    <cellStyle name="Normal 2 9 5 2 2 4" xfId="19363" xr:uid="{BB62CFEA-4C35-401D-9CC3-7C0CE0566631}"/>
    <cellStyle name="Normal 2 9 5 2 2 5" xfId="30684" xr:uid="{65B69189-6798-4C3D-B733-18451A11A69C}"/>
    <cellStyle name="Normal 2 9 5 2 2 6" xfId="38994" xr:uid="{CF1F2EEB-FA64-4138-8269-E674B61AEA11}"/>
    <cellStyle name="Normal 2 9 5 2 3" xfId="14642" xr:uid="{00000000-0005-0000-0000-00008D190000}"/>
    <cellStyle name="Normal 2 9 5 2 3 2" xfId="26600" xr:uid="{41A374CA-B9A0-47ED-8102-42344F96FD87}"/>
    <cellStyle name="Normal 2 9 5 2 3 3" xfId="20940" xr:uid="{B0982D24-A409-4396-9297-CBD25E823212}"/>
    <cellStyle name="Normal 2 9 5 2 3 4" xfId="31980" xr:uid="{C1494BEA-E2B7-441A-94A1-2B0CA38A2A14}"/>
    <cellStyle name="Normal 2 9 5 2 3 5" xfId="38996" xr:uid="{563795DD-6165-4F8F-A230-9932D4C499C0}"/>
    <cellStyle name="Normal 2 9 5 2 4" xfId="23767" xr:uid="{E2296115-2F02-4E8B-9996-B92BF93B5CDD}"/>
    <cellStyle name="Normal 2 9 5 2 5" xfId="18107" xr:uid="{238FA1ED-7151-4767-88BA-69709525EFB1}"/>
    <cellStyle name="Normal 2 9 5 2 6" xfId="29428" xr:uid="{9AAF413D-CD49-4268-BC20-AA093609439E}"/>
    <cellStyle name="Normal 2 9 5 2 7" xfId="38993" xr:uid="{E8534F08-DC11-4681-BAB7-39488B6371BA}"/>
    <cellStyle name="Normal 2 9 5 3" xfId="6886" xr:uid="{00000000-0005-0000-0000-00008E190000}"/>
    <cellStyle name="Normal 2 9 5 3 2" xfId="15319" xr:uid="{00000000-0005-0000-0000-00008F190000}"/>
    <cellStyle name="Normal 2 9 5 3 2 2" xfId="27213" xr:uid="{435AF4F4-3D76-4665-8CF8-CC0C79E0AC0A}"/>
    <cellStyle name="Normal 2 9 5 3 2 3" xfId="21553" xr:uid="{254AD70B-51EB-44D7-B5BE-BFBD89C18326}"/>
    <cellStyle name="Normal 2 9 5 3 2 4" xfId="32593" xr:uid="{FAC02DD1-77C4-4258-B512-49988121EE0D}"/>
    <cellStyle name="Normal 2 9 5 3 2 5" xfId="38998" xr:uid="{3B3DD455-2631-428B-925F-2AC27CF8DA32}"/>
    <cellStyle name="Normal 2 9 5 3 3" xfId="24380" xr:uid="{60A5FF50-26D4-4265-A50D-E64F516B3AA3}"/>
    <cellStyle name="Normal 2 9 5 3 4" xfId="18720" xr:uid="{4AED0609-DDDB-4D8D-BC25-3A196443AA86}"/>
    <cellStyle name="Normal 2 9 5 3 5" xfId="30041" xr:uid="{599634F4-E1FF-4379-A89F-269108E1300F}"/>
    <cellStyle name="Normal 2 9 5 3 6" xfId="38997" xr:uid="{B1CE7A58-DB18-4BD7-AB6A-A3BDE6BE0138}"/>
    <cellStyle name="Normal 2 9 5 4" xfId="7970" xr:uid="{00000000-0005-0000-0000-000090190000}"/>
    <cellStyle name="Normal 2 9 5 4 2" xfId="25451" xr:uid="{B21E7241-F7E5-400D-889E-443BE3FBF67F}"/>
    <cellStyle name="Normal 2 9 5 4 3" xfId="19791" xr:uid="{0C11340A-228D-40E0-B125-1BCDD7C872DC}"/>
    <cellStyle name="Normal 2 9 5 4 4" xfId="31112" xr:uid="{712DE2A2-B844-4DBB-BC39-AFCAB6D0D766}"/>
    <cellStyle name="Normal 2 9 5 4 5" xfId="38999" xr:uid="{C0F9F69F-B7F9-4266-B794-070CDC79ACF7}"/>
    <cellStyle name="Normal 2 9 5 5" xfId="22818" xr:uid="{6937EAF5-978C-4C21-B997-A7BC27C0248B}"/>
    <cellStyle name="Normal 2 9 5 6" xfId="17158" xr:uid="{E9C607AF-DCF9-4B45-9F7A-2D36FBE0B5D0}"/>
    <cellStyle name="Normal 2 9 5 7" xfId="28479" xr:uid="{25D0BBC2-4F9A-4D4D-9A1C-E92EDF50C330}"/>
    <cellStyle name="Normal 2 9 5 8" xfId="38992" xr:uid="{732A7D3F-AF3F-4D6C-A429-E6B5F4B8B5EB}"/>
    <cellStyle name="Normal 2 9 6" xfId="6468" xr:uid="{00000000-0005-0000-0000-000091190000}"/>
    <cellStyle name="Normal 2 9 6 2" xfId="14901" xr:uid="{00000000-0005-0000-0000-000092190000}"/>
    <cellStyle name="Normal 2 9 6 2 2" xfId="26795" xr:uid="{FC930268-1AC5-42A2-89C5-E4203443DEFE}"/>
    <cellStyle name="Normal 2 9 6 2 3" xfId="21135" xr:uid="{C2CA59FD-365C-4B56-8919-7C9B5457F779}"/>
    <cellStyle name="Normal 2 9 6 2 4" xfId="32175" xr:uid="{2C9C0028-AC9A-4FC9-BA9B-6E6AD1BA6ADE}"/>
    <cellStyle name="Normal 2 9 6 2 5" xfId="39001" xr:uid="{A65016F2-93DA-4705-8E2C-00C7071FA1EC}"/>
    <cellStyle name="Normal 2 9 6 3" xfId="23962" xr:uid="{2E68E6AD-1E56-40A6-B69A-C80B9C94D436}"/>
    <cellStyle name="Normal 2 9 6 4" xfId="18302" xr:uid="{4F022B4E-6177-4CEA-87C8-1E9E4B8D5554}"/>
    <cellStyle name="Normal 2 9 6 5" xfId="29623" xr:uid="{4826BFA4-B07D-4D7C-A297-D76FC0C218C2}"/>
    <cellStyle name="Normal 2 9 6 6" xfId="39000" xr:uid="{E94E0837-AC3C-4C5E-90B0-66A3D71FE162}"/>
    <cellStyle name="Normal 2 9 7" xfId="22400" xr:uid="{ECF0BD62-3C82-41E2-B512-E1E072E153C9}"/>
    <cellStyle name="Normal 2 9 7 2" xfId="39002" xr:uid="{776E6682-8C83-46BF-8FD9-9F4F185FF559}"/>
    <cellStyle name="Normal 2 9 8" xfId="16740" xr:uid="{0F9F147B-00EB-4757-A04D-C55D73C49441}"/>
    <cellStyle name="Normal 2 9 9" xfId="28061" xr:uid="{FE81C09E-D4B2-43EF-B204-0DFA6AEA34B0}"/>
    <cellStyle name="Normal 2_ELC" xfId="9658" xr:uid="{00000000-0005-0000-0000-000093190000}"/>
    <cellStyle name="Normal 20" xfId="2117" xr:uid="{00000000-0005-0000-0000-000094190000}"/>
    <cellStyle name="Normal 20 2" xfId="2118" xr:uid="{00000000-0005-0000-0000-000095190000}"/>
    <cellStyle name="Normal 20 2 2" xfId="39004" xr:uid="{92F0813B-CC0B-46CA-BB62-234A408CE6DA}"/>
    <cellStyle name="Normal 20 3" xfId="4206" xr:uid="{00000000-0005-0000-0000-000096190000}"/>
    <cellStyle name="Normal 20 3 2" xfId="39006" xr:uid="{4A857F0B-0375-4D26-B764-C23478C08001}"/>
    <cellStyle name="Normal 20 3 3" xfId="39005" xr:uid="{F26DC7FF-8271-4554-977B-66FF55FA7AE4}"/>
    <cellStyle name="Normal 20 4" xfId="6196" xr:uid="{00000000-0005-0000-0000-000097190000}"/>
    <cellStyle name="Normal 20 4 2" xfId="39007" xr:uid="{656B5FCA-11AD-4EC1-8E39-72DF4BAFEC3C}"/>
    <cellStyle name="Normal 20 5" xfId="39003" xr:uid="{DFAB526C-04AA-4440-88B3-DA7536779620}"/>
    <cellStyle name="Normal 21" xfId="2119" xr:uid="{00000000-0005-0000-0000-000098190000}"/>
    <cellStyle name="Normal 21 2" xfId="2120" xr:uid="{00000000-0005-0000-0000-000099190000}"/>
    <cellStyle name="Normal 21 2 2" xfId="9659" xr:uid="{00000000-0005-0000-0000-00009A190000}"/>
    <cellStyle name="Normal 21 2 2 2" xfId="39010" xr:uid="{CAB62743-61D8-4491-B417-6C7D12A1C028}"/>
    <cellStyle name="Normal 21 2 3" xfId="39009" xr:uid="{8AC2279E-1A15-403B-97A0-14E8FCECD98C}"/>
    <cellStyle name="Normal 21 3" xfId="4207" xr:uid="{00000000-0005-0000-0000-00009B190000}"/>
    <cellStyle name="Normal 21 3 2" xfId="39012" xr:uid="{E0428404-E38F-48D3-8B8C-B216284193A9}"/>
    <cellStyle name="Normal 21 3 3" xfId="39011" xr:uid="{363BF2A2-9112-40E8-A299-90002DB4C37B}"/>
    <cellStyle name="Normal 21 3 4" xfId="49782" xr:uid="{C0133CAC-0F7D-48E9-9C2F-5C110C9A43EB}"/>
    <cellStyle name="Normal 21 4" xfId="6197" xr:uid="{00000000-0005-0000-0000-00009C190000}"/>
    <cellStyle name="Normal 21 4 2" xfId="39013" xr:uid="{D6AA3431-4FA5-4CA1-A62D-0E1103EBDA52}"/>
    <cellStyle name="Normal 21 5" xfId="5680" xr:uid="{00000000-0005-0000-0000-00009D190000}"/>
    <cellStyle name="Normal 21 5 2" xfId="14348" xr:uid="{00000000-0005-0000-0000-00009E190000}"/>
    <cellStyle name="Normal 21 5 2 2" xfId="39015" xr:uid="{46FF143D-1873-4D9D-87AD-06B1935D6121}"/>
    <cellStyle name="Normal 21 5 3" xfId="39014" xr:uid="{9B5A18AE-A731-4972-9992-C3682811ED42}"/>
    <cellStyle name="Normal 21 6" xfId="39016" xr:uid="{160B9CC5-A8E4-493A-9B12-743EE66CCB3A}"/>
    <cellStyle name="Normal 21 7" xfId="39008" xr:uid="{25C9F4AB-14CF-47A4-9A25-DA41638D87FD}"/>
    <cellStyle name="Normal 21_Scen_XBase" xfId="2121" xr:uid="{00000000-0005-0000-0000-00009F190000}"/>
    <cellStyle name="Normal 22" xfId="2122" xr:uid="{00000000-0005-0000-0000-0000A0190000}"/>
    <cellStyle name="Normal 22 2" xfId="9660" xr:uid="{00000000-0005-0000-0000-0000A1190000}"/>
    <cellStyle name="Normal 22 2 2" xfId="39018" xr:uid="{C99AA433-496B-4EA7-B1FE-71A01A0C0772}"/>
    <cellStyle name="Normal 22 3" xfId="39017" xr:uid="{CA37DC1A-CC9E-4184-8536-2A23C04958CB}"/>
    <cellStyle name="Normal 23" xfId="2123" xr:uid="{00000000-0005-0000-0000-0000A2190000}"/>
    <cellStyle name="Normal 23 2" xfId="2124" xr:uid="{00000000-0005-0000-0000-0000A3190000}"/>
    <cellStyle name="Normal 23 2 2" xfId="39020" xr:uid="{F9E9FBE7-E2C0-499C-9972-A5FC33BFE055}"/>
    <cellStyle name="Normal 23 3" xfId="2125" xr:uid="{00000000-0005-0000-0000-0000A4190000}"/>
    <cellStyle name="Normal 23 3 2" xfId="39021" xr:uid="{4FB64A75-7A73-4559-A5E2-A1A8AE857F17}"/>
    <cellStyle name="Normal 23 4" xfId="39019" xr:uid="{F17087CD-0DBD-48A9-A4D9-B0F00D22BF6B}"/>
    <cellStyle name="Normal 24" xfId="2126" xr:uid="{00000000-0005-0000-0000-0000A5190000}"/>
    <cellStyle name="Normal 24 10" xfId="2127" xr:uid="{00000000-0005-0000-0000-0000A6190000}"/>
    <cellStyle name="Normal 24 10 2" xfId="39024" xr:uid="{D6ED5BE0-A576-4E2A-B3B6-D8BF6C0A8442}"/>
    <cellStyle name="Normal 24 10 3" xfId="39023" xr:uid="{FC4E0896-BBAE-4862-96A1-4FDAE406960E}"/>
    <cellStyle name="Normal 24 10 4" xfId="49783" xr:uid="{5BE18C2E-FF9C-4187-896D-9564B0789FD4}"/>
    <cellStyle name="Normal 24 11" xfId="2128" xr:uid="{00000000-0005-0000-0000-0000A7190000}"/>
    <cellStyle name="Normal 24 11 2" xfId="39026" xr:uid="{6444C64C-9CB9-4EDF-8D04-7009A2137AC0}"/>
    <cellStyle name="Normal 24 11 3" xfId="39025" xr:uid="{D1B2A843-CCFA-4CA8-8CE5-19C4468515F0}"/>
    <cellStyle name="Normal 24 11 4" xfId="49784" xr:uid="{E8804797-8E53-46C9-8D5A-2EBD779B1FFD}"/>
    <cellStyle name="Normal 24 12" xfId="2129" xr:uid="{00000000-0005-0000-0000-0000A8190000}"/>
    <cellStyle name="Normal 24 12 2" xfId="39028" xr:uid="{C678BF83-B810-4EFE-AF97-97E3F5EB5D28}"/>
    <cellStyle name="Normal 24 12 3" xfId="39027" xr:uid="{6097FAB9-A3E8-4303-863A-C5F146CD8EA9}"/>
    <cellStyle name="Normal 24 12 4" xfId="49785" xr:uid="{FC198A75-C879-4A1C-88A2-0B56C429881B}"/>
    <cellStyle name="Normal 24 13" xfId="2130" xr:uid="{00000000-0005-0000-0000-0000A9190000}"/>
    <cellStyle name="Normal 24 13 2" xfId="39030" xr:uid="{48E29879-F27A-4B4F-8A37-05E22F8AC2D2}"/>
    <cellStyle name="Normal 24 13 3" xfId="39029" xr:uid="{292EEE6B-F3AD-40A1-8FAA-BFBCD14CFF6B}"/>
    <cellStyle name="Normal 24 13 4" xfId="49786" xr:uid="{1A32A36B-47DE-457D-A33E-0DD2CE21B781}"/>
    <cellStyle name="Normal 24 14" xfId="2131" xr:uid="{00000000-0005-0000-0000-0000AA190000}"/>
    <cellStyle name="Normal 24 14 2" xfId="39032" xr:uid="{1B43D808-0C7B-4173-ABB4-F24F53C3A0C2}"/>
    <cellStyle name="Normal 24 14 3" xfId="39031" xr:uid="{E3A427E5-8687-4265-BC84-B26BC55A9908}"/>
    <cellStyle name="Normal 24 14 4" xfId="49787" xr:uid="{7B6F420F-8826-4749-8AA9-B5F097C4BF89}"/>
    <cellStyle name="Normal 24 15" xfId="2132" xr:uid="{00000000-0005-0000-0000-0000AB190000}"/>
    <cellStyle name="Normal 24 15 2" xfId="39034" xr:uid="{450E4A03-5AAA-4A93-904C-9D88C662A9BB}"/>
    <cellStyle name="Normal 24 15 3" xfId="39033" xr:uid="{729965DF-434D-4249-95DD-C8A59DAFEF59}"/>
    <cellStyle name="Normal 24 15 4" xfId="49788" xr:uid="{EB32906A-00AF-4716-8C20-BCF57CCE49CF}"/>
    <cellStyle name="Normal 24 16" xfId="2133" xr:uid="{00000000-0005-0000-0000-0000AC190000}"/>
    <cellStyle name="Normal 24 16 2" xfId="39036" xr:uid="{0987E058-3CD9-4391-A559-017327E8EC16}"/>
    <cellStyle name="Normal 24 16 3" xfId="39035" xr:uid="{07F3B4CE-D08F-4B16-9901-05FA883C1C0F}"/>
    <cellStyle name="Normal 24 16 4" xfId="49789" xr:uid="{2DD218D7-7036-4B84-8089-51F82C210525}"/>
    <cellStyle name="Normal 24 17" xfId="2134" xr:uid="{00000000-0005-0000-0000-0000AD190000}"/>
    <cellStyle name="Normal 24 17 2" xfId="39038" xr:uid="{751831E2-06DE-4216-804F-5B69A017D957}"/>
    <cellStyle name="Normal 24 17 3" xfId="39037" xr:uid="{0BB21B97-2AD7-49DF-B0B7-1FB6F9AE7DA3}"/>
    <cellStyle name="Normal 24 17 4" xfId="49790" xr:uid="{353472DA-5A9C-4FB9-A2B5-D1B73A1A0BAA}"/>
    <cellStyle name="Normal 24 18" xfId="2135" xr:uid="{00000000-0005-0000-0000-0000AE190000}"/>
    <cellStyle name="Normal 24 18 2" xfId="39040" xr:uid="{8C6CDDFE-531C-4D16-9168-52D1112E3433}"/>
    <cellStyle name="Normal 24 18 3" xfId="39039" xr:uid="{ED608580-21D0-44F9-AB66-E7B8BDF58281}"/>
    <cellStyle name="Normal 24 18 4" xfId="49791" xr:uid="{63ACDE46-C939-4C08-96F9-A876FB035AB7}"/>
    <cellStyle name="Normal 24 19" xfId="2136" xr:uid="{00000000-0005-0000-0000-0000AF190000}"/>
    <cellStyle name="Normal 24 19 2" xfId="39042" xr:uid="{B528D0FB-2045-4CAD-BBDB-ECD14059C7DF}"/>
    <cellStyle name="Normal 24 19 3" xfId="39041" xr:uid="{05A6D65C-855D-45AE-A714-A3AFDE802DD0}"/>
    <cellStyle name="Normal 24 19 4" xfId="49792" xr:uid="{2C092025-2F57-4C89-BDF5-9A9CA0B875A6}"/>
    <cellStyle name="Normal 24 2" xfId="2137" xr:uid="{00000000-0005-0000-0000-0000B0190000}"/>
    <cellStyle name="Normal 24 2 2" xfId="16699" xr:uid="{F5C4AE21-96F0-4C40-91C1-8DDA0442CB60}"/>
    <cellStyle name="Normal 24 2 2 2" xfId="33427" xr:uid="{4A0E1160-40B5-4EBA-86AC-A41FAA1E22AF}"/>
    <cellStyle name="Normal 24 2 2 3" xfId="39044" xr:uid="{3307D04C-39A6-4650-BBE0-D63F94B92D3C}"/>
    <cellStyle name="Normal 24 2 3" xfId="39045" xr:uid="{8E51BF94-8930-49C8-848F-14317DA1F599}"/>
    <cellStyle name="Normal 24 2 4" xfId="39043" xr:uid="{9B82EDF6-15D5-4368-B647-5816389C8A8D}"/>
    <cellStyle name="Normal 24 2 5" xfId="49793" xr:uid="{3099F3CF-98B9-4B65-8190-8F3632DE40A1}"/>
    <cellStyle name="Normal 24 20" xfId="2138" xr:uid="{00000000-0005-0000-0000-0000B1190000}"/>
    <cellStyle name="Normal 24 20 2" xfId="39047" xr:uid="{3C556DFF-9894-4DFB-8D5B-06DDB13E6BE0}"/>
    <cellStyle name="Normal 24 20 3" xfId="39046" xr:uid="{5E5D0E0C-B7C5-497D-A262-378DA0CCEFA1}"/>
    <cellStyle name="Normal 24 20 4" xfId="49794" xr:uid="{82E25EF6-76E0-4F9C-9A96-1CB00E8668AB}"/>
    <cellStyle name="Normal 24 21" xfId="9662" xr:uid="{00000000-0005-0000-0000-0000B2190000}"/>
    <cellStyle name="Normal 24 21 2" xfId="39048" xr:uid="{FDA9A2FD-C57A-4D25-A6FB-077B397B41CC}"/>
    <cellStyle name="Normal 24 22" xfId="9661" xr:uid="{00000000-0005-0000-0000-0000B3190000}"/>
    <cellStyle name="Normal 24 22 2" xfId="39049" xr:uid="{22D3F827-C3B4-468C-B14D-0A6B0C6F38A5}"/>
    <cellStyle name="Normal 24 23" xfId="39050" xr:uid="{1DF29A41-2396-4775-BB01-F5CADCBA5E61}"/>
    <cellStyle name="Normal 24 24" xfId="39022" xr:uid="{2C286B56-AE05-42BD-969D-003DCE5028A8}"/>
    <cellStyle name="Normal 24 3" xfId="2139" xr:uid="{00000000-0005-0000-0000-0000B4190000}"/>
    <cellStyle name="Normal 24 3 2" xfId="16700" xr:uid="{6B7F4D94-77F0-440A-85D0-5E5B72F2503B}"/>
    <cellStyle name="Normal 24 3 2 2" xfId="33428" xr:uid="{738D157B-8CF6-4264-995A-57B3D4935371}"/>
    <cellStyle name="Normal 24 3 2 3" xfId="39052" xr:uid="{BDDA4B9D-E5D4-41A0-A61E-34FFF15F9FBC}"/>
    <cellStyle name="Normal 24 3 3" xfId="39053" xr:uid="{CE5221C7-18BC-429A-8A96-B1BA73AD3A13}"/>
    <cellStyle name="Normal 24 3 4" xfId="39051" xr:uid="{49210B8B-BBEB-462D-8B20-54B2E4EAAFD3}"/>
    <cellStyle name="Normal 24 3 5" xfId="49795" xr:uid="{43148866-F2EB-4D80-BC57-52F7B4323AB5}"/>
    <cellStyle name="Normal 24 4" xfId="2140" xr:uid="{00000000-0005-0000-0000-0000B5190000}"/>
    <cellStyle name="Normal 24 4 2" xfId="16701" xr:uid="{6448C4A1-F60F-4011-A9C0-3BC7D1044ADC}"/>
    <cellStyle name="Normal 24 4 2 2" xfId="33429" xr:uid="{A94AB003-062D-4ACA-A08F-08B7FFBAA731}"/>
    <cellStyle name="Normal 24 4 2 3" xfId="39055" xr:uid="{3E93C85C-5CD3-43AF-BB97-5E2BF78DA871}"/>
    <cellStyle name="Normal 24 4 3" xfId="39056" xr:uid="{FA322786-3C81-462E-924A-B9B04EDABD95}"/>
    <cellStyle name="Normal 24 4 4" xfId="39054" xr:uid="{0F57F9DA-7F5C-421E-91DB-9EFC6D388368}"/>
    <cellStyle name="Normal 24 4 5" xfId="49796" xr:uid="{71D66738-BD2D-4389-AC20-DB1004C43AE7}"/>
    <cellStyle name="Normal 24 5" xfId="2141" xr:uid="{00000000-0005-0000-0000-0000B6190000}"/>
    <cellStyle name="Normal 24 5 2" xfId="16702" xr:uid="{AFCA6FC4-18B9-49F4-AE35-02720CBB9AD2}"/>
    <cellStyle name="Normal 24 5 2 2" xfId="33430" xr:uid="{56A61AFD-491F-4611-97C6-52C58BB242D8}"/>
    <cellStyle name="Normal 24 5 2 3" xfId="39058" xr:uid="{1D835B9A-799D-4591-A830-62464439BCDE}"/>
    <cellStyle name="Normal 24 5 3" xfId="39059" xr:uid="{890A80C0-1BC1-4228-B29B-7CCF91885433}"/>
    <cellStyle name="Normal 24 5 4" xfId="39057" xr:uid="{C8E313B7-8BFB-49F6-83F4-409B5D311945}"/>
    <cellStyle name="Normal 24 5 5" xfId="49797" xr:uid="{860A422F-ECF1-4AF4-957B-5ED1197675FA}"/>
    <cellStyle name="Normal 24 6" xfId="2142" xr:uid="{00000000-0005-0000-0000-0000B7190000}"/>
    <cellStyle name="Normal 24 6 2" xfId="16703" xr:uid="{5C2A5089-31C2-4DD9-A3F4-C69E5DA483BD}"/>
    <cellStyle name="Normal 24 6 2 2" xfId="33431" xr:uid="{BA662431-E635-4F3C-9A3E-8DE0A664D6E6}"/>
    <cellStyle name="Normal 24 6 2 3" xfId="39061" xr:uid="{B6EC33EB-2C5C-48C3-971D-39D496E9A26C}"/>
    <cellStyle name="Normal 24 6 3" xfId="39062" xr:uid="{2FDAC25C-5457-40A5-89CF-B3CEB6DF659E}"/>
    <cellStyle name="Normal 24 6 4" xfId="39060" xr:uid="{BFD78FF5-A0BD-4634-A769-0740B9F8B2B1}"/>
    <cellStyle name="Normal 24 6 5" xfId="49798" xr:uid="{DE059999-A788-48C3-9575-276E6848BC51}"/>
    <cellStyle name="Normal 24 7" xfId="2143" xr:uid="{00000000-0005-0000-0000-0000B8190000}"/>
    <cellStyle name="Normal 24 7 2" xfId="16704" xr:uid="{38F41B73-5F8E-4814-A4CA-59648EEF8E28}"/>
    <cellStyle name="Normal 24 7 2 2" xfId="33432" xr:uid="{6F31C7F5-4E7F-4E67-98C6-0EA86CF0BADA}"/>
    <cellStyle name="Normal 24 7 2 3" xfId="39064" xr:uid="{F6D7F0BB-2CA9-49CF-A4AA-F8C96F06F0B4}"/>
    <cellStyle name="Normal 24 7 3" xfId="39065" xr:uid="{601BD4A0-6220-4EFD-B3AE-1E32DC342352}"/>
    <cellStyle name="Normal 24 7 4" xfId="39063" xr:uid="{D541A37B-1CEF-4546-8B5D-27751B2D8D2F}"/>
    <cellStyle name="Normal 24 7 5" xfId="49799" xr:uid="{40DBE593-E42F-4700-8D55-724D89879500}"/>
    <cellStyle name="Normal 24 8" xfId="2144" xr:uid="{00000000-0005-0000-0000-0000B9190000}"/>
    <cellStyle name="Normal 24 8 2" xfId="39067" xr:uid="{D05D8684-FE0B-4448-87D8-C1529CFE5C7A}"/>
    <cellStyle name="Normal 24 8 3" xfId="39066" xr:uid="{C92E6CE3-6E5B-4320-A545-CA3E27F53122}"/>
    <cellStyle name="Normal 24 8 4" xfId="49800" xr:uid="{0B88A534-07B4-4775-B6DE-86E1DCBEB9E8}"/>
    <cellStyle name="Normal 24 9" xfId="2145" xr:uid="{00000000-0005-0000-0000-0000BA190000}"/>
    <cellStyle name="Normal 24 9 2" xfId="39069" xr:uid="{B1DB49F3-34C9-40C6-A435-4346A5A501F7}"/>
    <cellStyle name="Normal 24 9 3" xfId="39068" xr:uid="{FBCB12EE-460F-47E5-A661-DA9F4E44DDBB}"/>
    <cellStyle name="Normal 24 9 4" xfId="49801" xr:uid="{C9D28A10-B84E-48C4-B38C-4AE9CD541606}"/>
    <cellStyle name="Normal 25" xfId="2146" xr:uid="{00000000-0005-0000-0000-0000BB190000}"/>
    <cellStyle name="Normal 25 2" xfId="9664" xr:uid="{00000000-0005-0000-0000-0000BC190000}"/>
    <cellStyle name="Normal 25 2 2" xfId="39071" xr:uid="{E960E2A2-434F-452E-AAB2-757BA81028C7}"/>
    <cellStyle name="Normal 25 3" xfId="9663" xr:uid="{00000000-0005-0000-0000-0000BD190000}"/>
    <cellStyle name="Normal 25 3 2" xfId="39072" xr:uid="{19438854-BD65-4291-855B-D7C2F1D20623}"/>
    <cellStyle name="Normal 25 4" xfId="39073" xr:uid="{82A51EFF-5024-4559-99EA-04D530C6A9D9}"/>
    <cellStyle name="Normal 25 5" xfId="39070" xr:uid="{A69B175B-5793-456A-84FA-CF5826DEA3E9}"/>
    <cellStyle name="Normal 26" xfId="2147" xr:uid="{00000000-0005-0000-0000-0000BE190000}"/>
    <cellStyle name="Normal 26 2" xfId="2148" xr:uid="{00000000-0005-0000-0000-0000BF190000}"/>
    <cellStyle name="Normal 26 2 2" xfId="39075" xr:uid="{4153580B-0066-4D61-8FAF-CCA1C3031C85}"/>
    <cellStyle name="Normal 26 3" xfId="6198" xr:uid="{00000000-0005-0000-0000-0000C0190000}"/>
    <cellStyle name="Normal 26 3 2" xfId="39076" xr:uid="{E431DD09-4196-4677-A235-E489047A0FF0}"/>
    <cellStyle name="Normal 26 4" xfId="39077" xr:uid="{A3BA9C4E-4C1E-40CA-B668-AFFB5DE48CBD}"/>
    <cellStyle name="Normal 26 5" xfId="39074" xr:uid="{0B1B7872-995B-4747-ADE8-89CC9FEA236D}"/>
    <cellStyle name="Normal 27" xfId="2149" xr:uid="{00000000-0005-0000-0000-0000C1190000}"/>
    <cellStyle name="Normal 27 2" xfId="2150" xr:uid="{00000000-0005-0000-0000-0000C2190000}"/>
    <cellStyle name="Normal 27 2 2" xfId="39079" xr:uid="{8A63D463-FC15-4889-8837-9198705100B0}"/>
    <cellStyle name="Normal 27 3" xfId="39078" xr:uid="{38ABFAD8-3546-483E-9C73-C1E748EA96B5}"/>
    <cellStyle name="Normal 28" xfId="2151" xr:uid="{00000000-0005-0000-0000-0000C3190000}"/>
    <cellStyle name="Normal 28 2" xfId="39080" xr:uid="{2CFA822A-6082-4706-AC51-9E135264966C}"/>
    <cellStyle name="Normal 29" xfId="2152" xr:uid="{00000000-0005-0000-0000-0000C4190000}"/>
    <cellStyle name="Normal 29 2" xfId="39081" xr:uid="{3DBD4E4F-85E0-43AA-B328-8BCE3F0AC2E0}"/>
    <cellStyle name="Normal 3" xfId="7" xr:uid="{00000000-0005-0000-0000-0000C5190000}"/>
    <cellStyle name="Normal 3 10" xfId="2153" xr:uid="{00000000-0005-0000-0000-0000C6190000}"/>
    <cellStyle name="Normal 3 10 2" xfId="39083" xr:uid="{24DC45B4-5980-4620-9AD3-F07AED836AC9}"/>
    <cellStyle name="Normal 3 11" xfId="2154" xr:uid="{00000000-0005-0000-0000-0000C7190000}"/>
    <cellStyle name="Normal 3 11 2" xfId="39084" xr:uid="{95579EE4-42C4-4023-A702-A66C0B91EF6F}"/>
    <cellStyle name="Normal 3 12" xfId="2155" xr:uid="{00000000-0005-0000-0000-0000C8190000}"/>
    <cellStyle name="Normal 3 12 2" xfId="39085" xr:uid="{444EAA6F-6615-4972-B912-2BA194B19857}"/>
    <cellStyle name="Normal 3 13" xfId="2156" xr:uid="{00000000-0005-0000-0000-0000C9190000}"/>
    <cellStyle name="Normal 3 13 2" xfId="39086" xr:uid="{82F13FC2-9E14-4A77-A21C-C0D33825E97B}"/>
    <cellStyle name="Normal 3 14" xfId="2157" xr:uid="{00000000-0005-0000-0000-0000CA190000}"/>
    <cellStyle name="Normal 3 14 2" xfId="39087" xr:uid="{6130B22E-F239-46EC-8FF4-B7C3641B79B5}"/>
    <cellStyle name="Normal 3 15" xfId="2158" xr:uid="{00000000-0005-0000-0000-0000CB190000}"/>
    <cellStyle name="Normal 3 15 2" xfId="39088" xr:uid="{975F7F04-CC9F-418E-8F5F-135AF83F000F}"/>
    <cellStyle name="Normal 3 16" xfId="2159" xr:uid="{00000000-0005-0000-0000-0000CC190000}"/>
    <cellStyle name="Normal 3 16 2" xfId="39089" xr:uid="{08AE52DF-F5CF-48E7-AC44-53195A1A044C}"/>
    <cellStyle name="Normal 3 17" xfId="2160" xr:uid="{00000000-0005-0000-0000-0000CD190000}"/>
    <cellStyle name="Normal 3 17 2" xfId="39090" xr:uid="{5B4BD8B5-0220-444F-AB12-A2D7C815ED1B}"/>
    <cellStyle name="Normal 3 18" xfId="2161" xr:uid="{00000000-0005-0000-0000-0000CE190000}"/>
    <cellStyle name="Normal 3 18 2" xfId="39091" xr:uid="{489F8BE4-B916-42CA-90E7-DECE84E86A50}"/>
    <cellStyle name="Normal 3 19" xfId="2162" xr:uid="{00000000-0005-0000-0000-0000CF190000}"/>
    <cellStyle name="Normal 3 19 2" xfId="39092" xr:uid="{29F3BBAF-7301-492C-85F3-BDDCA0010E4B}"/>
    <cellStyle name="Normal 3 2" xfId="155" xr:uid="{00000000-0005-0000-0000-0000D0190000}"/>
    <cellStyle name="Normal 3 2 10" xfId="4209" xr:uid="{00000000-0005-0000-0000-0000D1190000}"/>
    <cellStyle name="Normal 3 2 10 2" xfId="39094" xr:uid="{36A6406D-CA78-4386-9586-0C74E275EA2E}"/>
    <cellStyle name="Normal 3 2 11" xfId="4208" xr:uid="{00000000-0005-0000-0000-0000D2190000}"/>
    <cellStyle name="Normal 3 2 11 10" xfId="39095" xr:uid="{727CFB3A-CE11-4179-9613-5A8D8D7833EC}"/>
    <cellStyle name="Normal 3 2 11 2" xfId="4951" xr:uid="{00000000-0005-0000-0000-0000D3190000}"/>
    <cellStyle name="Normal 3 2 11 2 2" xfId="5370" xr:uid="{00000000-0005-0000-0000-0000D4190000}"/>
    <cellStyle name="Normal 3 2 11 2 2 2" xfId="7233" xr:uid="{00000000-0005-0000-0000-0000D5190000}"/>
    <cellStyle name="Normal 3 2 11 2 2 2 2" xfId="15666" xr:uid="{00000000-0005-0000-0000-0000D6190000}"/>
    <cellStyle name="Normal 3 2 11 2 2 2 2 2" xfId="27560" xr:uid="{4F7F135E-8350-467E-B9A2-56883D5B1AE3}"/>
    <cellStyle name="Normal 3 2 11 2 2 2 2 3" xfId="21900" xr:uid="{A7314625-549C-4702-80B5-4748430961C0}"/>
    <cellStyle name="Normal 3 2 11 2 2 2 2 4" xfId="32940" xr:uid="{38A0BD28-8482-42BB-8B10-87CD6C8FDC5B}"/>
    <cellStyle name="Normal 3 2 11 2 2 2 2 5" xfId="39099" xr:uid="{B4EFC288-97C8-4A65-8485-7C1480CE7F1C}"/>
    <cellStyle name="Normal 3 2 11 2 2 2 3" xfId="24727" xr:uid="{5D29AFCB-8614-4EF0-816D-5269E810E8A1}"/>
    <cellStyle name="Normal 3 2 11 2 2 2 4" xfId="19067" xr:uid="{6173B233-3088-429F-9FFB-1BB5D8834C7D}"/>
    <cellStyle name="Normal 3 2 11 2 2 2 5" xfId="30388" xr:uid="{2F366614-36A0-4E11-98E5-966018EB81AB}"/>
    <cellStyle name="Normal 3 2 11 2 2 2 6" xfId="39098" xr:uid="{BF658C6B-CD58-41F1-B4CA-F17E43E9F887}"/>
    <cellStyle name="Normal 3 2 11 2 2 3" xfId="14256" xr:uid="{00000000-0005-0000-0000-0000D7190000}"/>
    <cellStyle name="Normal 3 2 11 2 2 3 2" xfId="26295" xr:uid="{FB6EE55A-204B-4A70-B2EF-FCDAE81C08A5}"/>
    <cellStyle name="Normal 3 2 11 2 2 3 3" xfId="20635" xr:uid="{3F5274E6-B6AF-4094-B490-50126958B0B7}"/>
    <cellStyle name="Normal 3 2 11 2 2 3 4" xfId="31675" xr:uid="{E20E8459-F94E-4E93-9542-42E6299C23C3}"/>
    <cellStyle name="Normal 3 2 11 2 2 3 5" xfId="39100" xr:uid="{434195F2-7EF4-4334-9952-B625CCA71F23}"/>
    <cellStyle name="Normal 3 2 11 2 2 4" xfId="23165" xr:uid="{0DC747FE-55A0-4E03-AEF6-82F7B3BDF756}"/>
    <cellStyle name="Normal 3 2 11 2 2 5" xfId="17505" xr:uid="{A28B4214-6089-4596-9D9F-C162D8B0C464}"/>
    <cellStyle name="Normal 3 2 11 2 2 6" xfId="28826" xr:uid="{16403C0E-280D-4B1F-B77B-0197595DF430}"/>
    <cellStyle name="Normal 3 2 11 2 2 7" xfId="39097" xr:uid="{357BACEA-62EE-4017-A37E-57BF5D4ED305}"/>
    <cellStyle name="Normal 3 2 11 2 3" xfId="6200" xr:uid="{00000000-0005-0000-0000-0000D8190000}"/>
    <cellStyle name="Normal 3 2 11 2 3 2" xfId="7536" xr:uid="{00000000-0005-0000-0000-0000D9190000}"/>
    <cellStyle name="Normal 3 2 11 2 3 2 2" xfId="15969" xr:uid="{00000000-0005-0000-0000-0000DA190000}"/>
    <cellStyle name="Normal 3 2 11 2 3 2 2 2" xfId="27863" xr:uid="{D42C9946-1C6A-4A2A-88D5-E86E0E6EA9C2}"/>
    <cellStyle name="Normal 3 2 11 2 3 2 2 3" xfId="22203" xr:uid="{0C9F5B94-01AF-41BE-BAEE-1F826BD99B4E}"/>
    <cellStyle name="Normal 3 2 11 2 3 2 2 4" xfId="33243" xr:uid="{D163E089-CBFD-451E-BBFD-E72819123C31}"/>
    <cellStyle name="Normal 3 2 11 2 3 2 2 5" xfId="39103" xr:uid="{E5F8B80F-A770-490A-92C9-CA09DD48B326}"/>
    <cellStyle name="Normal 3 2 11 2 3 2 3" xfId="25030" xr:uid="{973B6961-469B-4016-AF15-78AF7D70AF20}"/>
    <cellStyle name="Normal 3 2 11 2 3 2 4" xfId="19370" xr:uid="{B74CA2B1-6F40-40B8-9D8D-F15C35C4BA92}"/>
    <cellStyle name="Normal 3 2 11 2 3 2 5" xfId="30691" xr:uid="{134E0ADF-4884-4EC1-877C-B9D6E1AB50F5}"/>
    <cellStyle name="Normal 3 2 11 2 3 2 6" xfId="39102" xr:uid="{41D7E80D-704C-4E30-8C03-EC42573282DC}"/>
    <cellStyle name="Normal 3 2 11 2 3 3" xfId="14650" xr:uid="{00000000-0005-0000-0000-0000DB190000}"/>
    <cellStyle name="Normal 3 2 11 2 3 3 2" xfId="26607" xr:uid="{81B3D677-6209-4EAC-A655-FFDCA6A83901}"/>
    <cellStyle name="Normal 3 2 11 2 3 3 3" xfId="20947" xr:uid="{51913DC2-2939-49C3-8F90-EAF788169768}"/>
    <cellStyle name="Normal 3 2 11 2 3 3 4" xfId="31987" xr:uid="{226D612E-6489-492B-98F3-C252FC0EDD68}"/>
    <cellStyle name="Normal 3 2 11 2 3 3 5" xfId="39104" xr:uid="{70C768C2-D704-4B3E-B85E-9C6BAF9D62F4}"/>
    <cellStyle name="Normal 3 2 11 2 3 4" xfId="23774" xr:uid="{812E6A76-BB51-443C-954C-70F74D467F93}"/>
    <cellStyle name="Normal 3 2 11 2 3 5" xfId="18114" xr:uid="{8240D869-AC3E-417B-B199-381333AF87D2}"/>
    <cellStyle name="Normal 3 2 11 2 3 6" xfId="29435" xr:uid="{671A6E31-8588-4AE9-B65E-6B00E5A51482}"/>
    <cellStyle name="Normal 3 2 11 2 3 7" xfId="39101" xr:uid="{0358621B-05E0-4E94-BD8A-582919CC30C2}"/>
    <cellStyle name="Normal 3 2 11 2 4" xfId="6815" xr:uid="{00000000-0005-0000-0000-0000DC190000}"/>
    <cellStyle name="Normal 3 2 11 2 4 2" xfId="15248" xr:uid="{00000000-0005-0000-0000-0000DD190000}"/>
    <cellStyle name="Normal 3 2 11 2 4 2 2" xfId="27142" xr:uid="{FF9DD6CA-4BF0-453C-AB5D-D59BAD32F05E}"/>
    <cellStyle name="Normal 3 2 11 2 4 2 3" xfId="21482" xr:uid="{161BBACF-BD07-43B3-AC07-540192B1C58C}"/>
    <cellStyle name="Normal 3 2 11 2 4 2 4" xfId="32522" xr:uid="{0CC9F6A0-D697-4110-86AB-AA9811497B60}"/>
    <cellStyle name="Normal 3 2 11 2 4 2 5" xfId="39106" xr:uid="{546FDBC0-66F3-4DA9-B461-42996642394E}"/>
    <cellStyle name="Normal 3 2 11 2 4 3" xfId="24309" xr:uid="{7D0499DA-2673-453E-A99A-DF57B459A6DE}"/>
    <cellStyle name="Normal 3 2 11 2 4 4" xfId="18649" xr:uid="{632761B6-8F8C-41AA-A359-DCAFBB4C540A}"/>
    <cellStyle name="Normal 3 2 11 2 4 5" xfId="29970" xr:uid="{5F4A9D85-31F6-419B-9D09-8810C01CF7EE}"/>
    <cellStyle name="Normal 3 2 11 2 4 6" xfId="39105" xr:uid="{8E697499-39AE-4CFA-BF0E-591DF62152B1}"/>
    <cellStyle name="Normal 3 2 11 2 5" xfId="7973" xr:uid="{00000000-0005-0000-0000-0000DE190000}"/>
    <cellStyle name="Normal 3 2 11 2 5 2" xfId="25454" xr:uid="{C5240D41-FBDB-4956-ABFE-7948DAF497B1}"/>
    <cellStyle name="Normal 3 2 11 2 5 3" xfId="19794" xr:uid="{F6B7C212-E61F-4C1F-976A-DBB9513FBF85}"/>
    <cellStyle name="Normal 3 2 11 2 5 4" xfId="31115" xr:uid="{D0C8B638-CE6F-40AF-844A-E2A5092B148A}"/>
    <cellStyle name="Normal 3 2 11 2 5 5" xfId="39107" xr:uid="{293CA72C-C5A1-4D39-80DF-E5920265F194}"/>
    <cellStyle name="Normal 3 2 11 2 6" xfId="22747" xr:uid="{27F02BDB-3DD4-4659-BB9F-55B2EB1685EE}"/>
    <cellStyle name="Normal 3 2 11 2 7" xfId="17087" xr:uid="{C56EFECC-09A5-447C-B3BB-944FD63E8D16}"/>
    <cellStyle name="Normal 3 2 11 2 8" xfId="28408" xr:uid="{1AAB7490-5472-42C4-9E1E-03CB206D16ED}"/>
    <cellStyle name="Normal 3 2 11 2 9" xfId="39096" xr:uid="{C762A01F-5FEF-4894-8D98-2CF3A9CB10E4}"/>
    <cellStyle name="Normal 3 2 11 3" xfId="5161" xr:uid="{00000000-0005-0000-0000-0000DF190000}"/>
    <cellStyle name="Normal 3 2 11 3 2" xfId="7024" xr:uid="{00000000-0005-0000-0000-0000E0190000}"/>
    <cellStyle name="Normal 3 2 11 3 2 2" xfId="15457" xr:uid="{00000000-0005-0000-0000-0000E1190000}"/>
    <cellStyle name="Normal 3 2 11 3 2 2 2" xfId="27351" xr:uid="{E175583C-2033-41A0-A432-802EA9EF0938}"/>
    <cellStyle name="Normal 3 2 11 3 2 2 3" xfId="21691" xr:uid="{3F275E08-1EF5-463D-AF78-2616F43A549D}"/>
    <cellStyle name="Normal 3 2 11 3 2 2 4" xfId="32731" xr:uid="{2F3AFF59-1344-4EC7-A896-CD549F28A8BF}"/>
    <cellStyle name="Normal 3 2 11 3 2 2 5" xfId="39110" xr:uid="{B02F9CA5-88CD-4E1E-B0B0-EA7EAF4A2BCC}"/>
    <cellStyle name="Normal 3 2 11 3 2 3" xfId="24518" xr:uid="{ABA34D67-BF87-4F8F-901E-63F947878011}"/>
    <cellStyle name="Normal 3 2 11 3 2 4" xfId="18858" xr:uid="{01D4C9A3-3EF9-4594-A445-B7BDB5C08E6A}"/>
    <cellStyle name="Normal 3 2 11 3 2 5" xfId="30179" xr:uid="{3C99F676-C960-41D6-817D-A9AB6400F7EC}"/>
    <cellStyle name="Normal 3 2 11 3 2 6" xfId="39109" xr:uid="{CED19BDB-A3EB-42FB-A58F-94F578EC03A3}"/>
    <cellStyle name="Normal 3 2 11 3 3" xfId="14048" xr:uid="{00000000-0005-0000-0000-0000E2190000}"/>
    <cellStyle name="Normal 3 2 11 3 3 2" xfId="26087" xr:uid="{35B13BC4-BA78-476A-BF36-7D9AE684D589}"/>
    <cellStyle name="Normal 3 2 11 3 3 3" xfId="20427" xr:uid="{852491D8-964F-493F-82AB-0892AC3C24B2}"/>
    <cellStyle name="Normal 3 2 11 3 3 4" xfId="31467" xr:uid="{DFEFE681-4157-4861-BD97-245E16DDE0E6}"/>
    <cellStyle name="Normal 3 2 11 3 3 5" xfId="39111" xr:uid="{1978FD17-8505-4E67-A180-AF72AF176F47}"/>
    <cellStyle name="Normal 3 2 11 3 4" xfId="22956" xr:uid="{903FE726-CABF-45FE-BC4C-6D35CC327D4A}"/>
    <cellStyle name="Normal 3 2 11 3 5" xfId="17296" xr:uid="{54EF461D-4BC5-4452-AA1D-E5E165109007}"/>
    <cellStyle name="Normal 3 2 11 3 6" xfId="28617" xr:uid="{2D185506-1DD3-41FA-B1B6-1E72A08C8639}"/>
    <cellStyle name="Normal 3 2 11 3 7" xfId="39108" xr:uid="{51599300-DA41-4AD3-A1EE-8BA583C3348A}"/>
    <cellStyle name="Normal 3 2 11 4" xfId="6199" xr:uid="{00000000-0005-0000-0000-0000E3190000}"/>
    <cellStyle name="Normal 3 2 11 4 2" xfId="7535" xr:uid="{00000000-0005-0000-0000-0000E4190000}"/>
    <cellStyle name="Normal 3 2 11 4 2 2" xfId="15968" xr:uid="{00000000-0005-0000-0000-0000E5190000}"/>
    <cellStyle name="Normal 3 2 11 4 2 2 2" xfId="27862" xr:uid="{7C1229CC-E501-4D07-B4C3-78EE68C1A828}"/>
    <cellStyle name="Normal 3 2 11 4 2 2 3" xfId="22202" xr:uid="{72924E33-8863-4F27-8B40-F101F4DBE866}"/>
    <cellStyle name="Normal 3 2 11 4 2 2 4" xfId="33242" xr:uid="{06EFFA98-806E-4693-9853-5724BAA30049}"/>
    <cellStyle name="Normal 3 2 11 4 2 2 5" xfId="39114" xr:uid="{34D9EC7A-7D3D-4435-A0F8-820512D79919}"/>
    <cellStyle name="Normal 3 2 11 4 2 3" xfId="25029" xr:uid="{E1F78859-743D-4408-91B6-592D43E5EF69}"/>
    <cellStyle name="Normal 3 2 11 4 2 4" xfId="19369" xr:uid="{7EC8EBEC-43B2-496F-B2F0-08E2237BB70E}"/>
    <cellStyle name="Normal 3 2 11 4 2 5" xfId="30690" xr:uid="{06BDB0CD-2E18-43D0-B2C8-D51470048F61}"/>
    <cellStyle name="Normal 3 2 11 4 2 6" xfId="39113" xr:uid="{E84FF767-26D2-4394-B157-E7CDDC8CC432}"/>
    <cellStyle name="Normal 3 2 11 4 3" xfId="14649" xr:uid="{00000000-0005-0000-0000-0000E6190000}"/>
    <cellStyle name="Normal 3 2 11 4 3 2" xfId="26606" xr:uid="{B5650F08-C105-453C-9473-3A0843F2523B}"/>
    <cellStyle name="Normal 3 2 11 4 3 3" xfId="20946" xr:uid="{3F4356B3-6611-43FC-B19E-D9E614F3E944}"/>
    <cellStyle name="Normal 3 2 11 4 3 4" xfId="31986" xr:uid="{7A664E5C-821A-405A-888D-83ACB2F23ABB}"/>
    <cellStyle name="Normal 3 2 11 4 3 5" xfId="39115" xr:uid="{FA839494-F5F3-4FCB-B550-D4C66A443488}"/>
    <cellStyle name="Normal 3 2 11 4 4" xfId="23773" xr:uid="{36E375D7-43B7-4C3B-8F8A-53CD2CE9920E}"/>
    <cellStyle name="Normal 3 2 11 4 5" xfId="18113" xr:uid="{E6CE4CB8-8AC0-4AAF-92CC-6275D032AD33}"/>
    <cellStyle name="Normal 3 2 11 4 6" xfId="29434" xr:uid="{67A00360-F8C0-45B9-8AEC-5F7C2E57A7B4}"/>
    <cellStyle name="Normal 3 2 11 4 7" xfId="39112" xr:uid="{82E7E700-42C7-44E6-9919-05CE3300518C}"/>
    <cellStyle name="Normal 3 2 11 5" xfId="6606" xr:uid="{00000000-0005-0000-0000-0000E7190000}"/>
    <cellStyle name="Normal 3 2 11 5 2" xfId="15039" xr:uid="{00000000-0005-0000-0000-0000E8190000}"/>
    <cellStyle name="Normal 3 2 11 5 2 2" xfId="26933" xr:uid="{32D21C7E-FD63-4E53-9D15-895560102804}"/>
    <cellStyle name="Normal 3 2 11 5 2 3" xfId="21273" xr:uid="{714F6359-CADC-4A50-99D2-030F62881E1D}"/>
    <cellStyle name="Normal 3 2 11 5 2 4" xfId="32313" xr:uid="{3C0F7427-6FFF-4F11-9F4C-5ACBE557310E}"/>
    <cellStyle name="Normal 3 2 11 5 2 5" xfId="39117" xr:uid="{CAD737FA-67D7-4F85-BEB6-B5ECD33DECBB}"/>
    <cellStyle name="Normal 3 2 11 5 3" xfId="24100" xr:uid="{4D337546-25EB-4966-8624-4B080C433EE3}"/>
    <cellStyle name="Normal 3 2 11 5 4" xfId="18440" xr:uid="{2CBCA27B-9383-4462-BC55-B161CA88AB6D}"/>
    <cellStyle name="Normal 3 2 11 5 5" xfId="29761" xr:uid="{5B281AA5-8079-4EF4-B74B-A07339B51358}"/>
    <cellStyle name="Normal 3 2 11 5 6" xfId="39116" xr:uid="{F6225CD9-33D0-4F4F-B1D1-E94242873F9F}"/>
    <cellStyle name="Normal 3 2 11 6" xfId="7972" xr:uid="{00000000-0005-0000-0000-0000E9190000}"/>
    <cellStyle name="Normal 3 2 11 6 2" xfId="25453" xr:uid="{0E0DB847-1B14-412A-AAE0-D0EA4CBBD99D}"/>
    <cellStyle name="Normal 3 2 11 6 3" xfId="19793" xr:uid="{DC9E3C1D-691C-4C59-A131-E940E4667C14}"/>
    <cellStyle name="Normal 3 2 11 6 4" xfId="31114" xr:uid="{97482B9F-442D-4CF4-90B3-803C03EA5182}"/>
    <cellStyle name="Normal 3 2 11 6 5" xfId="39118" xr:uid="{A8CBB73B-9609-476C-A9CC-E0327D89F46F}"/>
    <cellStyle name="Normal 3 2 11 7" xfId="22538" xr:uid="{DE2CEE5C-8F3F-46FA-9A93-7F3B05ADA188}"/>
    <cellStyle name="Normal 3 2 11 8" xfId="16878" xr:uid="{2955B6E7-8CC4-4C30-9F8E-B3CF85209FAF}"/>
    <cellStyle name="Normal 3 2 11 9" xfId="28199" xr:uid="{E37CD1A7-1ADD-4AE8-8F49-E016C1876213}"/>
    <cellStyle name="Normal 3 2 12" xfId="5792" xr:uid="{00000000-0005-0000-0000-0000EA190000}"/>
    <cellStyle name="Normal 3 2 12 2" xfId="39119" xr:uid="{C491E41F-BD88-4EDF-9899-7B5CFAB1F6F1}"/>
    <cellStyle name="Normal 3 2 13" xfId="7971" xr:uid="{00000000-0005-0000-0000-0000EB190000}"/>
    <cellStyle name="Normal 3 2 13 2" xfId="25452" xr:uid="{117B4E24-2DFD-41F8-9178-9B35C049ED0D}"/>
    <cellStyle name="Normal 3 2 13 3" xfId="19792" xr:uid="{2F0E5CD1-D676-42D7-A925-25707B09F1A0}"/>
    <cellStyle name="Normal 3 2 13 4" xfId="31113" xr:uid="{7DAF1DD4-7E8F-4734-9033-939903D3F744}"/>
    <cellStyle name="Normal 3 2 13 5" xfId="39120" xr:uid="{8B8D5496-1926-4988-A53B-365E0C352996}"/>
    <cellStyle name="Normal 3 2 14" xfId="39093" xr:uid="{75DE7871-A96F-48D2-9A6B-535E0E15A349}"/>
    <cellStyle name="Normal 3 2 2" xfId="156" xr:uid="{00000000-0005-0000-0000-0000EC190000}"/>
    <cellStyle name="Normal 3 2 2 2" xfId="2164" xr:uid="{00000000-0005-0000-0000-0000ED190000}"/>
    <cellStyle name="Normal 3 2 2 2 2" xfId="9666" xr:uid="{00000000-0005-0000-0000-0000EE190000}"/>
    <cellStyle name="Normal 3 2 2 2 2 2" xfId="39123" xr:uid="{CDB77F1B-8541-4A8D-9A18-24CFB23320CE}"/>
    <cellStyle name="Normal 3 2 2 2 3" xfId="39124" xr:uid="{B97EB47D-28F3-4201-9475-15BD0BE77C4C}"/>
    <cellStyle name="Normal 3 2 2 2 4" xfId="39122" xr:uid="{DEFFA51B-F69C-4406-BB25-1EA3F9F4E2C8}"/>
    <cellStyle name="Normal 3 2 2 3" xfId="2165" xr:uid="{00000000-0005-0000-0000-0000EF190000}"/>
    <cellStyle name="Normal 3 2 2 3 2" xfId="39126" xr:uid="{EF5FDC14-E00A-47E1-89B1-263DF83B00FC}"/>
    <cellStyle name="Normal 3 2 2 3 3" xfId="39125" xr:uid="{DDE8AE5E-BB5F-42A6-B1A7-C42AE7A344DB}"/>
    <cellStyle name="Normal 3 2 2 4" xfId="2163" xr:uid="{00000000-0005-0000-0000-0000F0190000}"/>
    <cellStyle name="Normal 3 2 2 4 10" xfId="39127" xr:uid="{81103E02-8175-40AF-BDE3-48788B5292F2}"/>
    <cellStyle name="Normal 3 2 2 4 2" xfId="4858" xr:uid="{00000000-0005-0000-0000-0000F1190000}"/>
    <cellStyle name="Normal 3 2 2 4 2 2" xfId="5277" xr:uid="{00000000-0005-0000-0000-0000F2190000}"/>
    <cellStyle name="Normal 3 2 2 4 2 2 2" xfId="7140" xr:uid="{00000000-0005-0000-0000-0000F3190000}"/>
    <cellStyle name="Normal 3 2 2 4 2 2 2 2" xfId="15573" xr:uid="{00000000-0005-0000-0000-0000F4190000}"/>
    <cellStyle name="Normal 3 2 2 4 2 2 2 2 2" xfId="27467" xr:uid="{950FC6D3-E79A-4473-BA64-049CCD1F423A}"/>
    <cellStyle name="Normal 3 2 2 4 2 2 2 2 3" xfId="21807" xr:uid="{EEDBD246-2069-4191-9ED5-F292C3C5855E}"/>
    <cellStyle name="Normal 3 2 2 4 2 2 2 2 4" xfId="32847" xr:uid="{802AE690-94A2-4DF9-A1D0-0CFB910F43D6}"/>
    <cellStyle name="Normal 3 2 2 4 2 2 2 2 5" xfId="39131" xr:uid="{507EF55D-5925-4BEF-8860-D7B1F5282064}"/>
    <cellStyle name="Normal 3 2 2 4 2 2 2 3" xfId="24634" xr:uid="{5DC562B0-9E52-402A-8D17-F64DA22C3E52}"/>
    <cellStyle name="Normal 3 2 2 4 2 2 2 4" xfId="18974" xr:uid="{4B9B253B-ADCF-49E6-88DA-4D80E67279C1}"/>
    <cellStyle name="Normal 3 2 2 4 2 2 2 5" xfId="30295" xr:uid="{3CB3DC76-0D5B-4221-9D20-CAA18BEBF75E}"/>
    <cellStyle name="Normal 3 2 2 4 2 2 2 6" xfId="39130" xr:uid="{BF3FF9C3-D64A-4EDC-8737-61FA4F491483}"/>
    <cellStyle name="Normal 3 2 2 4 2 2 3" xfId="14163" xr:uid="{00000000-0005-0000-0000-0000F5190000}"/>
    <cellStyle name="Normal 3 2 2 4 2 2 3 2" xfId="26202" xr:uid="{DC95FA19-3148-4E2F-B3EF-5F65CB9CBCE1}"/>
    <cellStyle name="Normal 3 2 2 4 2 2 3 3" xfId="20542" xr:uid="{94F14442-4FC4-4C2E-87D9-53A3AA3C877F}"/>
    <cellStyle name="Normal 3 2 2 4 2 2 3 4" xfId="31582" xr:uid="{7B5B432D-B1D8-452D-8A95-D13D50224191}"/>
    <cellStyle name="Normal 3 2 2 4 2 2 3 5" xfId="39132" xr:uid="{37DB8344-234D-46FD-8195-FA56B6D1953D}"/>
    <cellStyle name="Normal 3 2 2 4 2 2 4" xfId="23072" xr:uid="{EF688B67-0C3B-46D3-859C-FF4BBD716752}"/>
    <cellStyle name="Normal 3 2 2 4 2 2 5" xfId="17412" xr:uid="{8D58A4D4-3A31-4596-8314-5B7C468BF4EA}"/>
    <cellStyle name="Normal 3 2 2 4 2 2 6" xfId="28733" xr:uid="{482535CE-DDAC-44D7-A1B7-1BA47FD2F43D}"/>
    <cellStyle name="Normal 3 2 2 4 2 2 7" xfId="39129" xr:uid="{82E9CECB-35F7-451F-9B9A-3D1502A57D24}"/>
    <cellStyle name="Normal 3 2 2 4 2 3" xfId="6202" xr:uid="{00000000-0005-0000-0000-0000F6190000}"/>
    <cellStyle name="Normal 3 2 2 4 2 3 2" xfId="7538" xr:uid="{00000000-0005-0000-0000-0000F7190000}"/>
    <cellStyle name="Normal 3 2 2 4 2 3 2 2" xfId="15971" xr:uid="{00000000-0005-0000-0000-0000F8190000}"/>
    <cellStyle name="Normal 3 2 2 4 2 3 2 2 2" xfId="27865" xr:uid="{2ADFC064-2FAC-4AA4-A92F-CB3DC7B555C3}"/>
    <cellStyle name="Normal 3 2 2 4 2 3 2 2 3" xfId="22205" xr:uid="{4394960E-B846-4EDD-B499-4EB42AFF7968}"/>
    <cellStyle name="Normal 3 2 2 4 2 3 2 2 4" xfId="33245" xr:uid="{C60C89FA-CE0D-4D42-9BD4-D187208E7C8F}"/>
    <cellStyle name="Normal 3 2 2 4 2 3 2 2 5" xfId="39135" xr:uid="{A87C2AB4-A02A-4FD0-9707-0328A77BAEDD}"/>
    <cellStyle name="Normal 3 2 2 4 2 3 2 3" xfId="25032" xr:uid="{7AFCBA5F-86BB-41FE-AC88-D93A126F63CE}"/>
    <cellStyle name="Normal 3 2 2 4 2 3 2 4" xfId="19372" xr:uid="{5C3FBE91-1485-4B01-81FA-040B4672F66A}"/>
    <cellStyle name="Normal 3 2 2 4 2 3 2 5" xfId="30693" xr:uid="{DAC8E5BC-D49A-4FAE-B35C-07A57C33C61F}"/>
    <cellStyle name="Normal 3 2 2 4 2 3 2 6" xfId="39134" xr:uid="{2A32C07A-20FE-4AF0-BE1C-65640621C96B}"/>
    <cellStyle name="Normal 3 2 2 4 2 3 3" xfId="14652" xr:uid="{00000000-0005-0000-0000-0000F9190000}"/>
    <cellStyle name="Normal 3 2 2 4 2 3 3 2" xfId="26609" xr:uid="{4EA5481F-1D06-4B94-9617-4F8438EC6012}"/>
    <cellStyle name="Normal 3 2 2 4 2 3 3 3" xfId="20949" xr:uid="{679BBA05-69E4-4964-ACFD-F9DEF343630C}"/>
    <cellStyle name="Normal 3 2 2 4 2 3 3 4" xfId="31989" xr:uid="{7F96BAF9-8E97-4BB0-B856-F9C9628DC85A}"/>
    <cellStyle name="Normal 3 2 2 4 2 3 3 5" xfId="39136" xr:uid="{B19E544F-1FD0-43B0-B266-9DA5B9A14513}"/>
    <cellStyle name="Normal 3 2 2 4 2 3 4" xfId="23776" xr:uid="{69365229-06F9-4D83-A1D0-DE5C158C11E5}"/>
    <cellStyle name="Normal 3 2 2 4 2 3 5" xfId="18116" xr:uid="{ABD27DF1-1738-45F0-8793-78FB36D6111A}"/>
    <cellStyle name="Normal 3 2 2 4 2 3 6" xfId="29437" xr:uid="{10EA54B0-497A-4F05-BB18-8DCFDE2FD21D}"/>
    <cellStyle name="Normal 3 2 2 4 2 3 7" xfId="39133" xr:uid="{EE4DB6DC-72E0-4B09-82FA-CE1A4B052F63}"/>
    <cellStyle name="Normal 3 2 2 4 2 4" xfId="6722" xr:uid="{00000000-0005-0000-0000-0000FA190000}"/>
    <cellStyle name="Normal 3 2 2 4 2 4 2" xfId="15155" xr:uid="{00000000-0005-0000-0000-0000FB190000}"/>
    <cellStyle name="Normal 3 2 2 4 2 4 2 2" xfId="27049" xr:uid="{87AB3E56-AF1F-4BCB-90F7-5BE332BCB9FB}"/>
    <cellStyle name="Normal 3 2 2 4 2 4 2 3" xfId="21389" xr:uid="{6452C548-84C7-476A-9A68-E18FA7C16E94}"/>
    <cellStyle name="Normal 3 2 2 4 2 4 2 4" xfId="32429" xr:uid="{122A8E42-F4BB-421C-8E71-872F0D9FF4F7}"/>
    <cellStyle name="Normal 3 2 2 4 2 4 2 5" xfId="39138" xr:uid="{8F11F960-7778-4585-94B4-1D80BEE2E12F}"/>
    <cellStyle name="Normal 3 2 2 4 2 4 3" xfId="24216" xr:uid="{26229792-89AC-4F8D-BB62-C4165C9DE6CF}"/>
    <cellStyle name="Normal 3 2 2 4 2 4 4" xfId="18556" xr:uid="{2FB89440-2E30-49C1-A61D-60189456ABD7}"/>
    <cellStyle name="Normal 3 2 2 4 2 4 5" xfId="29877" xr:uid="{8626C3BC-7EE9-4FF6-AAF7-2D2D67FA8FEA}"/>
    <cellStyle name="Normal 3 2 2 4 2 4 6" xfId="39137" xr:uid="{F984C1DB-E2B6-490E-B954-28B0584D73E3}"/>
    <cellStyle name="Normal 3 2 2 4 2 5" xfId="7975" xr:uid="{00000000-0005-0000-0000-0000FC190000}"/>
    <cellStyle name="Normal 3 2 2 4 2 5 2" xfId="25456" xr:uid="{AF656BF5-E09D-4F0F-90E1-29092C020158}"/>
    <cellStyle name="Normal 3 2 2 4 2 5 3" xfId="19796" xr:uid="{38AB2B35-AF54-4D39-8E22-0CB70EC8B733}"/>
    <cellStyle name="Normal 3 2 2 4 2 5 4" xfId="31117" xr:uid="{66257660-92B6-45AF-9041-C7CE202352B1}"/>
    <cellStyle name="Normal 3 2 2 4 2 5 5" xfId="39139" xr:uid="{DC72BB6E-63C9-4FFF-A9E6-CB58AFA82A51}"/>
    <cellStyle name="Normal 3 2 2 4 2 6" xfId="22654" xr:uid="{CC1590B9-C821-48E0-ACFC-0AEF875DBB3C}"/>
    <cellStyle name="Normal 3 2 2 4 2 7" xfId="16994" xr:uid="{8495084B-E34F-4B8C-A437-A45453448494}"/>
    <cellStyle name="Normal 3 2 2 4 2 8" xfId="28315" xr:uid="{0230C881-0FA2-415D-9C86-6C696B9D0B80}"/>
    <cellStyle name="Normal 3 2 2 4 2 9" xfId="39128" xr:uid="{16FBC4D2-66AE-4B40-98B5-F0D6B41507B5}"/>
    <cellStyle name="Normal 3 2 2 4 3" xfId="5068" xr:uid="{00000000-0005-0000-0000-0000FD190000}"/>
    <cellStyle name="Normal 3 2 2 4 3 2" xfId="6931" xr:uid="{00000000-0005-0000-0000-0000FE190000}"/>
    <cellStyle name="Normal 3 2 2 4 3 2 2" xfId="15364" xr:uid="{00000000-0005-0000-0000-0000FF190000}"/>
    <cellStyle name="Normal 3 2 2 4 3 2 2 2" xfId="27258" xr:uid="{25CC1089-ECF7-46D1-B0A3-E31080CA009E}"/>
    <cellStyle name="Normal 3 2 2 4 3 2 2 3" xfId="21598" xr:uid="{7231F444-28F5-49BE-A57F-1C716714FCE5}"/>
    <cellStyle name="Normal 3 2 2 4 3 2 2 4" xfId="32638" xr:uid="{E029B67B-27B2-456C-B002-53347EEEB824}"/>
    <cellStyle name="Normal 3 2 2 4 3 2 2 5" xfId="39142" xr:uid="{D00F773C-BC5F-47A3-82D4-E53AB509006A}"/>
    <cellStyle name="Normal 3 2 2 4 3 2 3" xfId="24425" xr:uid="{09E99446-C3B6-4ABB-B788-436414DC3D7F}"/>
    <cellStyle name="Normal 3 2 2 4 3 2 4" xfId="18765" xr:uid="{830CC249-A92F-4B9B-BCF9-E1E1A0EE1C41}"/>
    <cellStyle name="Normal 3 2 2 4 3 2 5" xfId="30086" xr:uid="{6EEAFDC9-C73B-49C4-AB10-062DDDBEC14A}"/>
    <cellStyle name="Normal 3 2 2 4 3 2 6" xfId="39141" xr:uid="{43C83C7B-C7BD-4CAB-9B1D-20D494AF8E3F}"/>
    <cellStyle name="Normal 3 2 2 4 3 3" xfId="13963" xr:uid="{00000000-0005-0000-0000-0000001A0000}"/>
    <cellStyle name="Normal 3 2 2 4 3 3 2" xfId="26004" xr:uid="{9885AC9D-1E79-485F-80A6-04D3A7924544}"/>
    <cellStyle name="Normal 3 2 2 4 3 3 3" xfId="20344" xr:uid="{9146FBA5-95D8-421D-A435-AC86AFD68CF2}"/>
    <cellStyle name="Normal 3 2 2 4 3 3 4" xfId="31384" xr:uid="{CFAD8887-A4CB-4EAD-8D9F-3128860C6E5E}"/>
    <cellStyle name="Normal 3 2 2 4 3 3 5" xfId="39143" xr:uid="{5735F15C-0FC2-4423-86F1-C56618AD84A2}"/>
    <cellStyle name="Normal 3 2 2 4 3 4" xfId="22863" xr:uid="{42B06028-EE81-4686-B352-7FCF4BCEAA79}"/>
    <cellStyle name="Normal 3 2 2 4 3 5" xfId="17203" xr:uid="{673034E3-4133-49C4-9CF8-85C325096E11}"/>
    <cellStyle name="Normal 3 2 2 4 3 6" xfId="28524" xr:uid="{13009E37-C642-4861-90FE-95E4D807826D}"/>
    <cellStyle name="Normal 3 2 2 4 3 7" xfId="39140" xr:uid="{9267A3F0-E550-488F-AB2E-79CBB1EDABE1}"/>
    <cellStyle name="Normal 3 2 2 4 4" xfId="6201" xr:uid="{00000000-0005-0000-0000-0000011A0000}"/>
    <cellStyle name="Normal 3 2 2 4 4 2" xfId="7537" xr:uid="{00000000-0005-0000-0000-0000021A0000}"/>
    <cellStyle name="Normal 3 2 2 4 4 2 2" xfId="15970" xr:uid="{00000000-0005-0000-0000-0000031A0000}"/>
    <cellStyle name="Normal 3 2 2 4 4 2 2 2" xfId="27864" xr:uid="{EF919DD0-9542-4041-BF56-36D4C9533E78}"/>
    <cellStyle name="Normal 3 2 2 4 4 2 2 3" xfId="22204" xr:uid="{949D497D-E0D0-4EC8-91A0-5CA27B9BD897}"/>
    <cellStyle name="Normal 3 2 2 4 4 2 2 4" xfId="33244" xr:uid="{C95EB5A2-D9BE-4E84-9858-57D94FAD3B3B}"/>
    <cellStyle name="Normal 3 2 2 4 4 2 2 5" xfId="39146" xr:uid="{AFD41685-016A-4655-B964-6BCAB9F450A8}"/>
    <cellStyle name="Normal 3 2 2 4 4 2 3" xfId="25031" xr:uid="{AC411CD7-6446-41A2-8450-6FB4164C056D}"/>
    <cellStyle name="Normal 3 2 2 4 4 2 4" xfId="19371" xr:uid="{54520A21-EE48-4916-9574-3F1779E5B02B}"/>
    <cellStyle name="Normal 3 2 2 4 4 2 5" xfId="30692" xr:uid="{FFFC54E8-4C3F-48C4-8B28-BCBA1943A8D6}"/>
    <cellStyle name="Normal 3 2 2 4 4 2 6" xfId="39145" xr:uid="{03EB7B9C-AD17-42AA-B02C-41EFA361BBB9}"/>
    <cellStyle name="Normal 3 2 2 4 4 3" xfId="14651" xr:uid="{00000000-0005-0000-0000-0000041A0000}"/>
    <cellStyle name="Normal 3 2 2 4 4 3 2" xfId="26608" xr:uid="{B8841E76-E5EE-4635-979A-A165CF5B7601}"/>
    <cellStyle name="Normal 3 2 2 4 4 3 3" xfId="20948" xr:uid="{1CF64F27-1FAB-4401-9287-F1D781946633}"/>
    <cellStyle name="Normal 3 2 2 4 4 3 4" xfId="31988" xr:uid="{E1F42BAF-7EDD-40E1-8D53-6115BA943B59}"/>
    <cellStyle name="Normal 3 2 2 4 4 3 5" xfId="39147" xr:uid="{44C9E465-BBF3-442B-BC48-1B3978F75F0F}"/>
    <cellStyle name="Normal 3 2 2 4 4 4" xfId="23775" xr:uid="{564425E8-13FF-4A1D-96FE-1CF24CB6EA75}"/>
    <cellStyle name="Normal 3 2 2 4 4 5" xfId="18115" xr:uid="{E2012CB9-677A-4A91-949F-3C5D816F2310}"/>
    <cellStyle name="Normal 3 2 2 4 4 6" xfId="29436" xr:uid="{64AEBC40-5CD3-4725-ABD5-25282BE1A142}"/>
    <cellStyle name="Normal 3 2 2 4 4 7" xfId="39144" xr:uid="{2152C8C8-CC20-43E7-93D7-5F3F308C9871}"/>
    <cellStyle name="Normal 3 2 2 4 5" xfId="6513" xr:uid="{00000000-0005-0000-0000-0000051A0000}"/>
    <cellStyle name="Normal 3 2 2 4 5 2" xfId="14946" xr:uid="{00000000-0005-0000-0000-0000061A0000}"/>
    <cellStyle name="Normal 3 2 2 4 5 2 2" xfId="26840" xr:uid="{6102D0B4-6944-4AA0-8D78-137396F1F34E}"/>
    <cellStyle name="Normal 3 2 2 4 5 2 3" xfId="21180" xr:uid="{39710EF7-BA00-467D-ABB7-EAC319E922DC}"/>
    <cellStyle name="Normal 3 2 2 4 5 2 4" xfId="32220" xr:uid="{3D858CD1-1F04-4282-8A10-D83F389BD1EC}"/>
    <cellStyle name="Normal 3 2 2 4 5 2 5" xfId="39149" xr:uid="{FF0F48F9-3D51-4DDD-ACE3-86A285832F70}"/>
    <cellStyle name="Normal 3 2 2 4 5 3" xfId="24007" xr:uid="{801BCB64-C59F-4C2A-B60E-EB69F73A74AA}"/>
    <cellStyle name="Normal 3 2 2 4 5 4" xfId="18347" xr:uid="{78640FD9-9A33-4452-A61E-870E28C10821}"/>
    <cellStyle name="Normal 3 2 2 4 5 5" xfId="29668" xr:uid="{58037D46-EC88-4BDC-8BB0-88F0C8A881C0}"/>
    <cellStyle name="Normal 3 2 2 4 5 6" xfId="39148" xr:uid="{116C56EB-D091-4069-861F-A2A013F09914}"/>
    <cellStyle name="Normal 3 2 2 4 6" xfId="7974" xr:uid="{00000000-0005-0000-0000-0000071A0000}"/>
    <cellStyle name="Normal 3 2 2 4 6 2" xfId="25455" xr:uid="{82F0AFBD-A35E-43A6-A2A7-DF5529A3DC5F}"/>
    <cellStyle name="Normal 3 2 2 4 6 3" xfId="19795" xr:uid="{0EF24382-8640-44D7-8419-E3ADA9987800}"/>
    <cellStyle name="Normal 3 2 2 4 6 4" xfId="31116" xr:uid="{CB791D00-E4F9-4FAF-BA4E-B82A18A158C0}"/>
    <cellStyle name="Normal 3 2 2 4 6 5" xfId="39150" xr:uid="{3B72F243-943C-4259-A6C2-A5DD3447A82A}"/>
    <cellStyle name="Normal 3 2 2 4 7" xfId="22445" xr:uid="{EF97B1A7-E9C0-4AFC-818C-5D8509D284A2}"/>
    <cellStyle name="Normal 3 2 2 4 7 2" xfId="39151" xr:uid="{DCA5F82D-36D8-492C-8B5D-3A8E49F714AD}"/>
    <cellStyle name="Normal 3 2 2 4 8" xfId="16785" xr:uid="{6BC3FD98-9EAB-403F-969D-324DCB1B9FFA}"/>
    <cellStyle name="Normal 3 2 2 4 9" xfId="28106" xr:uid="{220C86F2-7208-4D83-AEF8-D34CF96D4275}"/>
    <cellStyle name="Normal 3 2 2 5" xfId="39121" xr:uid="{239DC706-8DCA-46A1-B117-297D62456716}"/>
    <cellStyle name="Normal 3 2 3" xfId="2166" xr:uid="{00000000-0005-0000-0000-0000081A0000}"/>
    <cellStyle name="Normal 3 2 3 2" xfId="4210" xr:uid="{00000000-0005-0000-0000-0000091A0000}"/>
    <cellStyle name="Normal 3 2 3 2 2" xfId="39153" xr:uid="{4BEDDF91-BD18-4141-8879-A1D223DDE9C2}"/>
    <cellStyle name="Normal 3 2 3 3" xfId="4859" xr:uid="{00000000-0005-0000-0000-00000A1A0000}"/>
    <cellStyle name="Normal 3 2 3 3 2" xfId="5278" xr:uid="{00000000-0005-0000-0000-00000B1A0000}"/>
    <cellStyle name="Normal 3 2 3 3 2 2" xfId="7141" xr:uid="{00000000-0005-0000-0000-00000C1A0000}"/>
    <cellStyle name="Normal 3 2 3 3 2 2 2" xfId="15574" xr:uid="{00000000-0005-0000-0000-00000D1A0000}"/>
    <cellStyle name="Normal 3 2 3 3 2 2 2 2" xfId="27468" xr:uid="{EC60B793-C8E8-44F7-A7CD-7D8ED4858755}"/>
    <cellStyle name="Normal 3 2 3 3 2 2 2 3" xfId="21808" xr:uid="{10F51291-8CE8-4D71-879E-688B2A6A851E}"/>
    <cellStyle name="Normal 3 2 3 3 2 2 2 4" xfId="32848" xr:uid="{D5683525-66AA-4A6A-ADF4-15340531AE6A}"/>
    <cellStyle name="Normal 3 2 3 3 2 2 2 5" xfId="39157" xr:uid="{76640452-B900-41E3-84FE-4BEE0655B83E}"/>
    <cellStyle name="Normal 3 2 3 3 2 2 3" xfId="24635" xr:uid="{1E7906E0-072D-47A5-A9AA-45EB1B8C58A6}"/>
    <cellStyle name="Normal 3 2 3 3 2 2 4" xfId="18975" xr:uid="{2ADA6DF0-AA6A-43C1-9BD1-E2296E42F6D8}"/>
    <cellStyle name="Normal 3 2 3 3 2 2 5" xfId="30296" xr:uid="{A87A7C9E-1655-4359-A829-B501EED7AB56}"/>
    <cellStyle name="Normal 3 2 3 3 2 2 6" xfId="39156" xr:uid="{4640BE27-9256-4EC3-BEAB-71EC6C84387E}"/>
    <cellStyle name="Normal 3 2 3 3 2 3" xfId="14164" xr:uid="{00000000-0005-0000-0000-00000E1A0000}"/>
    <cellStyle name="Normal 3 2 3 3 2 3 2" xfId="26203" xr:uid="{67510DF6-3CBA-4976-BA26-0488A1ABC6A8}"/>
    <cellStyle name="Normal 3 2 3 3 2 3 3" xfId="20543" xr:uid="{8B8CB7A6-E242-4B50-84A2-B3B77EB0EB54}"/>
    <cellStyle name="Normal 3 2 3 3 2 3 4" xfId="31583" xr:uid="{20D53AA4-EF17-4454-A654-5110BB808AB8}"/>
    <cellStyle name="Normal 3 2 3 3 2 3 5" xfId="39158" xr:uid="{3F48AB67-6179-45C0-9246-6D4B916B832B}"/>
    <cellStyle name="Normal 3 2 3 3 2 4" xfId="23073" xr:uid="{A2311496-D1A6-441D-A74E-1677490B28C5}"/>
    <cellStyle name="Normal 3 2 3 3 2 5" xfId="17413" xr:uid="{A3647AAF-D7F4-4011-B9BF-0705E6CEC344}"/>
    <cellStyle name="Normal 3 2 3 3 2 6" xfId="28734" xr:uid="{65952DB3-5ED7-4C86-AEBA-DE785E0D6222}"/>
    <cellStyle name="Normal 3 2 3 3 2 7" xfId="39155" xr:uid="{2388EEB7-2571-4158-9183-F1EC13F26AEB}"/>
    <cellStyle name="Normal 3 2 3 3 3" xfId="6204" xr:uid="{00000000-0005-0000-0000-00000F1A0000}"/>
    <cellStyle name="Normal 3 2 3 3 3 2" xfId="7540" xr:uid="{00000000-0005-0000-0000-0000101A0000}"/>
    <cellStyle name="Normal 3 2 3 3 3 2 2" xfId="15973" xr:uid="{00000000-0005-0000-0000-0000111A0000}"/>
    <cellStyle name="Normal 3 2 3 3 3 2 2 2" xfId="27867" xr:uid="{42DD7903-2CCE-40E1-B18E-241E4E875A4A}"/>
    <cellStyle name="Normal 3 2 3 3 3 2 2 3" xfId="22207" xr:uid="{A223565C-55E4-4311-ADAB-87836B84823E}"/>
    <cellStyle name="Normal 3 2 3 3 3 2 2 4" xfId="33247" xr:uid="{D3F93A27-3EDB-483E-B1D9-5982E3976A8A}"/>
    <cellStyle name="Normal 3 2 3 3 3 2 2 5" xfId="39161" xr:uid="{C6BA490A-BF48-4089-9231-BA5A6EDF1F09}"/>
    <cellStyle name="Normal 3 2 3 3 3 2 3" xfId="25034" xr:uid="{10CB0782-1DE6-4466-9893-D8F799728B35}"/>
    <cellStyle name="Normal 3 2 3 3 3 2 4" xfId="19374" xr:uid="{3098E32B-BEA8-41BB-B2B9-16DA5BFDB3F1}"/>
    <cellStyle name="Normal 3 2 3 3 3 2 5" xfId="30695" xr:uid="{16F6FCB6-7AEC-4B41-B079-C36FD75DAAEA}"/>
    <cellStyle name="Normal 3 2 3 3 3 2 6" xfId="39160" xr:uid="{F24D411B-0A56-4594-8308-00BB004ABF13}"/>
    <cellStyle name="Normal 3 2 3 3 3 3" xfId="14654" xr:uid="{00000000-0005-0000-0000-0000121A0000}"/>
    <cellStyle name="Normal 3 2 3 3 3 3 2" xfId="26611" xr:uid="{6C4FFFDA-5801-4125-B490-94150529D489}"/>
    <cellStyle name="Normal 3 2 3 3 3 3 3" xfId="20951" xr:uid="{AEB7ECF4-D7FE-4D22-851A-99EEC53F4F4B}"/>
    <cellStyle name="Normal 3 2 3 3 3 3 4" xfId="31991" xr:uid="{5B2317FB-BD5E-41ED-9A03-36BF6FC55733}"/>
    <cellStyle name="Normal 3 2 3 3 3 3 5" xfId="39162" xr:uid="{AF7EBAF9-607B-4356-9E96-B7F38FBBAD06}"/>
    <cellStyle name="Normal 3 2 3 3 3 4" xfId="23778" xr:uid="{A7E2A82E-D237-427C-BA2F-983CA17812D5}"/>
    <cellStyle name="Normal 3 2 3 3 3 5" xfId="18118" xr:uid="{AC515E06-4D24-4EE9-A5E8-85E6CE671C48}"/>
    <cellStyle name="Normal 3 2 3 3 3 6" xfId="29439" xr:uid="{88C5FDE0-279C-4026-8BBA-D2E7B7F22B9A}"/>
    <cellStyle name="Normal 3 2 3 3 3 7" xfId="39159" xr:uid="{755ED455-B78F-4E2F-9406-55517637E343}"/>
    <cellStyle name="Normal 3 2 3 3 4" xfId="6723" xr:uid="{00000000-0005-0000-0000-0000131A0000}"/>
    <cellStyle name="Normal 3 2 3 3 4 2" xfId="15156" xr:uid="{00000000-0005-0000-0000-0000141A0000}"/>
    <cellStyle name="Normal 3 2 3 3 4 2 2" xfId="27050" xr:uid="{14EF8331-C919-4914-ABAF-6AC6823E2A17}"/>
    <cellStyle name="Normal 3 2 3 3 4 2 3" xfId="21390" xr:uid="{6A086E3C-D897-4338-86BC-124065475941}"/>
    <cellStyle name="Normal 3 2 3 3 4 2 4" xfId="32430" xr:uid="{4C83495F-17BE-4855-B450-0CC467B4EA4A}"/>
    <cellStyle name="Normal 3 2 3 3 4 2 5" xfId="39164" xr:uid="{8B21BB5F-C3E8-4C6C-8733-0FA096957DE8}"/>
    <cellStyle name="Normal 3 2 3 3 4 3" xfId="24217" xr:uid="{904CC320-4470-4673-8584-EAA5877110FE}"/>
    <cellStyle name="Normal 3 2 3 3 4 4" xfId="18557" xr:uid="{A2617325-5F9C-41C8-93C7-9CF9125ABFCD}"/>
    <cellStyle name="Normal 3 2 3 3 4 5" xfId="29878" xr:uid="{0E4372B9-9FA3-453C-8374-FF03058C2077}"/>
    <cellStyle name="Normal 3 2 3 3 4 6" xfId="39163" xr:uid="{64DD2E18-F457-4290-AA06-702BBB8AA1FA}"/>
    <cellStyle name="Normal 3 2 3 3 5" xfId="7976" xr:uid="{00000000-0005-0000-0000-0000151A0000}"/>
    <cellStyle name="Normal 3 2 3 3 5 2" xfId="25457" xr:uid="{AA922542-74C5-4568-857A-BC6296F959C6}"/>
    <cellStyle name="Normal 3 2 3 3 5 3" xfId="19797" xr:uid="{473B1681-E26C-4E5C-9F68-55492426FFDA}"/>
    <cellStyle name="Normal 3 2 3 3 5 4" xfId="31118" xr:uid="{BB432B82-4B3B-4576-824A-8B078F031152}"/>
    <cellStyle name="Normal 3 2 3 3 5 5" xfId="39165" xr:uid="{FBBF2305-EA9D-48CF-982E-9C8E327A388E}"/>
    <cellStyle name="Normal 3 2 3 3 6" xfId="22655" xr:uid="{0A2D1363-5D8E-496A-84DB-884CFC7FD003}"/>
    <cellStyle name="Normal 3 2 3 3 7" xfId="16995" xr:uid="{396E63CD-F699-4DA0-A005-0E0B4EAE3D64}"/>
    <cellStyle name="Normal 3 2 3 3 8" xfId="28316" xr:uid="{BE806DD4-B8C0-485D-BD61-C1B6F18A31E8}"/>
    <cellStyle name="Normal 3 2 3 3 9" xfId="39154" xr:uid="{A8A953F7-2E29-49B6-BDFF-8EF4587EA913}"/>
    <cellStyle name="Normal 3 2 3 4" xfId="5069" xr:uid="{00000000-0005-0000-0000-0000161A0000}"/>
    <cellStyle name="Normal 3 2 3 4 2" xfId="6203" xr:uid="{00000000-0005-0000-0000-0000171A0000}"/>
    <cellStyle name="Normal 3 2 3 4 2 2" xfId="7539" xr:uid="{00000000-0005-0000-0000-0000181A0000}"/>
    <cellStyle name="Normal 3 2 3 4 2 2 2" xfId="15972" xr:uid="{00000000-0005-0000-0000-0000191A0000}"/>
    <cellStyle name="Normal 3 2 3 4 2 2 2 2" xfId="27866" xr:uid="{2EC0E79D-1D5C-4629-8AD3-D368F4A1FB14}"/>
    <cellStyle name="Normal 3 2 3 4 2 2 2 3" xfId="22206" xr:uid="{8B902752-F659-48F7-AAD9-E54AA5E01386}"/>
    <cellStyle name="Normal 3 2 3 4 2 2 2 4" xfId="33246" xr:uid="{8CE0D1F3-EE77-4D58-B370-5778AB8F2921}"/>
    <cellStyle name="Normal 3 2 3 4 2 2 2 5" xfId="39169" xr:uid="{D5BEAE37-45BC-4573-9BA1-35887AA0D514}"/>
    <cellStyle name="Normal 3 2 3 4 2 2 3" xfId="25033" xr:uid="{13872563-B8A9-4C9D-89B3-02337F3FDED0}"/>
    <cellStyle name="Normal 3 2 3 4 2 2 4" xfId="19373" xr:uid="{23BA47A4-F0E4-48EF-9E08-0EEEABC6D371}"/>
    <cellStyle name="Normal 3 2 3 4 2 2 5" xfId="30694" xr:uid="{1D6ED295-30A6-4FFA-8ED2-34087657B393}"/>
    <cellStyle name="Normal 3 2 3 4 2 2 6" xfId="39168" xr:uid="{044F83CC-9F75-42BA-AB98-4970658AF148}"/>
    <cellStyle name="Normal 3 2 3 4 2 3" xfId="14653" xr:uid="{00000000-0005-0000-0000-00001A1A0000}"/>
    <cellStyle name="Normal 3 2 3 4 2 3 2" xfId="26610" xr:uid="{E6EF330D-9C9C-41C0-BF55-BE74062BFEFE}"/>
    <cellStyle name="Normal 3 2 3 4 2 3 3" xfId="20950" xr:uid="{F222EEB3-44F3-4FCA-9E10-59FE70ACE82F}"/>
    <cellStyle name="Normal 3 2 3 4 2 3 4" xfId="31990" xr:uid="{BCA960E1-9ACA-4435-84E4-111724C4AC96}"/>
    <cellStyle name="Normal 3 2 3 4 2 3 5" xfId="39170" xr:uid="{4F6897D9-1B45-4EAC-8178-09CFDC2E942B}"/>
    <cellStyle name="Normal 3 2 3 4 2 4" xfId="23777" xr:uid="{FF677894-280E-4C94-9152-714B30C00D83}"/>
    <cellStyle name="Normal 3 2 3 4 2 5" xfId="18117" xr:uid="{1CF0E130-816A-4A9B-A038-891E5179A81B}"/>
    <cellStyle name="Normal 3 2 3 4 2 6" xfId="29438" xr:uid="{B32AAA98-33AC-4940-B566-428711EE1C39}"/>
    <cellStyle name="Normal 3 2 3 4 2 7" xfId="39167" xr:uid="{B5784ABB-FFFE-418E-9F43-D7EF78A02EEE}"/>
    <cellStyle name="Normal 3 2 3 4 3" xfId="6932" xr:uid="{00000000-0005-0000-0000-00001B1A0000}"/>
    <cellStyle name="Normal 3 2 3 4 3 2" xfId="15365" xr:uid="{00000000-0005-0000-0000-00001C1A0000}"/>
    <cellStyle name="Normal 3 2 3 4 3 2 2" xfId="27259" xr:uid="{3EE52B27-0100-49A0-97CC-C444B20F4B38}"/>
    <cellStyle name="Normal 3 2 3 4 3 2 3" xfId="21599" xr:uid="{30379626-DA0B-4B94-8776-6FF448F033B2}"/>
    <cellStyle name="Normal 3 2 3 4 3 2 4" xfId="32639" xr:uid="{10295BB0-9C1B-4915-AF8E-71A32FEBDF1B}"/>
    <cellStyle name="Normal 3 2 3 4 3 2 5" xfId="39172" xr:uid="{F0F6CFF8-308C-4B03-B275-28AF9BA7549D}"/>
    <cellStyle name="Normal 3 2 3 4 3 3" xfId="24426" xr:uid="{62AF7973-53DC-43BE-B21C-6D2DD655EEF8}"/>
    <cellStyle name="Normal 3 2 3 4 3 4" xfId="18766" xr:uid="{99A7E049-EA1B-4CE7-A923-32361B79B7AC}"/>
    <cellStyle name="Normal 3 2 3 4 3 5" xfId="30087" xr:uid="{925C5F79-5027-4B35-8661-FDEFA526C887}"/>
    <cellStyle name="Normal 3 2 3 4 3 6" xfId="39171" xr:uid="{806E9024-5897-4D1B-86C7-013F18843308}"/>
    <cellStyle name="Normal 3 2 3 4 4" xfId="7977" xr:uid="{00000000-0005-0000-0000-00001D1A0000}"/>
    <cellStyle name="Normal 3 2 3 4 4 2" xfId="25458" xr:uid="{CC1AA2FF-E887-4010-ACD0-E28443CFCE0E}"/>
    <cellStyle name="Normal 3 2 3 4 4 3" xfId="19798" xr:uid="{6B53BAA7-FD2D-461C-83D0-4DD3A237B3BE}"/>
    <cellStyle name="Normal 3 2 3 4 4 4" xfId="31119" xr:uid="{D07BA021-3084-4292-A0F2-F62DD448B6C3}"/>
    <cellStyle name="Normal 3 2 3 4 4 5" xfId="39173" xr:uid="{B128B2E6-7B63-4CA1-B5C7-BD5EC1A0B00B}"/>
    <cellStyle name="Normal 3 2 3 4 5" xfId="22864" xr:uid="{9DF609CE-04D0-4D97-8EAE-A977A441F835}"/>
    <cellStyle name="Normal 3 2 3 4 6" xfId="17204" xr:uid="{AF1CC92E-CE45-4929-BE01-81C2678AB9B1}"/>
    <cellStyle name="Normal 3 2 3 4 7" xfId="28525" xr:uid="{D6700A5D-B4B9-4D26-89F4-7A00DB6C22A1}"/>
    <cellStyle name="Normal 3 2 3 4 8" xfId="39166" xr:uid="{75D8318E-E5ED-4E4C-A11F-6CFBA3CD7067}"/>
    <cellStyle name="Normal 3 2 3 5" xfId="6514" xr:uid="{00000000-0005-0000-0000-00001E1A0000}"/>
    <cellStyle name="Normal 3 2 3 5 2" xfId="14947" xr:uid="{00000000-0005-0000-0000-00001F1A0000}"/>
    <cellStyle name="Normal 3 2 3 5 2 2" xfId="26841" xr:uid="{8B7A2AE4-7881-4005-B0E0-CB9600F911A0}"/>
    <cellStyle name="Normal 3 2 3 5 2 3" xfId="21181" xr:uid="{A966EE47-C5F2-445F-8C68-0FE200082597}"/>
    <cellStyle name="Normal 3 2 3 5 2 4" xfId="32221" xr:uid="{03A5625B-4E03-45CB-AD54-B1FEC2BC02E5}"/>
    <cellStyle name="Normal 3 2 3 5 2 5" xfId="39175" xr:uid="{EF42F930-5AC3-4493-9B8D-456D9A407F7B}"/>
    <cellStyle name="Normal 3 2 3 5 3" xfId="24008" xr:uid="{EBD2C5C3-83CB-4022-BC2B-CF718494CB65}"/>
    <cellStyle name="Normal 3 2 3 5 4" xfId="18348" xr:uid="{E4ABB04A-8536-4432-9775-610B3F53298B}"/>
    <cellStyle name="Normal 3 2 3 5 5" xfId="29669" xr:uid="{400F98FD-D590-42B4-ABB4-4C1F9D914B97}"/>
    <cellStyle name="Normal 3 2 3 5 6" xfId="39174" xr:uid="{48EC1D1A-D62D-45D6-8F08-4C60D602D37F}"/>
    <cellStyle name="Normal 3 2 3 6" xfId="22446" xr:uid="{FCE63973-C33C-4C67-94BD-A53D9C16EB1B}"/>
    <cellStyle name="Normal 3 2 3 6 2" xfId="39176" xr:uid="{76ABDCF6-8326-4473-B494-94E042D96D87}"/>
    <cellStyle name="Normal 3 2 3 7" xfId="16786" xr:uid="{149C2D0B-5407-4F3B-BFC1-FDCEA883E3A8}"/>
    <cellStyle name="Normal 3 2 3 8" xfId="28107" xr:uid="{1B1BC298-50B0-4B79-BFCE-73DB8735A0F2}"/>
    <cellStyle name="Normal 3 2 3 9" xfId="39152" xr:uid="{1A02CD82-BA6E-4D05-A454-69E341C827F3}"/>
    <cellStyle name="Normal 3 2 4" xfId="2167" xr:uid="{00000000-0005-0000-0000-0000201A0000}"/>
    <cellStyle name="Normal 3 2 4 2" xfId="4211" xr:uid="{00000000-0005-0000-0000-0000211A0000}"/>
    <cellStyle name="Normal 3 2 4 2 2" xfId="39178" xr:uid="{410143E2-0F3E-4746-826E-CB7B64A7B265}"/>
    <cellStyle name="Normal 3 2 4 3" xfId="6205" xr:uid="{00000000-0005-0000-0000-0000221A0000}"/>
    <cellStyle name="Normal 3 2 4 3 2" xfId="39179" xr:uid="{16D7D8BA-F17C-4EF8-BFF0-CB86691E0E93}"/>
    <cellStyle name="Normal 3 2 4 4" xfId="39177" xr:uid="{4D4A4C34-E760-4551-B4B0-0ECEA5AB1AC4}"/>
    <cellStyle name="Normal 3 2 5" xfId="4212" xr:uid="{00000000-0005-0000-0000-0000231A0000}"/>
    <cellStyle name="Normal 3 2 5 2" xfId="39180" xr:uid="{72C4C3FA-A01D-4B30-9E01-2EB3C20D73E8}"/>
    <cellStyle name="Normal 3 2 6" xfId="4213" xr:uid="{00000000-0005-0000-0000-0000241A0000}"/>
    <cellStyle name="Normal 3 2 6 2" xfId="39181" xr:uid="{4C13F9ED-E740-4CD6-BE0E-6057271C0754}"/>
    <cellStyle name="Normal 3 2 7" xfId="4214" xr:uid="{00000000-0005-0000-0000-0000251A0000}"/>
    <cellStyle name="Normal 3 2 7 2" xfId="39182" xr:uid="{9FA01034-3EED-4423-AFC0-21F615423242}"/>
    <cellStyle name="Normal 3 2 8" xfId="4215" xr:uid="{00000000-0005-0000-0000-0000261A0000}"/>
    <cellStyle name="Normal 3 2 8 2" xfId="39183" xr:uid="{0E06C508-24C0-429B-9674-F51AEF41FA6E}"/>
    <cellStyle name="Normal 3 2 9" xfId="4216" xr:uid="{00000000-0005-0000-0000-0000271A0000}"/>
    <cellStyle name="Normal 3 2 9 2" xfId="4217" xr:uid="{00000000-0005-0000-0000-0000281A0000}"/>
    <cellStyle name="Normal 3 2 9 2 10" xfId="39185" xr:uid="{39DAAAD4-8F5D-4793-9C6B-278FB16B5B0E}"/>
    <cellStyle name="Normal 3 2 9 2 2" xfId="4952" xr:uid="{00000000-0005-0000-0000-0000291A0000}"/>
    <cellStyle name="Normal 3 2 9 2 2 2" xfId="5371" xr:uid="{00000000-0005-0000-0000-00002A1A0000}"/>
    <cellStyle name="Normal 3 2 9 2 2 2 2" xfId="7234" xr:uid="{00000000-0005-0000-0000-00002B1A0000}"/>
    <cellStyle name="Normal 3 2 9 2 2 2 2 2" xfId="15667" xr:uid="{00000000-0005-0000-0000-00002C1A0000}"/>
    <cellStyle name="Normal 3 2 9 2 2 2 2 2 2" xfId="27561" xr:uid="{B357E248-5D24-4CE0-AAA6-8546AFDB60B9}"/>
    <cellStyle name="Normal 3 2 9 2 2 2 2 2 3" xfId="21901" xr:uid="{7CBA3429-F21D-45B6-9B95-04C78F71F23B}"/>
    <cellStyle name="Normal 3 2 9 2 2 2 2 2 4" xfId="32941" xr:uid="{9AD93D52-1C42-427E-8EFA-76DF34363C55}"/>
    <cellStyle name="Normal 3 2 9 2 2 2 2 2 5" xfId="39189" xr:uid="{CFD4FACB-C139-4ED8-A790-4924F002A278}"/>
    <cellStyle name="Normal 3 2 9 2 2 2 2 3" xfId="24728" xr:uid="{5DF4DB06-3A33-429C-A778-340DC2D41812}"/>
    <cellStyle name="Normal 3 2 9 2 2 2 2 4" xfId="19068" xr:uid="{52E912F9-15B1-4E53-9788-0049BA061A32}"/>
    <cellStyle name="Normal 3 2 9 2 2 2 2 5" xfId="30389" xr:uid="{B6BFDFA9-90C7-469E-B9D7-922DC3954320}"/>
    <cellStyle name="Normal 3 2 9 2 2 2 2 6" xfId="39188" xr:uid="{429F2007-7557-40D4-9330-E9050BB33798}"/>
    <cellStyle name="Normal 3 2 9 2 2 2 3" xfId="14257" xr:uid="{00000000-0005-0000-0000-00002D1A0000}"/>
    <cellStyle name="Normal 3 2 9 2 2 2 3 2" xfId="26296" xr:uid="{C1973B9A-F38E-44F9-8BF8-811C1EA73F63}"/>
    <cellStyle name="Normal 3 2 9 2 2 2 3 3" xfId="20636" xr:uid="{D3016E9F-F328-47CD-8AE0-C4032871711A}"/>
    <cellStyle name="Normal 3 2 9 2 2 2 3 4" xfId="31676" xr:uid="{D69100FE-B720-4B46-A574-A95979E4E4B6}"/>
    <cellStyle name="Normal 3 2 9 2 2 2 3 5" xfId="39190" xr:uid="{22C61B15-3663-4102-8292-BDD77445AB65}"/>
    <cellStyle name="Normal 3 2 9 2 2 2 4" xfId="23166" xr:uid="{6B429DC9-1667-4D03-9B34-5D54D7DAC9E3}"/>
    <cellStyle name="Normal 3 2 9 2 2 2 5" xfId="17506" xr:uid="{657D9DFF-85EE-425A-A625-67D5A0BD7183}"/>
    <cellStyle name="Normal 3 2 9 2 2 2 6" xfId="28827" xr:uid="{997998A4-E86E-4785-A06F-D293F04E2A5F}"/>
    <cellStyle name="Normal 3 2 9 2 2 2 7" xfId="39187" xr:uid="{C65F8203-0D92-4BEA-B5A2-95F7C29E8963}"/>
    <cellStyle name="Normal 3 2 9 2 2 3" xfId="6208" xr:uid="{00000000-0005-0000-0000-00002E1A0000}"/>
    <cellStyle name="Normal 3 2 9 2 2 3 2" xfId="7542" xr:uid="{00000000-0005-0000-0000-00002F1A0000}"/>
    <cellStyle name="Normal 3 2 9 2 2 3 2 2" xfId="15975" xr:uid="{00000000-0005-0000-0000-0000301A0000}"/>
    <cellStyle name="Normal 3 2 9 2 2 3 2 2 2" xfId="27869" xr:uid="{7AF880B5-897A-4AE4-BDDA-CE723D2701FB}"/>
    <cellStyle name="Normal 3 2 9 2 2 3 2 2 3" xfId="22209" xr:uid="{FBD158CA-9495-47FF-AB03-16FA7E61F384}"/>
    <cellStyle name="Normal 3 2 9 2 2 3 2 2 4" xfId="33249" xr:uid="{3F486593-566C-48B6-BC4D-2434FF9557E8}"/>
    <cellStyle name="Normal 3 2 9 2 2 3 2 2 5" xfId="39193" xr:uid="{C58C0A24-ADB2-488A-9591-35381EB4AFAA}"/>
    <cellStyle name="Normal 3 2 9 2 2 3 2 3" xfId="25036" xr:uid="{E8901ED2-28CC-4A97-8E9B-CB6D68D25057}"/>
    <cellStyle name="Normal 3 2 9 2 2 3 2 4" xfId="19376" xr:uid="{ECC9BC81-D49F-4CB2-A83D-625959F37C45}"/>
    <cellStyle name="Normal 3 2 9 2 2 3 2 5" xfId="30697" xr:uid="{2727E243-2011-4722-B56D-A444E3971B25}"/>
    <cellStyle name="Normal 3 2 9 2 2 3 2 6" xfId="39192" xr:uid="{B1530988-0C59-4B57-BBF2-5BA27E81BFC5}"/>
    <cellStyle name="Normal 3 2 9 2 2 3 3" xfId="14656" xr:uid="{00000000-0005-0000-0000-0000311A0000}"/>
    <cellStyle name="Normal 3 2 9 2 2 3 3 2" xfId="26613" xr:uid="{F7F383E8-9174-4AA0-ACCB-D451A2157BC3}"/>
    <cellStyle name="Normal 3 2 9 2 2 3 3 3" xfId="20953" xr:uid="{F6911E38-1F9B-4414-9A2A-6E7065B313CC}"/>
    <cellStyle name="Normal 3 2 9 2 2 3 3 4" xfId="31993" xr:uid="{109A7AE3-05FC-4BDF-866C-1D37A0CCF51B}"/>
    <cellStyle name="Normal 3 2 9 2 2 3 3 5" xfId="39194" xr:uid="{0B7C8AEE-1C48-439D-A19D-1194963D48F7}"/>
    <cellStyle name="Normal 3 2 9 2 2 3 4" xfId="23780" xr:uid="{C4C4FC54-025F-42DA-9034-0CF2BFC838C9}"/>
    <cellStyle name="Normal 3 2 9 2 2 3 5" xfId="18120" xr:uid="{CDAA430E-BA9F-4E1E-95E4-6BBFAB16B441}"/>
    <cellStyle name="Normal 3 2 9 2 2 3 6" xfId="29441" xr:uid="{1A335B00-339F-4CFF-A1F4-D919E6F2F086}"/>
    <cellStyle name="Normal 3 2 9 2 2 3 7" xfId="39191" xr:uid="{9D0C1533-F32D-47CC-BF8C-596AC4075F1C}"/>
    <cellStyle name="Normal 3 2 9 2 2 4" xfId="6816" xr:uid="{00000000-0005-0000-0000-0000321A0000}"/>
    <cellStyle name="Normal 3 2 9 2 2 4 2" xfId="15249" xr:uid="{00000000-0005-0000-0000-0000331A0000}"/>
    <cellStyle name="Normal 3 2 9 2 2 4 2 2" xfId="27143" xr:uid="{C1DC4C96-3D9C-4B28-BCE2-D8676FA37BA5}"/>
    <cellStyle name="Normal 3 2 9 2 2 4 2 3" xfId="21483" xr:uid="{123B07EF-E5CF-4F27-B390-AD485C0750B9}"/>
    <cellStyle name="Normal 3 2 9 2 2 4 2 4" xfId="32523" xr:uid="{14148C84-06F4-4024-95D8-B86B9CB68B83}"/>
    <cellStyle name="Normal 3 2 9 2 2 4 2 5" xfId="39196" xr:uid="{2B6EBF27-2DBF-450E-AEB7-A4A2F21594D5}"/>
    <cellStyle name="Normal 3 2 9 2 2 4 3" xfId="24310" xr:uid="{4650775C-93A2-495D-B1AF-DC0F3C36D337}"/>
    <cellStyle name="Normal 3 2 9 2 2 4 4" xfId="18650" xr:uid="{A61D56B3-B6DA-4B5A-99FC-21DCF67F78A7}"/>
    <cellStyle name="Normal 3 2 9 2 2 4 5" xfId="29971" xr:uid="{6971DBC2-8ECC-4497-9A5F-29E43B8CA5D1}"/>
    <cellStyle name="Normal 3 2 9 2 2 4 6" xfId="39195" xr:uid="{ABB7D278-30EE-44C3-BBB4-4A793027C5FC}"/>
    <cellStyle name="Normal 3 2 9 2 2 5" xfId="7979" xr:uid="{00000000-0005-0000-0000-0000341A0000}"/>
    <cellStyle name="Normal 3 2 9 2 2 5 2" xfId="25460" xr:uid="{A414E217-4E09-4AC6-8AD7-5D95C83C669C}"/>
    <cellStyle name="Normal 3 2 9 2 2 5 3" xfId="19800" xr:uid="{646F3809-B506-4564-A18B-463E935CA858}"/>
    <cellStyle name="Normal 3 2 9 2 2 5 4" xfId="31121" xr:uid="{9AD38A93-4A12-4401-A243-75502CAE3B87}"/>
    <cellStyle name="Normal 3 2 9 2 2 5 5" xfId="39197" xr:uid="{567C73EB-585B-4953-8C6E-A8537765E704}"/>
    <cellStyle name="Normal 3 2 9 2 2 6" xfId="22748" xr:uid="{B2F2CF10-E4B6-4EDB-B579-37E2ABA11CBD}"/>
    <cellStyle name="Normal 3 2 9 2 2 7" xfId="17088" xr:uid="{D9480E1F-3CDF-41FD-B465-0306CF3590BC}"/>
    <cellStyle name="Normal 3 2 9 2 2 8" xfId="28409" xr:uid="{764ABCB5-075C-4A1E-ADA6-6D19C24A0CDC}"/>
    <cellStyle name="Normal 3 2 9 2 2 9" xfId="39186" xr:uid="{80CD354A-C5F3-4CC5-BCE2-91F439BA70D8}"/>
    <cellStyle name="Normal 3 2 9 2 3" xfId="5162" xr:uid="{00000000-0005-0000-0000-0000351A0000}"/>
    <cellStyle name="Normal 3 2 9 2 3 2" xfId="7025" xr:uid="{00000000-0005-0000-0000-0000361A0000}"/>
    <cellStyle name="Normal 3 2 9 2 3 2 2" xfId="15458" xr:uid="{00000000-0005-0000-0000-0000371A0000}"/>
    <cellStyle name="Normal 3 2 9 2 3 2 2 2" xfId="27352" xr:uid="{AE4BFCF5-13D7-4F33-8617-BE05A6CD5F1D}"/>
    <cellStyle name="Normal 3 2 9 2 3 2 2 3" xfId="21692" xr:uid="{408A218C-A8DD-4EEA-A4A1-89E1A1145522}"/>
    <cellStyle name="Normal 3 2 9 2 3 2 2 4" xfId="32732" xr:uid="{0572F4E3-7921-46C6-B9EB-2741C2789923}"/>
    <cellStyle name="Normal 3 2 9 2 3 2 2 5" xfId="39200" xr:uid="{B892FF50-9DD3-487D-8189-93FB00DC70E9}"/>
    <cellStyle name="Normal 3 2 9 2 3 2 3" xfId="24519" xr:uid="{B23B7883-C33A-4C36-B8FB-0D5E9FB397BF}"/>
    <cellStyle name="Normal 3 2 9 2 3 2 4" xfId="18859" xr:uid="{E91F5348-38A3-490A-A8F0-943A5007FB6F}"/>
    <cellStyle name="Normal 3 2 9 2 3 2 5" xfId="30180" xr:uid="{27983A77-B7B1-4120-ADAE-96E14D7CDCC1}"/>
    <cellStyle name="Normal 3 2 9 2 3 2 6" xfId="39199" xr:uid="{A34BDE58-AE05-4CF7-BDE1-B267D88CA0E6}"/>
    <cellStyle name="Normal 3 2 9 2 3 3" xfId="14049" xr:uid="{00000000-0005-0000-0000-0000381A0000}"/>
    <cellStyle name="Normal 3 2 9 2 3 3 2" xfId="26088" xr:uid="{581C2326-BDAC-48E3-98A6-1C69B75A2430}"/>
    <cellStyle name="Normal 3 2 9 2 3 3 3" xfId="20428" xr:uid="{6B761E77-2F1C-4485-9E13-2C262FA76D15}"/>
    <cellStyle name="Normal 3 2 9 2 3 3 4" xfId="31468" xr:uid="{552879B5-54E3-4D6B-B98E-4628194AF3EF}"/>
    <cellStyle name="Normal 3 2 9 2 3 3 5" xfId="39201" xr:uid="{59681148-C16D-461F-8B1D-375F0274BD46}"/>
    <cellStyle name="Normal 3 2 9 2 3 4" xfId="22957" xr:uid="{7E006E40-F58A-413E-B9AB-BDB139B5377C}"/>
    <cellStyle name="Normal 3 2 9 2 3 5" xfId="17297" xr:uid="{5B21D244-A8A3-48AF-A02A-3569DA3E666B}"/>
    <cellStyle name="Normal 3 2 9 2 3 6" xfId="28618" xr:uid="{9D9A3082-8165-4C88-9990-3F58F8746CA2}"/>
    <cellStyle name="Normal 3 2 9 2 3 7" xfId="39198" xr:uid="{52C5168F-7933-45A7-A585-73A09E15E95D}"/>
    <cellStyle name="Normal 3 2 9 2 4" xfId="6207" xr:uid="{00000000-0005-0000-0000-0000391A0000}"/>
    <cellStyle name="Normal 3 2 9 2 4 2" xfId="7541" xr:uid="{00000000-0005-0000-0000-00003A1A0000}"/>
    <cellStyle name="Normal 3 2 9 2 4 2 2" xfId="15974" xr:uid="{00000000-0005-0000-0000-00003B1A0000}"/>
    <cellStyle name="Normal 3 2 9 2 4 2 2 2" xfId="27868" xr:uid="{9E18E43D-0B96-471D-9BFC-F145A36788C2}"/>
    <cellStyle name="Normal 3 2 9 2 4 2 2 3" xfId="22208" xr:uid="{2C2A0D8A-9D71-4AFB-8BF4-5B896D4C3A57}"/>
    <cellStyle name="Normal 3 2 9 2 4 2 2 4" xfId="33248" xr:uid="{1A5EEF90-B6AE-4A58-8739-BE6DE971B433}"/>
    <cellStyle name="Normal 3 2 9 2 4 2 2 5" xfId="39204" xr:uid="{39929CEA-DF95-4A49-A391-6EC22204D617}"/>
    <cellStyle name="Normal 3 2 9 2 4 2 3" xfId="25035" xr:uid="{CB351F34-01C5-4016-AA86-3709635E4FC1}"/>
    <cellStyle name="Normal 3 2 9 2 4 2 4" xfId="19375" xr:uid="{A3498EFB-C553-40FF-B6E3-783F406D5C4A}"/>
    <cellStyle name="Normal 3 2 9 2 4 2 5" xfId="30696" xr:uid="{454A31CD-4FCD-4520-B7F8-0D3AE3E43AEC}"/>
    <cellStyle name="Normal 3 2 9 2 4 2 6" xfId="39203" xr:uid="{B5B73852-0C8A-4887-9294-1C95D359FDB7}"/>
    <cellStyle name="Normal 3 2 9 2 4 3" xfId="14655" xr:uid="{00000000-0005-0000-0000-00003C1A0000}"/>
    <cellStyle name="Normal 3 2 9 2 4 3 2" xfId="26612" xr:uid="{6248984B-496E-4937-BE8D-54C4D630AEE0}"/>
    <cellStyle name="Normal 3 2 9 2 4 3 3" xfId="20952" xr:uid="{8C8AAA22-9406-41B1-9738-67CC69C058E2}"/>
    <cellStyle name="Normal 3 2 9 2 4 3 4" xfId="31992" xr:uid="{621FC378-1EA5-4386-BC9E-597C5F173146}"/>
    <cellStyle name="Normal 3 2 9 2 4 3 5" xfId="39205" xr:uid="{3E13807E-5EF9-4C92-A96C-7F6AB5AF74BB}"/>
    <cellStyle name="Normal 3 2 9 2 4 4" xfId="23779" xr:uid="{73931B4C-1E73-4CBE-9E00-E9093A2A58DA}"/>
    <cellStyle name="Normal 3 2 9 2 4 5" xfId="18119" xr:uid="{95FB645A-8072-44B3-991B-B8818777807C}"/>
    <cellStyle name="Normal 3 2 9 2 4 6" xfId="29440" xr:uid="{8C4CD19F-D349-49C4-93F9-314ACF704915}"/>
    <cellStyle name="Normal 3 2 9 2 4 7" xfId="39202" xr:uid="{8611766E-8906-4A13-AE97-C26B593DA85E}"/>
    <cellStyle name="Normal 3 2 9 2 5" xfId="6607" xr:uid="{00000000-0005-0000-0000-00003D1A0000}"/>
    <cellStyle name="Normal 3 2 9 2 5 2" xfId="15040" xr:uid="{00000000-0005-0000-0000-00003E1A0000}"/>
    <cellStyle name="Normal 3 2 9 2 5 2 2" xfId="26934" xr:uid="{125B0D07-9F83-462E-95FC-FA07F903443C}"/>
    <cellStyle name="Normal 3 2 9 2 5 2 3" xfId="21274" xr:uid="{93F04351-66DC-4302-8E6A-2A4B523DB9F0}"/>
    <cellStyle name="Normal 3 2 9 2 5 2 4" xfId="32314" xr:uid="{9C822157-B8A4-406C-902C-631DCE3628C7}"/>
    <cellStyle name="Normal 3 2 9 2 5 2 5" xfId="39207" xr:uid="{26FA520F-9D5B-4524-894E-6AA60309CE79}"/>
    <cellStyle name="Normal 3 2 9 2 5 3" xfId="24101" xr:uid="{364C806C-74B3-460A-92BB-16C9E45CFCAC}"/>
    <cellStyle name="Normal 3 2 9 2 5 4" xfId="18441" xr:uid="{90034EA2-0D64-435C-BEDD-CABD14F26195}"/>
    <cellStyle name="Normal 3 2 9 2 5 5" xfId="29762" xr:uid="{82319E6F-8EC3-4C39-BD13-C208276361E4}"/>
    <cellStyle name="Normal 3 2 9 2 5 6" xfId="39206" xr:uid="{067E7609-6421-4C70-8200-6BFCB259750A}"/>
    <cellStyle name="Normal 3 2 9 2 6" xfId="7978" xr:uid="{00000000-0005-0000-0000-00003F1A0000}"/>
    <cellStyle name="Normal 3 2 9 2 6 2" xfId="25459" xr:uid="{C40E8580-E9E8-49D4-B4B3-7901519FBC0E}"/>
    <cellStyle name="Normal 3 2 9 2 6 3" xfId="19799" xr:uid="{5B5FFD3F-1790-4220-B1D9-F42C78251767}"/>
    <cellStyle name="Normal 3 2 9 2 6 4" xfId="31120" xr:uid="{9117C3EE-A465-4BC1-835A-6D2948BE0D1F}"/>
    <cellStyle name="Normal 3 2 9 2 6 5" xfId="39208" xr:uid="{3F084B3F-04FB-4385-8FFD-F6F2D56D4347}"/>
    <cellStyle name="Normal 3 2 9 2 7" xfId="22539" xr:uid="{99828192-BD2B-4CFE-9BAA-EA05082193B7}"/>
    <cellStyle name="Normal 3 2 9 2 8" xfId="16879" xr:uid="{EBEB48A1-7507-47C4-8304-3762ADC2DC1F}"/>
    <cellStyle name="Normal 3 2 9 2 9" xfId="28200" xr:uid="{C9D3162E-F60E-420E-A280-144BC0E818EA}"/>
    <cellStyle name="Normal 3 2 9 3" xfId="6206" xr:uid="{00000000-0005-0000-0000-0000401A0000}"/>
    <cellStyle name="Normal 3 2 9 3 2" xfId="39209" xr:uid="{BB64ECCB-B748-4FB6-ACE8-A662D588F3BA}"/>
    <cellStyle name="Normal 3 2 9 4" xfId="5681" xr:uid="{00000000-0005-0000-0000-0000411A0000}"/>
    <cellStyle name="Normal 3 2 9 4 2" xfId="7292" xr:uid="{00000000-0005-0000-0000-0000421A0000}"/>
    <cellStyle name="Normal 3 2 9 4 2 2" xfId="15725" xr:uid="{00000000-0005-0000-0000-0000431A0000}"/>
    <cellStyle name="Normal 3 2 9 4 2 2 2" xfId="27619" xr:uid="{B0F268BB-A120-4DE9-BA1D-C6EAE71132E8}"/>
    <cellStyle name="Normal 3 2 9 4 2 2 3" xfId="21959" xr:uid="{C96FA4BF-EE0C-447E-ABEA-133D8C72D5C7}"/>
    <cellStyle name="Normal 3 2 9 4 2 2 4" xfId="32999" xr:uid="{0FB64406-8294-4462-B206-E082FFB4FF80}"/>
    <cellStyle name="Normal 3 2 9 4 2 2 5" xfId="39212" xr:uid="{DF7CC4CA-2127-4F25-8BFF-BA93544CF35D}"/>
    <cellStyle name="Normal 3 2 9 4 2 3" xfId="24786" xr:uid="{49DE6B04-EF3A-48F8-ACAD-5BE5F74A6D53}"/>
    <cellStyle name="Normal 3 2 9 4 2 4" xfId="19126" xr:uid="{1C4F424B-EEBA-45B0-B6B8-FD64E580F2E2}"/>
    <cellStyle name="Normal 3 2 9 4 2 5" xfId="30447" xr:uid="{AA498E8F-1265-40C7-BCBE-43D96DECD8F1}"/>
    <cellStyle name="Normal 3 2 9 4 2 6" xfId="39211" xr:uid="{FA01E753-2234-4DA7-A52A-38D8A9522451}"/>
    <cellStyle name="Normal 3 2 9 4 3" xfId="14349" xr:uid="{00000000-0005-0000-0000-0000441A0000}"/>
    <cellStyle name="Normal 3 2 9 4 3 2" xfId="26356" xr:uid="{044A2443-A52B-4D1D-87CA-BA58DD805109}"/>
    <cellStyle name="Normal 3 2 9 4 3 3" xfId="20696" xr:uid="{2702E360-876B-40C4-AC29-7D3F20B365B7}"/>
    <cellStyle name="Normal 3 2 9 4 3 4" xfId="31736" xr:uid="{F4932BBD-4DE2-4522-AA3D-FD836C909F23}"/>
    <cellStyle name="Normal 3 2 9 4 3 5" xfId="39213" xr:uid="{D5D35558-A9D9-4F43-85BF-38ADBBBCBC06}"/>
    <cellStyle name="Normal 3 2 9 4 4" xfId="23418" xr:uid="{7C848610-4162-4DB1-B576-7BAFCAC531C4}"/>
    <cellStyle name="Normal 3 2 9 4 5" xfId="17758" xr:uid="{26CE3407-D251-471A-81AE-6830E41672E9}"/>
    <cellStyle name="Normal 3 2 9 4 6" xfId="29079" xr:uid="{1B9A9C4C-70A7-4FAE-90CE-F41562071EA9}"/>
    <cellStyle name="Normal 3 2 9 4 7" xfId="39210" xr:uid="{92AD7A8D-C28B-4453-A9C5-6BE744579271}"/>
    <cellStyle name="Normal 3 2 9 5" xfId="39184" xr:uid="{499C4D0A-3EEF-4728-9B8D-D323A0E45504}"/>
    <cellStyle name="Normal 3 2_ELC" xfId="2168" xr:uid="{00000000-0005-0000-0000-0000451A0000}"/>
    <cellStyle name="Normal 3 20" xfId="2169" xr:uid="{00000000-0005-0000-0000-0000461A0000}"/>
    <cellStyle name="Normal 3 20 2" xfId="39214" xr:uid="{9189AF79-72FE-4D49-8C1B-BE06FFC3CAC8}"/>
    <cellStyle name="Normal 3 21" xfId="2170" xr:uid="{00000000-0005-0000-0000-0000471A0000}"/>
    <cellStyle name="Normal 3 21 2" xfId="39215" xr:uid="{A39259FB-EDA1-48B0-9F76-EFA8D6CB7833}"/>
    <cellStyle name="Normal 3 22" xfId="2171" xr:uid="{00000000-0005-0000-0000-0000481A0000}"/>
    <cellStyle name="Normal 3 22 2" xfId="39216" xr:uid="{E25D2F20-959F-4F38-B2E5-3A155CFD42AD}"/>
    <cellStyle name="Normal 3 23" xfId="2172" xr:uid="{00000000-0005-0000-0000-0000491A0000}"/>
    <cellStyle name="Normal 3 23 2" xfId="39217" xr:uid="{E3136FD1-E47E-487F-8182-0DC86D4EB886}"/>
    <cellStyle name="Normal 3 24" xfId="2173" xr:uid="{00000000-0005-0000-0000-00004A1A0000}"/>
    <cellStyle name="Normal 3 24 2" xfId="39218" xr:uid="{F42D0FF8-F734-42A5-8358-93075AC69F8E}"/>
    <cellStyle name="Normal 3 25" xfId="2174" xr:uid="{00000000-0005-0000-0000-00004B1A0000}"/>
    <cellStyle name="Normal 3 25 2" xfId="39219" xr:uid="{B5645AF0-DE1E-47FB-90C6-CA76551B929D}"/>
    <cellStyle name="Normal 3 26" xfId="2175" xr:uid="{00000000-0005-0000-0000-00004C1A0000}"/>
    <cellStyle name="Normal 3 26 2" xfId="39221" xr:uid="{CC2FFE24-6E21-40DE-8601-1BA7AFDFA7EF}"/>
    <cellStyle name="Normal 3 26 3" xfId="39220" xr:uid="{E1991586-3073-4D24-958F-9E4A37462C3C}"/>
    <cellStyle name="Normal 3 26 4" xfId="49802" xr:uid="{E09F6A41-82F9-4E8E-9836-2CC66A8E1F55}"/>
    <cellStyle name="Normal 3 27" xfId="2176" xr:uid="{00000000-0005-0000-0000-00004D1A0000}"/>
    <cellStyle name="Normal 3 27 2" xfId="39223" xr:uid="{8BA1C218-0EDE-4AD8-86F7-9186C55FC415}"/>
    <cellStyle name="Normal 3 27 3" xfId="39222" xr:uid="{8AA4097D-2F46-49F2-B25F-44807651CC18}"/>
    <cellStyle name="Normal 3 28" xfId="2177" xr:uid="{00000000-0005-0000-0000-00004E1A0000}"/>
    <cellStyle name="Normal 3 28 2" xfId="39224" xr:uid="{5FF032D6-2114-483E-BA47-8DA88BE71E64}"/>
    <cellStyle name="Normal 3 29" xfId="2178" xr:uid="{00000000-0005-0000-0000-00004F1A0000}"/>
    <cellStyle name="Normal 3 29 2" xfId="9667" xr:uid="{00000000-0005-0000-0000-0000501A0000}"/>
    <cellStyle name="Normal 3 29 2 2" xfId="39226" xr:uid="{439A56C8-4BF0-4EE4-9C45-E2BA39C2EE40}"/>
    <cellStyle name="Normal 3 29 3" xfId="39225" xr:uid="{6014A753-4561-4CDF-8887-FE6AFDF96FE1}"/>
    <cellStyle name="Normal 3 3" xfId="157" xr:uid="{00000000-0005-0000-0000-0000511A0000}"/>
    <cellStyle name="Normal 3 3 10" xfId="39227" xr:uid="{92B90C96-7843-4CF9-BE21-94C3D2F4DC40}"/>
    <cellStyle name="Normal 3 3 2" xfId="158" xr:uid="{00000000-0005-0000-0000-0000521A0000}"/>
    <cellStyle name="Normal 3 3 2 2" xfId="4218" xr:uid="{00000000-0005-0000-0000-0000531A0000}"/>
    <cellStyle name="Normal 3 3 2 2 2" xfId="39229" xr:uid="{A36B3BA3-8898-4986-9807-4A7B9CD8A6B6}"/>
    <cellStyle name="Normal 3 3 2 3" xfId="5793" xr:uid="{00000000-0005-0000-0000-0000541A0000}"/>
    <cellStyle name="Normal 3 3 2 3 2" xfId="39230" xr:uid="{DA90CAFB-3D8F-45BE-A9E9-B79BD8C65246}"/>
    <cellStyle name="Normal 3 3 2 4" xfId="39231" xr:uid="{C5DE88EE-C07D-4E14-BC8A-5C5A80879386}"/>
    <cellStyle name="Normal 3 3 2 5" xfId="39228" xr:uid="{FCFFB7E8-CDD6-40A4-9680-4DFBACCA2AEF}"/>
    <cellStyle name="Normal 3 3 2 6" xfId="49803" xr:uid="{E75AF5AE-7A78-4F0D-BDFE-283E897F24A3}"/>
    <cellStyle name="Normal 3 3 3" xfId="4219" xr:uid="{00000000-0005-0000-0000-0000551A0000}"/>
    <cellStyle name="Normal 3 3 3 2" xfId="39232" xr:uid="{8392D40A-10FC-4CD5-87EE-4380149FB1BE}"/>
    <cellStyle name="Normal 3 3 4" xfId="4220" xr:uid="{00000000-0005-0000-0000-0000561A0000}"/>
    <cellStyle name="Normal 3 3 4 2" xfId="39233" xr:uid="{26D11627-1D02-42D7-97EF-478EBA55C756}"/>
    <cellStyle name="Normal 3 3 5" xfId="4221" xr:uid="{00000000-0005-0000-0000-0000571A0000}"/>
    <cellStyle name="Normal 3 3 5 2" xfId="39234" xr:uid="{7637B32C-88F3-4976-9D13-86DB21AD2FB7}"/>
    <cellStyle name="Normal 3 3 6" xfId="4222" xr:uid="{00000000-0005-0000-0000-0000581A0000}"/>
    <cellStyle name="Normal 3 3 6 2" xfId="39235" xr:uid="{CAC5839F-0809-4ECE-A28D-22DCB7D96658}"/>
    <cellStyle name="Normal 3 3 7" xfId="4223" xr:uid="{00000000-0005-0000-0000-0000591A0000}"/>
    <cellStyle name="Normal 3 3 7 2" xfId="39236" xr:uid="{DEF4E4CC-7742-4717-9EEE-F8A726D71EE7}"/>
    <cellStyle name="Normal 3 3 8" xfId="4224" xr:uid="{00000000-0005-0000-0000-00005A1A0000}"/>
    <cellStyle name="Normal 3 3 8 2" xfId="39237" xr:uid="{64AA4130-0250-41BA-A804-DAB2854976DF}"/>
    <cellStyle name="Normal 3 3 9" xfId="4225" xr:uid="{00000000-0005-0000-0000-00005B1A0000}"/>
    <cellStyle name="Normal 3 3 9 2" xfId="39238" xr:uid="{DDA549C7-759C-4B37-AD35-48B0AF70ADFB}"/>
    <cellStyle name="Normal 3 30" xfId="4798" xr:uid="{00000000-0005-0000-0000-00005C1A0000}"/>
    <cellStyle name="Normal 3 30 2" xfId="5220" xr:uid="{00000000-0005-0000-0000-00005D1A0000}"/>
    <cellStyle name="Normal 3 30 2 2" xfId="7083" xr:uid="{00000000-0005-0000-0000-00005E1A0000}"/>
    <cellStyle name="Normal 3 30 2 2 2" xfId="15516" xr:uid="{00000000-0005-0000-0000-00005F1A0000}"/>
    <cellStyle name="Normal 3 30 2 2 2 2" xfId="27410" xr:uid="{57DE1AE9-EE2B-4B26-8E7E-656F3EF72188}"/>
    <cellStyle name="Normal 3 30 2 2 2 3" xfId="21750" xr:uid="{867B2CB6-23A2-4EEA-B38A-B0778AF5E682}"/>
    <cellStyle name="Normal 3 30 2 2 2 4" xfId="32790" xr:uid="{38011312-8FD8-4EFE-B90D-9E1D1AC37112}"/>
    <cellStyle name="Normal 3 30 2 2 2 5" xfId="39242" xr:uid="{F90F5F0E-695A-4C52-A881-56A0B5DC141E}"/>
    <cellStyle name="Normal 3 30 2 2 3" xfId="24577" xr:uid="{C75B3968-264B-442F-8491-AF47917B70B1}"/>
    <cellStyle name="Normal 3 30 2 2 4" xfId="18917" xr:uid="{50188D13-DE33-48F2-8DA5-6687EA386E7C}"/>
    <cellStyle name="Normal 3 30 2 2 5" xfId="30238" xr:uid="{DFB48FF0-71E4-48A2-A218-A41709A93A94}"/>
    <cellStyle name="Normal 3 30 2 2 6" xfId="39241" xr:uid="{01DFE998-CDC1-4DD6-86F4-1787EF0B6C99}"/>
    <cellStyle name="Normal 3 30 2 3" xfId="14106" xr:uid="{00000000-0005-0000-0000-0000601A0000}"/>
    <cellStyle name="Normal 3 30 2 3 2" xfId="26145" xr:uid="{2F5D03FF-1568-4A5F-AE7D-2D17A3BCF62A}"/>
    <cellStyle name="Normal 3 30 2 3 3" xfId="20485" xr:uid="{D6E5AAA9-5278-4BAC-ACBA-EFA93C14A15E}"/>
    <cellStyle name="Normal 3 30 2 3 4" xfId="31525" xr:uid="{0064455B-B668-4ED9-A6BD-399C96B6EDE4}"/>
    <cellStyle name="Normal 3 30 2 3 5" xfId="39243" xr:uid="{E356DC86-96DA-46D4-BE63-AC6DD5853300}"/>
    <cellStyle name="Normal 3 30 2 4" xfId="9668" xr:uid="{00000000-0005-0000-0000-0000611A0000}"/>
    <cellStyle name="Normal 3 30 2 4 2" xfId="39244" xr:uid="{6D1F77B3-569F-4589-9363-020DB5E900CE}"/>
    <cellStyle name="Normal 3 30 2 5" xfId="23015" xr:uid="{190FABEE-CE95-49F7-8225-B125AEC552B6}"/>
    <cellStyle name="Normal 3 30 2 6" xfId="17355" xr:uid="{01FA6DD7-7C68-4D15-B110-DAD19350FAB0}"/>
    <cellStyle name="Normal 3 30 2 7" xfId="28676" xr:uid="{6A91417C-7A36-4F22-9F25-1CE76FD9F9C8}"/>
    <cellStyle name="Normal 3 30 2 8" xfId="39240" xr:uid="{6C2487E2-487B-49B1-B8A9-07A816051F68}"/>
    <cellStyle name="Normal 3 30 3" xfId="6209" xr:uid="{00000000-0005-0000-0000-0000621A0000}"/>
    <cellStyle name="Normal 3 30 3 2" xfId="7543" xr:uid="{00000000-0005-0000-0000-0000631A0000}"/>
    <cellStyle name="Normal 3 30 3 2 2" xfId="15976" xr:uid="{00000000-0005-0000-0000-0000641A0000}"/>
    <cellStyle name="Normal 3 30 3 2 2 2" xfId="27870" xr:uid="{FF6DE528-4A09-462D-8049-C7F200E44415}"/>
    <cellStyle name="Normal 3 30 3 2 2 3" xfId="22210" xr:uid="{01A16DD3-06F5-4DC6-BCBF-BE152176E6BF}"/>
    <cellStyle name="Normal 3 30 3 2 2 4" xfId="33250" xr:uid="{3C9FBBB4-E82E-40A4-BC6D-B6236ED56567}"/>
    <cellStyle name="Normal 3 30 3 2 2 5" xfId="39247" xr:uid="{8246A056-3B07-492C-9BC6-A45C8A592228}"/>
    <cellStyle name="Normal 3 30 3 2 3" xfId="25037" xr:uid="{D1943EBC-EE8E-4B6D-9CD6-D116DD620CB2}"/>
    <cellStyle name="Normal 3 30 3 2 4" xfId="19377" xr:uid="{007DFD2F-8EE9-493F-BA99-CA7D37E16364}"/>
    <cellStyle name="Normal 3 30 3 2 5" xfId="30698" xr:uid="{6DDF3278-DC47-49BE-8B3E-1CD998482DE8}"/>
    <cellStyle name="Normal 3 30 3 2 6" xfId="39246" xr:uid="{0B43A222-7330-45D5-8BC6-94D300BCF9A8}"/>
    <cellStyle name="Normal 3 30 3 3" xfId="14657" xr:uid="{00000000-0005-0000-0000-0000651A0000}"/>
    <cellStyle name="Normal 3 30 3 3 2" xfId="26614" xr:uid="{11C56853-C50A-4D6F-9A5E-D4F04A9B5796}"/>
    <cellStyle name="Normal 3 30 3 3 3" xfId="20954" xr:uid="{D3CC2CA4-7704-4832-A1E0-0082E9DC217D}"/>
    <cellStyle name="Normal 3 30 3 3 4" xfId="31994" xr:uid="{87BD3A52-6A45-4238-BA87-5C45010B7FD1}"/>
    <cellStyle name="Normal 3 30 3 3 5" xfId="39248" xr:uid="{0C094B48-BF57-4500-BA01-56981753CCF1}"/>
    <cellStyle name="Normal 3 30 3 4" xfId="23781" xr:uid="{6ACE06D9-3CD6-419B-9FDD-73EBD9AEE34A}"/>
    <cellStyle name="Normal 3 30 3 5" xfId="18121" xr:uid="{D650070F-11F7-4654-AFE0-F3E18DEE1708}"/>
    <cellStyle name="Normal 3 30 3 6" xfId="29442" xr:uid="{A2AEEECA-1424-43EC-8CFE-2AD7456FAE31}"/>
    <cellStyle name="Normal 3 30 3 7" xfId="39245" xr:uid="{287C6A7E-DCD9-4C0E-9297-A78E75825D4F}"/>
    <cellStyle name="Normal 3 30 4" xfId="6665" xr:uid="{00000000-0005-0000-0000-0000661A0000}"/>
    <cellStyle name="Normal 3 30 4 2" xfId="15098" xr:uid="{00000000-0005-0000-0000-0000671A0000}"/>
    <cellStyle name="Normal 3 30 4 2 2" xfId="26992" xr:uid="{EF2E8D95-5A49-4AC6-9AD8-47C5B8326AFE}"/>
    <cellStyle name="Normal 3 30 4 2 3" xfId="21332" xr:uid="{079AD87D-2B98-4092-A533-24A6D9B2CAB7}"/>
    <cellStyle name="Normal 3 30 4 2 4" xfId="32372" xr:uid="{814C157F-2F0B-4D96-B392-5EB0D677838A}"/>
    <cellStyle name="Normal 3 30 4 2 5" xfId="39250" xr:uid="{E184263A-FBB9-4A2E-ACAD-C5664B59667C}"/>
    <cellStyle name="Normal 3 30 4 3" xfId="24159" xr:uid="{73BB6999-EC09-4CCA-B973-18E46C6F0732}"/>
    <cellStyle name="Normal 3 30 4 4" xfId="18499" xr:uid="{CDA5838D-2A39-4D51-AA5D-D0434B16F744}"/>
    <cellStyle name="Normal 3 30 4 5" xfId="29820" xr:uid="{EF0EBB5E-F91E-438F-B7EB-4CDB48D80921}"/>
    <cellStyle name="Normal 3 30 4 6" xfId="39249" xr:uid="{58E15E22-5A98-4241-951F-318DF9FEAEDB}"/>
    <cellStyle name="Normal 3 30 5" xfId="7980" xr:uid="{00000000-0005-0000-0000-0000681A0000}"/>
    <cellStyle name="Normal 3 30 5 2" xfId="25461" xr:uid="{BA941EB8-56CB-41EC-9324-A57F95937B75}"/>
    <cellStyle name="Normal 3 30 5 3" xfId="19801" xr:uid="{97BFDE62-625E-489F-B698-6DFA1C7CDE7E}"/>
    <cellStyle name="Normal 3 30 5 4" xfId="31122" xr:uid="{9B918B68-FA49-4965-8F18-0F97A758823F}"/>
    <cellStyle name="Normal 3 30 5 5" xfId="39251" xr:uid="{7EA53A70-AC72-4C4B-93C3-AEAABEDF762C}"/>
    <cellStyle name="Normal 3 30 6" xfId="22597" xr:uid="{DCC994D5-76D4-44AC-ABEB-DB4EB28AAD95}"/>
    <cellStyle name="Normal 3 30 7" xfId="16937" xr:uid="{AC01A8AE-2A0E-453E-A51E-536A7940C1C3}"/>
    <cellStyle name="Normal 3 30 8" xfId="28258" xr:uid="{707720A4-BE19-4932-8553-BA22E6E0EAFE}"/>
    <cellStyle name="Normal 3 30 9" xfId="39239" xr:uid="{39958E5C-6993-463D-B667-34EF25CEBB0E}"/>
    <cellStyle name="Normal 3 31" xfId="5011" xr:uid="{00000000-0005-0000-0000-0000691A0000}"/>
    <cellStyle name="Normal 3 31 2" xfId="6874" xr:uid="{00000000-0005-0000-0000-00006A1A0000}"/>
    <cellStyle name="Normal 3 31 2 2" xfId="15307" xr:uid="{00000000-0005-0000-0000-00006B1A0000}"/>
    <cellStyle name="Normal 3 31 2 2 2" xfId="27201" xr:uid="{AD6BCEE5-CA59-49D3-A48C-FFEA67C9A35A}"/>
    <cellStyle name="Normal 3 31 2 2 3" xfId="21541" xr:uid="{53027856-B3D8-45AB-A5F9-3ECD2A147AA9}"/>
    <cellStyle name="Normal 3 31 2 2 4" xfId="32581" xr:uid="{361B8DEC-4051-41FB-8D4A-F854B6DD7F5D}"/>
    <cellStyle name="Normal 3 31 2 2 5" xfId="39254" xr:uid="{2F909D44-FDF4-4EEC-81B7-8BBCB3826161}"/>
    <cellStyle name="Normal 3 31 2 3" xfId="24368" xr:uid="{86C97BFE-7B59-4187-A9B7-39A1C691F17F}"/>
    <cellStyle name="Normal 3 31 2 4" xfId="18708" xr:uid="{18675A8C-D959-4C7C-8255-8D0F2BCE2910}"/>
    <cellStyle name="Normal 3 31 2 5" xfId="30029" xr:uid="{C2216764-F599-4BB8-B621-66E5C919EEE1}"/>
    <cellStyle name="Normal 3 31 2 6" xfId="39253" xr:uid="{D061CD81-39C8-4FFB-8DD0-653D016411D5}"/>
    <cellStyle name="Normal 3 31 3" xfId="13924" xr:uid="{00000000-0005-0000-0000-00006C1A0000}"/>
    <cellStyle name="Normal 3 31 3 2" xfId="25965" xr:uid="{10AC6545-8D0B-46E8-971D-E195741FDC2E}"/>
    <cellStyle name="Normal 3 31 3 3" xfId="20305" xr:uid="{C5F8644D-38CF-45A1-ADD8-CD1925ED1534}"/>
    <cellStyle name="Normal 3 31 3 4" xfId="31345" xr:uid="{418FFEC9-6A7C-47C4-B4D4-5583D57E345F}"/>
    <cellStyle name="Normal 3 31 3 5" xfId="39255" xr:uid="{18EA2B3F-1E48-4A74-8645-A8BD415BDC80}"/>
    <cellStyle name="Normal 3 31 4" xfId="9669" xr:uid="{00000000-0005-0000-0000-00006D1A0000}"/>
    <cellStyle name="Normal 3 31 4 2" xfId="39256" xr:uid="{BCCF2E6B-4BEC-4E31-9FFC-9357C5363134}"/>
    <cellStyle name="Normal 3 31 5" xfId="22806" xr:uid="{F49AE155-C664-4C60-BEC1-9B9DE3E53383}"/>
    <cellStyle name="Normal 3 31 6" xfId="17146" xr:uid="{8AA43817-EBBC-4C1E-A372-C0ED0BFDB420}"/>
    <cellStyle name="Normal 3 31 7" xfId="28467" xr:uid="{2DB6C8A2-F28A-42C0-BEDE-FA6D919D5F5A}"/>
    <cellStyle name="Normal 3 31 8" xfId="39252" xr:uid="{720CAC3C-7877-4412-8DF5-ABB3DCF92C06}"/>
    <cellStyle name="Normal 3 32" xfId="6456" xr:uid="{00000000-0005-0000-0000-00006E1A0000}"/>
    <cellStyle name="Normal 3 32 2" xfId="14889" xr:uid="{00000000-0005-0000-0000-00006F1A0000}"/>
    <cellStyle name="Normal 3 32 2 2" xfId="26783" xr:uid="{172C2AC4-4CD0-4096-975F-006AFF5B028A}"/>
    <cellStyle name="Normal 3 32 2 3" xfId="21123" xr:uid="{846BA7D7-7565-4335-9EFC-61A6480A67B6}"/>
    <cellStyle name="Normal 3 32 2 4" xfId="32163" xr:uid="{375482E6-FC1F-44D7-A9ED-548670E4924E}"/>
    <cellStyle name="Normal 3 32 2 5" xfId="39258" xr:uid="{3491E906-3333-45CF-A93F-9ED186405BA9}"/>
    <cellStyle name="Normal 3 32 3" xfId="9665" xr:uid="{00000000-0005-0000-0000-0000701A0000}"/>
    <cellStyle name="Normal 3 32 3 2" xfId="39259" xr:uid="{794170EC-3162-4E7E-B418-FC6C335F9DDE}"/>
    <cellStyle name="Normal 3 32 4" xfId="23950" xr:uid="{D34C6E7E-945A-4D20-8988-EAF408BA6A72}"/>
    <cellStyle name="Normal 3 32 5" xfId="18290" xr:uid="{8FC19B1C-C969-48A9-8442-BDD39E1598EE}"/>
    <cellStyle name="Normal 3 32 6" xfId="29611" xr:uid="{36982149-277E-4568-A476-BCF534A5CBE9}"/>
    <cellStyle name="Normal 3 32 7" xfId="39257" xr:uid="{D22EA073-0C42-4E38-B181-E92232672D05}"/>
    <cellStyle name="Normal 3 33" xfId="22388" xr:uid="{9DB27226-0A6F-4584-A69C-B79CE4B1B3BA}"/>
    <cellStyle name="Normal 3 34" xfId="16728" xr:uid="{45D0D84F-F293-4B8D-A3B6-0C3E2D7618EE}"/>
    <cellStyle name="Normal 3 35" xfId="28049" xr:uid="{B70F1224-3ECA-4523-9D77-A00C73D2427C}"/>
    <cellStyle name="Normal 3 36" xfId="39082" xr:uid="{14062732-F315-4EC8-B845-6222E13B81D2}"/>
    <cellStyle name="Normal 3 4" xfId="159" xr:uid="{00000000-0005-0000-0000-0000711A0000}"/>
    <cellStyle name="Normal 3 4 2" xfId="160" xr:uid="{00000000-0005-0000-0000-0000721A0000}"/>
    <cellStyle name="Normal 3 4 2 2" xfId="39261" xr:uid="{DCBDC94A-52F8-4A9C-9974-F603494F9188}"/>
    <cellStyle name="Normal 3 4 3" xfId="161" xr:uid="{00000000-0005-0000-0000-0000731A0000}"/>
    <cellStyle name="Normal 3 4 3 2" xfId="39262" xr:uid="{6B0A3664-9CAA-45DD-A332-EF8498DAF95F}"/>
    <cellStyle name="Normal 3 4 4" xfId="314" xr:uid="{00000000-0005-0000-0000-0000741A0000}"/>
    <cellStyle name="Normal 3 4 4 2" xfId="2179" xr:uid="{00000000-0005-0000-0000-0000751A0000}"/>
    <cellStyle name="Normal 3 4 4 2 2" xfId="39264" xr:uid="{45A4FB6B-EA80-4BEF-B6A0-4B4AA0CADA16}"/>
    <cellStyle name="Normal 3 4 4 3" xfId="4226" xr:uid="{00000000-0005-0000-0000-0000761A0000}"/>
    <cellStyle name="Normal 3 4 4 3 2" xfId="39265" xr:uid="{BFCAEB79-07DC-41EE-8934-9A79CF854231}"/>
    <cellStyle name="Normal 3 4 4 4" xfId="39263" xr:uid="{C6BE51F5-F5C0-47A2-A10C-BF834FD83425}"/>
    <cellStyle name="Normal 3 4 5" xfId="4227" xr:uid="{00000000-0005-0000-0000-0000771A0000}"/>
    <cellStyle name="Normal 3 4 5 2" xfId="39266" xr:uid="{88F7D914-91D4-49BC-A8D0-B9385CD37BF3}"/>
    <cellStyle name="Normal 3 4 6" xfId="4228" xr:uid="{00000000-0005-0000-0000-0000781A0000}"/>
    <cellStyle name="Normal 3 4 6 2" xfId="39267" xr:uid="{A4DA20E2-C932-44DD-80C8-7A64A6EC3CE2}"/>
    <cellStyle name="Normal 3 4 7" xfId="4229" xr:uid="{00000000-0005-0000-0000-0000791A0000}"/>
    <cellStyle name="Normal 3 4 7 2" xfId="39268" xr:uid="{85151D58-F10D-4CA7-8545-B5CFF43BE6F5}"/>
    <cellStyle name="Normal 3 4 8" xfId="4230" xr:uid="{00000000-0005-0000-0000-00007A1A0000}"/>
    <cellStyle name="Normal 3 4 8 2" xfId="39269" xr:uid="{1DDBE6B0-C548-4FC8-ABFE-5DBDC664FABE}"/>
    <cellStyle name="Normal 3 4 9" xfId="39260" xr:uid="{F6845136-964C-4913-A66E-692AFB335B8C}"/>
    <cellStyle name="Normal 3 5" xfId="162" xr:uid="{00000000-0005-0000-0000-00007B1A0000}"/>
    <cellStyle name="Normal 3 5 10" xfId="39270" xr:uid="{B97F1578-00E9-4617-91A8-52E8EF691C36}"/>
    <cellStyle name="Normal 3 5 2" xfId="2181" xr:uid="{00000000-0005-0000-0000-00007C1A0000}"/>
    <cellStyle name="Normal 3 5 2 2" xfId="39272" xr:uid="{2E684288-AC4C-423C-9599-4C04AE127C23}"/>
    <cellStyle name="Normal 3 5 2 3" xfId="39273" xr:uid="{B2C440CE-A426-4DB8-B61E-4777849B8E84}"/>
    <cellStyle name="Normal 3 5 2 4" xfId="39271" xr:uid="{2F27CB40-F3D5-4C75-9E9C-E2D37317E006}"/>
    <cellStyle name="Normal 3 5 3" xfId="2182" xr:uid="{00000000-0005-0000-0000-00007D1A0000}"/>
    <cellStyle name="Normal 3 5 3 2" xfId="4231" xr:uid="{00000000-0005-0000-0000-00007E1A0000}"/>
    <cellStyle name="Normal 3 5 3 2 2" xfId="39275" xr:uid="{CEFB709C-0E54-40B3-879C-E7AD12F5A5D3}"/>
    <cellStyle name="Normal 3 5 3 3" xfId="6210" xr:uid="{00000000-0005-0000-0000-00007F1A0000}"/>
    <cellStyle name="Normal 3 5 3 3 2" xfId="39276" xr:uid="{F3DB243E-7A76-47B3-8CA4-A8B202950931}"/>
    <cellStyle name="Normal 3 5 3 4" xfId="39277" xr:uid="{AEEA8073-BBC9-4212-8E22-13C2B7AB4CF5}"/>
    <cellStyle name="Normal 3 5 3 5" xfId="39274" xr:uid="{E36D06C5-6877-44B5-AE4D-8A4B4FA61B78}"/>
    <cellStyle name="Normal 3 5 4" xfId="2180" xr:uid="{00000000-0005-0000-0000-0000801A0000}"/>
    <cellStyle name="Normal 3 5 4 2" xfId="4232" xr:uid="{00000000-0005-0000-0000-0000811A0000}"/>
    <cellStyle name="Normal 3 5 4 2 2" xfId="39279" xr:uid="{6644EFD3-E7D2-42C5-AA4B-33B3878C67AE}"/>
    <cellStyle name="Normal 3 5 4 3" xfId="4860" xr:uid="{00000000-0005-0000-0000-0000821A0000}"/>
    <cellStyle name="Normal 3 5 4 3 2" xfId="5279" xr:uid="{00000000-0005-0000-0000-0000831A0000}"/>
    <cellStyle name="Normal 3 5 4 3 2 2" xfId="7142" xr:uid="{00000000-0005-0000-0000-0000841A0000}"/>
    <cellStyle name="Normal 3 5 4 3 2 2 2" xfId="15575" xr:uid="{00000000-0005-0000-0000-0000851A0000}"/>
    <cellStyle name="Normal 3 5 4 3 2 2 2 2" xfId="27469" xr:uid="{6A7E49FE-158B-4164-966B-0D3ADCD71BEE}"/>
    <cellStyle name="Normal 3 5 4 3 2 2 2 3" xfId="21809" xr:uid="{79B090A1-CC0E-4235-A7CD-65608745755C}"/>
    <cellStyle name="Normal 3 5 4 3 2 2 2 4" xfId="32849" xr:uid="{1B6F7C60-2FE5-46B1-A63E-441E486A2442}"/>
    <cellStyle name="Normal 3 5 4 3 2 2 2 5" xfId="39283" xr:uid="{FA649687-5438-4FC2-9D50-32BA584CC18C}"/>
    <cellStyle name="Normal 3 5 4 3 2 2 3" xfId="24636" xr:uid="{D959E70D-6C95-4D69-8331-97F741EED242}"/>
    <cellStyle name="Normal 3 5 4 3 2 2 4" xfId="18976" xr:uid="{052386FA-D96E-4967-B7A8-221A12317846}"/>
    <cellStyle name="Normal 3 5 4 3 2 2 5" xfId="30297" xr:uid="{17A336A5-8B08-42B3-9B1B-AA594B969D63}"/>
    <cellStyle name="Normal 3 5 4 3 2 2 6" xfId="39282" xr:uid="{8AB5D600-86D8-4164-9E35-F9627A8BF2DD}"/>
    <cellStyle name="Normal 3 5 4 3 2 3" xfId="14165" xr:uid="{00000000-0005-0000-0000-0000861A0000}"/>
    <cellStyle name="Normal 3 5 4 3 2 3 2" xfId="26204" xr:uid="{27B2BB73-41D6-4394-9D94-873A73E4EC2C}"/>
    <cellStyle name="Normal 3 5 4 3 2 3 3" xfId="20544" xr:uid="{924CFE6A-8623-4C49-8AB6-EC8A01740DF3}"/>
    <cellStyle name="Normal 3 5 4 3 2 3 4" xfId="31584" xr:uid="{16D98E45-F7A1-4B4E-A95F-BC5138264F3D}"/>
    <cellStyle name="Normal 3 5 4 3 2 3 5" xfId="39284" xr:uid="{00EEDCF4-F522-4CB2-88F4-4F3FFAC08A09}"/>
    <cellStyle name="Normal 3 5 4 3 2 4" xfId="23074" xr:uid="{F61C097B-8BC2-4992-8FD1-AD6039CD92EE}"/>
    <cellStyle name="Normal 3 5 4 3 2 5" xfId="17414" xr:uid="{AEAFF100-ECEA-4072-B4F7-5B8C13246AFE}"/>
    <cellStyle name="Normal 3 5 4 3 2 6" xfId="28735" xr:uid="{50E8A59D-99A6-45C7-B2B2-6BD847F8DFF9}"/>
    <cellStyle name="Normal 3 5 4 3 2 7" xfId="39281" xr:uid="{2B2AFA54-B662-434B-821D-2603F0D936CD}"/>
    <cellStyle name="Normal 3 5 4 3 3" xfId="6212" xr:uid="{00000000-0005-0000-0000-0000871A0000}"/>
    <cellStyle name="Normal 3 5 4 3 3 2" xfId="7545" xr:uid="{00000000-0005-0000-0000-0000881A0000}"/>
    <cellStyle name="Normal 3 5 4 3 3 2 2" xfId="15978" xr:uid="{00000000-0005-0000-0000-0000891A0000}"/>
    <cellStyle name="Normal 3 5 4 3 3 2 2 2" xfId="27872" xr:uid="{15C2ACC7-61B3-4274-8A24-049AC7F9564A}"/>
    <cellStyle name="Normal 3 5 4 3 3 2 2 3" xfId="22212" xr:uid="{65371D8C-54D1-4445-B6CC-657A7EBF38B7}"/>
    <cellStyle name="Normal 3 5 4 3 3 2 2 4" xfId="33252" xr:uid="{CFBBE58B-5034-49B2-BCD5-36F9419D9644}"/>
    <cellStyle name="Normal 3 5 4 3 3 2 2 5" xfId="39287" xr:uid="{3C3A0698-309F-4305-87BB-6F927389F7DA}"/>
    <cellStyle name="Normal 3 5 4 3 3 2 3" xfId="25039" xr:uid="{DBEC097A-3A2B-43ED-8426-4EF9C824D7B2}"/>
    <cellStyle name="Normal 3 5 4 3 3 2 4" xfId="19379" xr:uid="{03C8082F-3DB6-4855-866C-44BE21F444AD}"/>
    <cellStyle name="Normal 3 5 4 3 3 2 5" xfId="30700" xr:uid="{23339C6C-1B9E-4D2F-85FA-2F257D85A186}"/>
    <cellStyle name="Normal 3 5 4 3 3 2 6" xfId="39286" xr:uid="{04CE35B3-C748-45C3-894F-A4EE3E322FCB}"/>
    <cellStyle name="Normal 3 5 4 3 3 3" xfId="14659" xr:uid="{00000000-0005-0000-0000-00008A1A0000}"/>
    <cellStyle name="Normal 3 5 4 3 3 3 2" xfId="26616" xr:uid="{71F98DC4-5B74-4C29-B0F5-9193CEAFA49C}"/>
    <cellStyle name="Normal 3 5 4 3 3 3 3" xfId="20956" xr:uid="{07391437-72F3-4C48-92EE-0F7B98AAD3E6}"/>
    <cellStyle name="Normal 3 5 4 3 3 3 4" xfId="31996" xr:uid="{B927D711-2692-4066-B238-0FD0026FD7FE}"/>
    <cellStyle name="Normal 3 5 4 3 3 3 5" xfId="39288" xr:uid="{FACFBAB4-F6A7-4835-B44E-20DD958E6E6A}"/>
    <cellStyle name="Normal 3 5 4 3 3 4" xfId="23783" xr:uid="{BCEA50F3-E6B8-45F9-8B8B-2B967C06C56D}"/>
    <cellStyle name="Normal 3 5 4 3 3 5" xfId="18123" xr:uid="{9561BDA3-A290-40C5-8B5C-DBF6010D5DB4}"/>
    <cellStyle name="Normal 3 5 4 3 3 6" xfId="29444" xr:uid="{890D3E99-CB28-4D56-9809-61EE40A7B33E}"/>
    <cellStyle name="Normal 3 5 4 3 3 7" xfId="39285" xr:uid="{93C549F9-0B9B-42A7-8F8A-78B54361BD20}"/>
    <cellStyle name="Normal 3 5 4 3 4" xfId="6724" xr:uid="{00000000-0005-0000-0000-00008B1A0000}"/>
    <cellStyle name="Normal 3 5 4 3 4 2" xfId="15157" xr:uid="{00000000-0005-0000-0000-00008C1A0000}"/>
    <cellStyle name="Normal 3 5 4 3 4 2 2" xfId="27051" xr:uid="{09681F93-9D76-41DB-9F87-8570B1977F8A}"/>
    <cellStyle name="Normal 3 5 4 3 4 2 3" xfId="21391" xr:uid="{AC430E85-AD13-400E-842F-A9E209F32682}"/>
    <cellStyle name="Normal 3 5 4 3 4 2 4" xfId="32431" xr:uid="{5EAE774B-7CF9-4A27-AE78-80929FA5FE79}"/>
    <cellStyle name="Normal 3 5 4 3 4 2 5" xfId="39290" xr:uid="{8FB7F8AE-2B30-4F39-B12A-9CA59A473F96}"/>
    <cellStyle name="Normal 3 5 4 3 4 3" xfId="24218" xr:uid="{F390A80A-31FB-4430-B8C2-A919A7A8C58F}"/>
    <cellStyle name="Normal 3 5 4 3 4 4" xfId="18558" xr:uid="{927D1F2D-923B-40CC-A2CB-505E229B324F}"/>
    <cellStyle name="Normal 3 5 4 3 4 5" xfId="29879" xr:uid="{16B9DF9D-CAB1-4DF7-A123-4A117047365F}"/>
    <cellStyle name="Normal 3 5 4 3 4 6" xfId="39289" xr:uid="{3815352D-0718-4100-BC1F-EF6E0E225BB1}"/>
    <cellStyle name="Normal 3 5 4 3 5" xfId="7981" xr:uid="{00000000-0005-0000-0000-00008D1A0000}"/>
    <cellStyle name="Normal 3 5 4 3 5 2" xfId="25462" xr:uid="{11C19624-08AE-4E05-B700-B44612DE5342}"/>
    <cellStyle name="Normal 3 5 4 3 5 3" xfId="19802" xr:uid="{DC6BE5A9-A87B-453E-BFD0-CA6844175350}"/>
    <cellStyle name="Normal 3 5 4 3 5 4" xfId="31123" xr:uid="{5C5B7DCC-90EE-4CA6-BA77-48C3ECCC9B70}"/>
    <cellStyle name="Normal 3 5 4 3 5 5" xfId="39291" xr:uid="{F3134D64-5C54-460D-BE52-D18FE813D4D3}"/>
    <cellStyle name="Normal 3 5 4 3 6" xfId="22656" xr:uid="{F7DFA693-FF61-4A1B-992D-008FF1CEBEB7}"/>
    <cellStyle name="Normal 3 5 4 3 7" xfId="16996" xr:uid="{9900D62B-9BD5-4F05-91D5-AFBFE9834256}"/>
    <cellStyle name="Normal 3 5 4 3 8" xfId="28317" xr:uid="{BCCD3B00-7995-4AFB-9477-6EFD0CB23B3F}"/>
    <cellStyle name="Normal 3 5 4 3 9" xfId="39280" xr:uid="{974CEE0D-6645-46CD-822A-32CBBB759C12}"/>
    <cellStyle name="Normal 3 5 4 4" xfId="5070" xr:uid="{00000000-0005-0000-0000-00008E1A0000}"/>
    <cellStyle name="Normal 3 5 4 4 2" xfId="6211" xr:uid="{00000000-0005-0000-0000-00008F1A0000}"/>
    <cellStyle name="Normal 3 5 4 4 2 2" xfId="7544" xr:uid="{00000000-0005-0000-0000-0000901A0000}"/>
    <cellStyle name="Normal 3 5 4 4 2 2 2" xfId="15977" xr:uid="{00000000-0005-0000-0000-0000911A0000}"/>
    <cellStyle name="Normal 3 5 4 4 2 2 2 2" xfId="27871" xr:uid="{A2A91A73-573B-4B9A-A9C7-9E2C6C4D1346}"/>
    <cellStyle name="Normal 3 5 4 4 2 2 2 3" xfId="22211" xr:uid="{C35A5762-75CF-43BD-8B29-9E72AA125629}"/>
    <cellStyle name="Normal 3 5 4 4 2 2 2 4" xfId="33251" xr:uid="{313EFB89-56A1-40A7-93BD-26047142DEB5}"/>
    <cellStyle name="Normal 3 5 4 4 2 2 2 5" xfId="39295" xr:uid="{672C2400-5A71-4C38-83D8-7C8882A85889}"/>
    <cellStyle name="Normal 3 5 4 4 2 2 3" xfId="25038" xr:uid="{C41A6DF3-A26C-47D4-BF2E-DBFD83C3ED8A}"/>
    <cellStyle name="Normal 3 5 4 4 2 2 4" xfId="19378" xr:uid="{2044532B-7AE6-4A51-A78D-D1E974D19189}"/>
    <cellStyle name="Normal 3 5 4 4 2 2 5" xfId="30699" xr:uid="{35F05856-A2D1-4C03-9555-6B359DAB4690}"/>
    <cellStyle name="Normal 3 5 4 4 2 2 6" xfId="39294" xr:uid="{ACABDCF7-3447-4FC1-8F53-7B678BE4AD00}"/>
    <cellStyle name="Normal 3 5 4 4 2 3" xfId="14658" xr:uid="{00000000-0005-0000-0000-0000921A0000}"/>
    <cellStyle name="Normal 3 5 4 4 2 3 2" xfId="26615" xr:uid="{F1E0D875-CEE4-40E6-A790-F0B2530E9275}"/>
    <cellStyle name="Normal 3 5 4 4 2 3 3" xfId="20955" xr:uid="{161BC1C4-8E83-4041-9A27-CDDEAF42181E}"/>
    <cellStyle name="Normal 3 5 4 4 2 3 4" xfId="31995" xr:uid="{C21C56F6-DF0E-4F32-895E-5CDB15A89813}"/>
    <cellStyle name="Normal 3 5 4 4 2 3 5" xfId="39296" xr:uid="{DC83F614-FE49-4629-9A1C-87ED1983FD92}"/>
    <cellStyle name="Normal 3 5 4 4 2 4" xfId="23782" xr:uid="{464FB547-C748-4A68-B9FE-85E32B15A3E6}"/>
    <cellStyle name="Normal 3 5 4 4 2 5" xfId="18122" xr:uid="{A0E53BD0-9958-4745-AD67-7C9FE355CEEE}"/>
    <cellStyle name="Normal 3 5 4 4 2 6" xfId="29443" xr:uid="{000A923B-7254-483D-A2A0-ED7F85C24B20}"/>
    <cellStyle name="Normal 3 5 4 4 2 7" xfId="39293" xr:uid="{C8AD21E3-49E3-434C-992A-8CD33E052233}"/>
    <cellStyle name="Normal 3 5 4 4 3" xfId="6933" xr:uid="{00000000-0005-0000-0000-0000931A0000}"/>
    <cellStyle name="Normal 3 5 4 4 3 2" xfId="15366" xr:uid="{00000000-0005-0000-0000-0000941A0000}"/>
    <cellStyle name="Normal 3 5 4 4 3 2 2" xfId="27260" xr:uid="{6F1E9690-D5A4-40D8-A44A-1B5A9AB70095}"/>
    <cellStyle name="Normal 3 5 4 4 3 2 3" xfId="21600" xr:uid="{47263147-1E00-49AC-95C5-9C67060FF913}"/>
    <cellStyle name="Normal 3 5 4 4 3 2 4" xfId="32640" xr:uid="{CA6B365C-FCC2-41B9-AA1D-812EB4DAACB4}"/>
    <cellStyle name="Normal 3 5 4 4 3 2 5" xfId="39298" xr:uid="{5FB0B6D3-648D-46E8-8AA9-83A19F1D5B59}"/>
    <cellStyle name="Normal 3 5 4 4 3 3" xfId="24427" xr:uid="{9E6B93AE-650F-40E1-9EB4-88DEEA31E36F}"/>
    <cellStyle name="Normal 3 5 4 4 3 4" xfId="18767" xr:uid="{A432DE0B-640E-4D20-B2C0-4CFB803AC91B}"/>
    <cellStyle name="Normal 3 5 4 4 3 5" xfId="30088" xr:uid="{36EC5F34-ADC2-467B-AA3E-1C4DA921720A}"/>
    <cellStyle name="Normal 3 5 4 4 3 6" xfId="39297" xr:uid="{DB4F55BC-B4F7-4324-9452-F0174112DD34}"/>
    <cellStyle name="Normal 3 5 4 4 4" xfId="7982" xr:uid="{00000000-0005-0000-0000-0000951A0000}"/>
    <cellStyle name="Normal 3 5 4 4 4 2" xfId="25463" xr:uid="{979E9776-B9B8-4481-A45D-2666E55243A3}"/>
    <cellStyle name="Normal 3 5 4 4 4 3" xfId="19803" xr:uid="{77E4D68B-979E-481E-B366-B4CEFD24496D}"/>
    <cellStyle name="Normal 3 5 4 4 4 4" xfId="31124" xr:uid="{64D2EDE0-466E-476E-8616-6DB177272AD9}"/>
    <cellStyle name="Normal 3 5 4 4 4 5" xfId="39299" xr:uid="{D6A180E6-3DC4-40D0-9DB2-9B769A485539}"/>
    <cellStyle name="Normal 3 5 4 4 5" xfId="22865" xr:uid="{B7BF2552-B814-437F-8C88-3CE7C1A03B58}"/>
    <cellStyle name="Normal 3 5 4 4 6" xfId="17205" xr:uid="{5833359C-1749-4122-9317-9AE8F3F2126F}"/>
    <cellStyle name="Normal 3 5 4 4 7" xfId="28526" xr:uid="{F80262ED-26BE-43A2-9222-78463B119842}"/>
    <cellStyle name="Normal 3 5 4 4 8" xfId="39292" xr:uid="{695F04AE-43A9-4065-B792-1BC4920ADC62}"/>
    <cellStyle name="Normal 3 5 4 5" xfId="6515" xr:uid="{00000000-0005-0000-0000-0000961A0000}"/>
    <cellStyle name="Normal 3 5 4 5 2" xfId="14948" xr:uid="{00000000-0005-0000-0000-0000971A0000}"/>
    <cellStyle name="Normal 3 5 4 5 2 2" xfId="26842" xr:uid="{13806309-1D44-4CA0-B8E5-7405F1919DB4}"/>
    <cellStyle name="Normal 3 5 4 5 2 3" xfId="21182" xr:uid="{4FA4838D-5C41-482C-889B-AC93009F114D}"/>
    <cellStyle name="Normal 3 5 4 5 2 4" xfId="32222" xr:uid="{2241FA46-0F4B-4081-938B-FF2FDE224721}"/>
    <cellStyle name="Normal 3 5 4 5 2 5" xfId="39301" xr:uid="{0E90B0F1-D7BA-4EA1-8FC6-8072241B090A}"/>
    <cellStyle name="Normal 3 5 4 5 3" xfId="24009" xr:uid="{29AA4B0C-A62A-477B-A5A1-3386DFD8F543}"/>
    <cellStyle name="Normal 3 5 4 5 4" xfId="18349" xr:uid="{86CD1320-96B7-4597-B4BA-F7B6338A686D}"/>
    <cellStyle name="Normal 3 5 4 5 5" xfId="29670" xr:uid="{331976B7-14AC-44A3-9DD1-B9111D435E64}"/>
    <cellStyle name="Normal 3 5 4 5 6" xfId="39300" xr:uid="{0F5C127D-918C-452F-9D79-EB0F42F70C5D}"/>
    <cellStyle name="Normal 3 5 4 6" xfId="22447" xr:uid="{8F417334-4E1A-4D40-A640-BA4AF7174785}"/>
    <cellStyle name="Normal 3 5 4 7" xfId="16787" xr:uid="{B7CA56E6-CF36-46C4-B29E-A4250135AC7D}"/>
    <cellStyle name="Normal 3 5 4 8" xfId="28108" xr:uid="{01738CB2-7CEA-48EF-8273-3359B85EE04C}"/>
    <cellStyle name="Normal 3 5 4 9" xfId="39278" xr:uid="{66F74E76-4E14-414C-88A9-49ACD11F3234}"/>
    <cellStyle name="Normal 3 5 5" xfId="4233" xr:uid="{00000000-0005-0000-0000-0000981A0000}"/>
    <cellStyle name="Normal 3 5 5 2" xfId="39302" xr:uid="{F21544D8-4D8F-4A17-958D-DC8F257822B5}"/>
    <cellStyle name="Normal 3 5 6" xfId="4234" xr:uid="{00000000-0005-0000-0000-0000991A0000}"/>
    <cellStyle name="Normal 3 5 6 2" xfId="39303" xr:uid="{F8C9A9EF-5EE8-4419-8616-224980F32F4E}"/>
    <cellStyle name="Normal 3 5 7" xfId="4235" xr:uid="{00000000-0005-0000-0000-00009A1A0000}"/>
    <cellStyle name="Normal 3 5 7 2" xfId="39304" xr:uid="{ECC46C42-F9AD-42B9-A4BE-A05941286924}"/>
    <cellStyle name="Normal 3 5 8" xfId="4236" xr:uid="{00000000-0005-0000-0000-00009B1A0000}"/>
    <cellStyle name="Normal 3 5 8 2" xfId="39305" xr:uid="{3C46F446-48F4-4CE7-A9EE-EB48B0A41E8C}"/>
    <cellStyle name="Normal 3 5 9" xfId="5794" xr:uid="{00000000-0005-0000-0000-00009C1A0000}"/>
    <cellStyle name="Normal 3 5 9 2" xfId="39306" xr:uid="{7A715F73-1F6C-4833-8EC2-3E1B658D1E8A}"/>
    <cellStyle name="Normal 3 6" xfId="163" xr:uid="{00000000-0005-0000-0000-00009D1A0000}"/>
    <cellStyle name="Normal 3 6 2" xfId="2184" xr:uid="{00000000-0005-0000-0000-00009E1A0000}"/>
    <cellStyle name="Normal 3 6 2 2" xfId="39308" xr:uid="{905C46FF-AC8C-409D-9B42-A76BFDBE612C}"/>
    <cellStyle name="Normal 3 6 3" xfId="2183" xr:uid="{00000000-0005-0000-0000-00009F1A0000}"/>
    <cellStyle name="Normal 3 6 3 2" xfId="39309" xr:uid="{226C7F1A-3DEF-4EDF-A05A-EA1212E21A60}"/>
    <cellStyle name="Normal 3 6 4" xfId="39307" xr:uid="{0B40A81F-074D-4230-9999-FD41EB2CA95A}"/>
    <cellStyle name="Normal 3 7" xfId="2185" xr:uid="{00000000-0005-0000-0000-0000A01A0000}"/>
    <cellStyle name="Normal 3 7 2" xfId="2186" xr:uid="{00000000-0005-0000-0000-0000A11A0000}"/>
    <cellStyle name="Normal 3 7 2 2" xfId="39311" xr:uid="{03CF60A6-8E08-4251-BBA0-428F0BF556E7}"/>
    <cellStyle name="Normal 3 7 3" xfId="6213" xr:uid="{00000000-0005-0000-0000-0000A21A0000}"/>
    <cellStyle name="Normal 3 7 3 2" xfId="39312" xr:uid="{94B8817F-97AB-4F9F-80AE-9722C0457CD9}"/>
    <cellStyle name="Normal 3 7 4" xfId="39313" xr:uid="{E44CB4D1-0464-4411-BC14-820BC3583E47}"/>
    <cellStyle name="Normal 3 7 5" xfId="39310" xr:uid="{A1BD88CF-0424-47A7-886E-60A12917CB0C}"/>
    <cellStyle name="Normal 3 8" xfId="2187" xr:uid="{00000000-0005-0000-0000-0000A31A0000}"/>
    <cellStyle name="Normal 3 8 2" xfId="39314" xr:uid="{FED74EC6-5DCB-4FFB-9CB9-3A7913EEBB17}"/>
    <cellStyle name="Normal 3 9" xfId="2188" xr:uid="{00000000-0005-0000-0000-0000A41A0000}"/>
    <cellStyle name="Normal 3 9 2" xfId="39315" xr:uid="{5B13408A-D9AE-466E-8DF7-90F299F6D725}"/>
    <cellStyle name="Normal 3_PrimaryEnergyPrices_TIMES" xfId="9670" xr:uid="{00000000-0005-0000-0000-0000A51A0000}"/>
    <cellStyle name="Normal 30" xfId="2189" xr:uid="{00000000-0005-0000-0000-0000A61A0000}"/>
    <cellStyle name="Normal 30 2" xfId="39316" xr:uid="{1369D603-9C98-4067-847D-F6981EE151BA}"/>
    <cellStyle name="Normal 31" xfId="2190" xr:uid="{00000000-0005-0000-0000-0000A71A0000}"/>
    <cellStyle name="Normal 31 2" xfId="2191" xr:uid="{00000000-0005-0000-0000-0000A81A0000}"/>
    <cellStyle name="Normal 31 2 2" xfId="39319" xr:uid="{BAC31B8E-B38E-4A69-9205-3CFA3F8D85E5}"/>
    <cellStyle name="Normal 31 2 3" xfId="39318" xr:uid="{56FEBE89-6B4F-46BE-A886-9C78D4F1ED01}"/>
    <cellStyle name="Normal 31 2 4" xfId="49804" xr:uid="{CB18AFAF-A70F-487C-94D1-D938DC45A98D}"/>
    <cellStyle name="Normal 31 3" xfId="9671" xr:uid="{00000000-0005-0000-0000-0000A91A0000}"/>
    <cellStyle name="Normal 31 3 2" xfId="39320" xr:uid="{80211281-6421-4872-9509-7DFDF4F311D3}"/>
    <cellStyle name="Normal 31 4" xfId="39317" xr:uid="{4C3F4A91-91D0-4F3E-B059-0936A164A3AF}"/>
    <cellStyle name="Normal 32" xfId="2192" xr:uid="{00000000-0005-0000-0000-0000AA1A0000}"/>
    <cellStyle name="Normal 32 2" xfId="2193" xr:uid="{00000000-0005-0000-0000-0000AB1A0000}"/>
    <cellStyle name="Normal 32 2 2" xfId="39322" xr:uid="{07C3B525-3FA7-4349-B1AE-5595E8289603}"/>
    <cellStyle name="Normal 32 3" xfId="39321" xr:uid="{3D7E108B-D8C8-4881-A2FF-B43432DE5BB0}"/>
    <cellStyle name="Normal 33" xfId="2194" xr:uid="{00000000-0005-0000-0000-0000AC1A0000}"/>
    <cellStyle name="Normal 33 10" xfId="2195" xr:uid="{00000000-0005-0000-0000-0000AD1A0000}"/>
    <cellStyle name="Normal 33 10 2" xfId="39325" xr:uid="{979CB880-479D-416C-A1A0-A41BEAF5C942}"/>
    <cellStyle name="Normal 33 10 3" xfId="39324" xr:uid="{A0836CC9-58E1-4D71-940D-C34CC770E888}"/>
    <cellStyle name="Normal 33 10 4" xfId="49806" xr:uid="{F8B3A1F7-E059-42E2-939E-046D622628B1}"/>
    <cellStyle name="Normal 33 11" xfId="2196" xr:uid="{00000000-0005-0000-0000-0000AE1A0000}"/>
    <cellStyle name="Normal 33 11 2" xfId="39327" xr:uid="{8B709356-7489-46D9-AE6A-679BBF357D7D}"/>
    <cellStyle name="Normal 33 11 3" xfId="39326" xr:uid="{FB513BA8-7FB8-4276-9E51-2E84C136DEED}"/>
    <cellStyle name="Normal 33 11 4" xfId="49807" xr:uid="{68115DE1-5E7E-45C6-8A0A-9D8DEE71FB03}"/>
    <cellStyle name="Normal 33 12" xfId="2197" xr:uid="{00000000-0005-0000-0000-0000AF1A0000}"/>
    <cellStyle name="Normal 33 12 2" xfId="39329" xr:uid="{90E90D92-8303-4FFA-A440-516F5E47FDB8}"/>
    <cellStyle name="Normal 33 12 3" xfId="39328" xr:uid="{AE4FB0F4-2650-4C57-829D-78F546676EDA}"/>
    <cellStyle name="Normal 33 12 4" xfId="49808" xr:uid="{65EA64B3-807A-4F05-8F8F-05B4B8E9482B}"/>
    <cellStyle name="Normal 33 13" xfId="2198" xr:uid="{00000000-0005-0000-0000-0000B01A0000}"/>
    <cellStyle name="Normal 33 13 2" xfId="39331" xr:uid="{22B54E8E-6AB9-45E2-8B9A-4A027490652F}"/>
    <cellStyle name="Normal 33 13 3" xfId="39330" xr:uid="{ED3A1526-A9E9-4CE6-B6E4-B586E5A3C7FF}"/>
    <cellStyle name="Normal 33 13 4" xfId="49809" xr:uid="{D96E4F05-33D6-4520-B3FA-D09EE34F538B}"/>
    <cellStyle name="Normal 33 14" xfId="16705" xr:uid="{B931D7F5-2D87-4FF2-AFEF-A60003D6DAEA}"/>
    <cellStyle name="Normal 33 14 2" xfId="33433" xr:uid="{C6147F79-8137-444F-962B-09945E0670F5}"/>
    <cellStyle name="Normal 33 14 3" xfId="39332" xr:uid="{7754A774-5ABC-4EDD-87CB-A67C8F96E5BF}"/>
    <cellStyle name="Normal 33 15" xfId="39333" xr:uid="{A3404C13-99D4-4A56-AB63-F3AC87059433}"/>
    <cellStyle name="Normal 33 16" xfId="39323" xr:uid="{3E7DF962-875F-4593-A7AC-0B716E73942A}"/>
    <cellStyle name="Normal 33 17" xfId="49805" xr:uid="{17B11E65-8C1C-4219-A691-30B17D98E58C}"/>
    <cellStyle name="Normal 33 2" xfId="2199" xr:uid="{00000000-0005-0000-0000-0000B11A0000}"/>
    <cellStyle name="Normal 33 2 2" xfId="16706" xr:uid="{480C82DA-DB71-469B-8372-1E8EDCCB57D7}"/>
    <cellStyle name="Normal 33 2 2 2" xfId="33434" xr:uid="{149E4D1F-864E-4B72-88E1-A4A52C231BCB}"/>
    <cellStyle name="Normal 33 2 2 3" xfId="39335" xr:uid="{1117BB31-347B-4C8D-B891-9A34408A92E6}"/>
    <cellStyle name="Normal 33 2 3" xfId="39336" xr:uid="{4E76CD84-08E3-4B8A-9701-008892293AF3}"/>
    <cellStyle name="Normal 33 2 4" xfId="39334" xr:uid="{85F6C638-3C89-43D9-AEC5-BB95376C5171}"/>
    <cellStyle name="Normal 33 2 5" xfId="49810" xr:uid="{9F9019FE-4F50-41FE-A24A-471FCEE8903E}"/>
    <cellStyle name="Normal 33 3" xfId="2200" xr:uid="{00000000-0005-0000-0000-0000B21A0000}"/>
    <cellStyle name="Normal 33 3 2" xfId="39338" xr:uid="{42BF136B-0563-4C84-865D-E3FB12C5CCAC}"/>
    <cellStyle name="Normal 33 3 3" xfId="39337" xr:uid="{67915434-E849-4652-8842-AD3CFDD25130}"/>
    <cellStyle name="Normal 33 3 4" xfId="49811" xr:uid="{64083C7A-A13B-469C-BE4D-DFFC6B8E4240}"/>
    <cellStyle name="Normal 33 4" xfId="2201" xr:uid="{00000000-0005-0000-0000-0000B31A0000}"/>
    <cellStyle name="Normal 33 4 2" xfId="39340" xr:uid="{91097018-A4D0-4820-91ED-26C8537B9035}"/>
    <cellStyle name="Normal 33 4 3" xfId="39339" xr:uid="{FDDDED2D-27D7-4D59-9D23-1F63C07DE2AD}"/>
    <cellStyle name="Normal 33 4 4" xfId="49812" xr:uid="{FFF2B380-426F-402F-B9BC-7122BBA2B696}"/>
    <cellStyle name="Normal 33 5" xfId="2202" xr:uid="{00000000-0005-0000-0000-0000B41A0000}"/>
    <cellStyle name="Normal 33 5 2" xfId="39342" xr:uid="{0C9336F5-B2E6-4DC2-8030-D3014B1794C4}"/>
    <cellStyle name="Normal 33 5 3" xfId="39341" xr:uid="{62EB13A9-9966-4F5C-BAD2-8C9935D86CE9}"/>
    <cellStyle name="Normal 33 5 4" xfId="49813" xr:uid="{E97A3BB6-EC07-45CC-B8BA-3E338E79014C}"/>
    <cellStyle name="Normal 33 6" xfId="2203" xr:uid="{00000000-0005-0000-0000-0000B51A0000}"/>
    <cellStyle name="Normal 33 6 2" xfId="39344" xr:uid="{09F7351B-5E74-4741-BA70-3C380CF837E7}"/>
    <cellStyle name="Normal 33 6 3" xfId="39343" xr:uid="{4CAE9C42-B67B-428C-9CFE-45BF34745370}"/>
    <cellStyle name="Normal 33 6 4" xfId="49814" xr:uid="{8694DE08-1620-4538-8533-FB37042329C0}"/>
    <cellStyle name="Normal 33 7" xfId="2204" xr:uid="{00000000-0005-0000-0000-0000B61A0000}"/>
    <cellStyle name="Normal 33 7 2" xfId="39346" xr:uid="{B03A6BF9-8A9C-4788-92AD-E9F2DA54F8D3}"/>
    <cellStyle name="Normal 33 7 3" xfId="39345" xr:uid="{E151A978-F237-422D-93DB-438361D56D48}"/>
    <cellStyle name="Normal 33 7 4" xfId="49815" xr:uid="{17D3FB33-3E56-44B8-8346-5471377BC037}"/>
    <cellStyle name="Normal 33 8" xfId="2205" xr:uid="{00000000-0005-0000-0000-0000B71A0000}"/>
    <cellStyle name="Normal 33 8 2" xfId="39348" xr:uid="{7CEBEC1E-62DA-49ED-8752-959C57966215}"/>
    <cellStyle name="Normal 33 8 3" xfId="39347" xr:uid="{29FBD94C-04E3-4E6B-B26F-4EBBF43C514C}"/>
    <cellStyle name="Normal 33 8 4" xfId="49816" xr:uid="{139D6150-0486-4CD2-A876-451C3E0606DB}"/>
    <cellStyle name="Normal 33 9" xfId="2206" xr:uid="{00000000-0005-0000-0000-0000B81A0000}"/>
    <cellStyle name="Normal 33 9 2" xfId="39350" xr:uid="{672AA6C9-A684-44AB-88F0-2A989E08941C}"/>
    <cellStyle name="Normal 33 9 3" xfId="39349" xr:uid="{CB3E3373-575E-415B-9E72-3F6CBC10DBBF}"/>
    <cellStyle name="Normal 33 9 4" xfId="49817" xr:uid="{A794A215-4BD1-4079-B22E-054B55E5531B}"/>
    <cellStyle name="Normal 33_Scen_XBase" xfId="2207" xr:uid="{00000000-0005-0000-0000-0000B91A0000}"/>
    <cellStyle name="Normal 34" xfId="2208" xr:uid="{00000000-0005-0000-0000-0000BA1A0000}"/>
    <cellStyle name="Normal 34 2" xfId="39351" xr:uid="{A474DFDA-C514-434F-B78E-C4E6AFDBEC14}"/>
    <cellStyle name="Normal 35" xfId="4778" xr:uid="{00000000-0005-0000-0000-0000BB1A0000}"/>
    <cellStyle name="Normal 35 10" xfId="39352" xr:uid="{4B1F0EF9-E803-4E00-96BF-3647A19827D5}"/>
    <cellStyle name="Normal 35 2" xfId="4992" xr:uid="{00000000-0005-0000-0000-0000BC1A0000}"/>
    <cellStyle name="Normal 35 2 2" xfId="5410" xr:uid="{00000000-0005-0000-0000-0000BD1A0000}"/>
    <cellStyle name="Normal 35 2 2 2" xfId="7273" xr:uid="{00000000-0005-0000-0000-0000BE1A0000}"/>
    <cellStyle name="Normal 35 2 2 2 2" xfId="15706" xr:uid="{00000000-0005-0000-0000-0000BF1A0000}"/>
    <cellStyle name="Normal 35 2 2 2 2 2" xfId="27600" xr:uid="{37F9D58A-21FF-4070-8FA5-A5C5929CA54F}"/>
    <cellStyle name="Normal 35 2 2 2 2 3" xfId="21940" xr:uid="{596CA634-C81F-46D7-891D-D051832DE9B8}"/>
    <cellStyle name="Normal 35 2 2 2 2 4" xfId="32980" xr:uid="{B50177DF-BEC0-44DF-81C3-5B2BB762840D}"/>
    <cellStyle name="Normal 35 2 2 2 2 5" xfId="39356" xr:uid="{778DD4B1-5C40-46B0-A384-EF6840AB45A3}"/>
    <cellStyle name="Normal 35 2 2 2 3" xfId="24767" xr:uid="{882B7B84-549F-46D0-AEDE-AF7DC2ACD91F}"/>
    <cellStyle name="Normal 35 2 2 2 4" xfId="19107" xr:uid="{89FA7BB9-CC1C-4941-8890-45AEC26BCFD3}"/>
    <cellStyle name="Normal 35 2 2 2 5" xfId="30428" xr:uid="{4EFF3214-F207-4309-8DF4-1924EAE02F6E}"/>
    <cellStyle name="Normal 35 2 2 2 6" xfId="39355" xr:uid="{8180B0D2-A8D7-4E00-9FAD-7A782A021D60}"/>
    <cellStyle name="Normal 35 2 2 3" xfId="14296" xr:uid="{00000000-0005-0000-0000-0000C01A0000}"/>
    <cellStyle name="Normal 35 2 2 3 2" xfId="26335" xr:uid="{434020C5-CECB-4666-AADF-213AD8FB5921}"/>
    <cellStyle name="Normal 35 2 2 3 3" xfId="20675" xr:uid="{DCA3CD1A-3F8F-42A0-A84E-5157BA349E4C}"/>
    <cellStyle name="Normal 35 2 2 3 4" xfId="31715" xr:uid="{0065CC96-0C3B-43CB-B78C-1AD70DFF5BB1}"/>
    <cellStyle name="Normal 35 2 2 3 5" xfId="39357" xr:uid="{A6AAE2BE-41DE-473A-B9DA-4B3999B92536}"/>
    <cellStyle name="Normal 35 2 2 4" xfId="23205" xr:uid="{28042BE1-F2B8-44B4-ADF1-3D53F2542A90}"/>
    <cellStyle name="Normal 35 2 2 5" xfId="17545" xr:uid="{95CFCD9D-3774-4EB7-8DAA-F920CC74C057}"/>
    <cellStyle name="Normal 35 2 2 6" xfId="28866" xr:uid="{E32BB009-932B-4084-8B17-C6C5849E7774}"/>
    <cellStyle name="Normal 35 2 2 7" xfId="39354" xr:uid="{9A393C42-6F0C-4585-BECB-F28A3449E31D}"/>
    <cellStyle name="Normal 35 2 3" xfId="6214" xr:uid="{00000000-0005-0000-0000-0000C11A0000}"/>
    <cellStyle name="Normal 35 2 3 2" xfId="7546" xr:uid="{00000000-0005-0000-0000-0000C21A0000}"/>
    <cellStyle name="Normal 35 2 3 2 2" xfId="15979" xr:uid="{00000000-0005-0000-0000-0000C31A0000}"/>
    <cellStyle name="Normal 35 2 3 2 2 2" xfId="27873" xr:uid="{EA1F2963-B3F8-498A-A259-7642EF960CE4}"/>
    <cellStyle name="Normal 35 2 3 2 2 3" xfId="22213" xr:uid="{1005476C-E10A-4F33-9D75-0A1283BA8572}"/>
    <cellStyle name="Normal 35 2 3 2 2 4" xfId="33253" xr:uid="{6D3F2093-9386-406D-8E91-6911F922CC7A}"/>
    <cellStyle name="Normal 35 2 3 2 2 5" xfId="39360" xr:uid="{A145FAD9-C002-45C8-AAAC-6B454578264B}"/>
    <cellStyle name="Normal 35 2 3 2 3" xfId="25040" xr:uid="{C4CA5E21-DE64-495D-BA30-A274FAA3BCA3}"/>
    <cellStyle name="Normal 35 2 3 2 4" xfId="19380" xr:uid="{43BA837B-8D7D-425A-968E-8FF57753D24E}"/>
    <cellStyle name="Normal 35 2 3 2 5" xfId="30701" xr:uid="{6184424E-4DCD-4500-A3C9-1A1B5FA288CA}"/>
    <cellStyle name="Normal 35 2 3 2 6" xfId="39359" xr:uid="{4503984A-54C8-4273-8FD5-B4A8D70EB075}"/>
    <cellStyle name="Normal 35 2 3 3" xfId="14660" xr:uid="{00000000-0005-0000-0000-0000C41A0000}"/>
    <cellStyle name="Normal 35 2 3 3 2" xfId="26617" xr:uid="{708559C9-FD6B-4B8C-903D-C1ECF2AF563A}"/>
    <cellStyle name="Normal 35 2 3 3 3" xfId="20957" xr:uid="{1538F9BD-9E0E-49E8-996F-ADBD66166DAF}"/>
    <cellStyle name="Normal 35 2 3 3 4" xfId="31997" xr:uid="{BD5B61D9-2917-48D6-B30A-9C32FB552D8C}"/>
    <cellStyle name="Normal 35 2 3 3 5" xfId="39361" xr:uid="{C0ACA7F2-F922-475A-BFE5-6BFFE9757373}"/>
    <cellStyle name="Normal 35 2 3 4" xfId="23784" xr:uid="{203AD27F-5290-41A6-93EE-518CA5135D33}"/>
    <cellStyle name="Normal 35 2 3 5" xfId="18124" xr:uid="{21AAC1F0-B4B9-4A45-B099-3E3DBD53A62C}"/>
    <cellStyle name="Normal 35 2 3 6" xfId="29445" xr:uid="{5455EC5E-13AB-4884-BF21-83121EFDB3A4}"/>
    <cellStyle name="Normal 35 2 3 7" xfId="39358" xr:uid="{A00E9886-D94D-47C6-8FE3-CF23844EADCB}"/>
    <cellStyle name="Normal 35 2 4" xfId="6855" xr:uid="{00000000-0005-0000-0000-0000C51A0000}"/>
    <cellStyle name="Normal 35 2 4 2" xfId="15288" xr:uid="{00000000-0005-0000-0000-0000C61A0000}"/>
    <cellStyle name="Normal 35 2 4 2 2" xfId="27182" xr:uid="{28523A95-6EEA-46F9-BB8D-20CE87DCFB24}"/>
    <cellStyle name="Normal 35 2 4 2 3" xfId="21522" xr:uid="{196EDFEB-BA58-408F-9BDF-E476E9762F07}"/>
    <cellStyle name="Normal 35 2 4 2 4" xfId="32562" xr:uid="{44412CC2-339F-4556-8F51-AF693E87C70B}"/>
    <cellStyle name="Normal 35 2 4 2 5" xfId="39363" xr:uid="{B105469C-12F3-4E4C-8F98-802ED73C5C41}"/>
    <cellStyle name="Normal 35 2 4 3" xfId="24349" xr:uid="{F9654D06-07CF-4D02-B5F5-C2E48FCDB06B}"/>
    <cellStyle name="Normal 35 2 4 4" xfId="18689" xr:uid="{27556119-0008-41A2-A2B6-2FD9AA531AC8}"/>
    <cellStyle name="Normal 35 2 4 5" xfId="30010" xr:uid="{E4FA6774-7131-48A7-92CE-950AF0588470}"/>
    <cellStyle name="Normal 35 2 4 6" xfId="39362" xr:uid="{D305707C-474E-497F-8121-535523225AAD}"/>
    <cellStyle name="Normal 35 2 5" xfId="7984" xr:uid="{00000000-0005-0000-0000-0000C71A0000}"/>
    <cellStyle name="Normal 35 2 5 2" xfId="25465" xr:uid="{63C7923B-FB81-4981-8D6A-EBECD400D750}"/>
    <cellStyle name="Normal 35 2 5 3" xfId="19805" xr:uid="{60D51AA0-151F-4499-AC09-55466E2C81F1}"/>
    <cellStyle name="Normal 35 2 5 4" xfId="31126" xr:uid="{E8A66FC3-0FA4-493D-A699-E35733A7219B}"/>
    <cellStyle name="Normal 35 2 5 5" xfId="39364" xr:uid="{ECC7995D-4376-4651-8B6F-807BB285758E}"/>
    <cellStyle name="Normal 35 2 6" xfId="22787" xr:uid="{81ECB016-B7C2-43FE-B888-1A1AD25DEE78}"/>
    <cellStyle name="Normal 35 2 7" xfId="17127" xr:uid="{A4BB88C4-452C-4DB2-BDA5-059BF17D1898}"/>
    <cellStyle name="Normal 35 2 8" xfId="28448" xr:uid="{F8905218-6B20-46A1-BF50-98CF0574D5FC}"/>
    <cellStyle name="Normal 35 2 9" xfId="39353" xr:uid="{149AA45C-9728-4A27-AF3E-C1FEE6D4D1ED}"/>
    <cellStyle name="Normal 35 3" xfId="5201" xr:uid="{00000000-0005-0000-0000-0000C81A0000}"/>
    <cellStyle name="Normal 35 3 2" xfId="7064" xr:uid="{00000000-0005-0000-0000-0000C91A0000}"/>
    <cellStyle name="Normal 35 3 2 2" xfId="15497" xr:uid="{00000000-0005-0000-0000-0000CA1A0000}"/>
    <cellStyle name="Normal 35 3 2 2 2" xfId="27391" xr:uid="{D1C3363F-7D61-42F5-9398-7073B9E5F64C}"/>
    <cellStyle name="Normal 35 3 2 2 3" xfId="21731" xr:uid="{0C2ECB60-D04F-4639-A642-0BE002ABE1A9}"/>
    <cellStyle name="Normal 35 3 2 2 4" xfId="32771" xr:uid="{DEF1B1B8-D6EC-4FD6-9F59-58829802315D}"/>
    <cellStyle name="Normal 35 3 2 2 5" xfId="39367" xr:uid="{9C79A356-960F-4849-99FA-685F24801D1D}"/>
    <cellStyle name="Normal 35 3 2 3" xfId="24558" xr:uid="{8608BB01-A305-4DE0-BB91-CFF18E5CC5CA}"/>
    <cellStyle name="Normal 35 3 2 4" xfId="18898" xr:uid="{84BBD60E-0DCE-49F2-BACA-A0B4F37844FA}"/>
    <cellStyle name="Normal 35 3 2 5" xfId="30219" xr:uid="{0FAB6520-7D1C-4EBB-82A1-88842F72FAFC}"/>
    <cellStyle name="Normal 35 3 2 6" xfId="39366" xr:uid="{D7557AA9-BA81-4CA7-944D-D6EEDC6AD947}"/>
    <cellStyle name="Normal 35 3 3" xfId="14087" xr:uid="{00000000-0005-0000-0000-0000CB1A0000}"/>
    <cellStyle name="Normal 35 3 3 2" xfId="26126" xr:uid="{71270661-44BA-4CE5-89A6-1485A758093C}"/>
    <cellStyle name="Normal 35 3 3 3" xfId="20466" xr:uid="{D3075D10-C327-4BFA-B23E-28639131BDA3}"/>
    <cellStyle name="Normal 35 3 3 4" xfId="31506" xr:uid="{A98F05F5-21EA-472B-93A1-017B8D4A1850}"/>
    <cellStyle name="Normal 35 3 3 5" xfId="39368" xr:uid="{554768F3-48A3-46FE-8AED-0D085FE33E6C}"/>
    <cellStyle name="Normal 35 3 4" xfId="9456" xr:uid="{00000000-0005-0000-0000-0000CC1A0000}"/>
    <cellStyle name="Normal 35 3 4 2" xfId="39369" xr:uid="{28D4B56B-10D4-4849-8562-8800583CB1E2}"/>
    <cellStyle name="Normal 35 3 5" xfId="22996" xr:uid="{F6B21B53-3C09-4794-A1FE-AACAB3AC3610}"/>
    <cellStyle name="Normal 35 3 6" xfId="17336" xr:uid="{9B33D14D-21B8-4A02-8C6C-1F75DBB79720}"/>
    <cellStyle name="Normal 35 3 7" xfId="28657" xr:uid="{2A3A6632-A284-4516-9DA4-18B4C6AD80D5}"/>
    <cellStyle name="Normal 35 3 8" xfId="39365" xr:uid="{72C8DF0E-8DDE-45E1-9D21-858FB1CF95FA}"/>
    <cellStyle name="Normal 35 4" xfId="5817" xr:uid="{00000000-0005-0000-0000-0000CD1A0000}"/>
    <cellStyle name="Normal 35 4 2" xfId="7306" xr:uid="{00000000-0005-0000-0000-0000CE1A0000}"/>
    <cellStyle name="Normal 35 4 2 2" xfId="15739" xr:uid="{00000000-0005-0000-0000-0000CF1A0000}"/>
    <cellStyle name="Normal 35 4 2 2 2" xfId="27633" xr:uid="{72F83B41-A586-42AB-82BC-D0CA7B802E23}"/>
    <cellStyle name="Normal 35 4 2 2 3" xfId="21973" xr:uid="{27D909A6-9C27-46E6-A204-3B2C1B5CEE40}"/>
    <cellStyle name="Normal 35 4 2 2 4" xfId="33013" xr:uid="{1C471A06-1AFC-4992-B4EA-407536B396DF}"/>
    <cellStyle name="Normal 35 4 2 2 5" xfId="39372" xr:uid="{7B6CADDD-9978-4AB3-B3A3-D830C8936E86}"/>
    <cellStyle name="Normal 35 4 2 3" xfId="24800" xr:uid="{10505BC6-2C71-4948-B5BE-A39B18875588}"/>
    <cellStyle name="Normal 35 4 2 4" xfId="19140" xr:uid="{3805D26B-B5D9-4CE6-83E6-7147F29BEF03}"/>
    <cellStyle name="Normal 35 4 2 5" xfId="30461" xr:uid="{22A9116F-3D35-45EF-B290-0E2EAF7337BA}"/>
    <cellStyle name="Normal 35 4 2 6" xfId="39371" xr:uid="{ADFE7EDC-AB73-4716-96AC-405F13FC1145}"/>
    <cellStyle name="Normal 35 4 3" xfId="14393" xr:uid="{00000000-0005-0000-0000-0000D01A0000}"/>
    <cellStyle name="Normal 35 4 3 2" xfId="26375" xr:uid="{389E6B5A-9417-4697-809A-2E6781E03317}"/>
    <cellStyle name="Normal 35 4 3 3" xfId="20715" xr:uid="{EDCAEE54-341D-417E-B2C3-DA616DAB6C94}"/>
    <cellStyle name="Normal 35 4 3 4" xfId="31755" xr:uid="{3D5DB80F-8018-4033-84C2-352623E6794D}"/>
    <cellStyle name="Normal 35 4 3 5" xfId="39373" xr:uid="{0429E341-35C4-446D-860D-5482B5ED0524}"/>
    <cellStyle name="Normal 35 4 4" xfId="23459" xr:uid="{8D14F3B4-CE0D-4D80-9E1D-693C274A4A3A}"/>
    <cellStyle name="Normal 35 4 5" xfId="17799" xr:uid="{97974911-D459-4499-8090-69CC15B18849}"/>
    <cellStyle name="Normal 35 4 6" xfId="29120" xr:uid="{BC5D0271-901A-4F10-8B4E-3F9A07AE7394}"/>
    <cellStyle name="Normal 35 4 7" xfId="39370" xr:uid="{16E5B01F-E7A8-4A7B-ACDC-19E5FF74E8AD}"/>
    <cellStyle name="Normal 35 5" xfId="6646" xr:uid="{00000000-0005-0000-0000-0000D11A0000}"/>
    <cellStyle name="Normal 35 5 2" xfId="15079" xr:uid="{00000000-0005-0000-0000-0000D21A0000}"/>
    <cellStyle name="Normal 35 5 2 2" xfId="26973" xr:uid="{2BE22A17-5051-4F86-B36C-1B2F4C6FED3D}"/>
    <cellStyle name="Normal 35 5 2 3" xfId="21313" xr:uid="{D430A33D-8634-41CF-B3F8-5109EC1E524E}"/>
    <cellStyle name="Normal 35 5 2 4" xfId="32353" xr:uid="{DFEA614C-DBD0-4768-B2A8-436C06DAFFCF}"/>
    <cellStyle name="Normal 35 5 2 5" xfId="39375" xr:uid="{F55A609E-86B6-4F6C-B531-B01138172AFC}"/>
    <cellStyle name="Normal 35 5 3" xfId="24140" xr:uid="{98F21161-1229-4DF9-AD3A-CC1A73F49677}"/>
    <cellStyle name="Normal 35 5 4" xfId="18480" xr:uid="{58C76B26-7281-4764-AD2C-9F07BD067E83}"/>
    <cellStyle name="Normal 35 5 5" xfId="29801" xr:uid="{0FF946A2-95CC-4753-93C0-53DB5E682064}"/>
    <cellStyle name="Normal 35 5 6" xfId="39374" xr:uid="{172346B2-4650-4281-AA37-CDCDCDECCDF6}"/>
    <cellStyle name="Normal 35 6" xfId="7983" xr:uid="{00000000-0005-0000-0000-0000D31A0000}"/>
    <cellStyle name="Normal 35 6 2" xfId="25464" xr:uid="{E51B54EB-5AF4-48FD-849F-BC6BAAF8F6E2}"/>
    <cellStyle name="Normal 35 6 3" xfId="19804" xr:uid="{BD26C660-7CED-4A25-B8C1-CA8570036D64}"/>
    <cellStyle name="Normal 35 6 4" xfId="31125" xr:uid="{73C641DF-DA99-45A8-BA02-EE0567D4AC66}"/>
    <cellStyle name="Normal 35 6 5" xfId="39376" xr:uid="{0478D647-CD99-4AF6-9C08-AB3F860419A5}"/>
    <cellStyle name="Normal 35 7" xfId="22578" xr:uid="{C143F5DC-49D6-4ECD-8F70-B394C917A0DD}"/>
    <cellStyle name="Normal 35 8" xfId="16918" xr:uid="{2B135260-27D4-421C-9548-462B06FCAB1F}"/>
    <cellStyle name="Normal 35 9" xfId="28239" xr:uid="{FC1A79FF-4995-4BA8-A611-1CF9B542386F}"/>
    <cellStyle name="Normal 36" xfId="4780" xr:uid="{00000000-0005-0000-0000-0000D41A0000}"/>
    <cellStyle name="Normal 36 10" xfId="39377" xr:uid="{0F5BF0A4-64D7-4BF2-A9BF-3740BB64B1A7}"/>
    <cellStyle name="Normal 36 2" xfId="4994" xr:uid="{00000000-0005-0000-0000-0000D51A0000}"/>
    <cellStyle name="Normal 36 2 2" xfId="5412" xr:uid="{00000000-0005-0000-0000-0000D61A0000}"/>
    <cellStyle name="Normal 36 2 2 2" xfId="7275" xr:uid="{00000000-0005-0000-0000-0000D71A0000}"/>
    <cellStyle name="Normal 36 2 2 2 2" xfId="15708" xr:uid="{00000000-0005-0000-0000-0000D81A0000}"/>
    <cellStyle name="Normal 36 2 2 2 2 2" xfId="27602" xr:uid="{34AF9E2F-102E-4B7A-B76F-7E9231DDD677}"/>
    <cellStyle name="Normal 36 2 2 2 2 3" xfId="21942" xr:uid="{1EC977A7-239F-4EDF-9BFE-C79D4503B703}"/>
    <cellStyle name="Normal 36 2 2 2 2 4" xfId="32982" xr:uid="{69B9C713-0D00-4018-9CE4-C6E3770189E9}"/>
    <cellStyle name="Normal 36 2 2 2 2 5" xfId="39381" xr:uid="{80AAF373-E0DC-48EE-B30E-A8C9CC842ED9}"/>
    <cellStyle name="Normal 36 2 2 2 3" xfId="24769" xr:uid="{9EB4ED68-436F-4E23-9DD4-13C06445353E}"/>
    <cellStyle name="Normal 36 2 2 2 4" xfId="19109" xr:uid="{C690DFCA-1074-4CE8-B21C-7F676454223E}"/>
    <cellStyle name="Normal 36 2 2 2 5" xfId="30430" xr:uid="{663DA1F5-FD36-47B9-8856-B795065532F0}"/>
    <cellStyle name="Normal 36 2 2 2 6" xfId="39380" xr:uid="{36D291AD-D035-42F6-9FBF-D31D6C07E4C2}"/>
    <cellStyle name="Normal 36 2 2 3" xfId="14298" xr:uid="{00000000-0005-0000-0000-0000D91A0000}"/>
    <cellStyle name="Normal 36 2 2 3 2" xfId="26337" xr:uid="{F990ECC9-DD7D-4696-9A5D-891CA78221C1}"/>
    <cellStyle name="Normal 36 2 2 3 3" xfId="20677" xr:uid="{A8C2C3F6-4E25-4C77-AA2D-38FAF13D7D2B}"/>
    <cellStyle name="Normal 36 2 2 3 4" xfId="31717" xr:uid="{509709A2-C453-44DB-A342-46224616001D}"/>
    <cellStyle name="Normal 36 2 2 3 5" xfId="39382" xr:uid="{72027E6D-5BFD-46B5-8A83-5FB9469D89AF}"/>
    <cellStyle name="Normal 36 2 2 4" xfId="23207" xr:uid="{C8357B7E-12B0-4833-BD0A-FA00E72A35A0}"/>
    <cellStyle name="Normal 36 2 2 5" xfId="17547" xr:uid="{0F1BDACC-ECA3-4F1E-90BD-2D2A3BD9A78C}"/>
    <cellStyle name="Normal 36 2 2 6" xfId="28868" xr:uid="{DB7A69B2-4642-475C-9427-B1D165F3C206}"/>
    <cellStyle name="Normal 36 2 2 7" xfId="39379" xr:uid="{BEED8AC9-57D4-4EAC-8E81-12C83D1EC948}"/>
    <cellStyle name="Normal 36 2 3" xfId="6216" xr:uid="{00000000-0005-0000-0000-0000DA1A0000}"/>
    <cellStyle name="Normal 36 2 3 2" xfId="7548" xr:uid="{00000000-0005-0000-0000-0000DB1A0000}"/>
    <cellStyle name="Normal 36 2 3 2 2" xfId="15981" xr:uid="{00000000-0005-0000-0000-0000DC1A0000}"/>
    <cellStyle name="Normal 36 2 3 2 2 2" xfId="27875" xr:uid="{486A23C3-E5EA-4925-BE4B-A2F8CE13F862}"/>
    <cellStyle name="Normal 36 2 3 2 2 3" xfId="22215" xr:uid="{773F91D7-B924-4B91-9ED2-5E7F40726ACB}"/>
    <cellStyle name="Normal 36 2 3 2 2 4" xfId="33255" xr:uid="{360124DB-5B48-4346-9C29-BDF6E3E48574}"/>
    <cellStyle name="Normal 36 2 3 2 2 5" xfId="39385" xr:uid="{AAF00177-A07B-4278-9304-BC57B0FD8890}"/>
    <cellStyle name="Normal 36 2 3 2 3" xfId="25042" xr:uid="{3F1E133B-BCFB-4C8D-A7A4-FE197478D9A5}"/>
    <cellStyle name="Normal 36 2 3 2 4" xfId="19382" xr:uid="{2346CDCE-4CF4-4670-8255-B173BE46E751}"/>
    <cellStyle name="Normal 36 2 3 2 5" xfId="30703" xr:uid="{83930975-BF04-4131-AD89-2CF97D6F844E}"/>
    <cellStyle name="Normal 36 2 3 2 6" xfId="39384" xr:uid="{088B60CA-25CE-4008-AD3E-68CA742002E3}"/>
    <cellStyle name="Normal 36 2 3 3" xfId="14662" xr:uid="{00000000-0005-0000-0000-0000DD1A0000}"/>
    <cellStyle name="Normal 36 2 3 3 2" xfId="26619" xr:uid="{C99828B6-1C6F-401C-ACAF-E1CB62CBFDB6}"/>
    <cellStyle name="Normal 36 2 3 3 3" xfId="20959" xr:uid="{7003D59B-9ABB-4698-8088-363D0554D0C6}"/>
    <cellStyle name="Normal 36 2 3 3 4" xfId="31999" xr:uid="{8BD83B17-AC1B-4FC2-8247-9D1F3AC1E764}"/>
    <cellStyle name="Normal 36 2 3 3 5" xfId="39386" xr:uid="{8DBEB404-AADA-4080-8221-E8079ABE245A}"/>
    <cellStyle name="Normal 36 2 3 4" xfId="23786" xr:uid="{3075F4E5-0D38-4AD4-A3D0-05ED5E32C668}"/>
    <cellStyle name="Normal 36 2 3 5" xfId="18126" xr:uid="{C559B7BF-170E-4892-A0E3-F3D9324A747B}"/>
    <cellStyle name="Normal 36 2 3 6" xfId="29447" xr:uid="{D03247F7-33DF-47A5-B859-F7EB93B7AFE5}"/>
    <cellStyle name="Normal 36 2 3 7" xfId="39383" xr:uid="{DE722C3A-906C-4C01-972A-6228D3B8A39A}"/>
    <cellStyle name="Normal 36 2 4" xfId="6857" xr:uid="{00000000-0005-0000-0000-0000DE1A0000}"/>
    <cellStyle name="Normal 36 2 4 2" xfId="15290" xr:uid="{00000000-0005-0000-0000-0000DF1A0000}"/>
    <cellStyle name="Normal 36 2 4 2 2" xfId="27184" xr:uid="{A2A024C7-F91D-409A-A56C-A3DB7D57A0F1}"/>
    <cellStyle name="Normal 36 2 4 2 3" xfId="21524" xr:uid="{C20F40C4-5F60-4E4B-B852-3C15B7FAD5D6}"/>
    <cellStyle name="Normal 36 2 4 2 4" xfId="32564" xr:uid="{DB0CD5C2-B0DF-470B-AE6C-BC59AE252B6B}"/>
    <cellStyle name="Normal 36 2 4 2 5" xfId="39388" xr:uid="{7FEF98A1-2E56-49A6-9EA1-DB4156D5598A}"/>
    <cellStyle name="Normal 36 2 4 3" xfId="24351" xr:uid="{25D6D8A8-35B4-4745-8B0D-DE4E6E78DFC3}"/>
    <cellStyle name="Normal 36 2 4 4" xfId="18691" xr:uid="{9D475F5E-F464-46CE-B5B3-57B97C3CB325}"/>
    <cellStyle name="Normal 36 2 4 5" xfId="30012" xr:uid="{91D6E5E5-7EF6-4FA4-86F7-57796D9B99E6}"/>
    <cellStyle name="Normal 36 2 4 6" xfId="39387" xr:uid="{495442FF-D1D0-4F4A-8862-E51F26FC5DA1}"/>
    <cellStyle name="Normal 36 2 5" xfId="7986" xr:uid="{00000000-0005-0000-0000-0000E01A0000}"/>
    <cellStyle name="Normal 36 2 5 2" xfId="25467" xr:uid="{90F27BCF-B3E3-4A3F-9A4B-0050C21048B3}"/>
    <cellStyle name="Normal 36 2 5 3" xfId="19807" xr:uid="{1A54E0C1-D480-4DA0-9A38-32E321A9AE3A}"/>
    <cellStyle name="Normal 36 2 5 4" xfId="31128" xr:uid="{25AD7A08-5550-464C-9EF9-19CA848479B1}"/>
    <cellStyle name="Normal 36 2 5 5" xfId="39389" xr:uid="{7EE831E8-1935-4EC5-B33D-59F4976C673E}"/>
    <cellStyle name="Normal 36 2 6" xfId="22789" xr:uid="{397CCB1D-3127-4A77-91B4-365A06F28510}"/>
    <cellStyle name="Normal 36 2 7" xfId="17129" xr:uid="{7563A1F6-608C-4C6C-8B3D-D204E7366518}"/>
    <cellStyle name="Normal 36 2 8" xfId="28450" xr:uid="{4AC1DE84-0A6E-4E77-881C-724C911A57AA}"/>
    <cellStyle name="Normal 36 2 9" xfId="39378" xr:uid="{5F1EBAD7-FB99-419C-8A06-F4720E54894F}"/>
    <cellStyle name="Normal 36 3" xfId="5203" xr:uid="{00000000-0005-0000-0000-0000E11A0000}"/>
    <cellStyle name="Normal 36 3 2" xfId="7066" xr:uid="{00000000-0005-0000-0000-0000E21A0000}"/>
    <cellStyle name="Normal 36 3 2 2" xfId="15499" xr:uid="{00000000-0005-0000-0000-0000E31A0000}"/>
    <cellStyle name="Normal 36 3 2 2 2" xfId="27393" xr:uid="{2882012B-A2FF-47CB-B8FD-2D310652D06B}"/>
    <cellStyle name="Normal 36 3 2 2 3" xfId="21733" xr:uid="{6D4720D0-0019-4C43-8EE6-1DC81391C371}"/>
    <cellStyle name="Normal 36 3 2 2 4" xfId="32773" xr:uid="{B53546A5-F7FB-4533-910D-36B7292AED6A}"/>
    <cellStyle name="Normal 36 3 2 2 5" xfId="39392" xr:uid="{ECCBC7ED-B47F-4571-AEC3-03EC03690D56}"/>
    <cellStyle name="Normal 36 3 2 3" xfId="24560" xr:uid="{64942498-3621-4E14-9173-F80D94BB86A4}"/>
    <cellStyle name="Normal 36 3 2 4" xfId="18900" xr:uid="{97F0C1F3-6C7F-48D8-A20C-A177CEBED779}"/>
    <cellStyle name="Normal 36 3 2 5" xfId="30221" xr:uid="{EF44E958-AD60-4756-8759-3C952FA000B6}"/>
    <cellStyle name="Normal 36 3 2 6" xfId="39391" xr:uid="{A1532A26-622A-48DB-8698-9C7422B2E54D}"/>
    <cellStyle name="Normal 36 3 3" xfId="14089" xr:uid="{00000000-0005-0000-0000-0000E41A0000}"/>
    <cellStyle name="Normal 36 3 3 2" xfId="26128" xr:uid="{A8B03B5B-E3B0-4D42-BCAD-3A84023AEB54}"/>
    <cellStyle name="Normal 36 3 3 3" xfId="20468" xr:uid="{1F20313B-B596-484D-90F2-9C2E18705832}"/>
    <cellStyle name="Normal 36 3 3 4" xfId="31508" xr:uid="{8ECD4CDC-A1F9-4442-82CE-9867568E184D}"/>
    <cellStyle name="Normal 36 3 3 5" xfId="39393" xr:uid="{DF505B07-4765-476F-886C-08E147F6D3FB}"/>
    <cellStyle name="Normal 36 3 4" xfId="22998" xr:uid="{E952F5C5-C619-4C3D-9ACD-73F7F0EF2A03}"/>
    <cellStyle name="Normal 36 3 5" xfId="17338" xr:uid="{563FDBA4-0803-4288-B960-6F0B8A2D42DD}"/>
    <cellStyle name="Normal 36 3 6" xfId="28659" xr:uid="{2C4D9A05-5D9D-43A5-A8E2-77FAAD90DBC2}"/>
    <cellStyle name="Normal 36 3 7" xfId="39390" xr:uid="{202A2C0C-46E3-4623-8DA6-B420A3F7A835}"/>
    <cellStyle name="Normal 36 4" xfId="6215" xr:uid="{00000000-0005-0000-0000-0000E51A0000}"/>
    <cellStyle name="Normal 36 4 2" xfId="7547" xr:uid="{00000000-0005-0000-0000-0000E61A0000}"/>
    <cellStyle name="Normal 36 4 2 2" xfId="15980" xr:uid="{00000000-0005-0000-0000-0000E71A0000}"/>
    <cellStyle name="Normal 36 4 2 2 2" xfId="27874" xr:uid="{0827735B-C0EA-485C-BA36-83F8C8F1AC63}"/>
    <cellStyle name="Normal 36 4 2 2 3" xfId="22214" xr:uid="{9FEF71F2-172F-489C-BABF-EB8ACB0AFDEF}"/>
    <cellStyle name="Normal 36 4 2 2 4" xfId="33254" xr:uid="{2CF64C1A-2116-4DE0-9ADA-522B8F1BA61C}"/>
    <cellStyle name="Normal 36 4 2 2 5" xfId="39396" xr:uid="{21E14563-0BC9-4D46-B37C-FC70CCAC22F0}"/>
    <cellStyle name="Normal 36 4 2 3" xfId="25041" xr:uid="{3C137426-6685-4626-A6B4-AAF757CF2AB3}"/>
    <cellStyle name="Normal 36 4 2 4" xfId="19381" xr:uid="{5DE1542C-65BA-4045-8D84-A7D9F6403929}"/>
    <cellStyle name="Normal 36 4 2 5" xfId="30702" xr:uid="{5A88FF5D-2F4A-4A9C-BD16-EC62A6FF6A76}"/>
    <cellStyle name="Normal 36 4 2 6" xfId="39395" xr:uid="{1935D20E-73DA-4917-955B-B391EC62A1ED}"/>
    <cellStyle name="Normal 36 4 3" xfId="14661" xr:uid="{00000000-0005-0000-0000-0000E81A0000}"/>
    <cellStyle name="Normal 36 4 3 2" xfId="26618" xr:uid="{24D7FCF1-113B-4FC6-B9BE-CDEA00975CF2}"/>
    <cellStyle name="Normal 36 4 3 3" xfId="20958" xr:uid="{0968F01B-8F26-44C3-9840-64068A5CE77D}"/>
    <cellStyle name="Normal 36 4 3 4" xfId="31998" xr:uid="{3213CB01-B12A-4D89-A432-08EF7130EC9A}"/>
    <cellStyle name="Normal 36 4 3 5" xfId="39397" xr:uid="{3876496C-952E-4B47-A104-C5CBB0903F6B}"/>
    <cellStyle name="Normal 36 4 4" xfId="23785" xr:uid="{18AF1489-557D-4D8D-A63E-7D848E80499B}"/>
    <cellStyle name="Normal 36 4 5" xfId="18125" xr:uid="{1D08469E-EB0E-475E-985E-2700F7964A16}"/>
    <cellStyle name="Normal 36 4 6" xfId="29446" xr:uid="{C8575D3B-DDAC-435C-B81F-1A4B2CC55C55}"/>
    <cellStyle name="Normal 36 4 7" xfId="39394" xr:uid="{6722E68B-F959-4261-BB26-FBAF1E00822D}"/>
    <cellStyle name="Normal 36 5" xfId="6648" xr:uid="{00000000-0005-0000-0000-0000E91A0000}"/>
    <cellStyle name="Normal 36 5 2" xfId="15081" xr:uid="{00000000-0005-0000-0000-0000EA1A0000}"/>
    <cellStyle name="Normal 36 5 2 2" xfId="26975" xr:uid="{7BF02C9D-1E36-4D0F-B4D6-3F7FF2CDC9F5}"/>
    <cellStyle name="Normal 36 5 2 3" xfId="21315" xr:uid="{6691A6D1-4B3D-461D-99CB-1EA7D252B3D0}"/>
    <cellStyle name="Normal 36 5 2 4" xfId="32355" xr:uid="{66E3D082-B4F3-464C-860E-A83A01801265}"/>
    <cellStyle name="Normal 36 5 2 5" xfId="39399" xr:uid="{529549B5-00E2-40CC-A403-59E5BDDF5BC2}"/>
    <cellStyle name="Normal 36 5 3" xfId="24142" xr:uid="{9FCC9E1F-B6F6-47F7-8BB4-1AB022AB6BB2}"/>
    <cellStyle name="Normal 36 5 4" xfId="18482" xr:uid="{3518479C-7F11-48B4-A128-6795260962BF}"/>
    <cellStyle name="Normal 36 5 5" xfId="29803" xr:uid="{6743872F-D6C0-4DE8-8800-9E092D535529}"/>
    <cellStyle name="Normal 36 5 6" xfId="39398" xr:uid="{CF223CE2-641C-4C7E-85FE-9228608A0732}"/>
    <cellStyle name="Normal 36 6" xfId="7985" xr:uid="{00000000-0005-0000-0000-0000EB1A0000}"/>
    <cellStyle name="Normal 36 6 2" xfId="25466" xr:uid="{1D3B5B5C-DE24-4539-8210-EACC82274B1C}"/>
    <cellStyle name="Normal 36 6 3" xfId="19806" xr:uid="{91EB0E87-B09F-43A7-AE70-15A5ECE587C9}"/>
    <cellStyle name="Normal 36 6 4" xfId="31127" xr:uid="{0E031CBD-B4F3-4758-AD68-673EAE43B71F}"/>
    <cellStyle name="Normal 36 6 5" xfId="39400" xr:uid="{6BF9D23F-484F-4AEC-954C-305E179FA2F9}"/>
    <cellStyle name="Normal 36 7" xfId="22580" xr:uid="{8870546E-DB4A-46D4-A73E-EB31111D8467}"/>
    <cellStyle name="Normal 36 8" xfId="16920" xr:uid="{F488E2B1-9E2F-473E-A36E-8901A0CE1995}"/>
    <cellStyle name="Normal 36 9" xfId="28241" xr:uid="{94C53BE1-1EFD-4BA4-B7B7-6B3025031FF8}"/>
    <cellStyle name="Normal 37" xfId="4794" xr:uid="{00000000-0005-0000-0000-0000EC1A0000}"/>
    <cellStyle name="Normal 37 10" xfId="33455" xr:uid="{1F952BAC-67BB-4270-8A81-A5E103FC76FD}"/>
    <cellStyle name="Normal 37 11" xfId="39401" xr:uid="{4F042440-9E61-4804-8EAB-BDFB5F57E9D7}"/>
    <cellStyle name="Normal 37 2" xfId="5008" xr:uid="{00000000-0005-0000-0000-0000ED1A0000}"/>
    <cellStyle name="Normal 37 2 2" xfId="5426" xr:uid="{00000000-0005-0000-0000-0000EE1A0000}"/>
    <cellStyle name="Normal 37 2 2 2" xfId="7289" xr:uid="{00000000-0005-0000-0000-0000EF1A0000}"/>
    <cellStyle name="Normal 37 2 2 2 2" xfId="15722" xr:uid="{00000000-0005-0000-0000-0000F01A0000}"/>
    <cellStyle name="Normal 37 2 2 2 2 2" xfId="27616" xr:uid="{8D5486C0-1839-4220-A3FA-08FC384A0E82}"/>
    <cellStyle name="Normal 37 2 2 2 2 3" xfId="21956" xr:uid="{ED906717-EC9D-4B5D-A41A-0C858482B6A0}"/>
    <cellStyle name="Normal 37 2 2 2 2 4" xfId="32996" xr:uid="{F0E1BE3B-0B5B-4533-906B-1F6533524C37}"/>
    <cellStyle name="Normal 37 2 2 2 2 5" xfId="39405" xr:uid="{6C15B1F3-860D-4546-B38E-0667CE913376}"/>
    <cellStyle name="Normal 37 2 2 2 3" xfId="24783" xr:uid="{A42122BD-E11D-44DA-8A47-F8840E6FEC9C}"/>
    <cellStyle name="Normal 37 2 2 2 4" xfId="19123" xr:uid="{21CA7613-833E-4534-895D-96EF0A3069C0}"/>
    <cellStyle name="Normal 37 2 2 2 5" xfId="30444" xr:uid="{D9E034FF-637C-40EC-AE87-DCDF032B0333}"/>
    <cellStyle name="Normal 37 2 2 2 6" xfId="39404" xr:uid="{6D4719AF-A7AC-4563-A556-7804B4733E14}"/>
    <cellStyle name="Normal 37 2 2 3" xfId="14312" xr:uid="{00000000-0005-0000-0000-0000F11A0000}"/>
    <cellStyle name="Normal 37 2 2 3 2" xfId="26351" xr:uid="{5C506C59-2217-42D6-A54F-67B0C45AAE03}"/>
    <cellStyle name="Normal 37 2 2 3 3" xfId="20691" xr:uid="{1CEFA4C2-623D-48B1-A1A5-AD703CC74CE7}"/>
    <cellStyle name="Normal 37 2 2 3 4" xfId="31731" xr:uid="{685335AA-B370-435B-A156-B0BE0C19BE71}"/>
    <cellStyle name="Normal 37 2 2 3 5" xfId="39406" xr:uid="{3F708A80-B422-4137-8A63-42991932D830}"/>
    <cellStyle name="Normal 37 2 2 4" xfId="23221" xr:uid="{BE5E6A05-E84C-4975-984E-BCBA40BA05AD}"/>
    <cellStyle name="Normal 37 2 2 5" xfId="17561" xr:uid="{E43D77FB-1411-4120-B144-709253DCF2E1}"/>
    <cellStyle name="Normal 37 2 2 6" xfId="28882" xr:uid="{536BFDBD-D386-4F7C-B378-6FD1857A20BC}"/>
    <cellStyle name="Normal 37 2 2 7" xfId="39403" xr:uid="{B0C858FF-9426-43F7-9C26-D9C40C62E6A3}"/>
    <cellStyle name="Normal 37 2 3" xfId="6217" xr:uid="{00000000-0005-0000-0000-0000F21A0000}"/>
    <cellStyle name="Normal 37 2 3 2" xfId="7549" xr:uid="{00000000-0005-0000-0000-0000F31A0000}"/>
    <cellStyle name="Normal 37 2 3 2 2" xfId="15982" xr:uid="{00000000-0005-0000-0000-0000F41A0000}"/>
    <cellStyle name="Normal 37 2 3 2 2 2" xfId="27876" xr:uid="{94C9215D-D9F5-47F0-8CFA-1E35E69B2DD7}"/>
    <cellStyle name="Normal 37 2 3 2 2 3" xfId="22216" xr:uid="{0A5DF12B-C017-47FF-9175-A200F7E8B0E9}"/>
    <cellStyle name="Normal 37 2 3 2 2 4" xfId="33256" xr:uid="{52FAF546-3CB2-47D9-86B3-E418CFA29FDB}"/>
    <cellStyle name="Normal 37 2 3 2 2 5" xfId="39409" xr:uid="{80634A15-7C6B-4987-B50C-AFCDB3C3DF1C}"/>
    <cellStyle name="Normal 37 2 3 2 3" xfId="25043" xr:uid="{6F7F0FE0-D620-4B17-A1BB-19AA665AC3BF}"/>
    <cellStyle name="Normal 37 2 3 2 4" xfId="19383" xr:uid="{33D5A547-1B40-4FE5-AE26-18DE7AAED757}"/>
    <cellStyle name="Normal 37 2 3 2 5" xfId="30704" xr:uid="{C77EF2FB-14AB-4657-9E57-0ECCD565F0FB}"/>
    <cellStyle name="Normal 37 2 3 2 6" xfId="39408" xr:uid="{EFF815A3-8739-4246-8D90-B0DA4F2D89FC}"/>
    <cellStyle name="Normal 37 2 3 3" xfId="14663" xr:uid="{00000000-0005-0000-0000-0000F51A0000}"/>
    <cellStyle name="Normal 37 2 3 3 2" xfId="26620" xr:uid="{909E438C-70B2-4645-8DDB-AAD3E9CA53E9}"/>
    <cellStyle name="Normal 37 2 3 3 3" xfId="20960" xr:uid="{D81AF390-C94C-4B11-B107-3B28E764E94C}"/>
    <cellStyle name="Normal 37 2 3 3 4" xfId="32000" xr:uid="{844CF4F5-89DF-4EEC-88C5-AFEC97511C65}"/>
    <cellStyle name="Normal 37 2 3 3 5" xfId="39410" xr:uid="{E33AB249-9378-41BE-B364-66386D506F7C}"/>
    <cellStyle name="Normal 37 2 3 4" xfId="23787" xr:uid="{53D242BD-89D2-461E-B587-26421EB714EE}"/>
    <cellStyle name="Normal 37 2 3 5" xfId="18127" xr:uid="{27868DA5-6EE8-4F68-8FAF-BCC1B6C060D2}"/>
    <cellStyle name="Normal 37 2 3 6" xfId="29448" xr:uid="{3E3507FE-4199-474E-B542-AAC38E03359B}"/>
    <cellStyle name="Normal 37 2 3 7" xfId="39407" xr:uid="{54012DB8-492D-4ECC-8DA8-0452A60DD9F6}"/>
    <cellStyle name="Normal 37 2 4" xfId="6871" xr:uid="{00000000-0005-0000-0000-0000F61A0000}"/>
    <cellStyle name="Normal 37 2 4 2" xfId="15304" xr:uid="{00000000-0005-0000-0000-0000F71A0000}"/>
    <cellStyle name="Normal 37 2 4 2 2" xfId="27198" xr:uid="{B8337528-3970-456F-A412-EB558975D61D}"/>
    <cellStyle name="Normal 37 2 4 2 3" xfId="21538" xr:uid="{CF0AEACE-9A29-4398-A389-385272ED19A6}"/>
    <cellStyle name="Normal 37 2 4 2 4" xfId="32578" xr:uid="{9AFA899E-8304-4B97-ACE4-EF4689D5D08C}"/>
    <cellStyle name="Normal 37 2 4 2 5" xfId="39412" xr:uid="{E62708E1-172B-4673-9D4C-E81281290F26}"/>
    <cellStyle name="Normal 37 2 4 3" xfId="24365" xr:uid="{0410B4A7-AEAA-4B98-9B7A-1B065CB772E2}"/>
    <cellStyle name="Normal 37 2 4 4" xfId="18705" xr:uid="{524B9063-4000-4755-AC6A-BA3BD3D12992}"/>
    <cellStyle name="Normal 37 2 4 5" xfId="30026" xr:uid="{CFB991E6-BC6B-45FC-8A6E-2EE42633407E}"/>
    <cellStyle name="Normal 37 2 4 6" xfId="39411" xr:uid="{FF38FB45-ECE8-4245-86AF-85AC1278C031}"/>
    <cellStyle name="Normal 37 2 5" xfId="7988" xr:uid="{00000000-0005-0000-0000-0000F81A0000}"/>
    <cellStyle name="Normal 37 2 5 2" xfId="25469" xr:uid="{38D0BCCE-978A-4BCA-B490-AE512EA04CB8}"/>
    <cellStyle name="Normal 37 2 5 3" xfId="19809" xr:uid="{D395DE3B-B45C-4AAF-B933-4965F58006EB}"/>
    <cellStyle name="Normal 37 2 5 4" xfId="31130" xr:uid="{D568D8CE-4382-4DB8-9D7C-7A9BDC9D0E60}"/>
    <cellStyle name="Normal 37 2 5 5" xfId="39413" xr:uid="{AD37308B-DD73-44F6-B180-4F0FE4BFCCB7}"/>
    <cellStyle name="Normal 37 2 6" xfId="22803" xr:uid="{4CEF8594-F4CA-498A-AE9F-AEF209440EEE}"/>
    <cellStyle name="Normal 37 2 7" xfId="17143" xr:uid="{F95D5B06-DD03-4A78-859A-32B5AB289B24}"/>
    <cellStyle name="Normal 37 2 8" xfId="28464" xr:uid="{8154C77C-D92C-46B9-82B7-6DB7146FAA1D}"/>
    <cellStyle name="Normal 37 2 9" xfId="39402" xr:uid="{EA127AAC-6C33-44E2-A8B4-B613EC6BCB0E}"/>
    <cellStyle name="Normal 37 3" xfId="5217" xr:uid="{00000000-0005-0000-0000-0000F91A0000}"/>
    <cellStyle name="Normal 37 3 2" xfId="7080" xr:uid="{00000000-0005-0000-0000-0000FA1A0000}"/>
    <cellStyle name="Normal 37 3 2 2" xfId="15513" xr:uid="{00000000-0005-0000-0000-0000FB1A0000}"/>
    <cellStyle name="Normal 37 3 2 2 2" xfId="27407" xr:uid="{4B566ADC-3307-42DF-93FA-6E3AF53E3B6C}"/>
    <cellStyle name="Normal 37 3 2 2 3" xfId="21747" xr:uid="{8A2574D3-2504-4BAB-A01F-44179EEAC772}"/>
    <cellStyle name="Normal 37 3 2 2 4" xfId="32787" xr:uid="{FA4457D5-1FD0-44B5-BAB2-DE662272F05F}"/>
    <cellStyle name="Normal 37 3 2 2 5" xfId="39416" xr:uid="{4DD2C7FD-76BB-4968-B455-DBEDB46CD401}"/>
    <cellStyle name="Normal 37 3 2 3" xfId="24574" xr:uid="{45727722-0DE1-4AE0-849D-DAF62926C880}"/>
    <cellStyle name="Normal 37 3 2 4" xfId="18914" xr:uid="{E1D24B31-9BCD-4B2F-8C01-92C994B00F99}"/>
    <cellStyle name="Normal 37 3 2 5" xfId="30235" xr:uid="{8302D3E0-1820-456A-8FCE-8C81AC6BD1AC}"/>
    <cellStyle name="Normal 37 3 2 6" xfId="39415" xr:uid="{07F2312B-50F1-4B16-AEFF-791CF434DA1A}"/>
    <cellStyle name="Normal 37 3 3" xfId="14103" xr:uid="{00000000-0005-0000-0000-0000FC1A0000}"/>
    <cellStyle name="Normal 37 3 3 2" xfId="26142" xr:uid="{778FB3B1-7A73-4796-8534-867A90F085B2}"/>
    <cellStyle name="Normal 37 3 3 3" xfId="20482" xr:uid="{39459B71-12BC-4DF8-ABFB-2071B1B0DBCC}"/>
    <cellStyle name="Normal 37 3 3 4" xfId="31522" xr:uid="{48B28CB2-9C31-4C27-B0A2-BFD3714906D7}"/>
    <cellStyle name="Normal 37 3 3 5" xfId="39417" xr:uid="{34264F36-9870-4C77-8D9D-9D0932709E80}"/>
    <cellStyle name="Normal 37 3 4" xfId="23012" xr:uid="{41597306-2919-4751-A2B1-BEE8062DB105}"/>
    <cellStyle name="Normal 37 3 5" xfId="17352" xr:uid="{0725DC2A-2B76-4DED-B142-44D948EA41A7}"/>
    <cellStyle name="Normal 37 3 6" xfId="28673" xr:uid="{6D5F2E37-1C14-4E62-B223-02EB06765FA1}"/>
    <cellStyle name="Normal 37 3 7" xfId="39414" xr:uid="{CAE7E5B6-E7EE-4452-86E0-578CE44B5486}"/>
    <cellStyle name="Normal 37 4" xfId="5818" xr:uid="{00000000-0005-0000-0000-0000FD1A0000}"/>
    <cellStyle name="Normal 37 4 2" xfId="7307" xr:uid="{00000000-0005-0000-0000-0000FE1A0000}"/>
    <cellStyle name="Normal 37 4 2 2" xfId="15740" xr:uid="{00000000-0005-0000-0000-0000FF1A0000}"/>
    <cellStyle name="Normal 37 4 2 2 2" xfId="27634" xr:uid="{53EBDA15-D76E-475E-8E4B-9E6A219E57C6}"/>
    <cellStyle name="Normal 37 4 2 2 3" xfId="21974" xr:uid="{E111C69C-908A-4804-B3D0-B68E51E53E61}"/>
    <cellStyle name="Normal 37 4 2 2 4" xfId="33014" xr:uid="{9BC14DC9-6434-432E-A7A4-B553B14A8B9E}"/>
    <cellStyle name="Normal 37 4 2 2 5" xfId="39420" xr:uid="{47ECB1B5-052E-4E95-86D4-35BADD24C37B}"/>
    <cellStyle name="Normal 37 4 2 3" xfId="24801" xr:uid="{07EA0D8B-FD14-4933-A05C-448C8A333C32}"/>
    <cellStyle name="Normal 37 4 2 4" xfId="19141" xr:uid="{3529989E-D49B-4677-92DE-2E04CF8A036F}"/>
    <cellStyle name="Normal 37 4 2 5" xfId="30462" xr:uid="{18A0FAD0-3E95-4B24-9256-7F3B608A4A39}"/>
    <cellStyle name="Normal 37 4 2 6" xfId="39419" xr:uid="{5B7901AC-8673-4D1B-BFBB-0F0A3F2F58EF}"/>
    <cellStyle name="Normal 37 4 3" xfId="14394" xr:uid="{00000000-0005-0000-0000-0000001B0000}"/>
    <cellStyle name="Normal 37 4 3 2" xfId="26376" xr:uid="{94AAC7E2-B3A0-46A5-A266-BEF2E3FE67E4}"/>
    <cellStyle name="Normal 37 4 3 3" xfId="20716" xr:uid="{40A89ACF-75C6-42C5-B674-B614DD545A21}"/>
    <cellStyle name="Normal 37 4 3 4" xfId="31756" xr:uid="{F3C39060-F3D1-489C-BB13-DC14E27E694B}"/>
    <cellStyle name="Normal 37 4 3 5" xfId="39421" xr:uid="{8C5E7012-AB9F-48D5-B538-61175E52AFA2}"/>
    <cellStyle name="Normal 37 4 4" xfId="23460" xr:uid="{14829EF9-D1F6-482B-8A48-0B2C6679A8C3}"/>
    <cellStyle name="Normal 37 4 5" xfId="17800" xr:uid="{FC8B8CDD-D3A9-4D6B-BDE6-3EB0B0E43513}"/>
    <cellStyle name="Normal 37 4 6" xfId="29121" xr:uid="{54D5C53B-C8E6-4C80-BE23-0D29B6551762}"/>
    <cellStyle name="Normal 37 4 7" xfId="39418" xr:uid="{DA119EE7-204A-421A-9DBF-7E0F4D5F48AA}"/>
    <cellStyle name="Normal 37 5" xfId="6662" xr:uid="{00000000-0005-0000-0000-0000011B0000}"/>
    <cellStyle name="Normal 37 5 2" xfId="15095" xr:uid="{00000000-0005-0000-0000-0000021B0000}"/>
    <cellStyle name="Normal 37 5 2 2" xfId="26989" xr:uid="{AA17C6CB-D2E5-432C-8C7A-DC46B2D221FD}"/>
    <cellStyle name="Normal 37 5 2 3" xfId="21329" xr:uid="{1CC9CC56-494B-4F8D-938D-868DC899E0E1}"/>
    <cellStyle name="Normal 37 5 2 4" xfId="32369" xr:uid="{509BA5C8-F8C1-46DD-9AC2-BCD6CD9DC014}"/>
    <cellStyle name="Normal 37 5 2 5" xfId="39423" xr:uid="{DA8FD127-FEEC-4916-886F-0F6AE4A194DB}"/>
    <cellStyle name="Normal 37 5 3" xfId="24156" xr:uid="{FF04159C-4C95-4179-BB9D-03FCE7EE1CFF}"/>
    <cellStyle name="Normal 37 5 4" xfId="18496" xr:uid="{3ABBDD90-8A99-436F-B952-E1CB781EBC7E}"/>
    <cellStyle name="Normal 37 5 5" xfId="29817" xr:uid="{341E1FCA-A0D1-4799-A08D-10A6D28743C6}"/>
    <cellStyle name="Normal 37 5 6" xfId="39422" xr:uid="{508E059F-835D-48A2-A9B3-D7D0F82585D9}"/>
    <cellStyle name="Normal 37 6" xfId="7987" xr:uid="{00000000-0005-0000-0000-0000031B0000}"/>
    <cellStyle name="Normal 37 6 2" xfId="25468" xr:uid="{38A672D8-7E19-4537-AFA3-68A278855918}"/>
    <cellStyle name="Normal 37 6 3" xfId="19808" xr:uid="{AEA78A47-C36F-4EBF-A87E-E5078EDB71B7}"/>
    <cellStyle name="Normal 37 6 4" xfId="31129" xr:uid="{DBD8D916-1005-4978-9E0C-BF1830A99786}"/>
    <cellStyle name="Normal 37 6 5" xfId="39424" xr:uid="{384D9E9E-FF2E-4C47-8436-C4B943C2032C}"/>
    <cellStyle name="Normal 37 7" xfId="22594" xr:uid="{B5985815-22F5-4016-9FA8-7C4F6428B375}"/>
    <cellStyle name="Normal 37 8" xfId="16934" xr:uid="{E61713ED-27F5-4587-B270-70FADE6E21E1}"/>
    <cellStyle name="Normal 37 9" xfId="28255" xr:uid="{5851DF33-C37E-4CCB-8E45-3A082D674E5D}"/>
    <cellStyle name="Normal 38" xfId="7713" xr:uid="{00000000-0005-0000-0000-0000041B0000}"/>
    <cellStyle name="Normal 38 2" xfId="39425" xr:uid="{8FA62BBD-14B6-4C31-8C78-6CEDBE68B9A9}"/>
    <cellStyle name="Normal 39" xfId="12160" xr:uid="{00000000-0005-0000-0000-0000051B0000}"/>
    <cellStyle name="Normal 39 2" xfId="39426" xr:uid="{51331ACF-50F8-4AFD-90FF-D04368875A1C}"/>
    <cellStyle name="Normal 4" xfId="164" xr:uid="{00000000-0005-0000-0000-0000061B0000}"/>
    <cellStyle name="Normal 4 10" xfId="2210" xr:uid="{00000000-0005-0000-0000-0000071B0000}"/>
    <cellStyle name="Normal 4 10 2" xfId="4237" xr:uid="{00000000-0005-0000-0000-0000081B0000}"/>
    <cellStyle name="Normal 4 10 2 2" xfId="39429" xr:uid="{980CA833-AA19-445E-ABAD-AB837FBF307C}"/>
    <cellStyle name="Normal 4 10 3" xfId="6218" xr:uid="{00000000-0005-0000-0000-0000091B0000}"/>
    <cellStyle name="Normal 4 10 3 2" xfId="39430" xr:uid="{508467D0-1EAB-4AAA-85B3-8A15716FBAFB}"/>
    <cellStyle name="Normal 4 10 4" xfId="39428" xr:uid="{5AC65BBF-4C73-4EE3-A788-52F6F492DF79}"/>
    <cellStyle name="Normal 4 11" xfId="2209" xr:uid="{00000000-0005-0000-0000-00000A1B0000}"/>
    <cellStyle name="Normal 4 11 2" xfId="4238" xr:uid="{00000000-0005-0000-0000-00000B1B0000}"/>
    <cellStyle name="Normal 4 11 2 2" xfId="39432" xr:uid="{63F2AC94-36EF-4678-87F3-11474FD114DD}"/>
    <cellStyle name="Normal 4 11 3" xfId="6219" xr:uid="{00000000-0005-0000-0000-00000C1B0000}"/>
    <cellStyle name="Normal 4 11 3 2" xfId="39433" xr:uid="{C3D0F212-B986-418B-8F20-EE1981BAEF34}"/>
    <cellStyle name="Normal 4 11 4" xfId="39431" xr:uid="{7AACF07B-1554-4A29-88E9-E44521F308E3}"/>
    <cellStyle name="Normal 4 12" xfId="4239" xr:uid="{00000000-0005-0000-0000-00000D1B0000}"/>
    <cellStyle name="Normal 4 12 2" xfId="39434" xr:uid="{38A881C8-7E6A-4812-8A88-600884FEBAE1}"/>
    <cellStyle name="Normal 4 13" xfId="7989" xr:uid="{00000000-0005-0000-0000-00000E1B0000}"/>
    <cellStyle name="Normal 4 13 2" xfId="9673" xr:uid="{00000000-0005-0000-0000-00000F1B0000}"/>
    <cellStyle name="Normal 4 13 2 2" xfId="9674" xr:uid="{00000000-0005-0000-0000-0000101B0000}"/>
    <cellStyle name="Normal 4 13 2 2 2" xfId="39437" xr:uid="{2F022529-6EE5-4752-A13D-014A987E024B}"/>
    <cellStyle name="Normal 4 13 2 3" xfId="9675" xr:uid="{00000000-0005-0000-0000-0000111B0000}"/>
    <cellStyle name="Normal 4 13 2 3 2" xfId="39438" xr:uid="{F5092539-B0A9-4E99-8AAC-6CA197B5D2B2}"/>
    <cellStyle name="Normal 4 13 2 4" xfId="9676" xr:uid="{00000000-0005-0000-0000-0000121B0000}"/>
    <cellStyle name="Normal 4 13 2 4 2" xfId="39439" xr:uid="{A2F857A7-8835-40DE-BFDA-3DCFB6113C39}"/>
    <cellStyle name="Normal 4 13 2 5" xfId="39436" xr:uid="{9CC62F83-7264-40D4-A99F-5CDDAC9D774B}"/>
    <cellStyle name="Normal 4 13 3" xfId="9672" xr:uid="{00000000-0005-0000-0000-0000131B0000}"/>
    <cellStyle name="Normal 4 13 3 2" xfId="39440" xr:uid="{9BAFBF69-B9AE-4DDF-A298-0370B56A1EA3}"/>
    <cellStyle name="Normal 4 13 4" xfId="39435" xr:uid="{63096C93-770A-4097-8552-D265018E044D}"/>
    <cellStyle name="Normal 4 14" xfId="39427" xr:uid="{8891353E-2DF7-4F9B-894E-82E636B29C12}"/>
    <cellStyle name="Normal 4 2" xfId="165" xr:uid="{00000000-0005-0000-0000-0000141B0000}"/>
    <cellStyle name="Normal 4 2 10" xfId="4240" xr:uid="{00000000-0005-0000-0000-0000151B0000}"/>
    <cellStyle name="Normal 4 2 10 10" xfId="39442" xr:uid="{4E925675-B6F8-429D-899F-03DDA9A55776}"/>
    <cellStyle name="Normal 4 2 10 2" xfId="4953" xr:uid="{00000000-0005-0000-0000-0000161B0000}"/>
    <cellStyle name="Normal 4 2 10 2 2" xfId="5372" xr:uid="{00000000-0005-0000-0000-0000171B0000}"/>
    <cellStyle name="Normal 4 2 10 2 2 2" xfId="7235" xr:uid="{00000000-0005-0000-0000-0000181B0000}"/>
    <cellStyle name="Normal 4 2 10 2 2 2 2" xfId="15668" xr:uid="{00000000-0005-0000-0000-0000191B0000}"/>
    <cellStyle name="Normal 4 2 10 2 2 2 2 2" xfId="27562" xr:uid="{94CE654D-BEA7-4D7E-B8E9-668DB33C59C2}"/>
    <cellStyle name="Normal 4 2 10 2 2 2 2 3" xfId="21902" xr:uid="{F76DDC80-1090-419A-A88F-D3E1398D1BE9}"/>
    <cellStyle name="Normal 4 2 10 2 2 2 2 4" xfId="32942" xr:uid="{7D2F1704-049A-4487-A4B9-DA6A68574385}"/>
    <cellStyle name="Normal 4 2 10 2 2 2 2 5" xfId="39446" xr:uid="{6574EC1C-6DF9-443C-8DB6-7A968F648EBC}"/>
    <cellStyle name="Normal 4 2 10 2 2 2 3" xfId="24729" xr:uid="{7421AB45-7277-4EAE-97BA-57612A82B3AA}"/>
    <cellStyle name="Normal 4 2 10 2 2 2 4" xfId="19069" xr:uid="{BC0F4EFD-E8F3-4A26-AF32-86140D31A5D5}"/>
    <cellStyle name="Normal 4 2 10 2 2 2 5" xfId="30390" xr:uid="{88F867EC-9D95-48AF-AD4A-6DC327BD3EA9}"/>
    <cellStyle name="Normal 4 2 10 2 2 2 6" xfId="39445" xr:uid="{22095058-0E3F-40A6-80A4-FD13A169D6CD}"/>
    <cellStyle name="Normal 4 2 10 2 2 3" xfId="14258" xr:uid="{00000000-0005-0000-0000-00001A1B0000}"/>
    <cellStyle name="Normal 4 2 10 2 2 3 2" xfId="26297" xr:uid="{D44A2B82-D130-4C62-B970-198700055346}"/>
    <cellStyle name="Normal 4 2 10 2 2 3 3" xfId="20637" xr:uid="{8D34735D-EBE0-464A-A046-1CAB0FD6E0EB}"/>
    <cellStyle name="Normal 4 2 10 2 2 3 4" xfId="31677" xr:uid="{39A3FF5E-ECC3-433B-A47C-CFE4B82778CD}"/>
    <cellStyle name="Normal 4 2 10 2 2 3 5" xfId="39447" xr:uid="{B9190F57-0DB9-4C22-A2CB-C9B0E4FB8366}"/>
    <cellStyle name="Normal 4 2 10 2 2 4" xfId="23167" xr:uid="{DC2B746A-822A-46DC-BD2F-0B4B46BB0DCC}"/>
    <cellStyle name="Normal 4 2 10 2 2 5" xfId="17507" xr:uid="{611E6FBA-EFAB-4493-88A3-48CA9ED2B5CA}"/>
    <cellStyle name="Normal 4 2 10 2 2 6" xfId="28828" xr:uid="{DFC06CB6-A623-4FC9-A418-A3E29440812B}"/>
    <cellStyle name="Normal 4 2 10 2 2 7" xfId="39444" xr:uid="{6B7CA090-9827-432C-AB8E-9019E6583C1C}"/>
    <cellStyle name="Normal 4 2 10 2 3" xfId="6221" xr:uid="{00000000-0005-0000-0000-00001B1B0000}"/>
    <cellStyle name="Normal 4 2 10 2 3 2" xfId="7551" xr:uid="{00000000-0005-0000-0000-00001C1B0000}"/>
    <cellStyle name="Normal 4 2 10 2 3 2 2" xfId="15984" xr:uid="{00000000-0005-0000-0000-00001D1B0000}"/>
    <cellStyle name="Normal 4 2 10 2 3 2 2 2" xfId="27878" xr:uid="{DA4BAC03-916B-4083-94DB-1F6C0F21E5EF}"/>
    <cellStyle name="Normal 4 2 10 2 3 2 2 3" xfId="22218" xr:uid="{5914EE54-B1FA-4BF9-8DC9-7261379DFFBD}"/>
    <cellStyle name="Normal 4 2 10 2 3 2 2 4" xfId="33258" xr:uid="{C3F9100E-C7C4-4E06-94E9-1E314FD2D4A0}"/>
    <cellStyle name="Normal 4 2 10 2 3 2 2 5" xfId="39450" xr:uid="{25127BAE-620F-4B7F-A2C5-CF9A561E8044}"/>
    <cellStyle name="Normal 4 2 10 2 3 2 3" xfId="25045" xr:uid="{ED9A8488-99BE-49C7-AFBD-FD6018582E41}"/>
    <cellStyle name="Normal 4 2 10 2 3 2 4" xfId="19385" xr:uid="{BC7B9D5D-8877-479F-BEA5-837EFC82F7D5}"/>
    <cellStyle name="Normal 4 2 10 2 3 2 5" xfId="30706" xr:uid="{5FCEA379-822F-4941-8B89-C92F73C96233}"/>
    <cellStyle name="Normal 4 2 10 2 3 2 6" xfId="39449" xr:uid="{3C819165-B7C4-4DFE-8D14-5ABF2594E74B}"/>
    <cellStyle name="Normal 4 2 10 2 3 3" xfId="14666" xr:uid="{00000000-0005-0000-0000-00001E1B0000}"/>
    <cellStyle name="Normal 4 2 10 2 3 3 2" xfId="26622" xr:uid="{9A07F03D-41D6-457D-B3C1-9AC5E9028FDE}"/>
    <cellStyle name="Normal 4 2 10 2 3 3 3" xfId="20962" xr:uid="{9BB7C802-5FB8-4E1C-8053-2A32B6538DDE}"/>
    <cellStyle name="Normal 4 2 10 2 3 3 4" xfId="32002" xr:uid="{D7B5E2D4-94E9-4769-A116-C6B4F2BD046C}"/>
    <cellStyle name="Normal 4 2 10 2 3 3 5" xfId="39451" xr:uid="{AA4E65AC-6B48-4DA5-A447-3DDE698F1299}"/>
    <cellStyle name="Normal 4 2 10 2 3 4" xfId="23789" xr:uid="{0E70FD0A-9657-41AF-BA72-F20A019B3C46}"/>
    <cellStyle name="Normal 4 2 10 2 3 5" xfId="18129" xr:uid="{B364BCE2-1FB8-4B49-ABBA-27FF33943DC7}"/>
    <cellStyle name="Normal 4 2 10 2 3 6" xfId="29450" xr:uid="{30197C04-C4ED-4150-9485-D06B2A99D5F1}"/>
    <cellStyle name="Normal 4 2 10 2 3 7" xfId="39448" xr:uid="{EC825CF6-6010-4F94-B335-38BB95D6CE2E}"/>
    <cellStyle name="Normal 4 2 10 2 4" xfId="6817" xr:uid="{00000000-0005-0000-0000-00001F1B0000}"/>
    <cellStyle name="Normal 4 2 10 2 4 2" xfId="15250" xr:uid="{00000000-0005-0000-0000-0000201B0000}"/>
    <cellStyle name="Normal 4 2 10 2 4 2 2" xfId="27144" xr:uid="{4C333928-24AB-44AE-BACD-E005F01B52C4}"/>
    <cellStyle name="Normal 4 2 10 2 4 2 3" xfId="21484" xr:uid="{BAE9F817-183A-40F9-8A96-7A6EFA090AF8}"/>
    <cellStyle name="Normal 4 2 10 2 4 2 4" xfId="32524" xr:uid="{117F76D6-40F3-4C25-9922-EA149F4CED25}"/>
    <cellStyle name="Normal 4 2 10 2 4 2 5" xfId="39453" xr:uid="{A7EFA4E6-8C1A-4C2F-AA96-867BA8D7BDEE}"/>
    <cellStyle name="Normal 4 2 10 2 4 3" xfId="24311" xr:uid="{6ECD2906-3712-459E-8AED-ECB6CBB764FE}"/>
    <cellStyle name="Normal 4 2 10 2 4 4" xfId="18651" xr:uid="{6C5F0916-3574-4FDB-893B-066877209DDE}"/>
    <cellStyle name="Normal 4 2 10 2 4 5" xfId="29972" xr:uid="{CDC72A35-6935-4884-8374-A167CE916041}"/>
    <cellStyle name="Normal 4 2 10 2 4 6" xfId="39452" xr:uid="{461D841C-51B6-4E6F-900D-75B0F5D58425}"/>
    <cellStyle name="Normal 4 2 10 2 5" xfId="7992" xr:uid="{00000000-0005-0000-0000-0000211B0000}"/>
    <cellStyle name="Normal 4 2 10 2 5 2" xfId="25472" xr:uid="{74B9F483-2EF0-41EC-8ED9-BAFCCE111D55}"/>
    <cellStyle name="Normal 4 2 10 2 5 3" xfId="19812" xr:uid="{35EDC127-36E2-477F-BE25-8C79C1EA5E2A}"/>
    <cellStyle name="Normal 4 2 10 2 5 4" xfId="31133" xr:uid="{2C1C2E30-6850-4B91-862E-5FF92AAF3A03}"/>
    <cellStyle name="Normal 4 2 10 2 5 5" xfId="39454" xr:uid="{BE01484C-90CA-4838-A8A6-E82CE387480F}"/>
    <cellStyle name="Normal 4 2 10 2 6" xfId="22749" xr:uid="{0A0BCB98-47F5-48C9-BB85-FA510B704EF4}"/>
    <cellStyle name="Normal 4 2 10 2 7" xfId="17089" xr:uid="{E4529093-F8A1-4DFD-8C62-FFA2685DE79E}"/>
    <cellStyle name="Normal 4 2 10 2 8" xfId="28410" xr:uid="{F93C7619-577B-446B-B59B-E6786725426D}"/>
    <cellStyle name="Normal 4 2 10 2 9" xfId="39443" xr:uid="{8B4ED69D-CB2C-480F-855F-81543A904FF9}"/>
    <cellStyle name="Normal 4 2 10 3" xfId="5163" xr:uid="{00000000-0005-0000-0000-0000221B0000}"/>
    <cellStyle name="Normal 4 2 10 3 2" xfId="7026" xr:uid="{00000000-0005-0000-0000-0000231B0000}"/>
    <cellStyle name="Normal 4 2 10 3 2 2" xfId="15459" xr:uid="{00000000-0005-0000-0000-0000241B0000}"/>
    <cellStyle name="Normal 4 2 10 3 2 2 2" xfId="27353" xr:uid="{6CBFF55D-C768-4C49-A528-61C6E3D3A45B}"/>
    <cellStyle name="Normal 4 2 10 3 2 2 3" xfId="21693" xr:uid="{63ED16E5-DCC6-4E3D-95D3-C9D2EB1E5FB0}"/>
    <cellStyle name="Normal 4 2 10 3 2 2 4" xfId="32733" xr:uid="{1F6EE2AC-2AA2-4D42-8AF8-476B18DFC719}"/>
    <cellStyle name="Normal 4 2 10 3 2 2 5" xfId="39457" xr:uid="{C7882B2E-6F24-4168-BDD4-CB313D3A20D1}"/>
    <cellStyle name="Normal 4 2 10 3 2 3" xfId="24520" xr:uid="{1DE7E7B5-59F2-4AD1-8221-9D48291FA540}"/>
    <cellStyle name="Normal 4 2 10 3 2 4" xfId="18860" xr:uid="{1583504A-1FAA-4341-BB76-AFA47DC489E4}"/>
    <cellStyle name="Normal 4 2 10 3 2 5" xfId="30181" xr:uid="{4FBE905A-259D-4AA1-8DAD-B5661C3A7D0B}"/>
    <cellStyle name="Normal 4 2 10 3 2 6" xfId="39456" xr:uid="{AA84DC60-0F25-4B6B-93A4-65BD45BD496A}"/>
    <cellStyle name="Normal 4 2 10 3 3" xfId="14050" xr:uid="{00000000-0005-0000-0000-0000251B0000}"/>
    <cellStyle name="Normal 4 2 10 3 3 2" xfId="26089" xr:uid="{378F3C0A-895D-478C-8F31-FC113F267DCB}"/>
    <cellStyle name="Normal 4 2 10 3 3 3" xfId="20429" xr:uid="{A7A06BD4-C6FB-49B8-80B8-B19D6EA9050F}"/>
    <cellStyle name="Normal 4 2 10 3 3 4" xfId="31469" xr:uid="{9C86F07E-3DF3-4FA2-8784-03F3EBB8D7F1}"/>
    <cellStyle name="Normal 4 2 10 3 3 5" xfId="39458" xr:uid="{08DE3407-85BD-48F7-BF86-C6DEBBA7B5B2}"/>
    <cellStyle name="Normal 4 2 10 3 4" xfId="22958" xr:uid="{E84658AC-8935-4B22-A3D8-CF8BA8140F80}"/>
    <cellStyle name="Normal 4 2 10 3 5" xfId="17298" xr:uid="{AC43B138-31AF-449B-A071-08157BF90B64}"/>
    <cellStyle name="Normal 4 2 10 3 6" xfId="28619" xr:uid="{3E7A6B2C-B3FE-4422-8E19-EC8159F06566}"/>
    <cellStyle name="Normal 4 2 10 3 7" xfId="39455" xr:uid="{78545734-B233-4C1C-AB4A-BA722CE8D6F0}"/>
    <cellStyle name="Normal 4 2 10 4" xfId="6220" xr:uid="{00000000-0005-0000-0000-0000261B0000}"/>
    <cellStyle name="Normal 4 2 10 4 2" xfId="7550" xr:uid="{00000000-0005-0000-0000-0000271B0000}"/>
    <cellStyle name="Normal 4 2 10 4 2 2" xfId="15983" xr:uid="{00000000-0005-0000-0000-0000281B0000}"/>
    <cellStyle name="Normal 4 2 10 4 2 2 2" xfId="27877" xr:uid="{104910B3-FA55-4A24-88B9-E8334432A5EE}"/>
    <cellStyle name="Normal 4 2 10 4 2 2 3" xfId="22217" xr:uid="{01C589C0-34C1-4D41-95F8-B21896F80DBB}"/>
    <cellStyle name="Normal 4 2 10 4 2 2 4" xfId="33257" xr:uid="{72B2430D-8045-4B42-8E33-EA2FA498096C}"/>
    <cellStyle name="Normal 4 2 10 4 2 2 5" xfId="39461" xr:uid="{B077F9E5-966D-4957-BBA3-27A2D763229D}"/>
    <cellStyle name="Normal 4 2 10 4 2 3" xfId="25044" xr:uid="{BFC1DBF7-24F6-4197-BA8F-58FFE601C202}"/>
    <cellStyle name="Normal 4 2 10 4 2 4" xfId="19384" xr:uid="{1D11A57B-98AD-44AC-80CB-DF90F4A930D6}"/>
    <cellStyle name="Normal 4 2 10 4 2 5" xfId="30705" xr:uid="{1B463EDE-57D1-4985-A581-CBF8B919E97C}"/>
    <cellStyle name="Normal 4 2 10 4 2 6" xfId="39460" xr:uid="{7CD3D0DD-62AF-4BC4-9FD8-A71E3C48956C}"/>
    <cellStyle name="Normal 4 2 10 4 3" xfId="14665" xr:uid="{00000000-0005-0000-0000-0000291B0000}"/>
    <cellStyle name="Normal 4 2 10 4 3 2" xfId="26621" xr:uid="{76F6F50C-02C2-4862-9784-C04074C78693}"/>
    <cellStyle name="Normal 4 2 10 4 3 3" xfId="20961" xr:uid="{36B2CB7E-F5C5-4C5B-A38B-98091A6C8339}"/>
    <cellStyle name="Normal 4 2 10 4 3 4" xfId="32001" xr:uid="{63F548AD-5340-4022-B4D3-E3DDF8BF0194}"/>
    <cellStyle name="Normal 4 2 10 4 3 5" xfId="39462" xr:uid="{43A4D6FD-99F4-45A9-8D5E-79A85B1F92BA}"/>
    <cellStyle name="Normal 4 2 10 4 4" xfId="23788" xr:uid="{4DBDC32A-7429-48F0-BAE6-32FFF1411384}"/>
    <cellStyle name="Normal 4 2 10 4 5" xfId="18128" xr:uid="{3317F964-FB4F-4540-B075-266E87395ABB}"/>
    <cellStyle name="Normal 4 2 10 4 6" xfId="29449" xr:uid="{9846AB30-5B3B-4016-92FB-841278ADF520}"/>
    <cellStyle name="Normal 4 2 10 4 7" xfId="39459" xr:uid="{DFDFF7AE-A687-45BC-BFEF-6C0CC2255A7F}"/>
    <cellStyle name="Normal 4 2 10 5" xfId="6608" xr:uid="{00000000-0005-0000-0000-00002A1B0000}"/>
    <cellStyle name="Normal 4 2 10 5 2" xfId="15041" xr:uid="{00000000-0005-0000-0000-00002B1B0000}"/>
    <cellStyle name="Normal 4 2 10 5 2 2" xfId="26935" xr:uid="{91479865-27EA-4859-B06E-399C047938CC}"/>
    <cellStyle name="Normal 4 2 10 5 2 3" xfId="21275" xr:uid="{C2F7E5A3-7690-48E8-BDA1-77FAF9EB065E}"/>
    <cellStyle name="Normal 4 2 10 5 2 4" xfId="32315" xr:uid="{52CCFEAB-3490-4D44-8EA3-F185A6641A2C}"/>
    <cellStyle name="Normal 4 2 10 5 2 5" xfId="39464" xr:uid="{4273B4F3-83D7-4C9B-AFC4-89D7593FEE33}"/>
    <cellStyle name="Normal 4 2 10 5 3" xfId="24102" xr:uid="{29B2A937-AE3F-4BE2-A93F-231CD13A6F65}"/>
    <cellStyle name="Normal 4 2 10 5 4" xfId="18442" xr:uid="{3F6E9CA7-9FFB-4499-BE2E-DA74C812F30B}"/>
    <cellStyle name="Normal 4 2 10 5 5" xfId="29763" xr:uid="{37F29DF9-D233-4164-BA3F-918F55223CF8}"/>
    <cellStyle name="Normal 4 2 10 5 6" xfId="39463" xr:uid="{390423C8-A8E9-463B-8BDC-F5EE2FECCE80}"/>
    <cellStyle name="Normal 4 2 10 6" xfId="7991" xr:uid="{00000000-0005-0000-0000-00002C1B0000}"/>
    <cellStyle name="Normal 4 2 10 6 2" xfId="25471" xr:uid="{EBB918FD-FF39-40DE-BA2B-7E139C11898D}"/>
    <cellStyle name="Normal 4 2 10 6 3" xfId="19811" xr:uid="{BE348604-0F1B-4F10-A944-7CA99005DBD7}"/>
    <cellStyle name="Normal 4 2 10 6 4" xfId="31132" xr:uid="{99B78130-AFE9-4D1D-A3E4-4D90AB831D54}"/>
    <cellStyle name="Normal 4 2 10 6 5" xfId="39465" xr:uid="{B7547890-DBD3-4A3C-BA87-EFD8C6FA43F7}"/>
    <cellStyle name="Normal 4 2 10 7" xfId="22540" xr:uid="{153CE1B2-2AD0-4F10-95F3-FCF4850F7600}"/>
    <cellStyle name="Normal 4 2 10 8" xfId="16880" xr:uid="{95FE1399-CE76-49EA-94CE-4FCE639CB018}"/>
    <cellStyle name="Normal 4 2 10 9" xfId="28201" xr:uid="{828A95F0-D608-45BA-85B4-EF439080DC44}"/>
    <cellStyle name="Normal 4 2 11" xfId="7993" xr:uid="{00000000-0005-0000-0000-00002D1B0000}"/>
    <cellStyle name="Normal 4 2 11 2" xfId="39466" xr:uid="{1C555B4E-499C-45A1-A437-8ADAD3EFFE7A}"/>
    <cellStyle name="Normal 4 2 12" xfId="7990" xr:uid="{00000000-0005-0000-0000-00002E1B0000}"/>
    <cellStyle name="Normal 4 2 12 2" xfId="25470" xr:uid="{2E9592CC-280D-4803-99F0-67DB8696D9EC}"/>
    <cellStyle name="Normal 4 2 12 3" xfId="19810" xr:uid="{E66C67BA-BE8B-4BBA-AB8E-E6B809333ABE}"/>
    <cellStyle name="Normal 4 2 12 4" xfId="31131" xr:uid="{94D8F6E9-2222-4F02-8D15-0F903E2CC48D}"/>
    <cellStyle name="Normal 4 2 12 5" xfId="39467" xr:uid="{492D3FD4-8AC9-4E4F-BB16-C90915E0BC50}"/>
    <cellStyle name="Normal 4 2 13" xfId="39441" xr:uid="{B8247AD1-170C-4B3D-B179-D541207A2F70}"/>
    <cellStyle name="Normal 4 2 14" xfId="49818" xr:uid="{98196331-8FE1-4C3E-8493-B2B427B8E6A7}"/>
    <cellStyle name="Normal 4 2 2" xfId="2212" xr:uid="{00000000-0005-0000-0000-00002F1B0000}"/>
    <cellStyle name="Normal 4 2 2 10" xfId="4241" xr:uid="{00000000-0005-0000-0000-0000301B0000}"/>
    <cellStyle name="Normal 4 2 2 10 10" xfId="39469" xr:uid="{E473D99F-5964-49FC-8D03-8B86A06E4282}"/>
    <cellStyle name="Normal 4 2 2 10 2" xfId="4954" xr:uid="{00000000-0005-0000-0000-0000311B0000}"/>
    <cellStyle name="Normal 4 2 2 10 2 2" xfId="5373" xr:uid="{00000000-0005-0000-0000-0000321B0000}"/>
    <cellStyle name="Normal 4 2 2 10 2 2 2" xfId="7236" xr:uid="{00000000-0005-0000-0000-0000331B0000}"/>
    <cellStyle name="Normal 4 2 2 10 2 2 2 2" xfId="15669" xr:uid="{00000000-0005-0000-0000-0000341B0000}"/>
    <cellStyle name="Normal 4 2 2 10 2 2 2 2 2" xfId="27563" xr:uid="{5C5DBA2A-5DA3-41BF-9FF9-773C170FD6E3}"/>
    <cellStyle name="Normal 4 2 2 10 2 2 2 2 3" xfId="21903" xr:uid="{65780EA1-165D-453E-A36B-5E0F99A500BB}"/>
    <cellStyle name="Normal 4 2 2 10 2 2 2 2 4" xfId="32943" xr:uid="{C210F99E-8F04-4674-9072-DAF96F413F27}"/>
    <cellStyle name="Normal 4 2 2 10 2 2 2 2 5" xfId="39473" xr:uid="{6955A781-1DD1-4419-8E64-C3EDAB3F8B65}"/>
    <cellStyle name="Normal 4 2 2 10 2 2 2 3" xfId="24730" xr:uid="{DA9EBC52-5011-4EC5-80E0-1AB6171B5279}"/>
    <cellStyle name="Normal 4 2 2 10 2 2 2 4" xfId="19070" xr:uid="{3FCB2367-5E2E-4FCD-88B9-E3E8F3403FA4}"/>
    <cellStyle name="Normal 4 2 2 10 2 2 2 5" xfId="30391" xr:uid="{89BC04EA-9819-43B4-9DD2-72D4FB74591C}"/>
    <cellStyle name="Normal 4 2 2 10 2 2 2 6" xfId="39472" xr:uid="{795F7EA5-D1A0-4D57-8DE3-EB2B4C341D4A}"/>
    <cellStyle name="Normal 4 2 2 10 2 2 3" xfId="14259" xr:uid="{00000000-0005-0000-0000-0000351B0000}"/>
    <cellStyle name="Normal 4 2 2 10 2 2 3 2" xfId="26298" xr:uid="{4D132DD5-6A16-4DA6-A369-6F608E9E4E93}"/>
    <cellStyle name="Normal 4 2 2 10 2 2 3 3" xfId="20638" xr:uid="{A2A32E6D-4231-4C0E-BBC0-CC7723099865}"/>
    <cellStyle name="Normal 4 2 2 10 2 2 3 4" xfId="31678" xr:uid="{B9188CC5-186D-44D9-8E55-EE9A01FF89C3}"/>
    <cellStyle name="Normal 4 2 2 10 2 2 3 5" xfId="39474" xr:uid="{25881034-E5DC-4156-AA08-4ADED87AA287}"/>
    <cellStyle name="Normal 4 2 2 10 2 2 4" xfId="23168" xr:uid="{3A8ACE78-E6B6-4126-A386-9C4D2FB34E61}"/>
    <cellStyle name="Normal 4 2 2 10 2 2 5" xfId="17508" xr:uid="{AE14A7EB-226F-4658-BA06-98503008DF0F}"/>
    <cellStyle name="Normal 4 2 2 10 2 2 6" xfId="28829" xr:uid="{C2191530-0429-43DF-AF9B-00A4A44F48FB}"/>
    <cellStyle name="Normal 4 2 2 10 2 2 7" xfId="39471" xr:uid="{11241E68-1B9A-4350-838C-409537C066D8}"/>
    <cellStyle name="Normal 4 2 2 10 2 3" xfId="6224" xr:uid="{00000000-0005-0000-0000-0000361B0000}"/>
    <cellStyle name="Normal 4 2 2 10 2 3 2" xfId="7554" xr:uid="{00000000-0005-0000-0000-0000371B0000}"/>
    <cellStyle name="Normal 4 2 2 10 2 3 2 2" xfId="15987" xr:uid="{00000000-0005-0000-0000-0000381B0000}"/>
    <cellStyle name="Normal 4 2 2 10 2 3 2 2 2" xfId="27881" xr:uid="{6834E743-EB53-47A3-9C0B-9C57C1F13100}"/>
    <cellStyle name="Normal 4 2 2 10 2 3 2 2 3" xfId="22221" xr:uid="{00B2D9D7-2EDC-498A-A48C-D3C258DF6914}"/>
    <cellStyle name="Normal 4 2 2 10 2 3 2 2 4" xfId="33261" xr:uid="{B082B654-0A9D-48EC-A166-2678FBBE2452}"/>
    <cellStyle name="Normal 4 2 2 10 2 3 2 2 5" xfId="39477" xr:uid="{CE076E68-2C3D-47A0-8B40-145C9325EF80}"/>
    <cellStyle name="Normal 4 2 2 10 2 3 2 3" xfId="25048" xr:uid="{F1A193F4-375F-4C86-ACBD-2B1116397B83}"/>
    <cellStyle name="Normal 4 2 2 10 2 3 2 4" xfId="19388" xr:uid="{C39B94AF-64AA-41C5-9C43-43DE3FBF3275}"/>
    <cellStyle name="Normal 4 2 2 10 2 3 2 5" xfId="30709" xr:uid="{95FE0306-2B3D-45DB-8CEF-A9C8701DF683}"/>
    <cellStyle name="Normal 4 2 2 10 2 3 2 6" xfId="39476" xr:uid="{47F5D13B-DD2F-4E3B-B90D-924366A22DCC}"/>
    <cellStyle name="Normal 4 2 2 10 2 3 3" xfId="14669" xr:uid="{00000000-0005-0000-0000-0000391B0000}"/>
    <cellStyle name="Normal 4 2 2 10 2 3 3 2" xfId="26625" xr:uid="{426FD5B9-E15A-4969-9EFC-139B19195F47}"/>
    <cellStyle name="Normal 4 2 2 10 2 3 3 3" xfId="20965" xr:uid="{29DA2655-8E2C-4199-8696-8977906DC0A5}"/>
    <cellStyle name="Normal 4 2 2 10 2 3 3 4" xfId="32005" xr:uid="{ED894290-B8AF-46E2-A9F8-C6AE2C13078F}"/>
    <cellStyle name="Normal 4 2 2 10 2 3 3 5" xfId="39478" xr:uid="{EE1456FF-C7C4-47C8-ACB7-2BA2132D03D6}"/>
    <cellStyle name="Normal 4 2 2 10 2 3 4" xfId="23792" xr:uid="{8FA1B226-DDC0-4767-A429-1190D20F0D0E}"/>
    <cellStyle name="Normal 4 2 2 10 2 3 5" xfId="18132" xr:uid="{970AC1BB-AEA5-4165-911D-8FB028B1AF62}"/>
    <cellStyle name="Normal 4 2 2 10 2 3 6" xfId="29453" xr:uid="{22FA94FC-4379-4E5E-BBCA-D01471E7BBF6}"/>
    <cellStyle name="Normal 4 2 2 10 2 3 7" xfId="39475" xr:uid="{B9869EF7-BA41-4A69-970F-A599D68C9308}"/>
    <cellStyle name="Normal 4 2 2 10 2 4" xfId="6818" xr:uid="{00000000-0005-0000-0000-00003A1B0000}"/>
    <cellStyle name="Normal 4 2 2 10 2 4 2" xfId="15251" xr:uid="{00000000-0005-0000-0000-00003B1B0000}"/>
    <cellStyle name="Normal 4 2 2 10 2 4 2 2" xfId="27145" xr:uid="{BF92E5D9-8361-4824-B396-EE36FD7F192A}"/>
    <cellStyle name="Normal 4 2 2 10 2 4 2 3" xfId="21485" xr:uid="{C6B0649F-9500-43F9-942A-B68D4660EF6C}"/>
    <cellStyle name="Normal 4 2 2 10 2 4 2 4" xfId="32525" xr:uid="{CA30133B-2B09-419D-8A1B-1630B1718AAD}"/>
    <cellStyle name="Normal 4 2 2 10 2 4 2 5" xfId="39480" xr:uid="{7C6D360B-8DDE-49DC-8F05-3EC18D0BAD3C}"/>
    <cellStyle name="Normal 4 2 2 10 2 4 3" xfId="24312" xr:uid="{FBDA2272-C1F6-4180-943C-8444C120E3B2}"/>
    <cellStyle name="Normal 4 2 2 10 2 4 4" xfId="18652" xr:uid="{8F3FD5AC-8977-4496-88EC-E1C77CCC984A}"/>
    <cellStyle name="Normal 4 2 2 10 2 4 5" xfId="29973" xr:uid="{266D125C-2865-458C-922F-907945E9BDC4}"/>
    <cellStyle name="Normal 4 2 2 10 2 4 6" xfId="39479" xr:uid="{FE225403-8C6D-492F-868F-765A52D76758}"/>
    <cellStyle name="Normal 4 2 2 10 2 5" xfId="7995" xr:uid="{00000000-0005-0000-0000-00003C1B0000}"/>
    <cellStyle name="Normal 4 2 2 10 2 5 2" xfId="25474" xr:uid="{04BFB991-3420-49DF-9387-1BA39868C5D1}"/>
    <cellStyle name="Normal 4 2 2 10 2 5 3" xfId="19814" xr:uid="{B9260744-C98F-47BE-87F1-1801F8398171}"/>
    <cellStyle name="Normal 4 2 2 10 2 5 4" xfId="31135" xr:uid="{AE1EE2FE-C6F6-4873-8792-009F6ADA18F1}"/>
    <cellStyle name="Normal 4 2 2 10 2 5 5" xfId="39481" xr:uid="{A4C0DFCF-4345-400E-BCEE-FD404198CF42}"/>
    <cellStyle name="Normal 4 2 2 10 2 6" xfId="22750" xr:uid="{15493573-3A7D-4A3A-8B17-698C34560091}"/>
    <cellStyle name="Normal 4 2 2 10 2 7" xfId="17090" xr:uid="{D71F528A-2BB1-4429-AA1C-CFE2159B8F39}"/>
    <cellStyle name="Normal 4 2 2 10 2 8" xfId="28411" xr:uid="{FFD4DD3E-0DB8-4FC2-9A1B-9BCEA1C7A2A3}"/>
    <cellStyle name="Normal 4 2 2 10 2 9" xfId="39470" xr:uid="{A01B22B6-ABCB-449B-9120-A8C688AECB36}"/>
    <cellStyle name="Normal 4 2 2 10 3" xfId="5164" xr:uid="{00000000-0005-0000-0000-00003D1B0000}"/>
    <cellStyle name="Normal 4 2 2 10 3 2" xfId="6223" xr:uid="{00000000-0005-0000-0000-00003E1B0000}"/>
    <cellStyle name="Normal 4 2 2 10 3 2 2" xfId="7553" xr:uid="{00000000-0005-0000-0000-00003F1B0000}"/>
    <cellStyle name="Normal 4 2 2 10 3 2 2 2" xfId="15986" xr:uid="{00000000-0005-0000-0000-0000401B0000}"/>
    <cellStyle name="Normal 4 2 2 10 3 2 2 2 2" xfId="27880" xr:uid="{FE9621EC-026F-48DE-AD57-D2DCFFC0C282}"/>
    <cellStyle name="Normal 4 2 2 10 3 2 2 2 3" xfId="22220" xr:uid="{E09D18C0-8EA3-448E-8A5A-A148E1805F7A}"/>
    <cellStyle name="Normal 4 2 2 10 3 2 2 2 4" xfId="33260" xr:uid="{7EDC9343-1983-43F6-B768-B330C995B5F2}"/>
    <cellStyle name="Normal 4 2 2 10 3 2 2 2 5" xfId="39485" xr:uid="{3E4CF3D3-31E9-491D-9A3C-62CD4967AD4D}"/>
    <cellStyle name="Normal 4 2 2 10 3 2 2 3" xfId="25047" xr:uid="{025F438E-F5A2-405F-BB96-0B9AB74C5BC3}"/>
    <cellStyle name="Normal 4 2 2 10 3 2 2 4" xfId="19387" xr:uid="{07675ED2-D5A5-471C-8BE6-B3A65EEC4E89}"/>
    <cellStyle name="Normal 4 2 2 10 3 2 2 5" xfId="30708" xr:uid="{B66FFF87-1F57-4105-9D1A-F61D4A5AB905}"/>
    <cellStyle name="Normal 4 2 2 10 3 2 2 6" xfId="39484" xr:uid="{A4BAF616-5A20-4ABC-9899-6C8510A1C787}"/>
    <cellStyle name="Normal 4 2 2 10 3 2 3" xfId="14668" xr:uid="{00000000-0005-0000-0000-0000411B0000}"/>
    <cellStyle name="Normal 4 2 2 10 3 2 3 2" xfId="26624" xr:uid="{C74541DE-8BC9-4D2B-A5F9-B6263F0C8135}"/>
    <cellStyle name="Normal 4 2 2 10 3 2 3 3" xfId="20964" xr:uid="{F737D37F-625A-435F-9F67-5292E408C9D2}"/>
    <cellStyle name="Normal 4 2 2 10 3 2 3 4" xfId="32004" xr:uid="{AB8EDB94-1C5C-471F-AA83-93DA44551D95}"/>
    <cellStyle name="Normal 4 2 2 10 3 2 3 5" xfId="39486" xr:uid="{823F10A0-CBB4-49A3-AC4E-220FCB0860BA}"/>
    <cellStyle name="Normal 4 2 2 10 3 2 4" xfId="23791" xr:uid="{D77BBFCA-DF51-4BC8-A6B9-1356D0D04387}"/>
    <cellStyle name="Normal 4 2 2 10 3 2 5" xfId="18131" xr:uid="{771BC8EB-4045-4C50-9CEE-27284725D46A}"/>
    <cellStyle name="Normal 4 2 2 10 3 2 6" xfId="29452" xr:uid="{37A08433-98BD-40D1-8853-F3A866E066A2}"/>
    <cellStyle name="Normal 4 2 2 10 3 2 7" xfId="39483" xr:uid="{D6DC19AA-15B2-483A-9179-B19DA99D5719}"/>
    <cellStyle name="Normal 4 2 2 10 3 3" xfId="7027" xr:uid="{00000000-0005-0000-0000-0000421B0000}"/>
    <cellStyle name="Normal 4 2 2 10 3 3 2" xfId="15460" xr:uid="{00000000-0005-0000-0000-0000431B0000}"/>
    <cellStyle name="Normal 4 2 2 10 3 3 2 2" xfId="27354" xr:uid="{C2191668-837A-4670-A792-B6A485C65E3D}"/>
    <cellStyle name="Normal 4 2 2 10 3 3 2 3" xfId="21694" xr:uid="{E7069D7E-0EB3-4228-B65D-543FF2FD8EBA}"/>
    <cellStyle name="Normal 4 2 2 10 3 3 2 4" xfId="32734" xr:uid="{B0B4EE1C-C4B9-4190-84A8-E04916B61D34}"/>
    <cellStyle name="Normal 4 2 2 10 3 3 2 5" xfId="39488" xr:uid="{088827FA-B419-4F01-A141-CC1D952909E5}"/>
    <cellStyle name="Normal 4 2 2 10 3 3 3" xfId="24521" xr:uid="{A7DF0826-31CF-49AC-B60E-2EC2C0BA0F87}"/>
    <cellStyle name="Normal 4 2 2 10 3 3 4" xfId="18861" xr:uid="{37D833BB-9A17-4A2C-8BCB-DFD3298FFC27}"/>
    <cellStyle name="Normal 4 2 2 10 3 3 5" xfId="30182" xr:uid="{5148F0B0-A302-4B0F-B63F-DE766DA34B74}"/>
    <cellStyle name="Normal 4 2 2 10 3 3 6" xfId="39487" xr:uid="{9A4E2FEE-E310-41EB-B830-2EBA81935A2B}"/>
    <cellStyle name="Normal 4 2 2 10 3 4" xfId="14051" xr:uid="{00000000-0005-0000-0000-0000441B0000}"/>
    <cellStyle name="Normal 4 2 2 10 3 4 2" xfId="26090" xr:uid="{B22EBBE1-18CF-4D75-8F37-94915706B153}"/>
    <cellStyle name="Normal 4 2 2 10 3 4 3" xfId="20430" xr:uid="{778C7AE7-6E35-4E67-842C-0126C600C59D}"/>
    <cellStyle name="Normal 4 2 2 10 3 4 4" xfId="31470" xr:uid="{A00B2E19-ED92-4860-8AFB-73A65C08AF94}"/>
    <cellStyle name="Normal 4 2 2 10 3 4 5" xfId="39489" xr:uid="{7AAC2F27-1FDC-43BA-9BCE-23E9202B5F79}"/>
    <cellStyle name="Normal 4 2 2 10 3 5" xfId="22959" xr:uid="{1BD47D57-B75C-4310-8DD0-5474A3FC7E97}"/>
    <cellStyle name="Normal 4 2 2 10 3 6" xfId="17299" xr:uid="{49F64F71-9480-405E-ADA1-D814A0971BE7}"/>
    <cellStyle name="Normal 4 2 2 10 3 7" xfId="28620" xr:uid="{C783286D-7924-40E0-AF9E-F862C9CDD920}"/>
    <cellStyle name="Normal 4 2 2 10 3 8" xfId="39482" xr:uid="{0B691F98-E36E-4C5A-BC6A-C3DACFB3D34A}"/>
    <cellStyle name="Normal 4 2 2 10 4" xfId="5682" xr:uid="{00000000-0005-0000-0000-0000451B0000}"/>
    <cellStyle name="Normal 4 2 2 10 4 2" xfId="39490" xr:uid="{5AE49353-603B-4ECB-AAE0-9C566B020FD9}"/>
    <cellStyle name="Normal 4 2 2 10 5" xfId="6609" xr:uid="{00000000-0005-0000-0000-0000461B0000}"/>
    <cellStyle name="Normal 4 2 2 10 5 2" xfId="15042" xr:uid="{00000000-0005-0000-0000-0000471B0000}"/>
    <cellStyle name="Normal 4 2 2 10 5 2 2" xfId="26936" xr:uid="{2B45D030-117F-47ED-A7C3-0E37C73F1DC8}"/>
    <cellStyle name="Normal 4 2 2 10 5 2 3" xfId="21276" xr:uid="{E8D297BB-B7C7-4877-B019-3C12B4C7D4AD}"/>
    <cellStyle name="Normal 4 2 2 10 5 2 4" xfId="32316" xr:uid="{FAB7AE13-AF3C-40D6-A03A-62D2246821CC}"/>
    <cellStyle name="Normal 4 2 2 10 5 2 5" xfId="39492" xr:uid="{8D7C2E9B-B3BD-4235-8817-5FC4A8250B1C}"/>
    <cellStyle name="Normal 4 2 2 10 5 3" xfId="24103" xr:uid="{7269C8F6-55CD-451D-B292-E854E931A15F}"/>
    <cellStyle name="Normal 4 2 2 10 5 4" xfId="18443" xr:uid="{6653A0E9-A1FE-417E-AA45-EA3FD1268900}"/>
    <cellStyle name="Normal 4 2 2 10 5 5" xfId="29764" xr:uid="{962575B1-9FE5-4CCE-810F-7808FE303DF7}"/>
    <cellStyle name="Normal 4 2 2 10 5 6" xfId="39491" xr:uid="{1763FD2B-906A-45CD-8BD7-0CD798C225CC}"/>
    <cellStyle name="Normal 4 2 2 10 6" xfId="7994" xr:uid="{00000000-0005-0000-0000-0000481B0000}"/>
    <cellStyle name="Normal 4 2 2 10 6 2" xfId="25473" xr:uid="{C79CD384-58FB-4DCD-BA9F-BEEA232BD726}"/>
    <cellStyle name="Normal 4 2 2 10 6 3" xfId="19813" xr:uid="{72FFF572-7660-42E1-968B-C164A1FC1D7A}"/>
    <cellStyle name="Normal 4 2 2 10 6 4" xfId="31134" xr:uid="{373CA804-A96B-4312-AF72-0854083C827F}"/>
    <cellStyle name="Normal 4 2 2 10 6 5" xfId="39493" xr:uid="{7F24129A-4760-4690-AD44-142066F39829}"/>
    <cellStyle name="Normal 4 2 2 10 7" xfId="22541" xr:uid="{D4B81AE8-50E9-4A49-83DC-A092A56EEEC1}"/>
    <cellStyle name="Normal 4 2 2 10 8" xfId="16881" xr:uid="{90373B64-BA59-497C-8A1E-0F9FAAEA9794}"/>
    <cellStyle name="Normal 4 2 2 10 9" xfId="28202" xr:uid="{01A21BE6-6082-44D6-980F-6DAB7E03B80B}"/>
    <cellStyle name="Normal 4 2 2 11" xfId="4242" xr:uid="{00000000-0005-0000-0000-0000491B0000}"/>
    <cellStyle name="Normal 4 2 2 11 10" xfId="39494" xr:uid="{6A85ADF5-6E0A-489C-BAD2-5AE080DD34F1}"/>
    <cellStyle name="Normal 4 2 2 11 2" xfId="4955" xr:uid="{00000000-0005-0000-0000-00004A1B0000}"/>
    <cellStyle name="Normal 4 2 2 11 2 2" xfId="5374" xr:uid="{00000000-0005-0000-0000-00004B1B0000}"/>
    <cellStyle name="Normal 4 2 2 11 2 2 2" xfId="7237" xr:uid="{00000000-0005-0000-0000-00004C1B0000}"/>
    <cellStyle name="Normal 4 2 2 11 2 2 2 2" xfId="15670" xr:uid="{00000000-0005-0000-0000-00004D1B0000}"/>
    <cellStyle name="Normal 4 2 2 11 2 2 2 2 2" xfId="27564" xr:uid="{C3718C3F-6FD1-4C5F-9C81-8257808C26E8}"/>
    <cellStyle name="Normal 4 2 2 11 2 2 2 2 3" xfId="21904" xr:uid="{E6ECACF6-69D1-4AD1-8648-C98DC1DB63A3}"/>
    <cellStyle name="Normal 4 2 2 11 2 2 2 2 4" xfId="32944" xr:uid="{9A21A10E-9B25-4726-8120-571DFD43D0FF}"/>
    <cellStyle name="Normal 4 2 2 11 2 2 2 2 5" xfId="39498" xr:uid="{D541CC9A-EA88-4D21-8329-1B723E7F9ECA}"/>
    <cellStyle name="Normal 4 2 2 11 2 2 2 3" xfId="24731" xr:uid="{25557E41-4ABB-43FC-A1C1-1FB5B93AA8A8}"/>
    <cellStyle name="Normal 4 2 2 11 2 2 2 4" xfId="19071" xr:uid="{26ECBBCC-E861-4761-89C4-A06AB9349D97}"/>
    <cellStyle name="Normal 4 2 2 11 2 2 2 5" xfId="30392" xr:uid="{883FD2A7-0EC1-46C7-A6AB-C9554FF4A057}"/>
    <cellStyle name="Normal 4 2 2 11 2 2 2 6" xfId="39497" xr:uid="{1223E64E-4646-4B64-8174-61F1E08F1319}"/>
    <cellStyle name="Normal 4 2 2 11 2 2 3" xfId="14260" xr:uid="{00000000-0005-0000-0000-00004E1B0000}"/>
    <cellStyle name="Normal 4 2 2 11 2 2 3 2" xfId="26299" xr:uid="{397D3D23-53FA-411E-90EB-D49428B2CF06}"/>
    <cellStyle name="Normal 4 2 2 11 2 2 3 3" xfId="20639" xr:uid="{544B2A75-3149-4A5B-BDCE-9784BAD066DA}"/>
    <cellStyle name="Normal 4 2 2 11 2 2 3 4" xfId="31679" xr:uid="{F1A74A76-95A9-47AB-BB60-94F91BA90994}"/>
    <cellStyle name="Normal 4 2 2 11 2 2 3 5" xfId="39499" xr:uid="{645BF88D-7B9C-428C-9B7B-17E10B273C31}"/>
    <cellStyle name="Normal 4 2 2 11 2 2 4" xfId="23169" xr:uid="{D1341BEC-54BE-4D4D-950B-D866D40B4B5F}"/>
    <cellStyle name="Normal 4 2 2 11 2 2 5" xfId="17509" xr:uid="{FDECF9D0-1A06-454F-81A3-DC6A57AF13AB}"/>
    <cellStyle name="Normal 4 2 2 11 2 2 6" xfId="28830" xr:uid="{534E0E21-2D7C-48DD-B8B3-899D6A235C60}"/>
    <cellStyle name="Normal 4 2 2 11 2 2 7" xfId="39496" xr:uid="{10B7B3EE-548F-435E-A8BD-95FB5A5B0118}"/>
    <cellStyle name="Normal 4 2 2 11 2 3" xfId="6226" xr:uid="{00000000-0005-0000-0000-00004F1B0000}"/>
    <cellStyle name="Normal 4 2 2 11 2 3 2" xfId="7556" xr:uid="{00000000-0005-0000-0000-0000501B0000}"/>
    <cellStyle name="Normal 4 2 2 11 2 3 2 2" xfId="15989" xr:uid="{00000000-0005-0000-0000-0000511B0000}"/>
    <cellStyle name="Normal 4 2 2 11 2 3 2 2 2" xfId="27883" xr:uid="{4A4F75B2-124C-4553-AADE-BA48F2F314DB}"/>
    <cellStyle name="Normal 4 2 2 11 2 3 2 2 3" xfId="22223" xr:uid="{7560DD15-D4A9-49CF-B691-D83AC1BD030A}"/>
    <cellStyle name="Normal 4 2 2 11 2 3 2 2 4" xfId="33263" xr:uid="{C76CF7E2-5ACB-42DA-A924-B277F8AD82A2}"/>
    <cellStyle name="Normal 4 2 2 11 2 3 2 2 5" xfId="39502" xr:uid="{70D1F853-FD86-4213-A0B7-297C7E7C406D}"/>
    <cellStyle name="Normal 4 2 2 11 2 3 2 3" xfId="25050" xr:uid="{9373FFC7-D282-4686-80E5-EE2BF23DE218}"/>
    <cellStyle name="Normal 4 2 2 11 2 3 2 4" xfId="19390" xr:uid="{F8419641-EC7E-49EC-9063-917402C06110}"/>
    <cellStyle name="Normal 4 2 2 11 2 3 2 5" xfId="30711" xr:uid="{A1AAC27A-E068-46CE-809B-F55A282AF13F}"/>
    <cellStyle name="Normal 4 2 2 11 2 3 2 6" xfId="39501" xr:uid="{A4DD977E-8876-468C-B016-D1ED039FE17B}"/>
    <cellStyle name="Normal 4 2 2 11 2 3 3" xfId="14671" xr:uid="{00000000-0005-0000-0000-0000521B0000}"/>
    <cellStyle name="Normal 4 2 2 11 2 3 3 2" xfId="26627" xr:uid="{C6E877A8-DE0E-4DDE-B18E-581B1A393945}"/>
    <cellStyle name="Normal 4 2 2 11 2 3 3 3" xfId="20967" xr:uid="{9A8E81E5-7AE7-4BBC-B84F-B42F93F8899E}"/>
    <cellStyle name="Normal 4 2 2 11 2 3 3 4" xfId="32007" xr:uid="{E4C18359-29F8-4E17-9B6B-DB34CCAEF73F}"/>
    <cellStyle name="Normal 4 2 2 11 2 3 3 5" xfId="39503" xr:uid="{30819CDB-D774-46DA-8D24-3E38075EE218}"/>
    <cellStyle name="Normal 4 2 2 11 2 3 4" xfId="23794" xr:uid="{A51590C5-F02E-4A6A-B0A0-927F43BDA8EF}"/>
    <cellStyle name="Normal 4 2 2 11 2 3 5" xfId="18134" xr:uid="{1ACBF8D9-9CCA-42BD-8410-79E089299278}"/>
    <cellStyle name="Normal 4 2 2 11 2 3 6" xfId="29455" xr:uid="{6D767320-DDA3-4698-BDFA-2207AF25E1E6}"/>
    <cellStyle name="Normal 4 2 2 11 2 3 7" xfId="39500" xr:uid="{80972037-FF03-403D-A5DD-F4BC015C186B}"/>
    <cellStyle name="Normal 4 2 2 11 2 4" xfId="6819" xr:uid="{00000000-0005-0000-0000-0000531B0000}"/>
    <cellStyle name="Normal 4 2 2 11 2 4 2" xfId="15252" xr:uid="{00000000-0005-0000-0000-0000541B0000}"/>
    <cellStyle name="Normal 4 2 2 11 2 4 2 2" xfId="27146" xr:uid="{BA65E615-1A5E-41AC-B511-06D59E39AA4A}"/>
    <cellStyle name="Normal 4 2 2 11 2 4 2 3" xfId="21486" xr:uid="{626F1D9E-83CA-441B-A8B3-732D8724469B}"/>
    <cellStyle name="Normal 4 2 2 11 2 4 2 4" xfId="32526" xr:uid="{DF75A1CE-0448-49DA-88C3-AA9877788D4D}"/>
    <cellStyle name="Normal 4 2 2 11 2 4 2 5" xfId="39505" xr:uid="{3E69E6BE-AB1D-4360-8179-445D4C990F9F}"/>
    <cellStyle name="Normal 4 2 2 11 2 4 3" xfId="24313" xr:uid="{0704A03E-C607-4C95-B989-CB77EF8950E7}"/>
    <cellStyle name="Normal 4 2 2 11 2 4 4" xfId="18653" xr:uid="{EE79D872-92B8-40E0-81FF-BB05EAB5AC66}"/>
    <cellStyle name="Normal 4 2 2 11 2 4 5" xfId="29974" xr:uid="{17484E2A-F95D-412F-A1FD-9EEEC79CCEA6}"/>
    <cellStyle name="Normal 4 2 2 11 2 4 6" xfId="39504" xr:uid="{E572AAFC-270A-4F90-9B94-C2AB4A4AC096}"/>
    <cellStyle name="Normal 4 2 2 11 2 5" xfId="7997" xr:uid="{00000000-0005-0000-0000-0000551B0000}"/>
    <cellStyle name="Normal 4 2 2 11 2 5 2" xfId="25476" xr:uid="{00A0A623-F3BD-43CD-AB0F-C13C41DFFED7}"/>
    <cellStyle name="Normal 4 2 2 11 2 5 3" xfId="19816" xr:uid="{8DCB9772-E3DC-4051-B839-5F7F923D332F}"/>
    <cellStyle name="Normal 4 2 2 11 2 5 4" xfId="31137" xr:uid="{A55E3C1B-D1D9-4DD3-BDBE-43DF440D6440}"/>
    <cellStyle name="Normal 4 2 2 11 2 5 5" xfId="39506" xr:uid="{A8F5E07D-7421-48A8-B939-35B047C8B233}"/>
    <cellStyle name="Normal 4 2 2 11 2 6" xfId="22751" xr:uid="{9D31542D-0006-472B-894C-AA37AE89868B}"/>
    <cellStyle name="Normal 4 2 2 11 2 7" xfId="17091" xr:uid="{F5A42DC7-D6BE-4746-94CB-324CDB78C568}"/>
    <cellStyle name="Normal 4 2 2 11 2 8" xfId="28412" xr:uid="{B8B99295-D4B8-41F5-BF01-FAAFF87A0953}"/>
    <cellStyle name="Normal 4 2 2 11 2 9" xfId="39495" xr:uid="{AC17737D-F9E1-4CE2-8915-DCB89B4A6177}"/>
    <cellStyle name="Normal 4 2 2 11 3" xfId="5165" xr:uid="{00000000-0005-0000-0000-0000561B0000}"/>
    <cellStyle name="Normal 4 2 2 11 3 2" xfId="6225" xr:uid="{00000000-0005-0000-0000-0000571B0000}"/>
    <cellStyle name="Normal 4 2 2 11 3 2 2" xfId="7555" xr:uid="{00000000-0005-0000-0000-0000581B0000}"/>
    <cellStyle name="Normal 4 2 2 11 3 2 2 2" xfId="15988" xr:uid="{00000000-0005-0000-0000-0000591B0000}"/>
    <cellStyle name="Normal 4 2 2 11 3 2 2 2 2" xfId="27882" xr:uid="{EF69B4CC-C991-480D-BF54-076F3FC16949}"/>
    <cellStyle name="Normal 4 2 2 11 3 2 2 2 3" xfId="22222" xr:uid="{7206BB6D-DA71-453F-B811-0334C6A8D3B7}"/>
    <cellStyle name="Normal 4 2 2 11 3 2 2 2 4" xfId="33262" xr:uid="{10F20DD2-3AAF-4FD0-997F-C6E252F4A502}"/>
    <cellStyle name="Normal 4 2 2 11 3 2 2 2 5" xfId="39510" xr:uid="{248E3580-EFFA-495E-91CF-F0281F707C2D}"/>
    <cellStyle name="Normal 4 2 2 11 3 2 2 3" xfId="25049" xr:uid="{4E836181-7315-424C-8162-C15AE2710E23}"/>
    <cellStyle name="Normal 4 2 2 11 3 2 2 4" xfId="19389" xr:uid="{0AB2316D-0565-40A0-A55C-0C14C7AAF8D4}"/>
    <cellStyle name="Normal 4 2 2 11 3 2 2 5" xfId="30710" xr:uid="{2A82BF78-2E73-4402-82C9-C4C4CA8CCB20}"/>
    <cellStyle name="Normal 4 2 2 11 3 2 2 6" xfId="39509" xr:uid="{D872D158-695A-4146-8FF0-6C253E64C741}"/>
    <cellStyle name="Normal 4 2 2 11 3 2 3" xfId="14670" xr:uid="{00000000-0005-0000-0000-00005A1B0000}"/>
    <cellStyle name="Normal 4 2 2 11 3 2 3 2" xfId="26626" xr:uid="{BB10838C-0B3D-46FE-95B8-B41FF1C84DD2}"/>
    <cellStyle name="Normal 4 2 2 11 3 2 3 3" xfId="20966" xr:uid="{68B5E52A-EEE2-443A-8C00-5024B3096606}"/>
    <cellStyle name="Normal 4 2 2 11 3 2 3 4" xfId="32006" xr:uid="{35127873-557B-4525-AA8F-40A3353767F9}"/>
    <cellStyle name="Normal 4 2 2 11 3 2 3 5" xfId="39511" xr:uid="{BE885CDE-5012-4F0E-BFCF-5810D1452287}"/>
    <cellStyle name="Normal 4 2 2 11 3 2 4" xfId="23793" xr:uid="{EA2ED52E-7242-4F82-9ADB-DA8E90E5CB8D}"/>
    <cellStyle name="Normal 4 2 2 11 3 2 5" xfId="18133" xr:uid="{901D9D82-1019-4647-8BEA-8B53649A3A5D}"/>
    <cellStyle name="Normal 4 2 2 11 3 2 6" xfId="29454" xr:uid="{DACC0666-05FA-40CC-9BB6-532A4BF2C9E6}"/>
    <cellStyle name="Normal 4 2 2 11 3 2 7" xfId="39508" xr:uid="{F6A9513C-BFDC-4057-817A-DCC9B5725E11}"/>
    <cellStyle name="Normal 4 2 2 11 3 3" xfId="7028" xr:uid="{00000000-0005-0000-0000-00005B1B0000}"/>
    <cellStyle name="Normal 4 2 2 11 3 3 2" xfId="15461" xr:uid="{00000000-0005-0000-0000-00005C1B0000}"/>
    <cellStyle name="Normal 4 2 2 11 3 3 2 2" xfId="27355" xr:uid="{CAD5B760-279D-4B94-8850-C4643EF594DE}"/>
    <cellStyle name="Normal 4 2 2 11 3 3 2 3" xfId="21695" xr:uid="{9241EC5C-1FAA-4D4D-B6F8-D2E8A0D61466}"/>
    <cellStyle name="Normal 4 2 2 11 3 3 2 4" xfId="32735" xr:uid="{D9753775-F40F-4219-89CC-5C7D82686C2D}"/>
    <cellStyle name="Normal 4 2 2 11 3 3 2 5" xfId="39513" xr:uid="{ACAC5C2B-F914-4108-BE69-E79F61801794}"/>
    <cellStyle name="Normal 4 2 2 11 3 3 3" xfId="24522" xr:uid="{C840B947-4D93-4AF5-B42D-6416BD40BAAC}"/>
    <cellStyle name="Normal 4 2 2 11 3 3 4" xfId="18862" xr:uid="{C6374307-AD4C-4BB7-88CC-585462C0047C}"/>
    <cellStyle name="Normal 4 2 2 11 3 3 5" xfId="30183" xr:uid="{37F3B51C-DA9D-47D3-BA3B-358163C945B4}"/>
    <cellStyle name="Normal 4 2 2 11 3 3 6" xfId="39512" xr:uid="{A0E1D0F3-64E5-4E67-8905-BC787A85924A}"/>
    <cellStyle name="Normal 4 2 2 11 3 4" xfId="14052" xr:uid="{00000000-0005-0000-0000-00005D1B0000}"/>
    <cellStyle name="Normal 4 2 2 11 3 4 2" xfId="26091" xr:uid="{EC16BDB0-AFD5-4239-B386-9A7A5B685C7C}"/>
    <cellStyle name="Normal 4 2 2 11 3 4 3" xfId="20431" xr:uid="{6962F225-9581-4DBF-BF21-74C2EC48C5BD}"/>
    <cellStyle name="Normal 4 2 2 11 3 4 4" xfId="31471" xr:uid="{1724A8AB-AB46-426B-8EDE-CBEAD139F1C1}"/>
    <cellStyle name="Normal 4 2 2 11 3 4 5" xfId="39514" xr:uid="{8630E1AF-1565-4D58-AE08-9ED457D86CBC}"/>
    <cellStyle name="Normal 4 2 2 11 3 5" xfId="22960" xr:uid="{0CA17781-9ABC-4CFF-B8FE-4D7782227E1C}"/>
    <cellStyle name="Normal 4 2 2 11 3 6" xfId="17300" xr:uid="{EBBD3EF2-3C3A-4CDA-A5B3-BDB16D64CFD2}"/>
    <cellStyle name="Normal 4 2 2 11 3 7" xfId="28621" xr:uid="{50E78918-6279-494C-A981-1CB30AF5DA93}"/>
    <cellStyle name="Normal 4 2 2 11 3 8" xfId="39507" xr:uid="{C2C091BD-E418-4FEE-B927-18E5D36B2B9A}"/>
    <cellStyle name="Normal 4 2 2 11 4" xfId="5683" xr:uid="{00000000-0005-0000-0000-00005E1B0000}"/>
    <cellStyle name="Normal 4 2 2 11 4 2" xfId="39515" xr:uid="{12A1D285-7B9A-462D-8D21-CCE860ABDE20}"/>
    <cellStyle name="Normal 4 2 2 11 5" xfId="6610" xr:uid="{00000000-0005-0000-0000-00005F1B0000}"/>
    <cellStyle name="Normal 4 2 2 11 5 2" xfId="15043" xr:uid="{00000000-0005-0000-0000-0000601B0000}"/>
    <cellStyle name="Normal 4 2 2 11 5 2 2" xfId="26937" xr:uid="{9E173232-2F06-493D-AC66-DD7EEB971DBC}"/>
    <cellStyle name="Normal 4 2 2 11 5 2 3" xfId="21277" xr:uid="{D620194F-D316-42AE-B057-EB81973D25AD}"/>
    <cellStyle name="Normal 4 2 2 11 5 2 4" xfId="32317" xr:uid="{444F000D-DB73-4663-998D-DB8AACF67806}"/>
    <cellStyle name="Normal 4 2 2 11 5 2 5" xfId="39517" xr:uid="{F581C9F4-D9FB-4490-9FF5-A8D1F58E5872}"/>
    <cellStyle name="Normal 4 2 2 11 5 3" xfId="24104" xr:uid="{9A3D5AF6-9B5D-48D6-B199-2A62378564E1}"/>
    <cellStyle name="Normal 4 2 2 11 5 4" xfId="18444" xr:uid="{0F372E69-96EF-4AE3-8B4A-98A75BD20EA3}"/>
    <cellStyle name="Normal 4 2 2 11 5 5" xfId="29765" xr:uid="{D76554D5-EC96-4993-AFAF-804E0C582CC0}"/>
    <cellStyle name="Normal 4 2 2 11 5 6" xfId="39516" xr:uid="{BD99DF02-928B-421D-865E-B4A02829FF90}"/>
    <cellStyle name="Normal 4 2 2 11 6" xfId="7996" xr:uid="{00000000-0005-0000-0000-0000611B0000}"/>
    <cellStyle name="Normal 4 2 2 11 6 2" xfId="25475" xr:uid="{1B61BB13-94EF-491D-95FF-3454EEBA53AE}"/>
    <cellStyle name="Normal 4 2 2 11 6 3" xfId="19815" xr:uid="{42E794F9-5C7F-483A-BA76-40D6BF4245E1}"/>
    <cellStyle name="Normal 4 2 2 11 6 4" xfId="31136" xr:uid="{A0C79060-D872-4244-A012-A9B817EDFBC0}"/>
    <cellStyle name="Normal 4 2 2 11 6 5" xfId="39518" xr:uid="{F8E6C082-3FA0-4C2E-8959-7B08BFD8CECD}"/>
    <cellStyle name="Normal 4 2 2 11 7" xfId="22542" xr:uid="{411C438D-DE92-4C39-A81C-3B93821521FA}"/>
    <cellStyle name="Normal 4 2 2 11 8" xfId="16882" xr:uid="{396BD19D-E51E-4DBE-AB23-B2A08EED882E}"/>
    <cellStyle name="Normal 4 2 2 11 9" xfId="28203" xr:uid="{74B0E2A5-C449-42AF-9800-977119F1DBC6}"/>
    <cellStyle name="Normal 4 2 2 12" xfId="4243" xr:uid="{00000000-0005-0000-0000-0000621B0000}"/>
    <cellStyle name="Normal 4 2 2 12 10" xfId="39519" xr:uid="{AB2BBE27-778C-454F-B4D8-E0449FD14971}"/>
    <cellStyle name="Normal 4 2 2 12 2" xfId="4956" xr:uid="{00000000-0005-0000-0000-0000631B0000}"/>
    <cellStyle name="Normal 4 2 2 12 2 2" xfId="5375" xr:uid="{00000000-0005-0000-0000-0000641B0000}"/>
    <cellStyle name="Normal 4 2 2 12 2 2 2" xfId="7238" xr:uid="{00000000-0005-0000-0000-0000651B0000}"/>
    <cellStyle name="Normal 4 2 2 12 2 2 2 2" xfId="15671" xr:uid="{00000000-0005-0000-0000-0000661B0000}"/>
    <cellStyle name="Normal 4 2 2 12 2 2 2 2 2" xfId="27565" xr:uid="{8825D481-FB7E-4D0A-AAB1-BFF6577D6673}"/>
    <cellStyle name="Normal 4 2 2 12 2 2 2 2 3" xfId="21905" xr:uid="{B0F1968E-33FA-4FA5-B3CB-93D7EE830134}"/>
    <cellStyle name="Normal 4 2 2 12 2 2 2 2 4" xfId="32945" xr:uid="{72B8B49C-D270-4416-B276-3BB64D24E997}"/>
    <cellStyle name="Normal 4 2 2 12 2 2 2 2 5" xfId="39523" xr:uid="{6A5CD094-0897-4ED5-AE30-BB16740E112B}"/>
    <cellStyle name="Normal 4 2 2 12 2 2 2 3" xfId="24732" xr:uid="{E277CC18-6A4A-40C8-AF5A-ACAF1F98C1A1}"/>
    <cellStyle name="Normal 4 2 2 12 2 2 2 4" xfId="19072" xr:uid="{37EA3709-DCAD-4E1F-8B3C-B772C7F8E87D}"/>
    <cellStyle name="Normal 4 2 2 12 2 2 2 5" xfId="30393" xr:uid="{ABE24174-2C15-49E6-9879-4CC7A8B7F403}"/>
    <cellStyle name="Normal 4 2 2 12 2 2 2 6" xfId="39522" xr:uid="{F86F3789-2627-4155-983B-9E725778FCA7}"/>
    <cellStyle name="Normal 4 2 2 12 2 2 3" xfId="14261" xr:uid="{00000000-0005-0000-0000-0000671B0000}"/>
    <cellStyle name="Normal 4 2 2 12 2 2 3 2" xfId="26300" xr:uid="{2E7B8311-A831-4F8D-9077-E58F23A1BE7A}"/>
    <cellStyle name="Normal 4 2 2 12 2 2 3 3" xfId="20640" xr:uid="{4A105504-364F-477B-81B1-C100D14D478D}"/>
    <cellStyle name="Normal 4 2 2 12 2 2 3 4" xfId="31680" xr:uid="{4722F44A-83B2-4785-AA24-D8430ABDDE63}"/>
    <cellStyle name="Normal 4 2 2 12 2 2 3 5" xfId="39524" xr:uid="{4D91B2B1-CCD2-4E2A-B207-406A0363B16F}"/>
    <cellStyle name="Normal 4 2 2 12 2 2 4" xfId="23170" xr:uid="{AF3FD91B-1F89-4E60-83AE-671914002EDF}"/>
    <cellStyle name="Normal 4 2 2 12 2 2 5" xfId="17510" xr:uid="{F5E81C3D-2BD3-4365-A37E-6E2141BB6C2B}"/>
    <cellStyle name="Normal 4 2 2 12 2 2 6" xfId="28831" xr:uid="{D4578FF0-86B5-4A95-A6E5-04C56F1D6A3F}"/>
    <cellStyle name="Normal 4 2 2 12 2 2 7" xfId="39521" xr:uid="{1B8AD9A1-CED6-4ADD-8838-EF83C247EC98}"/>
    <cellStyle name="Normal 4 2 2 12 2 3" xfId="6228" xr:uid="{00000000-0005-0000-0000-0000681B0000}"/>
    <cellStyle name="Normal 4 2 2 12 2 3 2" xfId="7558" xr:uid="{00000000-0005-0000-0000-0000691B0000}"/>
    <cellStyle name="Normal 4 2 2 12 2 3 2 2" xfId="15991" xr:uid="{00000000-0005-0000-0000-00006A1B0000}"/>
    <cellStyle name="Normal 4 2 2 12 2 3 2 2 2" xfId="27885" xr:uid="{E62D4B51-8CD4-4159-9730-E888D13684BC}"/>
    <cellStyle name="Normal 4 2 2 12 2 3 2 2 3" xfId="22225" xr:uid="{A81EB0A3-98EF-4C46-86E1-9113F45C6B83}"/>
    <cellStyle name="Normal 4 2 2 12 2 3 2 2 4" xfId="33265" xr:uid="{25AC79DF-EEEE-4854-BE13-86C42872DC39}"/>
    <cellStyle name="Normal 4 2 2 12 2 3 2 2 5" xfId="39527" xr:uid="{45863A66-64CC-4822-A451-DDE8D4174458}"/>
    <cellStyle name="Normal 4 2 2 12 2 3 2 3" xfId="25052" xr:uid="{C01C1842-37F3-4C90-A881-B410C38F6714}"/>
    <cellStyle name="Normal 4 2 2 12 2 3 2 4" xfId="19392" xr:uid="{6002112A-3712-4231-A22C-C44311DC82C8}"/>
    <cellStyle name="Normal 4 2 2 12 2 3 2 5" xfId="30713" xr:uid="{BB3CEA3F-776E-4710-B599-1C4E3037AD73}"/>
    <cellStyle name="Normal 4 2 2 12 2 3 2 6" xfId="39526" xr:uid="{96A233CB-586C-44F8-BEDB-8117AC4FAD43}"/>
    <cellStyle name="Normal 4 2 2 12 2 3 3" xfId="14673" xr:uid="{00000000-0005-0000-0000-00006B1B0000}"/>
    <cellStyle name="Normal 4 2 2 12 2 3 3 2" xfId="26629" xr:uid="{51291E7D-8CE1-4593-925D-1CEA0FE589AC}"/>
    <cellStyle name="Normal 4 2 2 12 2 3 3 3" xfId="20969" xr:uid="{FCF98F9A-D8AD-4D67-9390-3F8D7A097EF2}"/>
    <cellStyle name="Normal 4 2 2 12 2 3 3 4" xfId="32009" xr:uid="{03647BF0-1675-417E-9378-092FB575A751}"/>
    <cellStyle name="Normal 4 2 2 12 2 3 3 5" xfId="39528" xr:uid="{913536D0-C2D0-474C-8C71-651982DFCA2F}"/>
    <cellStyle name="Normal 4 2 2 12 2 3 4" xfId="23796" xr:uid="{2962A066-7CF3-472F-A921-68816EE3975F}"/>
    <cellStyle name="Normal 4 2 2 12 2 3 5" xfId="18136" xr:uid="{524DEC79-06B2-41E8-9D2D-132358BF27CE}"/>
    <cellStyle name="Normal 4 2 2 12 2 3 6" xfId="29457" xr:uid="{42994048-0149-4D9C-83FC-7D62D8F20742}"/>
    <cellStyle name="Normal 4 2 2 12 2 3 7" xfId="39525" xr:uid="{941F00AE-CD14-48BA-BDE8-E284E88EAC86}"/>
    <cellStyle name="Normal 4 2 2 12 2 4" xfId="6820" xr:uid="{00000000-0005-0000-0000-00006C1B0000}"/>
    <cellStyle name="Normal 4 2 2 12 2 4 2" xfId="15253" xr:uid="{00000000-0005-0000-0000-00006D1B0000}"/>
    <cellStyle name="Normal 4 2 2 12 2 4 2 2" xfId="27147" xr:uid="{B689441B-45E6-4522-98F0-C174C7B3AFAC}"/>
    <cellStyle name="Normal 4 2 2 12 2 4 2 3" xfId="21487" xr:uid="{3FBB69B8-ABF4-4218-ADF8-D72CE27B97BC}"/>
    <cellStyle name="Normal 4 2 2 12 2 4 2 4" xfId="32527" xr:uid="{BB2B5EC1-E076-46E6-A923-302FF259FB4D}"/>
    <cellStyle name="Normal 4 2 2 12 2 4 2 5" xfId="39530" xr:uid="{9D3E83F8-A724-4CB8-B37E-42FB1B1A4BDF}"/>
    <cellStyle name="Normal 4 2 2 12 2 4 3" xfId="24314" xr:uid="{3EDCCF9B-5C4E-4D07-8254-D85BA44843F6}"/>
    <cellStyle name="Normal 4 2 2 12 2 4 4" xfId="18654" xr:uid="{0D8D3865-A622-41FE-8237-35BFD7D3A12D}"/>
    <cellStyle name="Normal 4 2 2 12 2 4 5" xfId="29975" xr:uid="{F0446170-1B10-46FD-B15B-EA908A374E8F}"/>
    <cellStyle name="Normal 4 2 2 12 2 4 6" xfId="39529" xr:uid="{70702BDD-B412-413C-AA6F-54FA24076BB9}"/>
    <cellStyle name="Normal 4 2 2 12 2 5" xfId="7999" xr:uid="{00000000-0005-0000-0000-00006E1B0000}"/>
    <cellStyle name="Normal 4 2 2 12 2 5 2" xfId="25478" xr:uid="{5325226F-76CE-41FC-B51A-E34DB82D2CC1}"/>
    <cellStyle name="Normal 4 2 2 12 2 5 3" xfId="19818" xr:uid="{34F72412-134C-449E-9933-DCD85688F9FA}"/>
    <cellStyle name="Normal 4 2 2 12 2 5 4" xfId="31139" xr:uid="{2B25545C-2E5E-4720-9E85-226E26662F26}"/>
    <cellStyle name="Normal 4 2 2 12 2 5 5" xfId="39531" xr:uid="{62500183-20B1-4DD5-B9E3-8A9FB687931C}"/>
    <cellStyle name="Normal 4 2 2 12 2 6" xfId="22752" xr:uid="{82E02458-FAC9-43B1-A3AC-8D2DBE259B79}"/>
    <cellStyle name="Normal 4 2 2 12 2 7" xfId="17092" xr:uid="{CBA2241E-0143-49C9-ACBF-2A06D51CFB88}"/>
    <cellStyle name="Normal 4 2 2 12 2 8" xfId="28413" xr:uid="{F3B4157C-0003-4AB5-B286-7DC6B803F288}"/>
    <cellStyle name="Normal 4 2 2 12 2 9" xfId="39520" xr:uid="{CA94131C-E4EF-4915-A6E3-FF565597D9AD}"/>
    <cellStyle name="Normal 4 2 2 12 3" xfId="5166" xr:uid="{00000000-0005-0000-0000-00006F1B0000}"/>
    <cellStyle name="Normal 4 2 2 12 3 2" xfId="6227" xr:uid="{00000000-0005-0000-0000-0000701B0000}"/>
    <cellStyle name="Normal 4 2 2 12 3 2 2" xfId="7557" xr:uid="{00000000-0005-0000-0000-0000711B0000}"/>
    <cellStyle name="Normal 4 2 2 12 3 2 2 2" xfId="15990" xr:uid="{00000000-0005-0000-0000-0000721B0000}"/>
    <cellStyle name="Normal 4 2 2 12 3 2 2 2 2" xfId="27884" xr:uid="{A0DFF74F-9214-415A-BFD8-707C56EC4230}"/>
    <cellStyle name="Normal 4 2 2 12 3 2 2 2 3" xfId="22224" xr:uid="{B5BB5DDC-2D8F-4DC1-A3B7-55AB48ABA05B}"/>
    <cellStyle name="Normal 4 2 2 12 3 2 2 2 4" xfId="33264" xr:uid="{1711BF2E-8222-4F12-ACDF-506E985CA7A2}"/>
    <cellStyle name="Normal 4 2 2 12 3 2 2 2 5" xfId="39535" xr:uid="{B0F28605-4D8D-42F1-BCCB-F54F8694CB5D}"/>
    <cellStyle name="Normal 4 2 2 12 3 2 2 3" xfId="25051" xr:uid="{BF9BD212-18B9-40C7-9C2E-F69AC203AA9B}"/>
    <cellStyle name="Normal 4 2 2 12 3 2 2 4" xfId="19391" xr:uid="{60AA48EE-607B-4C17-A9A0-5153378117A0}"/>
    <cellStyle name="Normal 4 2 2 12 3 2 2 5" xfId="30712" xr:uid="{972628C8-5636-40C2-B196-006D283FC21C}"/>
    <cellStyle name="Normal 4 2 2 12 3 2 2 6" xfId="39534" xr:uid="{14DCFE82-EDDC-4DCB-9334-116DD0306692}"/>
    <cellStyle name="Normal 4 2 2 12 3 2 3" xfId="14672" xr:uid="{00000000-0005-0000-0000-0000731B0000}"/>
    <cellStyle name="Normal 4 2 2 12 3 2 3 2" xfId="26628" xr:uid="{6E99F468-439D-4080-8F7E-5B7B8D1C65E7}"/>
    <cellStyle name="Normal 4 2 2 12 3 2 3 3" xfId="20968" xr:uid="{8A1819A4-E24F-4CA3-93C1-E1EA5F521B27}"/>
    <cellStyle name="Normal 4 2 2 12 3 2 3 4" xfId="32008" xr:uid="{54256929-76F7-47E2-A77A-0BB5B39F27D1}"/>
    <cellStyle name="Normal 4 2 2 12 3 2 3 5" xfId="39536" xr:uid="{53C87A49-9B3D-40FE-8035-06A43B8E481C}"/>
    <cellStyle name="Normal 4 2 2 12 3 2 4" xfId="23795" xr:uid="{479692D7-69A5-4AB8-9D4E-81CE72E06BE9}"/>
    <cellStyle name="Normal 4 2 2 12 3 2 5" xfId="18135" xr:uid="{25541D22-756F-4BEE-ACAF-736B16795C43}"/>
    <cellStyle name="Normal 4 2 2 12 3 2 6" xfId="29456" xr:uid="{E64764E7-F095-44F9-9D86-46D65FBAE6D9}"/>
    <cellStyle name="Normal 4 2 2 12 3 2 7" xfId="39533" xr:uid="{1984384C-5A8E-4D38-85C0-BF6AD86F732E}"/>
    <cellStyle name="Normal 4 2 2 12 3 3" xfId="7029" xr:uid="{00000000-0005-0000-0000-0000741B0000}"/>
    <cellStyle name="Normal 4 2 2 12 3 3 2" xfId="15462" xr:uid="{00000000-0005-0000-0000-0000751B0000}"/>
    <cellStyle name="Normal 4 2 2 12 3 3 2 2" xfId="27356" xr:uid="{893CEAAF-EE02-4E09-8EC6-E3CC5D993B4B}"/>
    <cellStyle name="Normal 4 2 2 12 3 3 2 3" xfId="21696" xr:uid="{9E21E947-2B82-4FE1-9B20-0857AC8744AA}"/>
    <cellStyle name="Normal 4 2 2 12 3 3 2 4" xfId="32736" xr:uid="{49C12F56-769E-4F4D-B8C8-17C5815A1507}"/>
    <cellStyle name="Normal 4 2 2 12 3 3 2 5" xfId="39538" xr:uid="{A8E2327C-7FB1-4EF7-AB38-F79D0DB72EE6}"/>
    <cellStyle name="Normal 4 2 2 12 3 3 3" xfId="24523" xr:uid="{18B49414-8485-4001-96F3-97D00F95230F}"/>
    <cellStyle name="Normal 4 2 2 12 3 3 4" xfId="18863" xr:uid="{FDD7492C-405E-447E-BB0D-DC76BD91CB97}"/>
    <cellStyle name="Normal 4 2 2 12 3 3 5" xfId="30184" xr:uid="{BEB530F6-D4C9-4254-AFD7-F9D5ACE50C0A}"/>
    <cellStyle name="Normal 4 2 2 12 3 3 6" xfId="39537" xr:uid="{F2D9A1FD-2D37-4486-AE63-F81356434B00}"/>
    <cellStyle name="Normal 4 2 2 12 3 4" xfId="14053" xr:uid="{00000000-0005-0000-0000-0000761B0000}"/>
    <cellStyle name="Normal 4 2 2 12 3 4 2" xfId="26092" xr:uid="{A626002F-F3DC-4444-8E27-928852B06295}"/>
    <cellStyle name="Normal 4 2 2 12 3 4 3" xfId="20432" xr:uid="{70659E75-0787-4B35-B342-F974CA64A71A}"/>
    <cellStyle name="Normal 4 2 2 12 3 4 4" xfId="31472" xr:uid="{4D8C63CB-E1D8-4D1F-A1A7-5B9BF4D157DB}"/>
    <cellStyle name="Normal 4 2 2 12 3 4 5" xfId="39539" xr:uid="{CAF47E7E-EC12-444B-9BCD-C8B8A2CF1933}"/>
    <cellStyle name="Normal 4 2 2 12 3 5" xfId="22961" xr:uid="{32E7EBA4-ABA7-461A-AA44-474CC9BB1CC2}"/>
    <cellStyle name="Normal 4 2 2 12 3 6" xfId="17301" xr:uid="{9CC4B4F7-E5FE-444E-8F9C-3A445A32D360}"/>
    <cellStyle name="Normal 4 2 2 12 3 7" xfId="28622" xr:uid="{9D5ABAAA-7AA8-47CC-B18E-42E48857304C}"/>
    <cellStyle name="Normal 4 2 2 12 3 8" xfId="39532" xr:uid="{B6A1511E-DD7D-411B-A721-A6F3DB94BC7E}"/>
    <cellStyle name="Normal 4 2 2 12 4" xfId="5684" xr:uid="{00000000-0005-0000-0000-0000771B0000}"/>
    <cellStyle name="Normal 4 2 2 12 4 2" xfId="39540" xr:uid="{7897D7AF-00A3-466A-8E33-B038EE04B766}"/>
    <cellStyle name="Normal 4 2 2 12 5" xfId="6611" xr:uid="{00000000-0005-0000-0000-0000781B0000}"/>
    <cellStyle name="Normal 4 2 2 12 5 2" xfId="15044" xr:uid="{00000000-0005-0000-0000-0000791B0000}"/>
    <cellStyle name="Normal 4 2 2 12 5 2 2" xfId="26938" xr:uid="{0839534D-3FED-4003-B95F-5E5B44A12D74}"/>
    <cellStyle name="Normal 4 2 2 12 5 2 3" xfId="21278" xr:uid="{07EAF487-CDDD-4193-B5F6-96294AEE9DA8}"/>
    <cellStyle name="Normal 4 2 2 12 5 2 4" xfId="32318" xr:uid="{3F9DA61B-4775-47FA-9813-0C3B9FACCD9A}"/>
    <cellStyle name="Normal 4 2 2 12 5 2 5" xfId="39542" xr:uid="{A497B8A1-908E-4566-A970-4B173A05833A}"/>
    <cellStyle name="Normal 4 2 2 12 5 3" xfId="24105" xr:uid="{87529C96-1771-478F-A7CB-74517E1DE71C}"/>
    <cellStyle name="Normal 4 2 2 12 5 4" xfId="18445" xr:uid="{26972895-0823-4399-847A-2BC5432B4E80}"/>
    <cellStyle name="Normal 4 2 2 12 5 5" xfId="29766" xr:uid="{90F7E007-6012-462A-84F9-7408EDDDD811}"/>
    <cellStyle name="Normal 4 2 2 12 5 6" xfId="39541" xr:uid="{736B2C2B-3E0F-48B4-BA3C-037E6DDAD222}"/>
    <cellStyle name="Normal 4 2 2 12 6" xfId="7998" xr:uid="{00000000-0005-0000-0000-00007A1B0000}"/>
    <cellStyle name="Normal 4 2 2 12 6 2" xfId="25477" xr:uid="{258A3FB8-BA7A-4B15-AC37-EF180430C285}"/>
    <cellStyle name="Normal 4 2 2 12 6 3" xfId="19817" xr:uid="{9BA63CF0-DDD2-4B98-BCCA-6ADF8858B537}"/>
    <cellStyle name="Normal 4 2 2 12 6 4" xfId="31138" xr:uid="{D46FC18F-5CAC-4D35-967E-330DC6045AFF}"/>
    <cellStyle name="Normal 4 2 2 12 6 5" xfId="39543" xr:uid="{25548748-14C2-453D-8A44-9A56A2FA9AD4}"/>
    <cellStyle name="Normal 4 2 2 12 7" xfId="22543" xr:uid="{853AF0B3-6849-4275-AFB3-13E5F970A2DA}"/>
    <cellStyle name="Normal 4 2 2 12 8" xfId="16883" xr:uid="{9828EBA5-EF11-476B-B695-8A8BF8582361}"/>
    <cellStyle name="Normal 4 2 2 12 9" xfId="28204" xr:uid="{CBB580DD-CA25-4FDB-B563-D37375536D1B}"/>
    <cellStyle name="Normal 4 2 2 13" xfId="4244" xr:uid="{00000000-0005-0000-0000-00007B1B0000}"/>
    <cellStyle name="Normal 4 2 2 13 10" xfId="39544" xr:uid="{CCBCF5B2-3DBB-42D0-9E14-18FB495E1ADD}"/>
    <cellStyle name="Normal 4 2 2 13 2" xfId="4957" xr:uid="{00000000-0005-0000-0000-00007C1B0000}"/>
    <cellStyle name="Normal 4 2 2 13 2 2" xfId="5376" xr:uid="{00000000-0005-0000-0000-00007D1B0000}"/>
    <cellStyle name="Normal 4 2 2 13 2 2 2" xfId="7239" xr:uid="{00000000-0005-0000-0000-00007E1B0000}"/>
    <cellStyle name="Normal 4 2 2 13 2 2 2 2" xfId="15672" xr:uid="{00000000-0005-0000-0000-00007F1B0000}"/>
    <cellStyle name="Normal 4 2 2 13 2 2 2 2 2" xfId="27566" xr:uid="{E897A652-72C8-452B-84B0-41A83478E1D2}"/>
    <cellStyle name="Normal 4 2 2 13 2 2 2 2 3" xfId="21906" xr:uid="{E7381747-2636-4381-9A50-6BCF9265A454}"/>
    <cellStyle name="Normal 4 2 2 13 2 2 2 2 4" xfId="32946" xr:uid="{D0A45AE1-E546-49F0-B5A0-842379227370}"/>
    <cellStyle name="Normal 4 2 2 13 2 2 2 2 5" xfId="39548" xr:uid="{2D2D797C-DDFF-48A0-8E10-B21DF160EB2B}"/>
    <cellStyle name="Normal 4 2 2 13 2 2 2 3" xfId="24733" xr:uid="{8BAFBDBF-2CC7-41C7-BF2B-F7C6F2A39A9A}"/>
    <cellStyle name="Normal 4 2 2 13 2 2 2 4" xfId="19073" xr:uid="{E6CAC7E2-783F-49B4-891D-98B440746714}"/>
    <cellStyle name="Normal 4 2 2 13 2 2 2 5" xfId="30394" xr:uid="{4C865773-782F-450E-891D-88CF031D2A20}"/>
    <cellStyle name="Normal 4 2 2 13 2 2 2 6" xfId="39547" xr:uid="{B7775B44-CB4A-44CA-BB8E-42F01E6CE704}"/>
    <cellStyle name="Normal 4 2 2 13 2 2 3" xfId="14262" xr:uid="{00000000-0005-0000-0000-0000801B0000}"/>
    <cellStyle name="Normal 4 2 2 13 2 2 3 2" xfId="26301" xr:uid="{155D7E0D-1C0A-421F-9D37-C609E38725C9}"/>
    <cellStyle name="Normal 4 2 2 13 2 2 3 3" xfId="20641" xr:uid="{CEE2CE08-C330-4173-AD10-5D0754A3A35B}"/>
    <cellStyle name="Normal 4 2 2 13 2 2 3 4" xfId="31681" xr:uid="{793C7156-F6A5-4C78-AD8E-5B23D5A676C7}"/>
    <cellStyle name="Normal 4 2 2 13 2 2 3 5" xfId="39549" xr:uid="{3E05CEC7-D45C-4920-A148-3C51D4060B37}"/>
    <cellStyle name="Normal 4 2 2 13 2 2 4" xfId="23171" xr:uid="{C5B0503C-3ACA-47C2-960E-30B86711ADE4}"/>
    <cellStyle name="Normal 4 2 2 13 2 2 5" xfId="17511" xr:uid="{F1971E12-B147-4711-80BC-E91BDBD9BFE5}"/>
    <cellStyle name="Normal 4 2 2 13 2 2 6" xfId="28832" xr:uid="{47D4CA9A-576D-4711-A7BC-D3725897EF76}"/>
    <cellStyle name="Normal 4 2 2 13 2 2 7" xfId="39546" xr:uid="{5C27CE53-EF27-4639-859F-3871F46D5DDA}"/>
    <cellStyle name="Normal 4 2 2 13 2 3" xfId="6230" xr:uid="{00000000-0005-0000-0000-0000811B0000}"/>
    <cellStyle name="Normal 4 2 2 13 2 3 2" xfId="7560" xr:uid="{00000000-0005-0000-0000-0000821B0000}"/>
    <cellStyle name="Normal 4 2 2 13 2 3 2 2" xfId="15993" xr:uid="{00000000-0005-0000-0000-0000831B0000}"/>
    <cellStyle name="Normal 4 2 2 13 2 3 2 2 2" xfId="27887" xr:uid="{8CE70C3E-DAE3-443E-9FA5-E2295B4133D6}"/>
    <cellStyle name="Normal 4 2 2 13 2 3 2 2 3" xfId="22227" xr:uid="{C6D9C567-577F-4DC2-BC01-21625B016C62}"/>
    <cellStyle name="Normal 4 2 2 13 2 3 2 2 4" xfId="33267" xr:uid="{B992BAB8-1B7B-4914-BBE0-03D4DAC3F983}"/>
    <cellStyle name="Normal 4 2 2 13 2 3 2 2 5" xfId="39552" xr:uid="{90455C7A-569D-49A5-963C-79FEE3AE5DE8}"/>
    <cellStyle name="Normal 4 2 2 13 2 3 2 3" xfId="25054" xr:uid="{07EF69B6-96C7-4A56-9229-7B281CCE0F6A}"/>
    <cellStyle name="Normal 4 2 2 13 2 3 2 4" xfId="19394" xr:uid="{8B125F40-88BE-447B-999D-928B32BD7DFE}"/>
    <cellStyle name="Normal 4 2 2 13 2 3 2 5" xfId="30715" xr:uid="{9D7A7EC4-F182-43C4-8949-2F23D84109DA}"/>
    <cellStyle name="Normal 4 2 2 13 2 3 2 6" xfId="39551" xr:uid="{FD2F39F2-E952-4493-8FF9-2107D06E35DA}"/>
    <cellStyle name="Normal 4 2 2 13 2 3 3" xfId="14675" xr:uid="{00000000-0005-0000-0000-0000841B0000}"/>
    <cellStyle name="Normal 4 2 2 13 2 3 3 2" xfId="26631" xr:uid="{D04D2D0B-46B8-4FFE-9DD8-A4E270EE2F29}"/>
    <cellStyle name="Normal 4 2 2 13 2 3 3 3" xfId="20971" xr:uid="{53639802-7C11-45B8-A54F-333C6E2AE9EE}"/>
    <cellStyle name="Normal 4 2 2 13 2 3 3 4" xfId="32011" xr:uid="{B7741A5B-6459-4808-B5B6-8898F9F1871A}"/>
    <cellStyle name="Normal 4 2 2 13 2 3 3 5" xfId="39553" xr:uid="{0068E1F0-C9AC-44A3-988E-C29272F38062}"/>
    <cellStyle name="Normal 4 2 2 13 2 3 4" xfId="23798" xr:uid="{C2D8D2D5-A7FE-43E9-ACC6-1CF7294E0D08}"/>
    <cellStyle name="Normal 4 2 2 13 2 3 5" xfId="18138" xr:uid="{C42683AD-A4C8-4F4C-B8F2-057BCD500A47}"/>
    <cellStyle name="Normal 4 2 2 13 2 3 6" xfId="29459" xr:uid="{776E8AF7-19E9-4BB6-91EF-AE039DF2AE1B}"/>
    <cellStyle name="Normal 4 2 2 13 2 3 7" xfId="39550" xr:uid="{F98AAD7D-9F64-462E-B5C8-516A32C7F7AA}"/>
    <cellStyle name="Normal 4 2 2 13 2 4" xfId="6821" xr:uid="{00000000-0005-0000-0000-0000851B0000}"/>
    <cellStyle name="Normal 4 2 2 13 2 4 2" xfId="15254" xr:uid="{00000000-0005-0000-0000-0000861B0000}"/>
    <cellStyle name="Normal 4 2 2 13 2 4 2 2" xfId="27148" xr:uid="{8B437740-6670-401B-ADF7-2067BD6F343F}"/>
    <cellStyle name="Normal 4 2 2 13 2 4 2 3" xfId="21488" xr:uid="{119A5C44-2093-4694-8F13-C0F3538EC40F}"/>
    <cellStyle name="Normal 4 2 2 13 2 4 2 4" xfId="32528" xr:uid="{1AC8FE00-95E6-40D0-A503-718902A60406}"/>
    <cellStyle name="Normal 4 2 2 13 2 4 2 5" xfId="39555" xr:uid="{9C621ED1-1E16-401F-84DD-2D627936F392}"/>
    <cellStyle name="Normal 4 2 2 13 2 4 3" xfId="24315" xr:uid="{73918375-3C1D-4C85-ABBB-9C57032D4357}"/>
    <cellStyle name="Normal 4 2 2 13 2 4 4" xfId="18655" xr:uid="{006EB5C5-356C-43DE-B44F-B20AFBDCF616}"/>
    <cellStyle name="Normal 4 2 2 13 2 4 5" xfId="29976" xr:uid="{0882BC14-79D9-4ACB-BD59-FA4EFC727AAF}"/>
    <cellStyle name="Normal 4 2 2 13 2 4 6" xfId="39554" xr:uid="{2DF07B95-89FF-40EE-A8E7-9C14B7A06ACA}"/>
    <cellStyle name="Normal 4 2 2 13 2 5" xfId="8001" xr:uid="{00000000-0005-0000-0000-0000871B0000}"/>
    <cellStyle name="Normal 4 2 2 13 2 5 2" xfId="25480" xr:uid="{2D2372E8-3FAC-4EDF-BAFB-20A0A93A016F}"/>
    <cellStyle name="Normal 4 2 2 13 2 5 3" xfId="19820" xr:uid="{F372FB56-0FA0-4134-8ED6-6C8DE671D65E}"/>
    <cellStyle name="Normal 4 2 2 13 2 5 4" xfId="31141" xr:uid="{C3A9382E-E94C-40D1-A8C5-D22E9CD13CD9}"/>
    <cellStyle name="Normal 4 2 2 13 2 5 5" xfId="39556" xr:uid="{85D939C6-4AAB-4820-90C4-750478306364}"/>
    <cellStyle name="Normal 4 2 2 13 2 6" xfId="22753" xr:uid="{5553EBF6-759D-4E85-A170-3B9636E718C4}"/>
    <cellStyle name="Normal 4 2 2 13 2 7" xfId="17093" xr:uid="{BBDF26CB-64F8-47E6-8194-20DBE9586FAB}"/>
    <cellStyle name="Normal 4 2 2 13 2 8" xfId="28414" xr:uid="{79029FE6-AA2F-4F5C-BB8B-223D91B05749}"/>
    <cellStyle name="Normal 4 2 2 13 2 9" xfId="39545" xr:uid="{BBF656C9-2A5F-42DA-B685-52EA8FC260A9}"/>
    <cellStyle name="Normal 4 2 2 13 3" xfId="5167" xr:uid="{00000000-0005-0000-0000-0000881B0000}"/>
    <cellStyle name="Normal 4 2 2 13 3 2" xfId="6229" xr:uid="{00000000-0005-0000-0000-0000891B0000}"/>
    <cellStyle name="Normal 4 2 2 13 3 2 2" xfId="7559" xr:uid="{00000000-0005-0000-0000-00008A1B0000}"/>
    <cellStyle name="Normal 4 2 2 13 3 2 2 2" xfId="15992" xr:uid="{00000000-0005-0000-0000-00008B1B0000}"/>
    <cellStyle name="Normal 4 2 2 13 3 2 2 2 2" xfId="27886" xr:uid="{7F496F4E-1D91-4DE4-9A06-A73682BBBDB2}"/>
    <cellStyle name="Normal 4 2 2 13 3 2 2 2 3" xfId="22226" xr:uid="{E30199D8-1F6C-4AE7-833C-A90B1719FA45}"/>
    <cellStyle name="Normal 4 2 2 13 3 2 2 2 4" xfId="33266" xr:uid="{64F55018-BC0F-4BF8-B664-632AD57BC7F8}"/>
    <cellStyle name="Normal 4 2 2 13 3 2 2 2 5" xfId="39560" xr:uid="{F271D07D-C72A-4D00-B418-CCAA6578CC02}"/>
    <cellStyle name="Normal 4 2 2 13 3 2 2 3" xfId="25053" xr:uid="{629825C0-616D-41E2-A20D-63548A84373C}"/>
    <cellStyle name="Normal 4 2 2 13 3 2 2 4" xfId="19393" xr:uid="{8E2992CC-632A-4D65-966B-2A3B9A35118F}"/>
    <cellStyle name="Normal 4 2 2 13 3 2 2 5" xfId="30714" xr:uid="{300E3532-A896-43B8-AF04-B9ACBCD8818C}"/>
    <cellStyle name="Normal 4 2 2 13 3 2 2 6" xfId="39559" xr:uid="{049274DC-F745-44C0-AAD2-54E921EC3483}"/>
    <cellStyle name="Normal 4 2 2 13 3 2 3" xfId="14674" xr:uid="{00000000-0005-0000-0000-00008C1B0000}"/>
    <cellStyle name="Normal 4 2 2 13 3 2 3 2" xfId="26630" xr:uid="{A758FDB8-27E6-4899-BF4D-6487EBC545F8}"/>
    <cellStyle name="Normal 4 2 2 13 3 2 3 3" xfId="20970" xr:uid="{B92DABE3-381F-4829-933D-2B165E0CB975}"/>
    <cellStyle name="Normal 4 2 2 13 3 2 3 4" xfId="32010" xr:uid="{A9522EA8-33C2-480E-B096-F6E3BFB467C1}"/>
    <cellStyle name="Normal 4 2 2 13 3 2 3 5" xfId="39561" xr:uid="{84AA4134-E49C-42D1-8D3B-E5CA049C38D4}"/>
    <cellStyle name="Normal 4 2 2 13 3 2 4" xfId="23797" xr:uid="{23B785DA-D721-4D7A-AD9F-83B62100508D}"/>
    <cellStyle name="Normal 4 2 2 13 3 2 5" xfId="18137" xr:uid="{324E85B3-4F3C-4800-8C9A-813E9DFB4C9F}"/>
    <cellStyle name="Normal 4 2 2 13 3 2 6" xfId="29458" xr:uid="{A225E57E-AC93-4866-93AC-D64E370C9610}"/>
    <cellStyle name="Normal 4 2 2 13 3 2 7" xfId="39558" xr:uid="{618DAAAB-41AB-430A-BF3F-E05F8981268A}"/>
    <cellStyle name="Normal 4 2 2 13 3 3" xfId="7030" xr:uid="{00000000-0005-0000-0000-00008D1B0000}"/>
    <cellStyle name="Normal 4 2 2 13 3 3 2" xfId="15463" xr:uid="{00000000-0005-0000-0000-00008E1B0000}"/>
    <cellStyle name="Normal 4 2 2 13 3 3 2 2" xfId="27357" xr:uid="{4277B5CF-CE85-4BDE-B06D-86EE5A0FBD6B}"/>
    <cellStyle name="Normal 4 2 2 13 3 3 2 3" xfId="21697" xr:uid="{A5154326-F312-4A02-90CB-313BB7470BF5}"/>
    <cellStyle name="Normal 4 2 2 13 3 3 2 4" xfId="32737" xr:uid="{7117D440-DA1F-4B87-9EF6-05597C821292}"/>
    <cellStyle name="Normal 4 2 2 13 3 3 2 5" xfId="39563" xr:uid="{58D82BCE-C421-495C-8E79-9B60225F2DF8}"/>
    <cellStyle name="Normal 4 2 2 13 3 3 3" xfId="24524" xr:uid="{E0C048B6-D12C-4D22-BF17-49B751860863}"/>
    <cellStyle name="Normal 4 2 2 13 3 3 4" xfId="18864" xr:uid="{ECCC1A78-BADD-477D-B603-9A4422964BF7}"/>
    <cellStyle name="Normal 4 2 2 13 3 3 5" xfId="30185" xr:uid="{47FF618D-AF85-47A2-836F-D149AD9D20CB}"/>
    <cellStyle name="Normal 4 2 2 13 3 3 6" xfId="39562" xr:uid="{3FAE5E75-1FAD-4BE6-84F9-7DAADE7120C6}"/>
    <cellStyle name="Normal 4 2 2 13 3 4" xfId="14054" xr:uid="{00000000-0005-0000-0000-00008F1B0000}"/>
    <cellStyle name="Normal 4 2 2 13 3 4 2" xfId="26093" xr:uid="{58FF57C2-2B52-442D-9E7C-013FEB304149}"/>
    <cellStyle name="Normal 4 2 2 13 3 4 3" xfId="20433" xr:uid="{63EFAD17-CA00-4B3D-9A8D-3EA61CB2A831}"/>
    <cellStyle name="Normal 4 2 2 13 3 4 4" xfId="31473" xr:uid="{B6CF903A-DFCB-4224-BAC2-95A5ABBD635C}"/>
    <cellStyle name="Normal 4 2 2 13 3 4 5" xfId="39564" xr:uid="{192DF595-63A2-4155-A25D-BB4078B0963C}"/>
    <cellStyle name="Normal 4 2 2 13 3 5" xfId="22962" xr:uid="{AF28BE65-FA82-4D21-ADFC-DDFA31D9DC91}"/>
    <cellStyle name="Normal 4 2 2 13 3 6" xfId="17302" xr:uid="{26569EFF-6BB3-4668-8F9C-2D7A8F5FBDB9}"/>
    <cellStyle name="Normal 4 2 2 13 3 7" xfId="28623" xr:uid="{E8FC40C4-3778-4176-A21B-56A6E2E8C3A3}"/>
    <cellStyle name="Normal 4 2 2 13 3 8" xfId="39557" xr:uid="{BAB9A755-2E85-4EE1-BC09-DFF15EC4394E}"/>
    <cellStyle name="Normal 4 2 2 13 4" xfId="5685" xr:uid="{00000000-0005-0000-0000-0000901B0000}"/>
    <cellStyle name="Normal 4 2 2 13 4 2" xfId="39565" xr:uid="{26E4A701-878F-4C84-816D-D7C9B700A9F3}"/>
    <cellStyle name="Normal 4 2 2 13 5" xfId="6612" xr:uid="{00000000-0005-0000-0000-0000911B0000}"/>
    <cellStyle name="Normal 4 2 2 13 5 2" xfId="15045" xr:uid="{00000000-0005-0000-0000-0000921B0000}"/>
    <cellStyle name="Normal 4 2 2 13 5 2 2" xfId="26939" xr:uid="{A72346D3-BF29-444F-AADD-2EE3E05B9F46}"/>
    <cellStyle name="Normal 4 2 2 13 5 2 3" xfId="21279" xr:uid="{12E7B523-C5A7-4AE7-8219-5405AC501118}"/>
    <cellStyle name="Normal 4 2 2 13 5 2 4" xfId="32319" xr:uid="{8B716796-0E0E-412B-8FA6-8DA4FFA0BB4B}"/>
    <cellStyle name="Normal 4 2 2 13 5 2 5" xfId="39567" xr:uid="{EF5C3D04-E2E3-4B20-9693-6DE96F3206EF}"/>
    <cellStyle name="Normal 4 2 2 13 5 3" xfId="24106" xr:uid="{6C3276BD-192B-4E8C-A50B-67D7669B9BCD}"/>
    <cellStyle name="Normal 4 2 2 13 5 4" xfId="18446" xr:uid="{98847CB4-FBA4-41EA-8390-7B967E3601C9}"/>
    <cellStyle name="Normal 4 2 2 13 5 5" xfId="29767" xr:uid="{403DEED0-AA63-48BC-B348-4F64CA4D0725}"/>
    <cellStyle name="Normal 4 2 2 13 5 6" xfId="39566" xr:uid="{4D725442-CFE0-4105-AC9C-B577D3AC0E7A}"/>
    <cellStyle name="Normal 4 2 2 13 6" xfId="8000" xr:uid="{00000000-0005-0000-0000-0000931B0000}"/>
    <cellStyle name="Normal 4 2 2 13 6 2" xfId="25479" xr:uid="{C0D89714-83B9-4ABA-A8C7-4DF43226C44B}"/>
    <cellStyle name="Normal 4 2 2 13 6 3" xfId="19819" xr:uid="{4F7CFB61-D1F5-4F9B-893B-7C8898DD7630}"/>
    <cellStyle name="Normal 4 2 2 13 6 4" xfId="31140" xr:uid="{F41F1516-DF9E-4525-BDB1-AECBB6DFD8CA}"/>
    <cellStyle name="Normal 4 2 2 13 6 5" xfId="39568" xr:uid="{4936353A-89F4-417B-9CAB-16F1A5570D51}"/>
    <cellStyle name="Normal 4 2 2 13 7" xfId="22544" xr:uid="{FA2041FD-6C71-4E3F-8854-E30758DF8648}"/>
    <cellStyle name="Normal 4 2 2 13 8" xfId="16884" xr:uid="{2A0020A1-82B9-46EF-9207-3D1A6EBB8619}"/>
    <cellStyle name="Normal 4 2 2 13 9" xfId="28205" xr:uid="{DCE35E32-C03F-4AFA-BEBA-C179B833CF5A}"/>
    <cellStyle name="Normal 4 2 2 14" xfId="4861" xr:uid="{00000000-0005-0000-0000-0000941B0000}"/>
    <cellStyle name="Normal 4 2 2 14 2" xfId="5280" xr:uid="{00000000-0005-0000-0000-0000951B0000}"/>
    <cellStyle name="Normal 4 2 2 14 2 2" xfId="7143" xr:uid="{00000000-0005-0000-0000-0000961B0000}"/>
    <cellStyle name="Normal 4 2 2 14 2 2 2" xfId="15576" xr:uid="{00000000-0005-0000-0000-0000971B0000}"/>
    <cellStyle name="Normal 4 2 2 14 2 2 2 2" xfId="27470" xr:uid="{9626F42B-B7E5-4ED3-B643-3B4131002A58}"/>
    <cellStyle name="Normal 4 2 2 14 2 2 2 3" xfId="21810" xr:uid="{7C6E04B2-51CB-4E29-8174-67808658833B}"/>
    <cellStyle name="Normal 4 2 2 14 2 2 2 4" xfId="32850" xr:uid="{9B017D27-AC6D-4245-A116-BCCA016BF0CB}"/>
    <cellStyle name="Normal 4 2 2 14 2 2 2 5" xfId="39572" xr:uid="{58B30101-3F5B-4EA3-8546-682BE489123A}"/>
    <cellStyle name="Normal 4 2 2 14 2 2 3" xfId="24637" xr:uid="{1515E26A-3543-4985-B3D9-346C72DF910D}"/>
    <cellStyle name="Normal 4 2 2 14 2 2 4" xfId="18977" xr:uid="{CB2C87F6-A585-462E-B1AD-5DAA08669B0D}"/>
    <cellStyle name="Normal 4 2 2 14 2 2 5" xfId="30298" xr:uid="{FEF8B15D-74FF-4A1A-B13A-973611F8F502}"/>
    <cellStyle name="Normal 4 2 2 14 2 2 6" xfId="39571" xr:uid="{6833332C-5848-4FE0-8921-C4ACA92ED095}"/>
    <cellStyle name="Normal 4 2 2 14 2 3" xfId="14166" xr:uid="{00000000-0005-0000-0000-0000981B0000}"/>
    <cellStyle name="Normal 4 2 2 14 2 3 2" xfId="26205" xr:uid="{88C24A41-FF0D-484D-ACA6-1B86F5F6C11D}"/>
    <cellStyle name="Normal 4 2 2 14 2 3 3" xfId="20545" xr:uid="{B6C3E2B2-C34B-44A0-AD07-DD306CBFEE26}"/>
    <cellStyle name="Normal 4 2 2 14 2 3 4" xfId="31585" xr:uid="{EB848DEC-49C4-498C-86F1-59E50B96A5FE}"/>
    <cellStyle name="Normal 4 2 2 14 2 3 5" xfId="39573" xr:uid="{A856A57F-0F2B-49D8-9681-9B7E0B3A35F4}"/>
    <cellStyle name="Normal 4 2 2 14 2 4" xfId="23075" xr:uid="{3DFC9623-933F-4971-8613-3684073BBD85}"/>
    <cellStyle name="Normal 4 2 2 14 2 5" xfId="17415" xr:uid="{360BA875-CB6D-40A8-8F6C-4DA5F26F3844}"/>
    <cellStyle name="Normal 4 2 2 14 2 6" xfId="28736" xr:uid="{096A3433-4EE0-4AC2-89B1-B298E56D70E5}"/>
    <cellStyle name="Normal 4 2 2 14 2 7" xfId="39570" xr:uid="{3F99C9A2-36DA-4B74-8DEC-8B40F7F47387}"/>
    <cellStyle name="Normal 4 2 2 14 3" xfId="6231" xr:uid="{00000000-0005-0000-0000-0000991B0000}"/>
    <cellStyle name="Normal 4 2 2 14 3 2" xfId="7561" xr:uid="{00000000-0005-0000-0000-00009A1B0000}"/>
    <cellStyle name="Normal 4 2 2 14 3 2 2" xfId="15994" xr:uid="{00000000-0005-0000-0000-00009B1B0000}"/>
    <cellStyle name="Normal 4 2 2 14 3 2 2 2" xfId="27888" xr:uid="{E68EEE57-1A41-44ED-AFBF-F5118814A0FA}"/>
    <cellStyle name="Normal 4 2 2 14 3 2 2 3" xfId="22228" xr:uid="{A6D27027-723A-4E3E-9948-71D3A51A3577}"/>
    <cellStyle name="Normal 4 2 2 14 3 2 2 4" xfId="33268" xr:uid="{B348F37F-9F56-4E7F-BEC7-94E6B4CC8436}"/>
    <cellStyle name="Normal 4 2 2 14 3 2 2 5" xfId="39576" xr:uid="{400DFECE-6A21-47AD-AF16-52198FE28E2C}"/>
    <cellStyle name="Normal 4 2 2 14 3 2 3" xfId="25055" xr:uid="{07D27DB7-6CD8-47FC-B323-012392C307D3}"/>
    <cellStyle name="Normal 4 2 2 14 3 2 4" xfId="19395" xr:uid="{20A1802B-E1F9-436B-B4F4-F296B5018B44}"/>
    <cellStyle name="Normal 4 2 2 14 3 2 5" xfId="30716" xr:uid="{0F176582-D2A7-4C89-B671-DCD3270AABE1}"/>
    <cellStyle name="Normal 4 2 2 14 3 2 6" xfId="39575" xr:uid="{F9B50EC9-25D6-4470-9905-831CD33CD809}"/>
    <cellStyle name="Normal 4 2 2 14 3 3" xfId="14676" xr:uid="{00000000-0005-0000-0000-00009C1B0000}"/>
    <cellStyle name="Normal 4 2 2 14 3 3 2" xfId="26632" xr:uid="{827BF32D-22E0-4790-B74E-A777B660CBAE}"/>
    <cellStyle name="Normal 4 2 2 14 3 3 3" xfId="20972" xr:uid="{846ACB07-819F-4360-A26F-131714BE8A9C}"/>
    <cellStyle name="Normal 4 2 2 14 3 3 4" xfId="32012" xr:uid="{084F83B1-F960-4458-96AF-B4EECEEDCBEC}"/>
    <cellStyle name="Normal 4 2 2 14 3 3 5" xfId="39577" xr:uid="{C8C7E812-709D-4FBB-8F30-80E2F35FC224}"/>
    <cellStyle name="Normal 4 2 2 14 3 4" xfId="23799" xr:uid="{D7188934-CB1F-43C0-B350-024970498065}"/>
    <cellStyle name="Normal 4 2 2 14 3 5" xfId="18139" xr:uid="{C2A7BAC5-DAAA-40EF-886F-9691C9C806EE}"/>
    <cellStyle name="Normal 4 2 2 14 3 6" xfId="29460" xr:uid="{2DA67802-C7F3-46EF-BD60-B5AD1D6F20E3}"/>
    <cellStyle name="Normal 4 2 2 14 3 7" xfId="39574" xr:uid="{3EFC6087-564C-4F3E-BF18-C83FA5EDC881}"/>
    <cellStyle name="Normal 4 2 2 14 4" xfId="6725" xr:uid="{00000000-0005-0000-0000-00009D1B0000}"/>
    <cellStyle name="Normal 4 2 2 14 4 2" xfId="15158" xr:uid="{00000000-0005-0000-0000-00009E1B0000}"/>
    <cellStyle name="Normal 4 2 2 14 4 2 2" xfId="27052" xr:uid="{754BB649-E7DA-43BD-A5C7-AEA56F867132}"/>
    <cellStyle name="Normal 4 2 2 14 4 2 3" xfId="21392" xr:uid="{58A2E31E-0CF5-45D9-AD96-C336F66C3467}"/>
    <cellStyle name="Normal 4 2 2 14 4 2 4" xfId="32432" xr:uid="{9C6C91A4-91F9-496A-A67E-1AFF117E3E0A}"/>
    <cellStyle name="Normal 4 2 2 14 4 2 5" xfId="39579" xr:uid="{DFAA4965-470A-4347-AAF6-15E82149AD41}"/>
    <cellStyle name="Normal 4 2 2 14 4 3" xfId="24219" xr:uid="{079FE2DB-2360-4560-B981-842C9F8F9663}"/>
    <cellStyle name="Normal 4 2 2 14 4 4" xfId="18559" xr:uid="{CEAB0DD6-AA4D-48C6-BB5D-7F454EC13CF8}"/>
    <cellStyle name="Normal 4 2 2 14 4 5" xfId="29880" xr:uid="{DCB77C18-2499-4EFA-8260-D343A87C294B}"/>
    <cellStyle name="Normal 4 2 2 14 4 6" xfId="39578" xr:uid="{BD9FF1F4-2C5B-487A-8AB1-1590B67B8FD3}"/>
    <cellStyle name="Normal 4 2 2 14 5" xfId="8002" xr:uid="{00000000-0005-0000-0000-00009F1B0000}"/>
    <cellStyle name="Normal 4 2 2 14 5 2" xfId="25481" xr:uid="{BE36BC72-350D-4D8D-8D61-12F00C734FFF}"/>
    <cellStyle name="Normal 4 2 2 14 5 3" xfId="19821" xr:uid="{CF9CD1D8-EC80-4174-AB67-48DB251F815B}"/>
    <cellStyle name="Normal 4 2 2 14 5 4" xfId="31142" xr:uid="{717048FF-7D10-47B0-A6E4-3B9DF3C3F3B7}"/>
    <cellStyle name="Normal 4 2 2 14 5 5" xfId="39580" xr:uid="{2AD16829-7569-4700-86D5-7E9102DCE438}"/>
    <cellStyle name="Normal 4 2 2 14 6" xfId="22657" xr:uid="{6A06D128-913E-4DAA-BAFD-CBAA144E7A4B}"/>
    <cellStyle name="Normal 4 2 2 14 7" xfId="16997" xr:uid="{505C7AB3-A3AF-4823-A4EA-ADC43AE6A592}"/>
    <cellStyle name="Normal 4 2 2 14 8" xfId="28318" xr:uid="{EB94BB28-6A40-4A89-8D1B-7909FA6E8335}"/>
    <cellStyle name="Normal 4 2 2 14 9" xfId="39569" xr:uid="{142D0663-6268-4AAC-A870-8748971AE9AD}"/>
    <cellStyle name="Normal 4 2 2 15" xfId="5071" xr:uid="{00000000-0005-0000-0000-0000A01B0000}"/>
    <cellStyle name="Normal 4 2 2 15 2" xfId="6222" xr:uid="{00000000-0005-0000-0000-0000A11B0000}"/>
    <cellStyle name="Normal 4 2 2 15 2 2" xfId="7552" xr:uid="{00000000-0005-0000-0000-0000A21B0000}"/>
    <cellStyle name="Normal 4 2 2 15 2 2 2" xfId="15985" xr:uid="{00000000-0005-0000-0000-0000A31B0000}"/>
    <cellStyle name="Normal 4 2 2 15 2 2 2 2" xfId="27879" xr:uid="{95399622-27DC-4668-87CE-0885BB737C01}"/>
    <cellStyle name="Normal 4 2 2 15 2 2 2 3" xfId="22219" xr:uid="{98589828-FA54-4A01-9E94-E7022174BDAE}"/>
    <cellStyle name="Normal 4 2 2 15 2 2 2 4" xfId="33259" xr:uid="{20ABDBB9-E57C-47A3-A733-04120270C85B}"/>
    <cellStyle name="Normal 4 2 2 15 2 2 2 5" xfId="39584" xr:uid="{827E2F0C-A113-4EAB-86E0-DF65CFC15426}"/>
    <cellStyle name="Normal 4 2 2 15 2 2 3" xfId="25046" xr:uid="{51ECD4C0-40F7-45B3-8043-BDF9F9AB8AF4}"/>
    <cellStyle name="Normal 4 2 2 15 2 2 4" xfId="19386" xr:uid="{669DAEE6-F0FB-44E5-BAAF-427991ABCA31}"/>
    <cellStyle name="Normal 4 2 2 15 2 2 5" xfId="30707" xr:uid="{AB047BFF-C868-467D-B378-E92A6645E2A8}"/>
    <cellStyle name="Normal 4 2 2 15 2 2 6" xfId="39583" xr:uid="{73587FA7-BA09-487D-B959-71247F857A1B}"/>
    <cellStyle name="Normal 4 2 2 15 2 3" xfId="14667" xr:uid="{00000000-0005-0000-0000-0000A41B0000}"/>
    <cellStyle name="Normal 4 2 2 15 2 3 2" xfId="26623" xr:uid="{F52DEA9B-323F-460F-9EB8-CC09E252EA38}"/>
    <cellStyle name="Normal 4 2 2 15 2 3 3" xfId="20963" xr:uid="{92F535DE-41F1-4966-9389-88DBFEF07A9C}"/>
    <cellStyle name="Normal 4 2 2 15 2 3 4" xfId="32003" xr:uid="{45D3C02E-8564-496A-83A1-23E60FB4CA6C}"/>
    <cellStyle name="Normal 4 2 2 15 2 3 5" xfId="39585" xr:uid="{7F9DBCFC-EFB0-478C-A98F-B0F19BB52376}"/>
    <cellStyle name="Normal 4 2 2 15 2 4" xfId="23790" xr:uid="{2422C0E5-D505-47F1-8FA0-D20B3BE93C7F}"/>
    <cellStyle name="Normal 4 2 2 15 2 5" xfId="18130" xr:uid="{4BD7FA0D-95A2-4CAA-8768-B02987D5EA6C}"/>
    <cellStyle name="Normal 4 2 2 15 2 6" xfId="29451" xr:uid="{A0E06283-05A7-401E-B8DE-89182DA8528F}"/>
    <cellStyle name="Normal 4 2 2 15 2 7" xfId="39582" xr:uid="{47E0E595-9F3B-44AE-B542-D85A726A2542}"/>
    <cellStyle name="Normal 4 2 2 15 3" xfId="6934" xr:uid="{00000000-0005-0000-0000-0000A51B0000}"/>
    <cellStyle name="Normal 4 2 2 15 3 2" xfId="15367" xr:uid="{00000000-0005-0000-0000-0000A61B0000}"/>
    <cellStyle name="Normal 4 2 2 15 3 2 2" xfId="27261" xr:uid="{4A260A31-2D33-4EE7-90A5-981F5F585941}"/>
    <cellStyle name="Normal 4 2 2 15 3 2 3" xfId="21601" xr:uid="{E1157C19-0365-41E6-BFCE-1CF93C0244EC}"/>
    <cellStyle name="Normal 4 2 2 15 3 2 4" xfId="32641" xr:uid="{DB847E2A-FABA-4203-81D8-ACDEBCB42988}"/>
    <cellStyle name="Normal 4 2 2 15 3 2 5" xfId="39587" xr:uid="{F3F6043B-1C6D-43E5-8DE5-242268BE616B}"/>
    <cellStyle name="Normal 4 2 2 15 3 3" xfId="24428" xr:uid="{70D42662-7A55-4016-B221-42CB880ABA66}"/>
    <cellStyle name="Normal 4 2 2 15 3 4" xfId="18768" xr:uid="{4C5FB5F2-D73A-46F0-B206-3748EF6E66C3}"/>
    <cellStyle name="Normal 4 2 2 15 3 5" xfId="30089" xr:uid="{97E0391B-2E8D-47A1-9ABE-2297975DDDA1}"/>
    <cellStyle name="Normal 4 2 2 15 3 6" xfId="39586" xr:uid="{B6BFDE74-E1A6-4524-9DF8-7B0FCDE2B550}"/>
    <cellStyle name="Normal 4 2 2 15 4" xfId="13964" xr:uid="{00000000-0005-0000-0000-0000A71B0000}"/>
    <cellStyle name="Normal 4 2 2 15 4 2" xfId="26005" xr:uid="{EDDC3EB8-50F5-4EC9-B0E5-D8D12C91D819}"/>
    <cellStyle name="Normal 4 2 2 15 4 3" xfId="20345" xr:uid="{CA1A2879-B2E6-453C-8B67-5565AF2C93E2}"/>
    <cellStyle name="Normal 4 2 2 15 4 4" xfId="31385" xr:uid="{68AD66DC-1E10-408E-9B60-C9808CDA3D57}"/>
    <cellStyle name="Normal 4 2 2 15 4 5" xfId="39588" xr:uid="{999A89D0-C250-47CA-9698-6EF025C7B0A3}"/>
    <cellStyle name="Normal 4 2 2 15 5" xfId="22866" xr:uid="{29686543-6A36-4992-9D50-428372E49A1B}"/>
    <cellStyle name="Normal 4 2 2 15 6" xfId="17206" xr:uid="{A0CCDC7F-59A5-496B-BD69-5A8C43873FBD}"/>
    <cellStyle name="Normal 4 2 2 15 7" xfId="28527" xr:uid="{36C689B3-F6ED-4A07-9090-59D192773341}"/>
    <cellStyle name="Normal 4 2 2 15 8" xfId="39581" xr:uid="{24A1B7ED-13C5-4510-BB8B-2CBDDC3D85D0}"/>
    <cellStyle name="Normal 4 2 2 16" xfId="6516" xr:uid="{00000000-0005-0000-0000-0000A81B0000}"/>
    <cellStyle name="Normal 4 2 2 16 2" xfId="14949" xr:uid="{00000000-0005-0000-0000-0000A91B0000}"/>
    <cellStyle name="Normal 4 2 2 16 2 2" xfId="26843" xr:uid="{B4A8FC40-81F1-4720-B834-A28DE241F85E}"/>
    <cellStyle name="Normal 4 2 2 16 2 3" xfId="21183" xr:uid="{0FD26DD2-A7A3-4D49-B5A7-BBE5B4B5641F}"/>
    <cellStyle name="Normal 4 2 2 16 2 4" xfId="32223" xr:uid="{BF26A122-1E3F-4568-8794-8349EDD4034F}"/>
    <cellStyle name="Normal 4 2 2 16 2 5" xfId="39590" xr:uid="{008EA664-201A-4ECE-947E-FA740D3FE798}"/>
    <cellStyle name="Normal 4 2 2 16 3" xfId="24010" xr:uid="{6A61E47D-77CD-4D4D-86A9-8421B8593F16}"/>
    <cellStyle name="Normal 4 2 2 16 4" xfId="18350" xr:uid="{A1247E34-4076-41FC-BDF5-4FDF3180A62B}"/>
    <cellStyle name="Normal 4 2 2 16 5" xfId="29671" xr:uid="{95622A88-04CD-43CB-8B6D-DF182698CAE2}"/>
    <cellStyle name="Normal 4 2 2 16 6" xfId="39589" xr:uid="{A2654D36-FC14-46FF-A2EE-656560389A31}"/>
    <cellStyle name="Normal 4 2 2 17" xfId="22448" xr:uid="{6E71092D-B016-480D-BF43-FFF179C0EDDB}"/>
    <cellStyle name="Normal 4 2 2 17 2" xfId="39591" xr:uid="{F4799421-E169-4F16-9B9E-F83A6CAAC3A6}"/>
    <cellStyle name="Normal 4 2 2 18" xfId="16788" xr:uid="{DFFF8C22-77EC-485B-BA7A-794A7529C939}"/>
    <cellStyle name="Normal 4 2 2 19" xfId="28109" xr:uid="{66D309CC-5E0B-4639-8EFD-CEF55E8463B6}"/>
    <cellStyle name="Normal 4 2 2 2" xfId="2213" xr:uid="{00000000-0005-0000-0000-0000AA1B0000}"/>
    <cellStyle name="Normal 4 2 2 2 10" xfId="4246" xr:uid="{00000000-0005-0000-0000-0000AB1B0000}"/>
    <cellStyle name="Normal 4 2 2 2 10 2" xfId="39593" xr:uid="{8ED5C173-903B-4F3D-97D8-6DF6444F971F}"/>
    <cellStyle name="Normal 4 2 2 2 11" xfId="4247" xr:uid="{00000000-0005-0000-0000-0000AC1B0000}"/>
    <cellStyle name="Normal 4 2 2 2 11 2" xfId="39594" xr:uid="{13332344-172F-4D4D-9033-D2E333B8B77D}"/>
    <cellStyle name="Normal 4 2 2 2 12" xfId="4248" xr:uid="{00000000-0005-0000-0000-0000AD1B0000}"/>
    <cellStyle name="Normal 4 2 2 2 12 2" xfId="39595" xr:uid="{E346BDF2-E029-4D06-9B7D-2AD4FAC7A6F7}"/>
    <cellStyle name="Normal 4 2 2 2 13" xfId="4249" xr:uid="{00000000-0005-0000-0000-0000AE1B0000}"/>
    <cellStyle name="Normal 4 2 2 2 13 2" xfId="39596" xr:uid="{7F11CCB1-90BD-442C-BF8A-9E17519CDA70}"/>
    <cellStyle name="Normal 4 2 2 2 14" xfId="4245" xr:uid="{00000000-0005-0000-0000-0000AF1B0000}"/>
    <cellStyle name="Normal 4 2 2 2 14 10" xfId="39597" xr:uid="{09957D78-D204-4DCF-B728-433825139E68}"/>
    <cellStyle name="Normal 4 2 2 2 14 2" xfId="4958" xr:uid="{00000000-0005-0000-0000-0000B01B0000}"/>
    <cellStyle name="Normal 4 2 2 2 14 2 2" xfId="5377" xr:uid="{00000000-0005-0000-0000-0000B11B0000}"/>
    <cellStyle name="Normal 4 2 2 2 14 2 2 2" xfId="7240" xr:uid="{00000000-0005-0000-0000-0000B21B0000}"/>
    <cellStyle name="Normal 4 2 2 2 14 2 2 2 2" xfId="15673" xr:uid="{00000000-0005-0000-0000-0000B31B0000}"/>
    <cellStyle name="Normal 4 2 2 2 14 2 2 2 2 2" xfId="27567" xr:uid="{DD6573B5-D32A-4376-978C-47E0E7100AEE}"/>
    <cellStyle name="Normal 4 2 2 2 14 2 2 2 2 3" xfId="21907" xr:uid="{752E920D-6CC6-4CF9-B114-4EF91ED13AB7}"/>
    <cellStyle name="Normal 4 2 2 2 14 2 2 2 2 4" xfId="32947" xr:uid="{1FF7CC0F-4A85-4338-B5FC-A651722E6FA9}"/>
    <cellStyle name="Normal 4 2 2 2 14 2 2 2 2 5" xfId="39601" xr:uid="{FCC1D9E9-B5F4-4B5D-898F-D8C8CA25F3FF}"/>
    <cellStyle name="Normal 4 2 2 2 14 2 2 2 3" xfId="24734" xr:uid="{2D04CAAC-0A99-4659-A311-F31DCFDE7B90}"/>
    <cellStyle name="Normal 4 2 2 2 14 2 2 2 4" xfId="19074" xr:uid="{E4BFC133-49E4-463C-A52C-4FC0C0207A43}"/>
    <cellStyle name="Normal 4 2 2 2 14 2 2 2 5" xfId="30395" xr:uid="{694CBA0F-FF12-4424-9F46-C5F381CA479D}"/>
    <cellStyle name="Normal 4 2 2 2 14 2 2 2 6" xfId="39600" xr:uid="{4E585217-EAB3-4196-8006-1BFB21922B0E}"/>
    <cellStyle name="Normal 4 2 2 2 14 2 2 3" xfId="14263" xr:uid="{00000000-0005-0000-0000-0000B41B0000}"/>
    <cellStyle name="Normal 4 2 2 2 14 2 2 3 2" xfId="26302" xr:uid="{C8B8C0B6-0F48-4ADD-9BCF-61335C14535D}"/>
    <cellStyle name="Normal 4 2 2 2 14 2 2 3 3" xfId="20642" xr:uid="{CE212B05-1543-4154-9670-762BBC1F1496}"/>
    <cellStyle name="Normal 4 2 2 2 14 2 2 3 4" xfId="31682" xr:uid="{93CFD8BC-D737-4244-9650-CF7D371E4A77}"/>
    <cellStyle name="Normal 4 2 2 2 14 2 2 3 5" xfId="39602" xr:uid="{363948B8-9AD6-4948-BF06-F7BE2DC377DF}"/>
    <cellStyle name="Normal 4 2 2 2 14 2 2 4" xfId="23172" xr:uid="{E4A7140B-EF7C-4754-B200-D5FCDEB35B37}"/>
    <cellStyle name="Normal 4 2 2 2 14 2 2 5" xfId="17512" xr:uid="{BC4306AA-FA17-4986-9AE7-C1060DFCF28E}"/>
    <cellStyle name="Normal 4 2 2 2 14 2 2 6" xfId="28833" xr:uid="{16166230-E8F7-4A5E-BC83-60AFAD95E642}"/>
    <cellStyle name="Normal 4 2 2 2 14 2 2 7" xfId="39599" xr:uid="{46426C6C-1369-4506-9B44-D685F1ED43B4}"/>
    <cellStyle name="Normal 4 2 2 2 14 2 3" xfId="6233" xr:uid="{00000000-0005-0000-0000-0000B51B0000}"/>
    <cellStyle name="Normal 4 2 2 2 14 2 3 2" xfId="7563" xr:uid="{00000000-0005-0000-0000-0000B61B0000}"/>
    <cellStyle name="Normal 4 2 2 2 14 2 3 2 2" xfId="15996" xr:uid="{00000000-0005-0000-0000-0000B71B0000}"/>
    <cellStyle name="Normal 4 2 2 2 14 2 3 2 2 2" xfId="27890" xr:uid="{7E39D497-B5E7-4AF6-8090-92D5F915158F}"/>
    <cellStyle name="Normal 4 2 2 2 14 2 3 2 2 3" xfId="22230" xr:uid="{AD866DE0-0500-4494-B072-3B17C135B0BB}"/>
    <cellStyle name="Normal 4 2 2 2 14 2 3 2 2 4" xfId="33270" xr:uid="{9EADC2CF-16C1-444C-995B-63CA1BECBC0E}"/>
    <cellStyle name="Normal 4 2 2 2 14 2 3 2 2 5" xfId="39605" xr:uid="{A89AC4CA-073A-4A45-93E4-819C175D3E72}"/>
    <cellStyle name="Normal 4 2 2 2 14 2 3 2 3" xfId="25057" xr:uid="{C0D5EF41-3669-4D50-AFBD-E852031908E7}"/>
    <cellStyle name="Normal 4 2 2 2 14 2 3 2 4" xfId="19397" xr:uid="{556C1ED0-B618-446C-A4B2-E3050476CD5D}"/>
    <cellStyle name="Normal 4 2 2 2 14 2 3 2 5" xfId="30718" xr:uid="{29ECAFB0-0B34-4719-B810-EA8CE32B3D9E}"/>
    <cellStyle name="Normal 4 2 2 2 14 2 3 2 6" xfId="39604" xr:uid="{0F0C110D-6F0F-4F2A-846E-2A4343588081}"/>
    <cellStyle name="Normal 4 2 2 2 14 2 3 3" xfId="14678" xr:uid="{00000000-0005-0000-0000-0000B81B0000}"/>
    <cellStyle name="Normal 4 2 2 2 14 2 3 3 2" xfId="26634" xr:uid="{B02F8F67-8DDB-4339-93C0-698D3F31AC3F}"/>
    <cellStyle name="Normal 4 2 2 2 14 2 3 3 3" xfId="20974" xr:uid="{E1F72B12-59A6-4438-A4D8-E8BF401D8FE2}"/>
    <cellStyle name="Normal 4 2 2 2 14 2 3 3 4" xfId="32014" xr:uid="{6AF8EBBE-4837-409E-BF1E-D342C2D3772E}"/>
    <cellStyle name="Normal 4 2 2 2 14 2 3 3 5" xfId="39606" xr:uid="{07B34717-6A6A-4B87-8E54-891B38B2F7B3}"/>
    <cellStyle name="Normal 4 2 2 2 14 2 3 4" xfId="23801" xr:uid="{9A8FA8F6-899F-4049-9FE8-325157122B13}"/>
    <cellStyle name="Normal 4 2 2 2 14 2 3 5" xfId="18141" xr:uid="{404D2472-EBB7-431C-B62D-945A982A9377}"/>
    <cellStyle name="Normal 4 2 2 2 14 2 3 6" xfId="29462" xr:uid="{FA614B83-9C92-428C-A0FA-5BB63B5A222F}"/>
    <cellStyle name="Normal 4 2 2 2 14 2 3 7" xfId="39603" xr:uid="{DE3F8EA6-A4E6-447D-8597-CAC3B6D3D2D8}"/>
    <cellStyle name="Normal 4 2 2 2 14 2 4" xfId="6822" xr:uid="{00000000-0005-0000-0000-0000B91B0000}"/>
    <cellStyle name="Normal 4 2 2 2 14 2 4 2" xfId="15255" xr:uid="{00000000-0005-0000-0000-0000BA1B0000}"/>
    <cellStyle name="Normal 4 2 2 2 14 2 4 2 2" xfId="27149" xr:uid="{A15A7C11-1827-4BC6-9DF8-021A877824DA}"/>
    <cellStyle name="Normal 4 2 2 2 14 2 4 2 3" xfId="21489" xr:uid="{5967980D-ABE7-4EEB-A651-8B91331870F2}"/>
    <cellStyle name="Normal 4 2 2 2 14 2 4 2 4" xfId="32529" xr:uid="{4E88CB1F-06FA-49F5-A432-5D87CE706F60}"/>
    <cellStyle name="Normal 4 2 2 2 14 2 4 2 5" xfId="39608" xr:uid="{7F6A1465-5BD5-4696-9AF8-A4D867CAC7CD}"/>
    <cellStyle name="Normal 4 2 2 2 14 2 4 3" xfId="24316" xr:uid="{6C330C53-77EA-4A37-A4FF-08F176B0FD12}"/>
    <cellStyle name="Normal 4 2 2 2 14 2 4 4" xfId="18656" xr:uid="{3BF8FA9D-3EBE-491E-B21A-55D4BA852DD2}"/>
    <cellStyle name="Normal 4 2 2 2 14 2 4 5" xfId="29977" xr:uid="{F03C9EB4-5A3B-4FA2-9195-28B24B66CB59}"/>
    <cellStyle name="Normal 4 2 2 2 14 2 4 6" xfId="39607" xr:uid="{DE82F991-6DDA-4D5D-AC11-CFA44C5671B6}"/>
    <cellStyle name="Normal 4 2 2 2 14 2 5" xfId="8005" xr:uid="{00000000-0005-0000-0000-0000BB1B0000}"/>
    <cellStyle name="Normal 4 2 2 2 14 2 5 2" xfId="25484" xr:uid="{4386D697-7F20-4B4C-9C65-43119A53EE0E}"/>
    <cellStyle name="Normal 4 2 2 2 14 2 5 3" xfId="19824" xr:uid="{341994C8-CB48-477E-B44E-C49883A6AC74}"/>
    <cellStyle name="Normal 4 2 2 2 14 2 5 4" xfId="31145" xr:uid="{FF7A0DA7-361A-42A6-AE11-C432875E0211}"/>
    <cellStyle name="Normal 4 2 2 2 14 2 5 5" xfId="39609" xr:uid="{77A56173-3D33-44E4-A260-B34E6A3CA247}"/>
    <cellStyle name="Normal 4 2 2 2 14 2 6" xfId="22754" xr:uid="{30A0A8AC-21D1-42EF-86A6-ACD71B40E666}"/>
    <cellStyle name="Normal 4 2 2 2 14 2 7" xfId="17094" xr:uid="{2212308C-08CF-4767-BF9B-A23B2DC8F0A3}"/>
    <cellStyle name="Normal 4 2 2 2 14 2 8" xfId="28415" xr:uid="{9E8D7399-E680-4045-9B32-D697BFE3F071}"/>
    <cellStyle name="Normal 4 2 2 2 14 2 9" xfId="39598" xr:uid="{1FD8134F-B9B1-4EB9-99CE-A2692E1255E8}"/>
    <cellStyle name="Normal 4 2 2 2 14 3" xfId="5168" xr:uid="{00000000-0005-0000-0000-0000BC1B0000}"/>
    <cellStyle name="Normal 4 2 2 2 14 3 2" xfId="7031" xr:uid="{00000000-0005-0000-0000-0000BD1B0000}"/>
    <cellStyle name="Normal 4 2 2 2 14 3 2 2" xfId="15464" xr:uid="{00000000-0005-0000-0000-0000BE1B0000}"/>
    <cellStyle name="Normal 4 2 2 2 14 3 2 2 2" xfId="27358" xr:uid="{0E663580-70BC-44F3-B36B-39E9E1A7628C}"/>
    <cellStyle name="Normal 4 2 2 2 14 3 2 2 3" xfId="21698" xr:uid="{3CEE8770-DB16-4E08-96D3-E03596301E11}"/>
    <cellStyle name="Normal 4 2 2 2 14 3 2 2 4" xfId="32738" xr:uid="{642D32C1-D448-4C5D-96E4-0281EC2C054B}"/>
    <cellStyle name="Normal 4 2 2 2 14 3 2 2 5" xfId="39612" xr:uid="{8F3BADCC-143C-4253-B2DF-B11F50A0545B}"/>
    <cellStyle name="Normal 4 2 2 2 14 3 2 3" xfId="24525" xr:uid="{A73B22B4-E1F3-48FC-B10C-C3089D171B9D}"/>
    <cellStyle name="Normal 4 2 2 2 14 3 2 4" xfId="18865" xr:uid="{B51F92C7-9816-4041-9AAA-AA32355088A1}"/>
    <cellStyle name="Normal 4 2 2 2 14 3 2 5" xfId="30186" xr:uid="{5C5A036A-7DFB-427A-A44A-A65DB238AF29}"/>
    <cellStyle name="Normal 4 2 2 2 14 3 2 6" xfId="39611" xr:uid="{5D278470-AE5C-4ED3-B26C-31DC33B60FD6}"/>
    <cellStyle name="Normal 4 2 2 2 14 3 3" xfId="14055" xr:uid="{00000000-0005-0000-0000-0000BF1B0000}"/>
    <cellStyle name="Normal 4 2 2 2 14 3 3 2" xfId="26094" xr:uid="{5F104011-E7ED-470C-AC85-9650206BD874}"/>
    <cellStyle name="Normal 4 2 2 2 14 3 3 3" xfId="20434" xr:uid="{C8B36418-717D-4802-8BB3-4CE3AA379DB7}"/>
    <cellStyle name="Normal 4 2 2 2 14 3 3 4" xfId="31474" xr:uid="{A4FDA9F9-8DCF-44CD-9F52-D5387FBD715C}"/>
    <cellStyle name="Normal 4 2 2 2 14 3 3 5" xfId="39613" xr:uid="{AB5FB11A-7E23-4F97-9071-A2FE5997088E}"/>
    <cellStyle name="Normal 4 2 2 2 14 3 4" xfId="22963" xr:uid="{1D2CC7E2-F74E-42EE-ADC8-7B20F87DF3F8}"/>
    <cellStyle name="Normal 4 2 2 2 14 3 5" xfId="17303" xr:uid="{70C7ADA0-65CD-442A-909F-56001D97612C}"/>
    <cellStyle name="Normal 4 2 2 2 14 3 6" xfId="28624" xr:uid="{14FAEB74-1178-4CA4-B7AE-40576F024943}"/>
    <cellStyle name="Normal 4 2 2 2 14 3 7" xfId="39610" xr:uid="{18D702E3-6E7C-4638-97A6-E263E8CC442A}"/>
    <cellStyle name="Normal 4 2 2 2 14 4" xfId="6232" xr:uid="{00000000-0005-0000-0000-0000C01B0000}"/>
    <cellStyle name="Normal 4 2 2 2 14 4 2" xfId="7562" xr:uid="{00000000-0005-0000-0000-0000C11B0000}"/>
    <cellStyle name="Normal 4 2 2 2 14 4 2 2" xfId="15995" xr:uid="{00000000-0005-0000-0000-0000C21B0000}"/>
    <cellStyle name="Normal 4 2 2 2 14 4 2 2 2" xfId="27889" xr:uid="{1D48E7B3-11B5-4938-BC84-0C3961E13B3C}"/>
    <cellStyle name="Normal 4 2 2 2 14 4 2 2 3" xfId="22229" xr:uid="{6B837795-9D91-45DF-8EDB-4B701CB91B23}"/>
    <cellStyle name="Normal 4 2 2 2 14 4 2 2 4" xfId="33269" xr:uid="{F9167BB1-D1C8-4A3D-A2C4-45D8B8FF9669}"/>
    <cellStyle name="Normal 4 2 2 2 14 4 2 2 5" xfId="39616" xr:uid="{3626CF3B-189D-4935-A023-5901453D3D11}"/>
    <cellStyle name="Normal 4 2 2 2 14 4 2 3" xfId="25056" xr:uid="{BF98F9E2-9958-42FD-866B-3ACCE409E1CA}"/>
    <cellStyle name="Normal 4 2 2 2 14 4 2 4" xfId="19396" xr:uid="{4CFB5A7E-7878-4818-AC62-C3B04AAA0339}"/>
    <cellStyle name="Normal 4 2 2 2 14 4 2 5" xfId="30717" xr:uid="{326284E4-DA59-435C-9C21-E194DDA9DF42}"/>
    <cellStyle name="Normal 4 2 2 2 14 4 2 6" xfId="39615" xr:uid="{506B03AE-949F-4920-ABAD-81A4F4757633}"/>
    <cellStyle name="Normal 4 2 2 2 14 4 3" xfId="14677" xr:uid="{00000000-0005-0000-0000-0000C31B0000}"/>
    <cellStyle name="Normal 4 2 2 2 14 4 3 2" xfId="26633" xr:uid="{677153F0-C09D-460E-BBED-B57C8E5C47C6}"/>
    <cellStyle name="Normal 4 2 2 2 14 4 3 3" xfId="20973" xr:uid="{93A35155-8342-4F5A-857F-6AFC0A6C077F}"/>
    <cellStyle name="Normal 4 2 2 2 14 4 3 4" xfId="32013" xr:uid="{68229DC3-1334-43C6-AA87-AEBD98C9F62C}"/>
    <cellStyle name="Normal 4 2 2 2 14 4 3 5" xfId="39617" xr:uid="{FF0E8A01-615E-4CB0-9FD9-BAC013A3B434}"/>
    <cellStyle name="Normal 4 2 2 2 14 4 4" xfId="23800" xr:uid="{C74AFF5A-034C-4E06-9BC8-7F2CE56343C7}"/>
    <cellStyle name="Normal 4 2 2 2 14 4 5" xfId="18140" xr:uid="{0DB142FB-DF59-450C-8F5D-28CE61F7E0C3}"/>
    <cellStyle name="Normal 4 2 2 2 14 4 6" xfId="29461" xr:uid="{7D9B5285-B959-4C24-BB30-1C4D76ECD8ED}"/>
    <cellStyle name="Normal 4 2 2 2 14 4 7" xfId="39614" xr:uid="{8A9A3D9A-D6B0-4D0C-A236-6E2627562739}"/>
    <cellStyle name="Normal 4 2 2 2 14 5" xfId="6613" xr:uid="{00000000-0005-0000-0000-0000C41B0000}"/>
    <cellStyle name="Normal 4 2 2 2 14 5 2" xfId="15046" xr:uid="{00000000-0005-0000-0000-0000C51B0000}"/>
    <cellStyle name="Normal 4 2 2 2 14 5 2 2" xfId="26940" xr:uid="{52246CD2-417C-467B-8B7B-EEC284B8A263}"/>
    <cellStyle name="Normal 4 2 2 2 14 5 2 3" xfId="21280" xr:uid="{D0F44019-FAEE-4C1B-BD82-719EDD7489CB}"/>
    <cellStyle name="Normal 4 2 2 2 14 5 2 4" xfId="32320" xr:uid="{41C58509-5A53-4455-BA33-401C997F64CA}"/>
    <cellStyle name="Normal 4 2 2 2 14 5 2 5" xfId="39619" xr:uid="{04A255F1-B8AA-42AC-9A3B-B7F34DB22FEA}"/>
    <cellStyle name="Normal 4 2 2 2 14 5 3" xfId="24107" xr:uid="{447A1C92-994B-4545-BF6B-D289DC6F075A}"/>
    <cellStyle name="Normal 4 2 2 2 14 5 4" xfId="18447" xr:uid="{8B9A34FC-7DA8-4EEA-8D85-018ABC869296}"/>
    <cellStyle name="Normal 4 2 2 2 14 5 5" xfId="29768" xr:uid="{28F03FA9-082C-49B6-B3FA-11B07823BEB9}"/>
    <cellStyle name="Normal 4 2 2 2 14 5 6" xfId="39618" xr:uid="{DCA30ECA-6A0C-441E-9FEF-6774DEA931EF}"/>
    <cellStyle name="Normal 4 2 2 2 14 6" xfId="8004" xr:uid="{00000000-0005-0000-0000-0000C61B0000}"/>
    <cellStyle name="Normal 4 2 2 2 14 6 2" xfId="25483" xr:uid="{8534B63E-5D13-40CB-AE9D-C1A85D68C1A9}"/>
    <cellStyle name="Normal 4 2 2 2 14 6 3" xfId="19823" xr:uid="{8A0699E9-0500-4399-9B41-0BD13E9AB489}"/>
    <cellStyle name="Normal 4 2 2 2 14 6 4" xfId="31144" xr:uid="{1060F29B-79A9-4680-90C1-57FEBE8FCF7E}"/>
    <cellStyle name="Normal 4 2 2 2 14 6 5" xfId="39620" xr:uid="{4DC7FDAE-06C1-4B97-9570-4098D31365DF}"/>
    <cellStyle name="Normal 4 2 2 2 14 7" xfId="22545" xr:uid="{B04EE1ED-A915-4D16-888A-A5F44ACA2208}"/>
    <cellStyle name="Normal 4 2 2 2 14 8" xfId="16885" xr:uid="{4F0C176E-A82E-47BE-8A0A-C4B11C07552A}"/>
    <cellStyle name="Normal 4 2 2 2 14 9" xfId="28206" xr:uid="{C7A0A90E-B00F-4F32-8758-5CE90DD90D07}"/>
    <cellStyle name="Normal 4 2 2 2 15" xfId="5686" xr:uid="{00000000-0005-0000-0000-0000C71B0000}"/>
    <cellStyle name="Normal 4 2 2 2 15 2" xfId="39621" xr:uid="{304F1B24-D0D7-41FF-B843-2ABE0883AE7E}"/>
    <cellStyle name="Normal 4 2 2 2 16" xfId="8003" xr:uid="{00000000-0005-0000-0000-0000C81B0000}"/>
    <cellStyle name="Normal 4 2 2 2 16 2" xfId="25482" xr:uid="{BA3AD03C-FF62-495C-8402-1936FF6E85D0}"/>
    <cellStyle name="Normal 4 2 2 2 16 3" xfId="19822" xr:uid="{30517AA5-2194-4199-A638-49293D2DFDCE}"/>
    <cellStyle name="Normal 4 2 2 2 16 4" xfId="31143" xr:uid="{E59E56AE-6649-440D-9516-09322B9FF4B1}"/>
    <cellStyle name="Normal 4 2 2 2 16 5" xfId="39622" xr:uid="{FF800CF2-9188-4390-BBBD-7533B06FA8F0}"/>
    <cellStyle name="Normal 4 2 2 2 17" xfId="39623" xr:uid="{FE0B2013-D5D6-4900-866C-9E9CAA4B54A6}"/>
    <cellStyle name="Normal 4 2 2 2 18" xfId="39592" xr:uid="{9403CBC2-F5E5-4240-8795-C4087F7B3B52}"/>
    <cellStyle name="Normal 4 2 2 2 2" xfId="4250" xr:uid="{00000000-0005-0000-0000-0000C91B0000}"/>
    <cellStyle name="Normal 4 2 2 2 2 2" xfId="39625" xr:uid="{53C82796-87E6-4570-B7B1-6985EE56532D}"/>
    <cellStyle name="Normal 4 2 2 2 2 3" xfId="39624" xr:uid="{AED40569-0AC2-4CA9-8C47-633507C6FB63}"/>
    <cellStyle name="Normal 4 2 2 2 3" xfId="4251" xr:uid="{00000000-0005-0000-0000-0000CA1B0000}"/>
    <cellStyle name="Normal 4 2 2 2 3 2" xfId="39626" xr:uid="{42869E67-4012-4C2F-9B31-D576FD5C0858}"/>
    <cellStyle name="Normal 4 2 2 2 4" xfId="4252" xr:uid="{00000000-0005-0000-0000-0000CB1B0000}"/>
    <cellStyle name="Normal 4 2 2 2 4 2" xfId="39627" xr:uid="{57CC2757-22BA-483F-9377-28C5A6D5496E}"/>
    <cellStyle name="Normal 4 2 2 2 5" xfId="4253" xr:uid="{00000000-0005-0000-0000-0000CC1B0000}"/>
    <cellStyle name="Normal 4 2 2 2 5 2" xfId="39628" xr:uid="{5A1C4B06-8CBC-420C-92E6-F7B778ABBF5C}"/>
    <cellStyle name="Normal 4 2 2 2 6" xfId="4254" xr:uid="{00000000-0005-0000-0000-0000CD1B0000}"/>
    <cellStyle name="Normal 4 2 2 2 6 2" xfId="39629" xr:uid="{7E335159-84BF-4801-9362-87FDB230516B}"/>
    <cellStyle name="Normal 4 2 2 2 7" xfId="4255" xr:uid="{00000000-0005-0000-0000-0000CE1B0000}"/>
    <cellStyle name="Normal 4 2 2 2 7 2" xfId="39630" xr:uid="{B26445E1-86A7-440A-9B5A-D522FEE63287}"/>
    <cellStyle name="Normal 4 2 2 2 8" xfId="4256" xr:uid="{00000000-0005-0000-0000-0000CF1B0000}"/>
    <cellStyle name="Normal 4 2 2 2 8 2" xfId="39631" xr:uid="{B7B81D5D-88F1-4CB3-A899-56AC54632EDB}"/>
    <cellStyle name="Normal 4 2 2 2 9" xfId="4257" xr:uid="{00000000-0005-0000-0000-0000D01B0000}"/>
    <cellStyle name="Normal 4 2 2 2 9 2" xfId="39632" xr:uid="{7583F4B9-3CF7-4C7E-B86A-FCEE42C498F6}"/>
    <cellStyle name="Normal 4 2 2 20" xfId="39468" xr:uid="{1F6CBC04-ABCB-4320-9D5D-4BA58BB2B64F}"/>
    <cellStyle name="Normal 4 2 2 3" xfId="4258" xr:uid="{00000000-0005-0000-0000-0000D11B0000}"/>
    <cellStyle name="Normal 4 2 2 3 10" xfId="39633" xr:uid="{992E5F24-EB29-41CA-97B0-08806773EEED}"/>
    <cellStyle name="Normal 4 2 2 3 2" xfId="4959" xr:uid="{00000000-0005-0000-0000-0000D21B0000}"/>
    <cellStyle name="Normal 4 2 2 3 2 2" xfId="5378" xr:uid="{00000000-0005-0000-0000-0000D31B0000}"/>
    <cellStyle name="Normal 4 2 2 3 2 2 2" xfId="7241" xr:uid="{00000000-0005-0000-0000-0000D41B0000}"/>
    <cellStyle name="Normal 4 2 2 3 2 2 2 2" xfId="15674" xr:uid="{00000000-0005-0000-0000-0000D51B0000}"/>
    <cellStyle name="Normal 4 2 2 3 2 2 2 2 2" xfId="27568" xr:uid="{5685991A-8F00-4BCD-ADB5-8F3A6AFA87EB}"/>
    <cellStyle name="Normal 4 2 2 3 2 2 2 2 3" xfId="21908" xr:uid="{03984846-5844-480F-A848-19438A07263E}"/>
    <cellStyle name="Normal 4 2 2 3 2 2 2 2 4" xfId="32948" xr:uid="{FD9633BB-8CAF-40F5-ABBB-7FADD4C13732}"/>
    <cellStyle name="Normal 4 2 2 3 2 2 2 2 5" xfId="39637" xr:uid="{D30D50CF-5B96-41D2-BDA3-CB87F7E11967}"/>
    <cellStyle name="Normal 4 2 2 3 2 2 2 3" xfId="24735" xr:uid="{16CD649E-6289-4D39-B103-97E94BA32C3A}"/>
    <cellStyle name="Normal 4 2 2 3 2 2 2 4" xfId="19075" xr:uid="{04DCBD0E-4C3E-4C04-BA80-4A557C030B3B}"/>
    <cellStyle name="Normal 4 2 2 3 2 2 2 5" xfId="30396" xr:uid="{417C63FB-C51E-4B35-BCC1-25031654C57E}"/>
    <cellStyle name="Normal 4 2 2 3 2 2 2 6" xfId="39636" xr:uid="{0365FC03-9579-49A1-8C63-8BC34A98BA21}"/>
    <cellStyle name="Normal 4 2 2 3 2 2 3" xfId="14264" xr:uid="{00000000-0005-0000-0000-0000D61B0000}"/>
    <cellStyle name="Normal 4 2 2 3 2 2 3 2" xfId="26303" xr:uid="{181FB18B-43CD-40E4-8E3A-EFB7C3D2142E}"/>
    <cellStyle name="Normal 4 2 2 3 2 2 3 3" xfId="20643" xr:uid="{A811A0ED-0ECF-4A25-B4CB-21612167316D}"/>
    <cellStyle name="Normal 4 2 2 3 2 2 3 4" xfId="31683" xr:uid="{BC8C2279-3667-4482-BC19-598891E40A68}"/>
    <cellStyle name="Normal 4 2 2 3 2 2 3 5" xfId="39638" xr:uid="{BD62489C-3CD7-406F-8451-48924C2AB104}"/>
    <cellStyle name="Normal 4 2 2 3 2 2 4" xfId="23173" xr:uid="{BC59484C-4233-4345-B16D-2439D721853B}"/>
    <cellStyle name="Normal 4 2 2 3 2 2 5" xfId="17513" xr:uid="{2CDA8C3C-AC34-4030-B248-3B7A4D9C3ECF}"/>
    <cellStyle name="Normal 4 2 2 3 2 2 6" xfId="28834" xr:uid="{80C9BEEE-0762-4883-98E3-00D7F73094EC}"/>
    <cellStyle name="Normal 4 2 2 3 2 2 7" xfId="39635" xr:uid="{04ADCDFF-3FFD-4CE2-8E57-5447537FC747}"/>
    <cellStyle name="Normal 4 2 2 3 2 3" xfId="6235" xr:uid="{00000000-0005-0000-0000-0000D71B0000}"/>
    <cellStyle name="Normal 4 2 2 3 2 3 2" xfId="7565" xr:uid="{00000000-0005-0000-0000-0000D81B0000}"/>
    <cellStyle name="Normal 4 2 2 3 2 3 2 2" xfId="15998" xr:uid="{00000000-0005-0000-0000-0000D91B0000}"/>
    <cellStyle name="Normal 4 2 2 3 2 3 2 2 2" xfId="27892" xr:uid="{B0217B8B-85C3-4727-802B-E72C0DA12703}"/>
    <cellStyle name="Normal 4 2 2 3 2 3 2 2 3" xfId="22232" xr:uid="{7B1961E2-765F-4074-A290-E2FE1D4D9B4B}"/>
    <cellStyle name="Normal 4 2 2 3 2 3 2 2 4" xfId="33272" xr:uid="{4F651D84-304E-45C1-8E69-0C74DBB5A809}"/>
    <cellStyle name="Normal 4 2 2 3 2 3 2 2 5" xfId="39641" xr:uid="{34B78BCC-D326-4B99-95E6-D4AE93A7CABE}"/>
    <cellStyle name="Normal 4 2 2 3 2 3 2 3" xfId="25059" xr:uid="{67B23EE8-CF3D-4EC4-8F85-4AD0DD1B3AE4}"/>
    <cellStyle name="Normal 4 2 2 3 2 3 2 4" xfId="19399" xr:uid="{72C72813-B4C7-47A7-B5A7-1CF8D829404C}"/>
    <cellStyle name="Normal 4 2 2 3 2 3 2 5" xfId="30720" xr:uid="{3FA1A015-A351-4D89-A7DC-B6254E83E4CF}"/>
    <cellStyle name="Normal 4 2 2 3 2 3 2 6" xfId="39640" xr:uid="{6CC1A5A3-E44B-4A64-8C9B-11A80634BF9A}"/>
    <cellStyle name="Normal 4 2 2 3 2 3 3" xfId="14680" xr:uid="{00000000-0005-0000-0000-0000DA1B0000}"/>
    <cellStyle name="Normal 4 2 2 3 2 3 3 2" xfId="26636" xr:uid="{AE86CE50-1B8E-4A42-A01B-8A218F7C99B0}"/>
    <cellStyle name="Normal 4 2 2 3 2 3 3 3" xfId="20976" xr:uid="{3D282BEA-D11A-4F05-A78F-9BFC0C7299BB}"/>
    <cellStyle name="Normal 4 2 2 3 2 3 3 4" xfId="32016" xr:uid="{C2939D30-AFB6-44F4-85BF-71FB95E7C488}"/>
    <cellStyle name="Normal 4 2 2 3 2 3 3 5" xfId="39642" xr:uid="{DEEA2C6B-D0D1-4B96-ADBA-6CD815225358}"/>
    <cellStyle name="Normal 4 2 2 3 2 3 4" xfId="23803" xr:uid="{4188ADB3-5976-4927-ADEA-4C2279231AA3}"/>
    <cellStyle name="Normal 4 2 2 3 2 3 5" xfId="18143" xr:uid="{94F1D13B-8050-43E9-830B-6B0A4B7978FE}"/>
    <cellStyle name="Normal 4 2 2 3 2 3 6" xfId="29464" xr:uid="{CB185E6A-A141-4F92-9DE6-369800E049DB}"/>
    <cellStyle name="Normal 4 2 2 3 2 3 7" xfId="39639" xr:uid="{16058D23-AE76-4A18-B942-ECAA36E8BB9B}"/>
    <cellStyle name="Normal 4 2 2 3 2 4" xfId="6823" xr:uid="{00000000-0005-0000-0000-0000DB1B0000}"/>
    <cellStyle name="Normal 4 2 2 3 2 4 2" xfId="15256" xr:uid="{00000000-0005-0000-0000-0000DC1B0000}"/>
    <cellStyle name="Normal 4 2 2 3 2 4 2 2" xfId="27150" xr:uid="{3DEC059D-5D06-43CD-B6B9-E881F91E0C92}"/>
    <cellStyle name="Normal 4 2 2 3 2 4 2 3" xfId="21490" xr:uid="{85620991-5F92-4B99-BE06-0BC41545353D}"/>
    <cellStyle name="Normal 4 2 2 3 2 4 2 4" xfId="32530" xr:uid="{472525AE-69BF-4C3E-AA3D-49E8766BEDE7}"/>
    <cellStyle name="Normal 4 2 2 3 2 4 2 5" xfId="39644" xr:uid="{93EE4CFD-D943-4008-9B1A-B6254712E283}"/>
    <cellStyle name="Normal 4 2 2 3 2 4 3" xfId="24317" xr:uid="{0A7E3DC0-BACC-4A91-92DA-E7B452B16AA2}"/>
    <cellStyle name="Normal 4 2 2 3 2 4 4" xfId="18657" xr:uid="{D56CD250-381C-4BE2-8DE4-9F984D0D7693}"/>
    <cellStyle name="Normal 4 2 2 3 2 4 5" xfId="29978" xr:uid="{EF8DBBE6-B62E-4160-B2AD-EEE0C8AAC30F}"/>
    <cellStyle name="Normal 4 2 2 3 2 4 6" xfId="39643" xr:uid="{C7D14E2A-2E14-4F03-9F7A-4DCB5F10DB14}"/>
    <cellStyle name="Normal 4 2 2 3 2 5" xfId="8007" xr:uid="{00000000-0005-0000-0000-0000DD1B0000}"/>
    <cellStyle name="Normal 4 2 2 3 2 5 2" xfId="25486" xr:uid="{35741BBD-AFBE-4C09-AEAE-6CFAED4FC3D8}"/>
    <cellStyle name="Normal 4 2 2 3 2 5 3" xfId="19826" xr:uid="{7F5BE3E0-7FA0-4706-B223-06401C80F1EC}"/>
    <cellStyle name="Normal 4 2 2 3 2 5 4" xfId="31147" xr:uid="{B781975C-B49A-41DE-A7B5-DA5160A247C6}"/>
    <cellStyle name="Normal 4 2 2 3 2 5 5" xfId="39645" xr:uid="{36C08895-0865-4CD2-B19D-5CDFA3DB0709}"/>
    <cellStyle name="Normal 4 2 2 3 2 6" xfId="22755" xr:uid="{2CF331D9-44C9-4861-9AC9-6C27C4DBE197}"/>
    <cellStyle name="Normal 4 2 2 3 2 7" xfId="17095" xr:uid="{74558462-4ABE-4288-B09B-CD8AE52D635D}"/>
    <cellStyle name="Normal 4 2 2 3 2 8" xfId="28416" xr:uid="{F29AF0AB-6356-400F-9A26-DD5405C4150F}"/>
    <cellStyle name="Normal 4 2 2 3 2 9" xfId="39634" xr:uid="{3AD5F01F-9F93-4AF3-8109-B1FA158326D9}"/>
    <cellStyle name="Normal 4 2 2 3 3" xfId="5169" xr:uid="{00000000-0005-0000-0000-0000DE1B0000}"/>
    <cellStyle name="Normal 4 2 2 3 3 2" xfId="6234" xr:uid="{00000000-0005-0000-0000-0000DF1B0000}"/>
    <cellStyle name="Normal 4 2 2 3 3 2 2" xfId="7564" xr:uid="{00000000-0005-0000-0000-0000E01B0000}"/>
    <cellStyle name="Normal 4 2 2 3 3 2 2 2" xfId="15997" xr:uid="{00000000-0005-0000-0000-0000E11B0000}"/>
    <cellStyle name="Normal 4 2 2 3 3 2 2 2 2" xfId="27891" xr:uid="{86EDE556-6C57-46A0-8724-A7AD594A89D5}"/>
    <cellStyle name="Normal 4 2 2 3 3 2 2 2 3" xfId="22231" xr:uid="{11DC092A-7AF4-4CE1-BBBC-6576B005F585}"/>
    <cellStyle name="Normal 4 2 2 3 3 2 2 2 4" xfId="33271" xr:uid="{72CAA8E4-1BFF-41A2-B6E5-658DE4B78E1E}"/>
    <cellStyle name="Normal 4 2 2 3 3 2 2 2 5" xfId="39649" xr:uid="{4116888F-517D-4159-829C-BC4E6766B3C3}"/>
    <cellStyle name="Normal 4 2 2 3 3 2 2 3" xfId="25058" xr:uid="{00D6F4DF-6E48-4D96-8B89-DA54435D3FA4}"/>
    <cellStyle name="Normal 4 2 2 3 3 2 2 4" xfId="19398" xr:uid="{21655481-4532-4D5F-9FDA-78C5EA68B55B}"/>
    <cellStyle name="Normal 4 2 2 3 3 2 2 5" xfId="30719" xr:uid="{2DE71156-5F76-490D-89F5-CB2F9AF050EC}"/>
    <cellStyle name="Normal 4 2 2 3 3 2 2 6" xfId="39648" xr:uid="{2C7D92A6-6963-4B9E-87D7-4304AF832FFB}"/>
    <cellStyle name="Normal 4 2 2 3 3 2 3" xfId="14679" xr:uid="{00000000-0005-0000-0000-0000E21B0000}"/>
    <cellStyle name="Normal 4 2 2 3 3 2 3 2" xfId="26635" xr:uid="{E745938B-E693-4A29-BD76-7547DD91FE8D}"/>
    <cellStyle name="Normal 4 2 2 3 3 2 3 3" xfId="20975" xr:uid="{DEF37B66-C8F4-4A5C-8D39-1BBE20277F44}"/>
    <cellStyle name="Normal 4 2 2 3 3 2 3 4" xfId="32015" xr:uid="{60BFA6AC-228F-479E-80EC-780BCD8999BA}"/>
    <cellStyle name="Normal 4 2 2 3 3 2 3 5" xfId="39650" xr:uid="{5749D0E6-4A81-4314-901E-3EFA4AF9A187}"/>
    <cellStyle name="Normal 4 2 2 3 3 2 4" xfId="23802" xr:uid="{B6CFAAA6-FD41-43E1-BFCF-BD7DB0630A28}"/>
    <cellStyle name="Normal 4 2 2 3 3 2 5" xfId="18142" xr:uid="{B4F4F9DC-F9DD-482A-828B-E7DA35265FFD}"/>
    <cellStyle name="Normal 4 2 2 3 3 2 6" xfId="29463" xr:uid="{7AC7D849-CAB5-4566-BD3F-6C7ADAAAB874}"/>
    <cellStyle name="Normal 4 2 2 3 3 2 7" xfId="39647" xr:uid="{FA7BEF50-5224-46FA-BD21-34850868E214}"/>
    <cellStyle name="Normal 4 2 2 3 3 3" xfId="7032" xr:uid="{00000000-0005-0000-0000-0000E31B0000}"/>
    <cellStyle name="Normal 4 2 2 3 3 3 2" xfId="15465" xr:uid="{00000000-0005-0000-0000-0000E41B0000}"/>
    <cellStyle name="Normal 4 2 2 3 3 3 2 2" xfId="27359" xr:uid="{CEDC3117-668D-40BE-B843-9D50EE0844FF}"/>
    <cellStyle name="Normal 4 2 2 3 3 3 2 3" xfId="21699" xr:uid="{0B02EB90-5B60-4EFB-B1A7-C34D4E57BAC5}"/>
    <cellStyle name="Normal 4 2 2 3 3 3 2 4" xfId="32739" xr:uid="{00D9EC54-E446-47E2-B875-3EB5791C0BFB}"/>
    <cellStyle name="Normal 4 2 2 3 3 3 2 5" xfId="39652" xr:uid="{AFCBE796-FC91-4B51-97D9-9AFB9E5F8DF8}"/>
    <cellStyle name="Normal 4 2 2 3 3 3 3" xfId="24526" xr:uid="{B15F6BCD-2671-4BC6-A5BF-CC579623750A}"/>
    <cellStyle name="Normal 4 2 2 3 3 3 4" xfId="18866" xr:uid="{FEBB1288-4027-4971-B393-37E8FAACC2F0}"/>
    <cellStyle name="Normal 4 2 2 3 3 3 5" xfId="30187" xr:uid="{07B5B6A9-4EC4-4B49-B6CC-18DEA5AE6D69}"/>
    <cellStyle name="Normal 4 2 2 3 3 3 6" xfId="39651" xr:uid="{CBB1DE97-5985-436A-9A5E-FB4088B62762}"/>
    <cellStyle name="Normal 4 2 2 3 3 4" xfId="14056" xr:uid="{00000000-0005-0000-0000-0000E51B0000}"/>
    <cellStyle name="Normal 4 2 2 3 3 4 2" xfId="26095" xr:uid="{419AA35C-EA60-4B76-ADA4-040933F10339}"/>
    <cellStyle name="Normal 4 2 2 3 3 4 3" xfId="20435" xr:uid="{DB236A85-B33D-4486-A18F-320F02E4AADF}"/>
    <cellStyle name="Normal 4 2 2 3 3 4 4" xfId="31475" xr:uid="{1B1CCD88-A553-48CF-844D-7BF090285061}"/>
    <cellStyle name="Normal 4 2 2 3 3 4 5" xfId="39653" xr:uid="{CDC21017-9D3F-473B-A256-A3A9D7E9F794}"/>
    <cellStyle name="Normal 4 2 2 3 3 5" xfId="22964" xr:uid="{0A02D68D-C0BC-4347-A695-15796DEBA02C}"/>
    <cellStyle name="Normal 4 2 2 3 3 6" xfId="17304" xr:uid="{55FA8232-AA2F-4D2F-AA99-B95164935A40}"/>
    <cellStyle name="Normal 4 2 2 3 3 7" xfId="28625" xr:uid="{3F2004A3-EDBE-4DDD-92BA-D90DDA573CF1}"/>
    <cellStyle name="Normal 4 2 2 3 3 8" xfId="39646" xr:uid="{8C23EEA0-69E4-4F1F-987D-8F54ECF89423}"/>
    <cellStyle name="Normal 4 2 2 3 4" xfId="5687" xr:uid="{00000000-0005-0000-0000-0000E61B0000}"/>
    <cellStyle name="Normal 4 2 2 3 4 2" xfId="39654" xr:uid="{8A46C080-A192-4090-BC16-90FA04957DFA}"/>
    <cellStyle name="Normal 4 2 2 3 5" xfId="6614" xr:uid="{00000000-0005-0000-0000-0000E71B0000}"/>
    <cellStyle name="Normal 4 2 2 3 5 2" xfId="15047" xr:uid="{00000000-0005-0000-0000-0000E81B0000}"/>
    <cellStyle name="Normal 4 2 2 3 5 2 2" xfId="26941" xr:uid="{99EC717E-7A73-4524-825F-A09F34F7E965}"/>
    <cellStyle name="Normal 4 2 2 3 5 2 3" xfId="21281" xr:uid="{32B5F793-27D6-4D4E-BDC8-F17587B3AA75}"/>
    <cellStyle name="Normal 4 2 2 3 5 2 4" xfId="32321" xr:uid="{5C433D74-8D7C-401D-A3E6-5466F820EFFD}"/>
    <cellStyle name="Normal 4 2 2 3 5 2 5" xfId="39656" xr:uid="{E526D5B3-F81F-4468-82D8-930E6F52FE37}"/>
    <cellStyle name="Normal 4 2 2 3 5 3" xfId="24108" xr:uid="{509A9847-509B-47BF-8756-EFF7C16D472B}"/>
    <cellStyle name="Normal 4 2 2 3 5 4" xfId="18448" xr:uid="{27060A34-97EA-4F77-9CAD-D5B8CE079EE0}"/>
    <cellStyle name="Normal 4 2 2 3 5 5" xfId="29769" xr:uid="{5902AD90-C3C0-4051-BCDA-5D23334BF29D}"/>
    <cellStyle name="Normal 4 2 2 3 5 6" xfId="39655" xr:uid="{196ABFF5-CBA4-4690-9F5F-EDBC35A65EA3}"/>
    <cellStyle name="Normal 4 2 2 3 6" xfId="8006" xr:uid="{00000000-0005-0000-0000-0000E91B0000}"/>
    <cellStyle name="Normal 4 2 2 3 6 2" xfId="25485" xr:uid="{50D6E705-47E4-4650-BCCC-4DDB817C8064}"/>
    <cellStyle name="Normal 4 2 2 3 6 3" xfId="19825" xr:uid="{03514841-B99B-40FC-A95A-BCC51AA3C77E}"/>
    <cellStyle name="Normal 4 2 2 3 6 4" xfId="31146" xr:uid="{A0E17BFA-996D-4CD9-9557-A7B635B45615}"/>
    <cellStyle name="Normal 4 2 2 3 6 5" xfId="39657" xr:uid="{40467CE7-6FDA-4B86-8589-C232084F04AF}"/>
    <cellStyle name="Normal 4 2 2 3 7" xfId="22546" xr:uid="{6D5A0199-C742-4929-8857-6174A0501DDE}"/>
    <cellStyle name="Normal 4 2 2 3 8" xfId="16886" xr:uid="{109BB055-937A-44A0-89E9-1BC8F4D2E7B8}"/>
    <cellStyle name="Normal 4 2 2 3 9" xfId="28207" xr:uid="{6043B11E-93F3-4DBF-B244-F63ED7E57D58}"/>
    <cellStyle name="Normal 4 2 2 4" xfId="4259" xr:uid="{00000000-0005-0000-0000-0000EA1B0000}"/>
    <cellStyle name="Normal 4 2 2 4 10" xfId="39658" xr:uid="{35CA5E97-C2CB-460C-9E35-039276E0A2C1}"/>
    <cellStyle name="Normal 4 2 2 4 2" xfId="4960" xr:uid="{00000000-0005-0000-0000-0000EB1B0000}"/>
    <cellStyle name="Normal 4 2 2 4 2 2" xfId="5379" xr:uid="{00000000-0005-0000-0000-0000EC1B0000}"/>
    <cellStyle name="Normal 4 2 2 4 2 2 2" xfId="7242" xr:uid="{00000000-0005-0000-0000-0000ED1B0000}"/>
    <cellStyle name="Normal 4 2 2 4 2 2 2 2" xfId="15675" xr:uid="{00000000-0005-0000-0000-0000EE1B0000}"/>
    <cellStyle name="Normal 4 2 2 4 2 2 2 2 2" xfId="27569" xr:uid="{B45FB28A-FB3A-4C80-8151-1F7ADC5804FA}"/>
    <cellStyle name="Normal 4 2 2 4 2 2 2 2 3" xfId="21909" xr:uid="{F226165A-1037-4C2D-B32E-7091D0D28BEC}"/>
    <cellStyle name="Normal 4 2 2 4 2 2 2 2 4" xfId="32949" xr:uid="{3AE85880-947D-4808-A53F-3B85ADBC6451}"/>
    <cellStyle name="Normal 4 2 2 4 2 2 2 2 5" xfId="39662" xr:uid="{48AED28C-849A-439D-9060-39B45B19B22F}"/>
    <cellStyle name="Normal 4 2 2 4 2 2 2 3" xfId="24736" xr:uid="{A95CE6C5-D525-4251-803A-24160BC19A5A}"/>
    <cellStyle name="Normal 4 2 2 4 2 2 2 4" xfId="19076" xr:uid="{C0CD5130-FC38-40D4-AAB4-9EF9CAB0706E}"/>
    <cellStyle name="Normal 4 2 2 4 2 2 2 5" xfId="30397" xr:uid="{59AFDA6D-7B63-4D3E-8817-6FEC958B30C0}"/>
    <cellStyle name="Normal 4 2 2 4 2 2 2 6" xfId="39661" xr:uid="{FC633219-478E-472A-AEF2-D3BAFFCE5F33}"/>
    <cellStyle name="Normal 4 2 2 4 2 2 3" xfId="14265" xr:uid="{00000000-0005-0000-0000-0000EF1B0000}"/>
    <cellStyle name="Normal 4 2 2 4 2 2 3 2" xfId="26304" xr:uid="{473739DC-71B0-4CD4-B217-39AAED8A67B6}"/>
    <cellStyle name="Normal 4 2 2 4 2 2 3 3" xfId="20644" xr:uid="{141BF965-B9BA-491C-8CBF-34FFAD917D69}"/>
    <cellStyle name="Normal 4 2 2 4 2 2 3 4" xfId="31684" xr:uid="{631351D8-5453-4721-94ED-C7185176A34E}"/>
    <cellStyle name="Normal 4 2 2 4 2 2 3 5" xfId="39663" xr:uid="{AB17864E-DFF1-4C6B-8D53-806124AC8C37}"/>
    <cellStyle name="Normal 4 2 2 4 2 2 4" xfId="23174" xr:uid="{F0253442-CE4B-4CEB-9F5E-AEBBE29BB479}"/>
    <cellStyle name="Normal 4 2 2 4 2 2 5" xfId="17514" xr:uid="{9928E31F-2FF5-430E-95D4-9F659600E479}"/>
    <cellStyle name="Normal 4 2 2 4 2 2 6" xfId="28835" xr:uid="{DBBA5336-B1D7-4F5C-9360-4CC0C1D3C87E}"/>
    <cellStyle name="Normal 4 2 2 4 2 2 7" xfId="39660" xr:uid="{14AAE54B-BDC1-40A7-B794-8CE0548DE72D}"/>
    <cellStyle name="Normal 4 2 2 4 2 3" xfId="6237" xr:uid="{00000000-0005-0000-0000-0000F01B0000}"/>
    <cellStyle name="Normal 4 2 2 4 2 3 2" xfId="7567" xr:uid="{00000000-0005-0000-0000-0000F11B0000}"/>
    <cellStyle name="Normal 4 2 2 4 2 3 2 2" xfId="16000" xr:uid="{00000000-0005-0000-0000-0000F21B0000}"/>
    <cellStyle name="Normal 4 2 2 4 2 3 2 2 2" xfId="27894" xr:uid="{81A823B9-139F-43FC-AC97-82ED380E0FA0}"/>
    <cellStyle name="Normal 4 2 2 4 2 3 2 2 3" xfId="22234" xr:uid="{AFDEFAD2-B2AD-4140-990C-7E3DD8DCB5B9}"/>
    <cellStyle name="Normal 4 2 2 4 2 3 2 2 4" xfId="33274" xr:uid="{7AE921F5-3C60-48CA-AD54-836E75D72E71}"/>
    <cellStyle name="Normal 4 2 2 4 2 3 2 2 5" xfId="39666" xr:uid="{CF0DC042-8CCC-4BA5-B447-2A504C443516}"/>
    <cellStyle name="Normal 4 2 2 4 2 3 2 3" xfId="25061" xr:uid="{D93AFD26-7984-4DA7-9A19-7FA1C72A314D}"/>
    <cellStyle name="Normal 4 2 2 4 2 3 2 4" xfId="19401" xr:uid="{989C65BB-EC23-4EA4-90F5-2DEEF71648EB}"/>
    <cellStyle name="Normal 4 2 2 4 2 3 2 5" xfId="30722" xr:uid="{B86F79FA-6341-4792-97AA-532D33F5A42D}"/>
    <cellStyle name="Normal 4 2 2 4 2 3 2 6" xfId="39665" xr:uid="{48A3233E-E74C-4DB1-8199-12041F1CFC96}"/>
    <cellStyle name="Normal 4 2 2 4 2 3 3" xfId="14682" xr:uid="{00000000-0005-0000-0000-0000F31B0000}"/>
    <cellStyle name="Normal 4 2 2 4 2 3 3 2" xfId="26638" xr:uid="{19C5416B-2AED-44ED-A369-BF2D9DCBA52F}"/>
    <cellStyle name="Normal 4 2 2 4 2 3 3 3" xfId="20978" xr:uid="{F641D652-4BA4-458F-8BB9-BA62C1D07236}"/>
    <cellStyle name="Normal 4 2 2 4 2 3 3 4" xfId="32018" xr:uid="{C5FACB36-B21F-4794-A4D1-6055CA449FF4}"/>
    <cellStyle name="Normal 4 2 2 4 2 3 3 5" xfId="39667" xr:uid="{F4BCFD7F-8A4C-4FDE-9BD4-7666959794F1}"/>
    <cellStyle name="Normal 4 2 2 4 2 3 4" xfId="23805" xr:uid="{8EB493EF-6061-426E-A574-5CC42F352CCB}"/>
    <cellStyle name="Normal 4 2 2 4 2 3 5" xfId="18145" xr:uid="{3970546D-CE1E-46F5-81E1-B46772DC1285}"/>
    <cellStyle name="Normal 4 2 2 4 2 3 6" xfId="29466" xr:uid="{6F4C75DB-9D96-4188-8B67-55B3BFBC89A5}"/>
    <cellStyle name="Normal 4 2 2 4 2 3 7" xfId="39664" xr:uid="{E58E1BD4-38F4-4CFF-8AE2-82993ED71E1F}"/>
    <cellStyle name="Normal 4 2 2 4 2 4" xfId="6824" xr:uid="{00000000-0005-0000-0000-0000F41B0000}"/>
    <cellStyle name="Normal 4 2 2 4 2 4 2" xfId="15257" xr:uid="{00000000-0005-0000-0000-0000F51B0000}"/>
    <cellStyle name="Normal 4 2 2 4 2 4 2 2" xfId="27151" xr:uid="{21ADBFA9-B6A1-4B93-A607-EA829D184951}"/>
    <cellStyle name="Normal 4 2 2 4 2 4 2 3" xfId="21491" xr:uid="{6C378C1F-40AC-45AA-AFA7-625D5311EC9F}"/>
    <cellStyle name="Normal 4 2 2 4 2 4 2 4" xfId="32531" xr:uid="{D50AC990-06DA-44C5-9F49-45BF35A3A2B8}"/>
    <cellStyle name="Normal 4 2 2 4 2 4 2 5" xfId="39669" xr:uid="{D05D726A-BAEC-43EF-9FDF-8A57B1BA3096}"/>
    <cellStyle name="Normal 4 2 2 4 2 4 3" xfId="24318" xr:uid="{DEAFC0D0-F3F6-4339-AB75-930AF2A9DE32}"/>
    <cellStyle name="Normal 4 2 2 4 2 4 4" xfId="18658" xr:uid="{7ACA18E1-34CC-400A-BD37-EFB5EC8D2ED0}"/>
    <cellStyle name="Normal 4 2 2 4 2 4 5" xfId="29979" xr:uid="{EA3FB119-BC75-45FD-9685-C711A6FD6691}"/>
    <cellStyle name="Normal 4 2 2 4 2 4 6" xfId="39668" xr:uid="{FE3A8C50-7E9F-46FF-B682-A1FA5BB5A743}"/>
    <cellStyle name="Normal 4 2 2 4 2 5" xfId="8009" xr:uid="{00000000-0005-0000-0000-0000F61B0000}"/>
    <cellStyle name="Normal 4 2 2 4 2 5 2" xfId="25488" xr:uid="{0FED51F0-A833-43B5-82F2-CAEFFC7E6E02}"/>
    <cellStyle name="Normal 4 2 2 4 2 5 3" xfId="19828" xr:uid="{00AE3E66-268C-4D4B-AACA-6FAE2F8A6087}"/>
    <cellStyle name="Normal 4 2 2 4 2 5 4" xfId="31149" xr:uid="{FECF027D-1A01-4D00-A16B-9BBDE01ACFDB}"/>
    <cellStyle name="Normal 4 2 2 4 2 5 5" xfId="39670" xr:uid="{47D6F32C-FBAC-4E32-98F9-EF0120C6AA42}"/>
    <cellStyle name="Normal 4 2 2 4 2 6" xfId="22756" xr:uid="{58398B22-511A-436B-9333-B9B31F7B8FDD}"/>
    <cellStyle name="Normal 4 2 2 4 2 7" xfId="17096" xr:uid="{98F91535-1A88-4EBF-95F2-14C02D5816D7}"/>
    <cellStyle name="Normal 4 2 2 4 2 8" xfId="28417" xr:uid="{29A6E927-56AE-4337-ABD2-EABA1DE7A5C5}"/>
    <cellStyle name="Normal 4 2 2 4 2 9" xfId="39659" xr:uid="{1513D416-2919-4D43-AD11-9B38969318A1}"/>
    <cellStyle name="Normal 4 2 2 4 3" xfId="5170" xr:uid="{00000000-0005-0000-0000-0000F71B0000}"/>
    <cellStyle name="Normal 4 2 2 4 3 2" xfId="6236" xr:uid="{00000000-0005-0000-0000-0000F81B0000}"/>
    <cellStyle name="Normal 4 2 2 4 3 2 2" xfId="7566" xr:uid="{00000000-0005-0000-0000-0000F91B0000}"/>
    <cellStyle name="Normal 4 2 2 4 3 2 2 2" xfId="15999" xr:uid="{00000000-0005-0000-0000-0000FA1B0000}"/>
    <cellStyle name="Normal 4 2 2 4 3 2 2 2 2" xfId="27893" xr:uid="{87FE7497-02CB-499B-91AB-F958670899B3}"/>
    <cellStyle name="Normal 4 2 2 4 3 2 2 2 3" xfId="22233" xr:uid="{7BCC86CE-23D2-4081-AF34-E15614196DA5}"/>
    <cellStyle name="Normal 4 2 2 4 3 2 2 2 4" xfId="33273" xr:uid="{7D830207-93D5-47F6-AE95-70E35C87ED7B}"/>
    <cellStyle name="Normal 4 2 2 4 3 2 2 2 5" xfId="39674" xr:uid="{92954A3F-7827-4DE3-B8CB-EADA9C3CDA39}"/>
    <cellStyle name="Normal 4 2 2 4 3 2 2 3" xfId="25060" xr:uid="{F0C222F6-AE6C-4E7C-97A3-096A728249DE}"/>
    <cellStyle name="Normal 4 2 2 4 3 2 2 4" xfId="19400" xr:uid="{B6A017AE-9B30-4511-AD0F-F19C1F808922}"/>
    <cellStyle name="Normal 4 2 2 4 3 2 2 5" xfId="30721" xr:uid="{A7FC447D-FACD-4426-835F-FF9E9FEE65CC}"/>
    <cellStyle name="Normal 4 2 2 4 3 2 2 6" xfId="39673" xr:uid="{C5670CBD-560D-4B2D-B186-988583346229}"/>
    <cellStyle name="Normal 4 2 2 4 3 2 3" xfId="14681" xr:uid="{00000000-0005-0000-0000-0000FB1B0000}"/>
    <cellStyle name="Normal 4 2 2 4 3 2 3 2" xfId="26637" xr:uid="{B3DFB5B0-3F66-4CA4-894E-C592118220E8}"/>
    <cellStyle name="Normal 4 2 2 4 3 2 3 3" xfId="20977" xr:uid="{DBFE9A73-7A44-4A59-A1FB-9F69110F69A6}"/>
    <cellStyle name="Normal 4 2 2 4 3 2 3 4" xfId="32017" xr:uid="{D7C1DF34-38DE-4557-8B12-5384AFF8F46A}"/>
    <cellStyle name="Normal 4 2 2 4 3 2 3 5" xfId="39675" xr:uid="{FA440EC0-E48E-4D6A-9595-D77A71C314C9}"/>
    <cellStyle name="Normal 4 2 2 4 3 2 4" xfId="23804" xr:uid="{162DCF36-F97F-47FF-B71A-9AD16A15F59D}"/>
    <cellStyle name="Normal 4 2 2 4 3 2 5" xfId="18144" xr:uid="{D444850B-5E92-4552-B4F7-06B6D8E08069}"/>
    <cellStyle name="Normal 4 2 2 4 3 2 6" xfId="29465" xr:uid="{16B8C020-8823-406F-AC8C-BD790E5A12A0}"/>
    <cellStyle name="Normal 4 2 2 4 3 2 7" xfId="39672" xr:uid="{C133D94F-501E-4220-9295-B7F892E72DC9}"/>
    <cellStyle name="Normal 4 2 2 4 3 3" xfId="7033" xr:uid="{00000000-0005-0000-0000-0000FC1B0000}"/>
    <cellStyle name="Normal 4 2 2 4 3 3 2" xfId="15466" xr:uid="{00000000-0005-0000-0000-0000FD1B0000}"/>
    <cellStyle name="Normal 4 2 2 4 3 3 2 2" xfId="27360" xr:uid="{09F6907E-6841-41B7-9939-FE973C0CE408}"/>
    <cellStyle name="Normal 4 2 2 4 3 3 2 3" xfId="21700" xr:uid="{4DFE907F-3A35-4610-B2B9-48C914FBBC67}"/>
    <cellStyle name="Normal 4 2 2 4 3 3 2 4" xfId="32740" xr:uid="{7C96A919-51B3-4FFB-9674-F0C2B0A1F9D1}"/>
    <cellStyle name="Normal 4 2 2 4 3 3 2 5" xfId="39677" xr:uid="{E3CC35DC-1C0A-48B9-AED3-7F2DFA5A15C8}"/>
    <cellStyle name="Normal 4 2 2 4 3 3 3" xfId="24527" xr:uid="{6E5A727B-5F6D-4C7A-B9DB-E86564027DCD}"/>
    <cellStyle name="Normal 4 2 2 4 3 3 4" xfId="18867" xr:uid="{84192D6F-EEAF-4103-9561-8B251C103279}"/>
    <cellStyle name="Normal 4 2 2 4 3 3 5" xfId="30188" xr:uid="{DA87DBF9-45F7-4AAA-AC12-35C743804276}"/>
    <cellStyle name="Normal 4 2 2 4 3 3 6" xfId="39676" xr:uid="{F513CCBD-BE43-42C0-B86B-253A9CDA67E5}"/>
    <cellStyle name="Normal 4 2 2 4 3 4" xfId="14057" xr:uid="{00000000-0005-0000-0000-0000FE1B0000}"/>
    <cellStyle name="Normal 4 2 2 4 3 4 2" xfId="26096" xr:uid="{DEEE3B7E-8701-4ADC-BEE1-63A0FE3C5FF0}"/>
    <cellStyle name="Normal 4 2 2 4 3 4 3" xfId="20436" xr:uid="{3E6F77F8-4239-408F-A86D-059B035F55D5}"/>
    <cellStyle name="Normal 4 2 2 4 3 4 4" xfId="31476" xr:uid="{C6E80F0B-31FD-4BD7-B1E9-1D9677D31044}"/>
    <cellStyle name="Normal 4 2 2 4 3 4 5" xfId="39678" xr:uid="{A432E923-E7C6-40BA-8927-FEFAB45ACA3D}"/>
    <cellStyle name="Normal 4 2 2 4 3 5" xfId="22965" xr:uid="{1F676B1A-BE96-40DB-AA52-01C4FD27FD23}"/>
    <cellStyle name="Normal 4 2 2 4 3 6" xfId="17305" xr:uid="{06C3EF61-EE32-47E1-9304-D19F316A4246}"/>
    <cellStyle name="Normal 4 2 2 4 3 7" xfId="28626" xr:uid="{544F0175-FF22-4B1C-8399-30B26CCCF221}"/>
    <cellStyle name="Normal 4 2 2 4 3 8" xfId="39671" xr:uid="{ECB87647-9979-4D75-8FD3-98E76B0D2433}"/>
    <cellStyle name="Normal 4 2 2 4 4" xfId="5688" xr:uid="{00000000-0005-0000-0000-0000FF1B0000}"/>
    <cellStyle name="Normal 4 2 2 4 4 2" xfId="39679" xr:uid="{A5668028-2727-4C47-A99F-763064A43DF4}"/>
    <cellStyle name="Normal 4 2 2 4 5" xfId="6615" xr:uid="{00000000-0005-0000-0000-0000001C0000}"/>
    <cellStyle name="Normal 4 2 2 4 5 2" xfId="15048" xr:uid="{00000000-0005-0000-0000-0000011C0000}"/>
    <cellStyle name="Normal 4 2 2 4 5 2 2" xfId="26942" xr:uid="{C1B6B83F-0CCD-4B03-B792-3D91F8B7A468}"/>
    <cellStyle name="Normal 4 2 2 4 5 2 3" xfId="21282" xr:uid="{ABA42136-F3D0-451B-ADD6-D88E7A5BA6BB}"/>
    <cellStyle name="Normal 4 2 2 4 5 2 4" xfId="32322" xr:uid="{220B9DF3-86B0-42C8-ABC6-351232858CEE}"/>
    <cellStyle name="Normal 4 2 2 4 5 2 5" xfId="39681" xr:uid="{BB5B2853-F7EF-4502-B0E8-A026186A8D5B}"/>
    <cellStyle name="Normal 4 2 2 4 5 3" xfId="24109" xr:uid="{66BB362E-B6B1-460F-A93D-3CA681C58D26}"/>
    <cellStyle name="Normal 4 2 2 4 5 4" xfId="18449" xr:uid="{93116B0E-7DB2-48DA-AA9A-64E39BE6526A}"/>
    <cellStyle name="Normal 4 2 2 4 5 5" xfId="29770" xr:uid="{7A8866C8-6AA5-4E97-BC2D-68A609CF90F4}"/>
    <cellStyle name="Normal 4 2 2 4 5 6" xfId="39680" xr:uid="{EA3035CA-FD20-48C8-BF29-B3A0159DB8AE}"/>
    <cellStyle name="Normal 4 2 2 4 6" xfId="8008" xr:uid="{00000000-0005-0000-0000-0000021C0000}"/>
    <cellStyle name="Normal 4 2 2 4 6 2" xfId="25487" xr:uid="{B6503F00-76D6-41E9-A914-0EB487EEBEE0}"/>
    <cellStyle name="Normal 4 2 2 4 6 3" xfId="19827" xr:uid="{AE884406-31F8-449B-9124-47CAEC594D7D}"/>
    <cellStyle name="Normal 4 2 2 4 6 4" xfId="31148" xr:uid="{AFBF315D-2887-4D32-857D-961893920102}"/>
    <cellStyle name="Normal 4 2 2 4 6 5" xfId="39682" xr:uid="{3F512AB6-9ED8-46BD-8DE4-89A659425565}"/>
    <cellStyle name="Normal 4 2 2 4 7" xfId="22547" xr:uid="{196423F8-2D43-4D1B-A98A-9E7603ABD504}"/>
    <cellStyle name="Normal 4 2 2 4 8" xfId="16887" xr:uid="{CE0BBFEF-9348-4C11-846E-D894F4705EFC}"/>
    <cellStyle name="Normal 4 2 2 4 9" xfId="28208" xr:uid="{AC30EF5B-D10E-4389-9226-6343432F1828}"/>
    <cellStyle name="Normal 4 2 2 5" xfId="4260" xr:uid="{00000000-0005-0000-0000-0000031C0000}"/>
    <cellStyle name="Normal 4 2 2 5 10" xfId="39683" xr:uid="{D62C1EBF-D753-42AE-A21D-290EC6A1A6BA}"/>
    <cellStyle name="Normal 4 2 2 5 2" xfId="4961" xr:uid="{00000000-0005-0000-0000-0000041C0000}"/>
    <cellStyle name="Normal 4 2 2 5 2 2" xfId="5380" xr:uid="{00000000-0005-0000-0000-0000051C0000}"/>
    <cellStyle name="Normal 4 2 2 5 2 2 2" xfId="7243" xr:uid="{00000000-0005-0000-0000-0000061C0000}"/>
    <cellStyle name="Normal 4 2 2 5 2 2 2 2" xfId="15676" xr:uid="{00000000-0005-0000-0000-0000071C0000}"/>
    <cellStyle name="Normal 4 2 2 5 2 2 2 2 2" xfId="27570" xr:uid="{324BB505-EFC1-46F2-B09F-683AFD367875}"/>
    <cellStyle name="Normal 4 2 2 5 2 2 2 2 3" xfId="21910" xr:uid="{69A8E4EF-2A97-4323-873A-9C030ACB8D46}"/>
    <cellStyle name="Normal 4 2 2 5 2 2 2 2 4" xfId="32950" xr:uid="{02154A3E-A690-4032-9297-540D27D0D38A}"/>
    <cellStyle name="Normal 4 2 2 5 2 2 2 2 5" xfId="39687" xr:uid="{095B0F2E-B3B5-420A-8424-1EE49290D76F}"/>
    <cellStyle name="Normal 4 2 2 5 2 2 2 3" xfId="24737" xr:uid="{0FC3615C-3B24-48F6-9B01-D43335838447}"/>
    <cellStyle name="Normal 4 2 2 5 2 2 2 4" xfId="19077" xr:uid="{6E73ED54-774B-4C2E-8326-496118AA9323}"/>
    <cellStyle name="Normal 4 2 2 5 2 2 2 5" xfId="30398" xr:uid="{390206DC-F49F-4D85-B90C-FAC481E87ECF}"/>
    <cellStyle name="Normal 4 2 2 5 2 2 2 6" xfId="39686" xr:uid="{2DC2E3C7-DA7E-47BD-9C24-E35D9CF5DCA1}"/>
    <cellStyle name="Normal 4 2 2 5 2 2 3" xfId="14266" xr:uid="{00000000-0005-0000-0000-0000081C0000}"/>
    <cellStyle name="Normal 4 2 2 5 2 2 3 2" xfId="26305" xr:uid="{707FCBA6-E9C8-42DA-A98C-5687E865282C}"/>
    <cellStyle name="Normal 4 2 2 5 2 2 3 3" xfId="20645" xr:uid="{8CE73E3A-6E7B-4966-ACDF-EF11B0AE4231}"/>
    <cellStyle name="Normal 4 2 2 5 2 2 3 4" xfId="31685" xr:uid="{3FE6897E-AC8F-4AE2-8EA7-60EA991FDEDD}"/>
    <cellStyle name="Normal 4 2 2 5 2 2 3 5" xfId="39688" xr:uid="{94620AC6-4870-4F1A-84A1-80BE49AE384B}"/>
    <cellStyle name="Normal 4 2 2 5 2 2 4" xfId="23175" xr:uid="{2B776534-E46A-4697-A520-CF7D5AE2EE2A}"/>
    <cellStyle name="Normal 4 2 2 5 2 2 5" xfId="17515" xr:uid="{556EB5B1-103B-4328-AD9E-F929C6C2F06A}"/>
    <cellStyle name="Normal 4 2 2 5 2 2 6" xfId="28836" xr:uid="{77605E1C-971D-4ED6-B754-144EFE9F1CDA}"/>
    <cellStyle name="Normal 4 2 2 5 2 2 7" xfId="39685" xr:uid="{55C76341-23EA-40F0-85F8-28303E035589}"/>
    <cellStyle name="Normal 4 2 2 5 2 3" xfId="6239" xr:uid="{00000000-0005-0000-0000-0000091C0000}"/>
    <cellStyle name="Normal 4 2 2 5 2 3 2" xfId="7569" xr:uid="{00000000-0005-0000-0000-00000A1C0000}"/>
    <cellStyle name="Normal 4 2 2 5 2 3 2 2" xfId="16002" xr:uid="{00000000-0005-0000-0000-00000B1C0000}"/>
    <cellStyle name="Normal 4 2 2 5 2 3 2 2 2" xfId="27896" xr:uid="{FA0E60A0-4A54-4620-A9D3-3B7094EA0C0D}"/>
    <cellStyle name="Normal 4 2 2 5 2 3 2 2 3" xfId="22236" xr:uid="{95343732-7BC8-45DC-B494-1FF24305A452}"/>
    <cellStyle name="Normal 4 2 2 5 2 3 2 2 4" xfId="33276" xr:uid="{7FF8080E-0AEE-4457-8527-DEFE782D8AB4}"/>
    <cellStyle name="Normal 4 2 2 5 2 3 2 2 5" xfId="39691" xr:uid="{11E96C4D-20B4-46CF-BF0F-5E995CF6E2D1}"/>
    <cellStyle name="Normal 4 2 2 5 2 3 2 3" xfId="25063" xr:uid="{6308A0C4-55B1-46F5-A38D-F5CCDD66A9B2}"/>
    <cellStyle name="Normal 4 2 2 5 2 3 2 4" xfId="19403" xr:uid="{C51FF92F-DD91-4BD8-B171-BC4EAE50FE92}"/>
    <cellStyle name="Normal 4 2 2 5 2 3 2 5" xfId="30724" xr:uid="{677E0393-38E9-46D6-8310-BE9660B6BAD8}"/>
    <cellStyle name="Normal 4 2 2 5 2 3 2 6" xfId="39690" xr:uid="{7D04FB24-E44B-4230-AC1F-03FB00BED887}"/>
    <cellStyle name="Normal 4 2 2 5 2 3 3" xfId="14684" xr:uid="{00000000-0005-0000-0000-00000C1C0000}"/>
    <cellStyle name="Normal 4 2 2 5 2 3 3 2" xfId="26640" xr:uid="{2E58F11C-D3F0-4054-A572-9DB2F3DB5B3D}"/>
    <cellStyle name="Normal 4 2 2 5 2 3 3 3" xfId="20980" xr:uid="{061296F0-CEDC-4082-9351-5316E92FCF58}"/>
    <cellStyle name="Normal 4 2 2 5 2 3 3 4" xfId="32020" xr:uid="{6F440EA2-E34E-43FC-9D0B-E7843454B28D}"/>
    <cellStyle name="Normal 4 2 2 5 2 3 3 5" xfId="39692" xr:uid="{125725AB-27EF-4BC6-8F4E-7D8613250330}"/>
    <cellStyle name="Normal 4 2 2 5 2 3 4" xfId="23807" xr:uid="{0E78EB8E-6F62-4FBD-B7A4-33E2E7207593}"/>
    <cellStyle name="Normal 4 2 2 5 2 3 5" xfId="18147" xr:uid="{44E10105-8744-4BED-BAFA-CC9A75D8E7CE}"/>
    <cellStyle name="Normal 4 2 2 5 2 3 6" xfId="29468" xr:uid="{3BFD6BCC-D80A-4788-9513-3A06EA9A5207}"/>
    <cellStyle name="Normal 4 2 2 5 2 3 7" xfId="39689" xr:uid="{4A6BCD8E-AF47-478B-826F-1F52D89C270F}"/>
    <cellStyle name="Normal 4 2 2 5 2 4" xfId="6825" xr:uid="{00000000-0005-0000-0000-00000D1C0000}"/>
    <cellStyle name="Normal 4 2 2 5 2 4 2" xfId="15258" xr:uid="{00000000-0005-0000-0000-00000E1C0000}"/>
    <cellStyle name="Normal 4 2 2 5 2 4 2 2" xfId="27152" xr:uid="{D9838B70-8BB1-4472-BCE4-5CA9F9B71A0A}"/>
    <cellStyle name="Normal 4 2 2 5 2 4 2 3" xfId="21492" xr:uid="{F1EF426F-DFA2-46C8-94A7-516A705E36ED}"/>
    <cellStyle name="Normal 4 2 2 5 2 4 2 4" xfId="32532" xr:uid="{44B4C92B-2F44-4D46-8C28-703905DB5D1D}"/>
    <cellStyle name="Normal 4 2 2 5 2 4 2 5" xfId="39694" xr:uid="{F18A0656-B32A-4FEA-BF8C-C437672F7E44}"/>
    <cellStyle name="Normal 4 2 2 5 2 4 3" xfId="24319" xr:uid="{FE807DAD-896B-49F0-A4B3-0D170A7693EE}"/>
    <cellStyle name="Normal 4 2 2 5 2 4 4" xfId="18659" xr:uid="{2CD2A392-5104-4844-B5F9-E13311542EF3}"/>
    <cellStyle name="Normal 4 2 2 5 2 4 5" xfId="29980" xr:uid="{B03089D9-1CBA-4E0E-89E0-F092E0D41071}"/>
    <cellStyle name="Normal 4 2 2 5 2 4 6" xfId="39693" xr:uid="{D9C02926-90E6-4BA9-9340-F282639A7C0E}"/>
    <cellStyle name="Normal 4 2 2 5 2 5" xfId="8011" xr:uid="{00000000-0005-0000-0000-00000F1C0000}"/>
    <cellStyle name="Normal 4 2 2 5 2 5 2" xfId="25490" xr:uid="{A959B569-DF80-42E4-B4A8-A676068F4855}"/>
    <cellStyle name="Normal 4 2 2 5 2 5 3" xfId="19830" xr:uid="{A1265302-6774-479B-BED5-372D17B22CB1}"/>
    <cellStyle name="Normal 4 2 2 5 2 5 4" xfId="31151" xr:uid="{0E45F466-4090-4A03-BED5-AABD8D6E036E}"/>
    <cellStyle name="Normal 4 2 2 5 2 5 5" xfId="39695" xr:uid="{26030DFC-2D09-42BB-8DF3-89E53AEF62BA}"/>
    <cellStyle name="Normal 4 2 2 5 2 6" xfId="22757" xr:uid="{07B20636-34C1-4D6D-8CCF-0470669CCF5E}"/>
    <cellStyle name="Normal 4 2 2 5 2 7" xfId="17097" xr:uid="{9D05B703-429E-4221-98E2-DF18F35C475F}"/>
    <cellStyle name="Normal 4 2 2 5 2 8" xfId="28418" xr:uid="{3808C32B-4E4D-4707-AB0B-E4F9ED2C3C17}"/>
    <cellStyle name="Normal 4 2 2 5 2 9" xfId="39684" xr:uid="{441C116E-A73E-4AE2-807B-E80EE74D902B}"/>
    <cellStyle name="Normal 4 2 2 5 3" xfId="5171" xr:uid="{00000000-0005-0000-0000-0000101C0000}"/>
    <cellStyle name="Normal 4 2 2 5 3 2" xfId="6238" xr:uid="{00000000-0005-0000-0000-0000111C0000}"/>
    <cellStyle name="Normal 4 2 2 5 3 2 2" xfId="7568" xr:uid="{00000000-0005-0000-0000-0000121C0000}"/>
    <cellStyle name="Normal 4 2 2 5 3 2 2 2" xfId="16001" xr:uid="{00000000-0005-0000-0000-0000131C0000}"/>
    <cellStyle name="Normal 4 2 2 5 3 2 2 2 2" xfId="27895" xr:uid="{D26A15F1-B795-4DE4-AE39-803765DA1744}"/>
    <cellStyle name="Normal 4 2 2 5 3 2 2 2 3" xfId="22235" xr:uid="{0287ED6C-BCD4-4427-8B27-1C41F54F59E7}"/>
    <cellStyle name="Normal 4 2 2 5 3 2 2 2 4" xfId="33275" xr:uid="{2AD062B7-2D20-4962-B041-88F0F2276FC7}"/>
    <cellStyle name="Normal 4 2 2 5 3 2 2 2 5" xfId="39699" xr:uid="{F4706CF9-3457-4323-A6E6-8EAF28004BD9}"/>
    <cellStyle name="Normal 4 2 2 5 3 2 2 3" xfId="25062" xr:uid="{91125330-7D30-4EFB-9982-FC125FE27189}"/>
    <cellStyle name="Normal 4 2 2 5 3 2 2 4" xfId="19402" xr:uid="{54E1ED75-729A-4BA6-A09B-AEC729EB6497}"/>
    <cellStyle name="Normal 4 2 2 5 3 2 2 5" xfId="30723" xr:uid="{DF545033-E3BC-44D5-AABC-9A0707749E98}"/>
    <cellStyle name="Normal 4 2 2 5 3 2 2 6" xfId="39698" xr:uid="{FA468662-44A6-438E-B100-E8DDB7D56F99}"/>
    <cellStyle name="Normal 4 2 2 5 3 2 3" xfId="14683" xr:uid="{00000000-0005-0000-0000-0000141C0000}"/>
    <cellStyle name="Normal 4 2 2 5 3 2 3 2" xfId="26639" xr:uid="{BA132165-5466-4DB1-9EE4-837F064BD06A}"/>
    <cellStyle name="Normal 4 2 2 5 3 2 3 3" xfId="20979" xr:uid="{4DCFECA8-29A7-49FF-A992-1C83C92813AE}"/>
    <cellStyle name="Normal 4 2 2 5 3 2 3 4" xfId="32019" xr:uid="{F40CB96D-D8C6-41B3-B612-B657D6B7FBB0}"/>
    <cellStyle name="Normal 4 2 2 5 3 2 3 5" xfId="39700" xr:uid="{5AE44401-FFBF-47B9-88F6-B78F30CE56DE}"/>
    <cellStyle name="Normal 4 2 2 5 3 2 4" xfId="23806" xr:uid="{D12DEC69-2C8B-43D4-B536-A630DCE0A8C0}"/>
    <cellStyle name="Normal 4 2 2 5 3 2 5" xfId="18146" xr:uid="{0B529EC7-E47F-41C9-B8AA-5ED785A5D6AD}"/>
    <cellStyle name="Normal 4 2 2 5 3 2 6" xfId="29467" xr:uid="{C6577E9F-5105-4C7F-86A6-2488267832CA}"/>
    <cellStyle name="Normal 4 2 2 5 3 2 7" xfId="39697" xr:uid="{57EC4014-5D86-4CA0-A16D-8F2ADEACEE97}"/>
    <cellStyle name="Normal 4 2 2 5 3 3" xfId="7034" xr:uid="{00000000-0005-0000-0000-0000151C0000}"/>
    <cellStyle name="Normal 4 2 2 5 3 3 2" xfId="15467" xr:uid="{00000000-0005-0000-0000-0000161C0000}"/>
    <cellStyle name="Normal 4 2 2 5 3 3 2 2" xfId="27361" xr:uid="{9C15F5D6-FD85-41B7-8790-717CC9688DFA}"/>
    <cellStyle name="Normal 4 2 2 5 3 3 2 3" xfId="21701" xr:uid="{8E12DEBE-FC76-4F65-B1A8-D65AC3C9634A}"/>
    <cellStyle name="Normal 4 2 2 5 3 3 2 4" xfId="32741" xr:uid="{CD9105B3-B627-43AF-BA69-3477A317CE43}"/>
    <cellStyle name="Normal 4 2 2 5 3 3 2 5" xfId="39702" xr:uid="{73A3C446-67C4-4664-BCC6-4F9EB034EDA0}"/>
    <cellStyle name="Normal 4 2 2 5 3 3 3" xfId="24528" xr:uid="{96309F84-3533-4DEA-BC90-E00A9CC7501F}"/>
    <cellStyle name="Normal 4 2 2 5 3 3 4" xfId="18868" xr:uid="{81AAA269-F524-4957-8EBE-9363329FEFF3}"/>
    <cellStyle name="Normal 4 2 2 5 3 3 5" xfId="30189" xr:uid="{29A60C03-BFC6-48C6-ABFE-F613A2BAD99E}"/>
    <cellStyle name="Normal 4 2 2 5 3 3 6" xfId="39701" xr:uid="{AC8BD6CD-8B28-4409-9C84-7091D9A6517A}"/>
    <cellStyle name="Normal 4 2 2 5 3 4" xfId="14058" xr:uid="{00000000-0005-0000-0000-0000171C0000}"/>
    <cellStyle name="Normal 4 2 2 5 3 4 2" xfId="26097" xr:uid="{7F871A64-2FBF-4C56-94DA-86D5FAD29C0B}"/>
    <cellStyle name="Normal 4 2 2 5 3 4 3" xfId="20437" xr:uid="{32D3DF04-9C8F-4862-B58B-178F605496CE}"/>
    <cellStyle name="Normal 4 2 2 5 3 4 4" xfId="31477" xr:uid="{D06FC720-96C7-4B70-9BF6-851C68B0FA9C}"/>
    <cellStyle name="Normal 4 2 2 5 3 4 5" xfId="39703" xr:uid="{B5A3AFBE-5659-417F-83A2-C602456DCC54}"/>
    <cellStyle name="Normal 4 2 2 5 3 5" xfId="22966" xr:uid="{9E63FFBB-670B-4EDD-8CE1-6514404F13CE}"/>
    <cellStyle name="Normal 4 2 2 5 3 6" xfId="17306" xr:uid="{F4CEE74B-9809-4A7C-BC5A-D9A1F470CB56}"/>
    <cellStyle name="Normal 4 2 2 5 3 7" xfId="28627" xr:uid="{A1EC0A57-6739-4B5F-8075-597B9659A583}"/>
    <cellStyle name="Normal 4 2 2 5 3 8" xfId="39696" xr:uid="{021B1EF5-FEA6-4235-AFD2-51F113454003}"/>
    <cellStyle name="Normal 4 2 2 5 4" xfId="5689" xr:uid="{00000000-0005-0000-0000-0000181C0000}"/>
    <cellStyle name="Normal 4 2 2 5 4 2" xfId="39704" xr:uid="{FE568F99-CE0D-45C7-A0B0-E42A43181F26}"/>
    <cellStyle name="Normal 4 2 2 5 5" xfId="6616" xr:uid="{00000000-0005-0000-0000-0000191C0000}"/>
    <cellStyle name="Normal 4 2 2 5 5 2" xfId="15049" xr:uid="{00000000-0005-0000-0000-00001A1C0000}"/>
    <cellStyle name="Normal 4 2 2 5 5 2 2" xfId="26943" xr:uid="{9C84D30E-BD49-49A7-A3E2-54AB15808066}"/>
    <cellStyle name="Normal 4 2 2 5 5 2 3" xfId="21283" xr:uid="{1833DE17-2E2E-4BCC-AC35-9242B0978430}"/>
    <cellStyle name="Normal 4 2 2 5 5 2 4" xfId="32323" xr:uid="{853D3C8D-7983-44D8-8D1E-31FF091D437B}"/>
    <cellStyle name="Normal 4 2 2 5 5 2 5" xfId="39706" xr:uid="{834AAE12-CD0D-4BB4-980A-076EEA68F781}"/>
    <cellStyle name="Normal 4 2 2 5 5 3" xfId="24110" xr:uid="{08B7B3AD-3F28-40B7-9772-DB41D7FFBB03}"/>
    <cellStyle name="Normal 4 2 2 5 5 4" xfId="18450" xr:uid="{8EC15D29-9714-4639-AE9A-43ABB8C7E01E}"/>
    <cellStyle name="Normal 4 2 2 5 5 5" xfId="29771" xr:uid="{DC1F75CC-0FD3-465A-8AFD-BB2CD99290E9}"/>
    <cellStyle name="Normal 4 2 2 5 5 6" xfId="39705" xr:uid="{613E0723-0461-48AF-8479-F7B93504C458}"/>
    <cellStyle name="Normal 4 2 2 5 6" xfId="8010" xr:uid="{00000000-0005-0000-0000-00001B1C0000}"/>
    <cellStyle name="Normal 4 2 2 5 6 2" xfId="25489" xr:uid="{E2C62F48-DA58-4B7A-BB99-0670C40C3F49}"/>
    <cellStyle name="Normal 4 2 2 5 6 3" xfId="19829" xr:uid="{2B879B83-F60F-4454-B250-68EC9B164D5A}"/>
    <cellStyle name="Normal 4 2 2 5 6 4" xfId="31150" xr:uid="{D82ED5DE-CCDD-4EF9-9E2B-3B24BA5D08AA}"/>
    <cellStyle name="Normal 4 2 2 5 6 5" xfId="39707" xr:uid="{9D3146D8-1C1F-469C-934A-0BC636E67FE8}"/>
    <cellStyle name="Normal 4 2 2 5 7" xfId="22548" xr:uid="{9AF45F9A-8607-413C-AD98-824C71AC4028}"/>
    <cellStyle name="Normal 4 2 2 5 8" xfId="16888" xr:uid="{19B9B961-3D0A-45FC-A8CC-712468E90E0B}"/>
    <cellStyle name="Normal 4 2 2 5 9" xfId="28209" xr:uid="{8A9924F3-9252-4B2E-8B6B-E2EEA49F3C86}"/>
    <cellStyle name="Normal 4 2 2 6" xfId="4261" xr:uid="{00000000-0005-0000-0000-00001C1C0000}"/>
    <cellStyle name="Normal 4 2 2 6 10" xfId="39708" xr:uid="{94061279-0B59-42CC-B033-D7B0E2D212F3}"/>
    <cellStyle name="Normal 4 2 2 6 2" xfId="4962" xr:uid="{00000000-0005-0000-0000-00001D1C0000}"/>
    <cellStyle name="Normal 4 2 2 6 2 2" xfId="5381" xr:uid="{00000000-0005-0000-0000-00001E1C0000}"/>
    <cellStyle name="Normal 4 2 2 6 2 2 2" xfId="7244" xr:uid="{00000000-0005-0000-0000-00001F1C0000}"/>
    <cellStyle name="Normal 4 2 2 6 2 2 2 2" xfId="15677" xr:uid="{00000000-0005-0000-0000-0000201C0000}"/>
    <cellStyle name="Normal 4 2 2 6 2 2 2 2 2" xfId="27571" xr:uid="{9CB4B506-68BF-4B82-BBA2-B6DEF3AE844A}"/>
    <cellStyle name="Normal 4 2 2 6 2 2 2 2 3" xfId="21911" xr:uid="{84E001B3-A59B-48E2-9E91-E8E2A911F543}"/>
    <cellStyle name="Normal 4 2 2 6 2 2 2 2 4" xfId="32951" xr:uid="{626BE0DB-54A1-4E0E-A444-1F23EC7FF145}"/>
    <cellStyle name="Normal 4 2 2 6 2 2 2 2 5" xfId="39712" xr:uid="{252A60AF-85D9-4D65-AF2F-E04B793571EB}"/>
    <cellStyle name="Normal 4 2 2 6 2 2 2 3" xfId="24738" xr:uid="{E8728B0F-F4FB-428F-89A7-6AA76CC45F66}"/>
    <cellStyle name="Normal 4 2 2 6 2 2 2 4" xfId="19078" xr:uid="{F6792B4B-5C2F-40F3-BE45-DB31E7492603}"/>
    <cellStyle name="Normal 4 2 2 6 2 2 2 5" xfId="30399" xr:uid="{32D4DEFE-1F8E-4C67-A0F1-B96A9CCFA073}"/>
    <cellStyle name="Normal 4 2 2 6 2 2 2 6" xfId="39711" xr:uid="{7561701E-EF57-47B9-B046-D4C4D55EAE5F}"/>
    <cellStyle name="Normal 4 2 2 6 2 2 3" xfId="14267" xr:uid="{00000000-0005-0000-0000-0000211C0000}"/>
    <cellStyle name="Normal 4 2 2 6 2 2 3 2" xfId="26306" xr:uid="{045536B5-AA06-4366-9EC8-59FECF1DA980}"/>
    <cellStyle name="Normal 4 2 2 6 2 2 3 3" xfId="20646" xr:uid="{E04C9B4E-E4E8-4172-B92E-3AFBA0EC1C9E}"/>
    <cellStyle name="Normal 4 2 2 6 2 2 3 4" xfId="31686" xr:uid="{69C1AF7D-86C6-47F3-A382-C2A3637AD875}"/>
    <cellStyle name="Normal 4 2 2 6 2 2 3 5" xfId="39713" xr:uid="{88520BBC-E5F9-449E-88D6-B40B810EF767}"/>
    <cellStyle name="Normal 4 2 2 6 2 2 4" xfId="23176" xr:uid="{DF428705-C552-406A-A958-3E972577864F}"/>
    <cellStyle name="Normal 4 2 2 6 2 2 5" xfId="17516" xr:uid="{77312D58-0C5C-4283-9312-761864432C4A}"/>
    <cellStyle name="Normal 4 2 2 6 2 2 6" xfId="28837" xr:uid="{C7DA801C-A9D0-4524-BC7C-F780DDCDBDB3}"/>
    <cellStyle name="Normal 4 2 2 6 2 2 7" xfId="39710" xr:uid="{511271BA-E5E4-4D6F-BABA-CEE7D7234B6B}"/>
    <cellStyle name="Normal 4 2 2 6 2 3" xfId="6241" xr:uid="{00000000-0005-0000-0000-0000221C0000}"/>
    <cellStyle name="Normal 4 2 2 6 2 3 2" xfId="7571" xr:uid="{00000000-0005-0000-0000-0000231C0000}"/>
    <cellStyle name="Normal 4 2 2 6 2 3 2 2" xfId="16004" xr:uid="{00000000-0005-0000-0000-0000241C0000}"/>
    <cellStyle name="Normal 4 2 2 6 2 3 2 2 2" xfId="27898" xr:uid="{932B1ED0-8A01-4BFE-A422-FBC984430ECE}"/>
    <cellStyle name="Normal 4 2 2 6 2 3 2 2 3" xfId="22238" xr:uid="{D0D01292-B5D0-486D-901E-C3CA7C83A65A}"/>
    <cellStyle name="Normal 4 2 2 6 2 3 2 2 4" xfId="33278" xr:uid="{4972BF90-0555-4ACB-A325-48D97366881F}"/>
    <cellStyle name="Normal 4 2 2 6 2 3 2 2 5" xfId="39716" xr:uid="{92D147AB-3B5D-4962-A17B-19FA574F0DE8}"/>
    <cellStyle name="Normal 4 2 2 6 2 3 2 3" xfId="25065" xr:uid="{CE93E5CD-C1F2-4234-B632-01F1ED06218E}"/>
    <cellStyle name="Normal 4 2 2 6 2 3 2 4" xfId="19405" xr:uid="{9B462E26-ED93-4300-A685-F48BA669EFB2}"/>
    <cellStyle name="Normal 4 2 2 6 2 3 2 5" xfId="30726" xr:uid="{1E0261D1-CBDE-42FF-AA90-FF6CF3F7F650}"/>
    <cellStyle name="Normal 4 2 2 6 2 3 2 6" xfId="39715" xr:uid="{25F3231E-5C65-4501-8E98-C37F01FF076F}"/>
    <cellStyle name="Normal 4 2 2 6 2 3 3" xfId="14686" xr:uid="{00000000-0005-0000-0000-0000251C0000}"/>
    <cellStyle name="Normal 4 2 2 6 2 3 3 2" xfId="26642" xr:uid="{0CD2BFF2-B654-489F-B4DF-B679FD671DA3}"/>
    <cellStyle name="Normal 4 2 2 6 2 3 3 3" xfId="20982" xr:uid="{BB08B30F-76B9-4B67-A7DA-43B4493C7433}"/>
    <cellStyle name="Normal 4 2 2 6 2 3 3 4" xfId="32022" xr:uid="{89D8E911-8240-4A3A-AE1E-864C7F1AE16E}"/>
    <cellStyle name="Normal 4 2 2 6 2 3 3 5" xfId="39717" xr:uid="{D97B1A82-D732-4F11-92C8-1CFC4ED69B2D}"/>
    <cellStyle name="Normal 4 2 2 6 2 3 4" xfId="23809" xr:uid="{D27BDA96-2AA7-4195-97FA-6DB19AE2608C}"/>
    <cellStyle name="Normal 4 2 2 6 2 3 5" xfId="18149" xr:uid="{FE4D79DC-BD47-43E3-8978-62A2555D3ADA}"/>
    <cellStyle name="Normal 4 2 2 6 2 3 6" xfId="29470" xr:uid="{8425F433-1E22-42C2-BA2F-A18D25E225F8}"/>
    <cellStyle name="Normal 4 2 2 6 2 3 7" xfId="39714" xr:uid="{248BAEF4-B5FF-4B6C-BA79-A47C2792DD4D}"/>
    <cellStyle name="Normal 4 2 2 6 2 4" xfId="6826" xr:uid="{00000000-0005-0000-0000-0000261C0000}"/>
    <cellStyle name="Normal 4 2 2 6 2 4 2" xfId="15259" xr:uid="{00000000-0005-0000-0000-0000271C0000}"/>
    <cellStyle name="Normal 4 2 2 6 2 4 2 2" xfId="27153" xr:uid="{9174200D-90FA-4497-881D-EAABC32F89AE}"/>
    <cellStyle name="Normal 4 2 2 6 2 4 2 3" xfId="21493" xr:uid="{C2923E1A-03C4-45C5-9961-CD8A46997322}"/>
    <cellStyle name="Normal 4 2 2 6 2 4 2 4" xfId="32533" xr:uid="{3307B629-0B35-4205-9B3C-30CBF57AE05B}"/>
    <cellStyle name="Normal 4 2 2 6 2 4 2 5" xfId="39719" xr:uid="{C223F0D2-2EC3-42DC-9AAD-FC688DEB07C7}"/>
    <cellStyle name="Normal 4 2 2 6 2 4 3" xfId="24320" xr:uid="{BE5166E3-D59E-444E-869E-18AD643A948A}"/>
    <cellStyle name="Normal 4 2 2 6 2 4 4" xfId="18660" xr:uid="{2C788785-BA23-43F6-9787-C9078948BEC5}"/>
    <cellStyle name="Normal 4 2 2 6 2 4 5" xfId="29981" xr:uid="{F88D1CDE-D723-42F4-8E19-0A237D2B3190}"/>
    <cellStyle name="Normal 4 2 2 6 2 4 6" xfId="39718" xr:uid="{7390E890-FE5E-4966-94AD-742242A465BF}"/>
    <cellStyle name="Normal 4 2 2 6 2 5" xfId="8013" xr:uid="{00000000-0005-0000-0000-0000281C0000}"/>
    <cellStyle name="Normal 4 2 2 6 2 5 2" xfId="25492" xr:uid="{402CA5AE-F807-4082-836E-832776282B42}"/>
    <cellStyle name="Normal 4 2 2 6 2 5 3" xfId="19832" xr:uid="{6D19317A-27EC-4A61-829A-37362066DFCF}"/>
    <cellStyle name="Normal 4 2 2 6 2 5 4" xfId="31153" xr:uid="{F4032686-1FA7-4B7A-A137-F6547B175EEA}"/>
    <cellStyle name="Normal 4 2 2 6 2 5 5" xfId="39720" xr:uid="{239F752C-4290-4473-ACBC-B77E81EBBED7}"/>
    <cellStyle name="Normal 4 2 2 6 2 6" xfId="22758" xr:uid="{19BDA141-1922-4BD6-8F8D-4F74BE7020AC}"/>
    <cellStyle name="Normal 4 2 2 6 2 7" xfId="17098" xr:uid="{4EC8359C-C4F5-449D-A160-4EDF6107A865}"/>
    <cellStyle name="Normal 4 2 2 6 2 8" xfId="28419" xr:uid="{2BCF7926-C843-4743-A1DB-11AC12FCCA31}"/>
    <cellStyle name="Normal 4 2 2 6 2 9" xfId="39709" xr:uid="{580E8E15-2B66-406B-9F5A-7513A4C167A1}"/>
    <cellStyle name="Normal 4 2 2 6 3" xfId="5172" xr:uid="{00000000-0005-0000-0000-0000291C0000}"/>
    <cellStyle name="Normal 4 2 2 6 3 2" xfId="6240" xr:uid="{00000000-0005-0000-0000-00002A1C0000}"/>
    <cellStyle name="Normal 4 2 2 6 3 2 2" xfId="7570" xr:uid="{00000000-0005-0000-0000-00002B1C0000}"/>
    <cellStyle name="Normal 4 2 2 6 3 2 2 2" xfId="16003" xr:uid="{00000000-0005-0000-0000-00002C1C0000}"/>
    <cellStyle name="Normal 4 2 2 6 3 2 2 2 2" xfId="27897" xr:uid="{18EE69B1-0A8E-4692-BB65-C51D4DFAA423}"/>
    <cellStyle name="Normal 4 2 2 6 3 2 2 2 3" xfId="22237" xr:uid="{0B170BEA-4936-4561-B9CC-3FD41D5D1BFF}"/>
    <cellStyle name="Normal 4 2 2 6 3 2 2 2 4" xfId="33277" xr:uid="{4290585F-4B5E-4CBB-84AE-A16BE3EAD936}"/>
    <cellStyle name="Normal 4 2 2 6 3 2 2 2 5" xfId="39724" xr:uid="{5C7F1EFA-832E-4E13-9B32-89107B30ABDF}"/>
    <cellStyle name="Normal 4 2 2 6 3 2 2 3" xfId="25064" xr:uid="{465D0A9C-88F6-4F1C-8835-244B96D62D6C}"/>
    <cellStyle name="Normal 4 2 2 6 3 2 2 4" xfId="19404" xr:uid="{B1F89207-348E-4FB0-9766-C81312A92402}"/>
    <cellStyle name="Normal 4 2 2 6 3 2 2 5" xfId="30725" xr:uid="{BC2AC28E-92D2-4AEA-BB2F-00F7F3A94041}"/>
    <cellStyle name="Normal 4 2 2 6 3 2 2 6" xfId="39723" xr:uid="{2519F6BB-52BC-44AA-981C-C52EC140102F}"/>
    <cellStyle name="Normal 4 2 2 6 3 2 3" xfId="14685" xr:uid="{00000000-0005-0000-0000-00002D1C0000}"/>
    <cellStyle name="Normal 4 2 2 6 3 2 3 2" xfId="26641" xr:uid="{D3FD56D0-3FBA-4D2F-AB0A-6043D7D06BC2}"/>
    <cellStyle name="Normal 4 2 2 6 3 2 3 3" xfId="20981" xr:uid="{954ABC99-A1B6-4BFD-9311-ACFD1D1232B5}"/>
    <cellStyle name="Normal 4 2 2 6 3 2 3 4" xfId="32021" xr:uid="{015AC9C6-A6C7-4877-A5AE-41D4822C7440}"/>
    <cellStyle name="Normal 4 2 2 6 3 2 3 5" xfId="39725" xr:uid="{A725F20D-83A3-4100-A2C1-46DD6FCBE288}"/>
    <cellStyle name="Normal 4 2 2 6 3 2 4" xfId="23808" xr:uid="{33C534E1-73EB-41F4-A419-EC4E2D860515}"/>
    <cellStyle name="Normal 4 2 2 6 3 2 5" xfId="18148" xr:uid="{A762AA40-B729-45FC-B1B7-F7A3DBBBE65F}"/>
    <cellStyle name="Normal 4 2 2 6 3 2 6" xfId="29469" xr:uid="{79950706-D915-4472-80C0-9A53B0711C09}"/>
    <cellStyle name="Normal 4 2 2 6 3 2 7" xfId="39722" xr:uid="{33C0DCA3-EF0D-4414-854E-8F004952F088}"/>
    <cellStyle name="Normal 4 2 2 6 3 3" xfId="7035" xr:uid="{00000000-0005-0000-0000-00002E1C0000}"/>
    <cellStyle name="Normal 4 2 2 6 3 3 2" xfId="15468" xr:uid="{00000000-0005-0000-0000-00002F1C0000}"/>
    <cellStyle name="Normal 4 2 2 6 3 3 2 2" xfId="27362" xr:uid="{20F19796-E3B2-43AF-B114-2C9F2B114235}"/>
    <cellStyle name="Normal 4 2 2 6 3 3 2 3" xfId="21702" xr:uid="{7AC1FA2E-980A-463F-83AD-17F792A6D35E}"/>
    <cellStyle name="Normal 4 2 2 6 3 3 2 4" xfId="32742" xr:uid="{C816617D-7B64-4C34-AE81-65D79F952028}"/>
    <cellStyle name="Normal 4 2 2 6 3 3 2 5" xfId="39727" xr:uid="{6AC455C0-EE4A-4496-961B-466F654F6279}"/>
    <cellStyle name="Normal 4 2 2 6 3 3 3" xfId="24529" xr:uid="{86E92280-D75A-427C-9836-A6B4514CD119}"/>
    <cellStyle name="Normal 4 2 2 6 3 3 4" xfId="18869" xr:uid="{8A4D1A57-4FA7-43CD-8357-C2EF674EF8A7}"/>
    <cellStyle name="Normal 4 2 2 6 3 3 5" xfId="30190" xr:uid="{91B452CD-F0FD-4B7B-A362-36E7CB86B82D}"/>
    <cellStyle name="Normal 4 2 2 6 3 3 6" xfId="39726" xr:uid="{20AA8487-5287-4EF2-9D1B-E4738F3A008F}"/>
    <cellStyle name="Normal 4 2 2 6 3 4" xfId="14059" xr:uid="{00000000-0005-0000-0000-0000301C0000}"/>
    <cellStyle name="Normal 4 2 2 6 3 4 2" xfId="26098" xr:uid="{DCED1335-C620-4572-9E04-63C768B1237A}"/>
    <cellStyle name="Normal 4 2 2 6 3 4 3" xfId="20438" xr:uid="{E68A3F11-38C4-45B6-88CC-D25F4D31941D}"/>
    <cellStyle name="Normal 4 2 2 6 3 4 4" xfId="31478" xr:uid="{AACB5D2C-7A4B-4478-A26A-64EEE3A9395B}"/>
    <cellStyle name="Normal 4 2 2 6 3 4 5" xfId="39728" xr:uid="{F72B4156-833D-4D82-9186-BD433A59227D}"/>
    <cellStyle name="Normal 4 2 2 6 3 5" xfId="22967" xr:uid="{CA1C0F77-337A-42EF-8474-DCD8411C988E}"/>
    <cellStyle name="Normal 4 2 2 6 3 6" xfId="17307" xr:uid="{486464E0-6A54-41C0-8C1F-ADABFEF8FBDA}"/>
    <cellStyle name="Normal 4 2 2 6 3 7" xfId="28628" xr:uid="{167A64DD-639A-4934-8A6C-1E72E4B4B58B}"/>
    <cellStyle name="Normal 4 2 2 6 3 8" xfId="39721" xr:uid="{BE0349EC-8048-4702-B3E5-A4F4BDC820D1}"/>
    <cellStyle name="Normal 4 2 2 6 4" xfId="5690" xr:uid="{00000000-0005-0000-0000-0000311C0000}"/>
    <cellStyle name="Normal 4 2 2 6 4 2" xfId="39729" xr:uid="{50F4F33E-33E8-44EA-8FB1-A184978F8F95}"/>
    <cellStyle name="Normal 4 2 2 6 5" xfId="6617" xr:uid="{00000000-0005-0000-0000-0000321C0000}"/>
    <cellStyle name="Normal 4 2 2 6 5 2" xfId="15050" xr:uid="{00000000-0005-0000-0000-0000331C0000}"/>
    <cellStyle name="Normal 4 2 2 6 5 2 2" xfId="26944" xr:uid="{D7EA4B3E-224C-4000-BC83-50D500FBFFD7}"/>
    <cellStyle name="Normal 4 2 2 6 5 2 3" xfId="21284" xr:uid="{63EDBAA9-D639-4EF9-9298-18BF2FBD2AC1}"/>
    <cellStyle name="Normal 4 2 2 6 5 2 4" xfId="32324" xr:uid="{D8F02762-0A26-411A-A49D-31AF996E0068}"/>
    <cellStyle name="Normal 4 2 2 6 5 2 5" xfId="39731" xr:uid="{C4492398-9680-4B73-83AA-C1FC98C29B08}"/>
    <cellStyle name="Normal 4 2 2 6 5 3" xfId="24111" xr:uid="{ACE60E06-17A2-41D3-B9FF-9A0CC9C3A928}"/>
    <cellStyle name="Normal 4 2 2 6 5 4" xfId="18451" xr:uid="{23B985BE-4FBC-4ABA-8612-F296E855737A}"/>
    <cellStyle name="Normal 4 2 2 6 5 5" xfId="29772" xr:uid="{CCD646B7-EEA2-4E2D-A8C3-33A4A4B2558C}"/>
    <cellStyle name="Normal 4 2 2 6 5 6" xfId="39730" xr:uid="{E93BABA0-FA1C-4FEF-BC43-96B30CDB24FC}"/>
    <cellStyle name="Normal 4 2 2 6 6" xfId="8012" xr:uid="{00000000-0005-0000-0000-0000341C0000}"/>
    <cellStyle name="Normal 4 2 2 6 6 2" xfId="25491" xr:uid="{67B65FAA-D129-4059-B3EF-B5B9A1CE5E90}"/>
    <cellStyle name="Normal 4 2 2 6 6 3" xfId="19831" xr:uid="{52AA709F-5338-4D96-A0CB-0BFB22A05A45}"/>
    <cellStyle name="Normal 4 2 2 6 6 4" xfId="31152" xr:uid="{5F46C72F-29D2-4959-B1C0-BA29BEA03B9C}"/>
    <cellStyle name="Normal 4 2 2 6 6 5" xfId="39732" xr:uid="{959885B3-359B-48E2-895E-EE24BF90A337}"/>
    <cellStyle name="Normal 4 2 2 6 7" xfId="22549" xr:uid="{ECDB4567-5F96-43D2-B298-4B302A84A760}"/>
    <cellStyle name="Normal 4 2 2 6 8" xfId="16889" xr:uid="{69547EDD-21C8-486D-B18F-E82CF5CCC8F3}"/>
    <cellStyle name="Normal 4 2 2 6 9" xfId="28210" xr:uid="{EA8B4126-455C-43BC-BAA5-516B7575E14A}"/>
    <cellStyle name="Normal 4 2 2 7" xfId="4262" xr:uid="{00000000-0005-0000-0000-0000351C0000}"/>
    <cellStyle name="Normal 4 2 2 7 10" xfId="39733" xr:uid="{AF3213A8-CBB1-440B-B35C-362B5B947453}"/>
    <cellStyle name="Normal 4 2 2 7 2" xfId="4963" xr:uid="{00000000-0005-0000-0000-0000361C0000}"/>
    <cellStyle name="Normal 4 2 2 7 2 2" xfId="5382" xr:uid="{00000000-0005-0000-0000-0000371C0000}"/>
    <cellStyle name="Normal 4 2 2 7 2 2 2" xfId="7245" xr:uid="{00000000-0005-0000-0000-0000381C0000}"/>
    <cellStyle name="Normal 4 2 2 7 2 2 2 2" xfId="15678" xr:uid="{00000000-0005-0000-0000-0000391C0000}"/>
    <cellStyle name="Normal 4 2 2 7 2 2 2 2 2" xfId="27572" xr:uid="{3D0ABADF-5EB2-4CC0-B95A-C8F899F124F1}"/>
    <cellStyle name="Normal 4 2 2 7 2 2 2 2 3" xfId="21912" xr:uid="{30C2C673-7A28-4611-A385-AF9BABBE0F58}"/>
    <cellStyle name="Normal 4 2 2 7 2 2 2 2 4" xfId="32952" xr:uid="{ED88989A-E9B4-4987-8CC9-1D531C5A9AAF}"/>
    <cellStyle name="Normal 4 2 2 7 2 2 2 2 5" xfId="39737" xr:uid="{B9157D8C-B0A2-49AB-9591-A5474B097EE2}"/>
    <cellStyle name="Normal 4 2 2 7 2 2 2 3" xfId="24739" xr:uid="{1E7F2AE2-C7DF-4502-9F62-8F334D7C6861}"/>
    <cellStyle name="Normal 4 2 2 7 2 2 2 4" xfId="19079" xr:uid="{6F3B20B0-D0F6-44DC-A14C-D6BC835D1AF3}"/>
    <cellStyle name="Normal 4 2 2 7 2 2 2 5" xfId="30400" xr:uid="{49D65CD2-1D5F-4E8C-AA93-DAA810B61F1C}"/>
    <cellStyle name="Normal 4 2 2 7 2 2 2 6" xfId="39736" xr:uid="{8F1C9F30-3D23-424C-A7F7-16EBA8B2388E}"/>
    <cellStyle name="Normal 4 2 2 7 2 2 3" xfId="14268" xr:uid="{00000000-0005-0000-0000-00003A1C0000}"/>
    <cellStyle name="Normal 4 2 2 7 2 2 3 2" xfId="26307" xr:uid="{8A72966B-62ED-4F0D-B3CF-2C98A70774BF}"/>
    <cellStyle name="Normal 4 2 2 7 2 2 3 3" xfId="20647" xr:uid="{CE2335CA-0B77-4125-818C-91FB9B5B2847}"/>
    <cellStyle name="Normal 4 2 2 7 2 2 3 4" xfId="31687" xr:uid="{0CA7879F-BA7E-4774-8F84-ADDF06BA575F}"/>
    <cellStyle name="Normal 4 2 2 7 2 2 3 5" xfId="39738" xr:uid="{C265AD9B-18B8-48D5-BE59-9F5464F07B2C}"/>
    <cellStyle name="Normal 4 2 2 7 2 2 4" xfId="23177" xr:uid="{EEAB8C09-BE80-4AA2-8C63-B4506FB8FA8F}"/>
    <cellStyle name="Normal 4 2 2 7 2 2 5" xfId="17517" xr:uid="{1C070F5A-488F-4553-B4FF-183ADDF63BBC}"/>
    <cellStyle name="Normal 4 2 2 7 2 2 6" xfId="28838" xr:uid="{DB58158D-377D-4159-9F6E-4774DF698FA1}"/>
    <cellStyle name="Normal 4 2 2 7 2 2 7" xfId="39735" xr:uid="{9DE51533-FEFB-4BFE-A65F-58B2266FC415}"/>
    <cellStyle name="Normal 4 2 2 7 2 3" xfId="6243" xr:uid="{00000000-0005-0000-0000-00003B1C0000}"/>
    <cellStyle name="Normal 4 2 2 7 2 3 2" xfId="7573" xr:uid="{00000000-0005-0000-0000-00003C1C0000}"/>
    <cellStyle name="Normal 4 2 2 7 2 3 2 2" xfId="16006" xr:uid="{00000000-0005-0000-0000-00003D1C0000}"/>
    <cellStyle name="Normal 4 2 2 7 2 3 2 2 2" xfId="27900" xr:uid="{39121070-8BBA-4DD1-92F6-B6A767165A23}"/>
    <cellStyle name="Normal 4 2 2 7 2 3 2 2 3" xfId="22240" xr:uid="{0CEAC503-E05A-4D59-99E5-50EBCAFAA775}"/>
    <cellStyle name="Normal 4 2 2 7 2 3 2 2 4" xfId="33280" xr:uid="{0DE2D869-A14D-46F7-8828-6017BC546827}"/>
    <cellStyle name="Normal 4 2 2 7 2 3 2 2 5" xfId="39741" xr:uid="{1A009428-5E25-4300-B04B-6B4E2727D7AF}"/>
    <cellStyle name="Normal 4 2 2 7 2 3 2 3" xfId="25067" xr:uid="{0503AB39-358C-4BEB-A10C-D581A5FF75D0}"/>
    <cellStyle name="Normal 4 2 2 7 2 3 2 4" xfId="19407" xr:uid="{05FDCC9E-B2EE-42BF-BC76-EDC25858081A}"/>
    <cellStyle name="Normal 4 2 2 7 2 3 2 5" xfId="30728" xr:uid="{69F5B90F-2119-4565-8110-B07D3DBCA5E1}"/>
    <cellStyle name="Normal 4 2 2 7 2 3 2 6" xfId="39740" xr:uid="{5BF93FB0-EB9D-4089-A0FF-0EF496D5DEE9}"/>
    <cellStyle name="Normal 4 2 2 7 2 3 3" xfId="14688" xr:uid="{00000000-0005-0000-0000-00003E1C0000}"/>
    <cellStyle name="Normal 4 2 2 7 2 3 3 2" xfId="26644" xr:uid="{A4487564-22D2-48EA-9900-05D2CDEA7B6D}"/>
    <cellStyle name="Normal 4 2 2 7 2 3 3 3" xfId="20984" xr:uid="{0B02AD49-9768-4108-91F5-9CA5FABAAC67}"/>
    <cellStyle name="Normal 4 2 2 7 2 3 3 4" xfId="32024" xr:uid="{03152284-AB41-4725-AFE7-6881E3450C50}"/>
    <cellStyle name="Normal 4 2 2 7 2 3 3 5" xfId="39742" xr:uid="{E668A888-006F-46AA-8504-68E793D3847C}"/>
    <cellStyle name="Normal 4 2 2 7 2 3 4" xfId="23811" xr:uid="{01AC35E8-147F-4DAC-ACD6-A9005D9FE43A}"/>
    <cellStyle name="Normal 4 2 2 7 2 3 5" xfId="18151" xr:uid="{5936F744-D470-45C2-B1FB-A4C37DBAD197}"/>
    <cellStyle name="Normal 4 2 2 7 2 3 6" xfId="29472" xr:uid="{83918DBB-4FCA-4E65-B887-DF5DFE8089BC}"/>
    <cellStyle name="Normal 4 2 2 7 2 3 7" xfId="39739" xr:uid="{4DE99A9E-8BEA-4B78-AE5A-2C06536F8265}"/>
    <cellStyle name="Normal 4 2 2 7 2 4" xfId="6827" xr:uid="{00000000-0005-0000-0000-00003F1C0000}"/>
    <cellStyle name="Normal 4 2 2 7 2 4 2" xfId="15260" xr:uid="{00000000-0005-0000-0000-0000401C0000}"/>
    <cellStyle name="Normal 4 2 2 7 2 4 2 2" xfId="27154" xr:uid="{BF658D1A-E357-4DE8-AB46-11D37A73F411}"/>
    <cellStyle name="Normal 4 2 2 7 2 4 2 3" xfId="21494" xr:uid="{481E424A-A1A5-4677-A886-47A177B936F3}"/>
    <cellStyle name="Normal 4 2 2 7 2 4 2 4" xfId="32534" xr:uid="{1F34EE51-DB4B-4846-B1FE-0FE44E4D1514}"/>
    <cellStyle name="Normal 4 2 2 7 2 4 2 5" xfId="39744" xr:uid="{352D7E2D-416A-4DD2-B217-6F435864E8C7}"/>
    <cellStyle name="Normal 4 2 2 7 2 4 3" xfId="24321" xr:uid="{CCA5EF86-21AE-4A12-9E87-58D796C4A603}"/>
    <cellStyle name="Normal 4 2 2 7 2 4 4" xfId="18661" xr:uid="{E015523F-57C7-4A40-84A1-C690D4C0C505}"/>
    <cellStyle name="Normal 4 2 2 7 2 4 5" xfId="29982" xr:uid="{CA2C910D-41E3-477E-B026-51ACCF2B9FF3}"/>
    <cellStyle name="Normal 4 2 2 7 2 4 6" xfId="39743" xr:uid="{3D31927E-A6FD-4490-861D-D41F200C1546}"/>
    <cellStyle name="Normal 4 2 2 7 2 5" xfId="8015" xr:uid="{00000000-0005-0000-0000-0000411C0000}"/>
    <cellStyle name="Normal 4 2 2 7 2 5 2" xfId="25494" xr:uid="{B19E5429-CA6E-4DAD-93CD-C6A49F8B49E0}"/>
    <cellStyle name="Normal 4 2 2 7 2 5 3" xfId="19834" xr:uid="{E5CD3B1B-6F57-4F0F-9518-248B81260A2A}"/>
    <cellStyle name="Normal 4 2 2 7 2 5 4" xfId="31155" xr:uid="{1A5D839C-A67B-44D9-BD68-D54A95C01DFC}"/>
    <cellStyle name="Normal 4 2 2 7 2 5 5" xfId="39745" xr:uid="{32570BDB-69DB-41E3-8D61-CE23E6E13C5F}"/>
    <cellStyle name="Normal 4 2 2 7 2 6" xfId="22759" xr:uid="{14DA79D2-F0D6-4290-A51F-D0813F3BBCB7}"/>
    <cellStyle name="Normal 4 2 2 7 2 7" xfId="17099" xr:uid="{0EDFC192-05E2-42A2-9282-5378559CA1E4}"/>
    <cellStyle name="Normal 4 2 2 7 2 8" xfId="28420" xr:uid="{4B049876-0ABB-4891-9F43-381EAACA4B73}"/>
    <cellStyle name="Normal 4 2 2 7 2 9" xfId="39734" xr:uid="{C38C6FB0-B91E-4761-9DAE-11B2713CCF3D}"/>
    <cellStyle name="Normal 4 2 2 7 3" xfId="5173" xr:uid="{00000000-0005-0000-0000-0000421C0000}"/>
    <cellStyle name="Normal 4 2 2 7 3 2" xfId="6242" xr:uid="{00000000-0005-0000-0000-0000431C0000}"/>
    <cellStyle name="Normal 4 2 2 7 3 2 2" xfId="7572" xr:uid="{00000000-0005-0000-0000-0000441C0000}"/>
    <cellStyle name="Normal 4 2 2 7 3 2 2 2" xfId="16005" xr:uid="{00000000-0005-0000-0000-0000451C0000}"/>
    <cellStyle name="Normal 4 2 2 7 3 2 2 2 2" xfId="27899" xr:uid="{8A600447-3AB0-45E0-82C0-90170FD9D8FF}"/>
    <cellStyle name="Normal 4 2 2 7 3 2 2 2 3" xfId="22239" xr:uid="{A1F25DAF-2FF1-430B-BC0C-26D38E0F0CEB}"/>
    <cellStyle name="Normal 4 2 2 7 3 2 2 2 4" xfId="33279" xr:uid="{7F4BDDDC-9976-470D-956A-A199EEBAC4E0}"/>
    <cellStyle name="Normal 4 2 2 7 3 2 2 2 5" xfId="39749" xr:uid="{AA5765A1-8266-4146-B2E3-9714E58E894F}"/>
    <cellStyle name="Normal 4 2 2 7 3 2 2 3" xfId="25066" xr:uid="{CF912526-71CC-4A83-AAFE-2D1072C90800}"/>
    <cellStyle name="Normal 4 2 2 7 3 2 2 4" xfId="19406" xr:uid="{2B267B48-5CB9-4512-B1CF-323DEB43C399}"/>
    <cellStyle name="Normal 4 2 2 7 3 2 2 5" xfId="30727" xr:uid="{36FE7E6A-087B-4461-AA67-A5F7B604518C}"/>
    <cellStyle name="Normal 4 2 2 7 3 2 2 6" xfId="39748" xr:uid="{D2AA67D5-3823-4AFA-AA27-4C66F856BE38}"/>
    <cellStyle name="Normal 4 2 2 7 3 2 3" xfId="14687" xr:uid="{00000000-0005-0000-0000-0000461C0000}"/>
    <cellStyle name="Normal 4 2 2 7 3 2 3 2" xfId="26643" xr:uid="{367CF83B-21E7-4D31-842D-4C78271533D5}"/>
    <cellStyle name="Normal 4 2 2 7 3 2 3 3" xfId="20983" xr:uid="{64B4D130-6C8A-4A3A-97BE-327C6EA09A2E}"/>
    <cellStyle name="Normal 4 2 2 7 3 2 3 4" xfId="32023" xr:uid="{B70E36B5-5BC2-46A8-BC79-3CD0D6CD9BCD}"/>
    <cellStyle name="Normal 4 2 2 7 3 2 3 5" xfId="39750" xr:uid="{5C7A30D9-ACD2-4803-97DA-90689657A620}"/>
    <cellStyle name="Normal 4 2 2 7 3 2 4" xfId="23810" xr:uid="{C036A826-2716-4E7B-B689-D26AC0A55B16}"/>
    <cellStyle name="Normal 4 2 2 7 3 2 5" xfId="18150" xr:uid="{04CA0719-1C47-4EDE-B317-322CC2ADB2C9}"/>
    <cellStyle name="Normal 4 2 2 7 3 2 6" xfId="29471" xr:uid="{5FDB783B-591A-4359-BC56-F75F26A4485B}"/>
    <cellStyle name="Normal 4 2 2 7 3 2 7" xfId="39747" xr:uid="{D7EA944D-C7B0-4BA7-B9EE-A1C7ECC88D2C}"/>
    <cellStyle name="Normal 4 2 2 7 3 3" xfId="7036" xr:uid="{00000000-0005-0000-0000-0000471C0000}"/>
    <cellStyle name="Normal 4 2 2 7 3 3 2" xfId="15469" xr:uid="{00000000-0005-0000-0000-0000481C0000}"/>
    <cellStyle name="Normal 4 2 2 7 3 3 2 2" xfId="27363" xr:uid="{55CB5BBE-19B9-4468-875B-C96112DCA2D5}"/>
    <cellStyle name="Normal 4 2 2 7 3 3 2 3" xfId="21703" xr:uid="{2B7E47EF-3AD4-4756-B9AC-781344411DE7}"/>
    <cellStyle name="Normal 4 2 2 7 3 3 2 4" xfId="32743" xr:uid="{B0CB0880-CADD-44F7-A3D2-92BD6F802A4B}"/>
    <cellStyle name="Normal 4 2 2 7 3 3 2 5" xfId="39752" xr:uid="{673CE9C8-6CBD-4ED2-85D5-8138411F8216}"/>
    <cellStyle name="Normal 4 2 2 7 3 3 3" xfId="24530" xr:uid="{26C760BC-1E35-445E-A9D9-2CFAC8246516}"/>
    <cellStyle name="Normal 4 2 2 7 3 3 4" xfId="18870" xr:uid="{0002B0C3-052A-44E1-988E-0AE1D1E26E46}"/>
    <cellStyle name="Normal 4 2 2 7 3 3 5" xfId="30191" xr:uid="{7704326A-FC94-4807-8752-A8709ED49ECE}"/>
    <cellStyle name="Normal 4 2 2 7 3 3 6" xfId="39751" xr:uid="{9694D31D-58DE-435A-83DF-A958A6EA245F}"/>
    <cellStyle name="Normal 4 2 2 7 3 4" xfId="14060" xr:uid="{00000000-0005-0000-0000-0000491C0000}"/>
    <cellStyle name="Normal 4 2 2 7 3 4 2" xfId="26099" xr:uid="{334FB3E1-C8C7-4A51-AE85-8863FBF62294}"/>
    <cellStyle name="Normal 4 2 2 7 3 4 3" xfId="20439" xr:uid="{36D9B864-E572-4AA7-B169-3065DF09162D}"/>
    <cellStyle name="Normal 4 2 2 7 3 4 4" xfId="31479" xr:uid="{F7FEABD3-DBF8-4BD3-A466-20D5F07B61B7}"/>
    <cellStyle name="Normal 4 2 2 7 3 4 5" xfId="39753" xr:uid="{293CC536-76CF-43AE-A74E-580F8092963C}"/>
    <cellStyle name="Normal 4 2 2 7 3 5" xfId="22968" xr:uid="{7EEEA905-DC7B-4D6B-943B-61FCFF853133}"/>
    <cellStyle name="Normal 4 2 2 7 3 6" xfId="17308" xr:uid="{2A6BF11D-50ED-485F-B4CB-A5E1FB0FA91E}"/>
    <cellStyle name="Normal 4 2 2 7 3 7" xfId="28629" xr:uid="{61822ED2-05DD-47B4-84D4-5EADB362CA7F}"/>
    <cellStyle name="Normal 4 2 2 7 3 8" xfId="39746" xr:uid="{1D773458-70A9-44CD-A84F-CB6DDC099C9B}"/>
    <cellStyle name="Normal 4 2 2 7 4" xfId="5691" xr:uid="{00000000-0005-0000-0000-00004A1C0000}"/>
    <cellStyle name="Normal 4 2 2 7 4 2" xfId="39754" xr:uid="{E50EA9F6-9B99-4218-980F-E25DB0BCAE2F}"/>
    <cellStyle name="Normal 4 2 2 7 5" xfId="6618" xr:uid="{00000000-0005-0000-0000-00004B1C0000}"/>
    <cellStyle name="Normal 4 2 2 7 5 2" xfId="15051" xr:uid="{00000000-0005-0000-0000-00004C1C0000}"/>
    <cellStyle name="Normal 4 2 2 7 5 2 2" xfId="26945" xr:uid="{DF1D5DFD-9955-468A-A02E-ABAEB92B1574}"/>
    <cellStyle name="Normal 4 2 2 7 5 2 3" xfId="21285" xr:uid="{D072C7A8-23EF-44A8-887A-509ECF3D820E}"/>
    <cellStyle name="Normal 4 2 2 7 5 2 4" xfId="32325" xr:uid="{320997B4-C2D4-4EF5-A0C8-C106073FE24D}"/>
    <cellStyle name="Normal 4 2 2 7 5 2 5" xfId="39756" xr:uid="{13F54B78-6A7F-4A0E-B147-47B33DE38A05}"/>
    <cellStyle name="Normal 4 2 2 7 5 3" xfId="24112" xr:uid="{0D50D736-AD6D-47AB-8F91-B0DF438010C5}"/>
    <cellStyle name="Normal 4 2 2 7 5 4" xfId="18452" xr:uid="{1C76C704-649E-4CFF-8392-C90D46BB4C2C}"/>
    <cellStyle name="Normal 4 2 2 7 5 5" xfId="29773" xr:uid="{254E7631-BEF1-4E27-86BE-9A1D028BF942}"/>
    <cellStyle name="Normal 4 2 2 7 5 6" xfId="39755" xr:uid="{CF2518D1-B79E-4EBF-AADB-66A633D679F6}"/>
    <cellStyle name="Normal 4 2 2 7 6" xfId="8014" xr:uid="{00000000-0005-0000-0000-00004D1C0000}"/>
    <cellStyle name="Normal 4 2 2 7 6 2" xfId="25493" xr:uid="{E3DC4245-F53E-4FEB-96C9-257573A7A3F6}"/>
    <cellStyle name="Normal 4 2 2 7 6 3" xfId="19833" xr:uid="{B4A1FA44-79D7-4A0E-A49F-C39AC0C40F71}"/>
    <cellStyle name="Normal 4 2 2 7 6 4" xfId="31154" xr:uid="{BD3962D6-95EF-4E11-93BA-E851371D09C0}"/>
    <cellStyle name="Normal 4 2 2 7 6 5" xfId="39757" xr:uid="{8065DA17-6CB6-43C5-807E-E28E368F6573}"/>
    <cellStyle name="Normal 4 2 2 7 7" xfId="22550" xr:uid="{55CC507F-4243-467F-AFA5-407CDD84E259}"/>
    <cellStyle name="Normal 4 2 2 7 8" xfId="16890" xr:uid="{1574315D-B3EE-4ECF-8649-F9FAE11B98C9}"/>
    <cellStyle name="Normal 4 2 2 7 9" xfId="28211" xr:uid="{273DBC9F-307A-4BD9-A2D1-1CF911D4A31E}"/>
    <cellStyle name="Normal 4 2 2 8" xfId="4263" xr:uid="{00000000-0005-0000-0000-00004E1C0000}"/>
    <cellStyle name="Normal 4 2 2 8 10" xfId="39758" xr:uid="{52F2D377-939D-4653-8DFF-5EC02BDE8624}"/>
    <cellStyle name="Normal 4 2 2 8 2" xfId="4964" xr:uid="{00000000-0005-0000-0000-00004F1C0000}"/>
    <cellStyle name="Normal 4 2 2 8 2 2" xfId="5383" xr:uid="{00000000-0005-0000-0000-0000501C0000}"/>
    <cellStyle name="Normal 4 2 2 8 2 2 2" xfId="7246" xr:uid="{00000000-0005-0000-0000-0000511C0000}"/>
    <cellStyle name="Normal 4 2 2 8 2 2 2 2" xfId="15679" xr:uid="{00000000-0005-0000-0000-0000521C0000}"/>
    <cellStyle name="Normal 4 2 2 8 2 2 2 2 2" xfId="27573" xr:uid="{7D27C0D8-355F-4057-9FAB-7BBA7BDE0D59}"/>
    <cellStyle name="Normal 4 2 2 8 2 2 2 2 3" xfId="21913" xr:uid="{9AF2BF48-9070-477C-81E3-8182469D29EE}"/>
    <cellStyle name="Normal 4 2 2 8 2 2 2 2 4" xfId="32953" xr:uid="{DFD20B79-D97A-475D-8B64-7BEFEB702E3B}"/>
    <cellStyle name="Normal 4 2 2 8 2 2 2 2 5" xfId="39762" xr:uid="{A9174689-8C0A-4CE9-9D0D-2F323B93E20F}"/>
    <cellStyle name="Normal 4 2 2 8 2 2 2 3" xfId="24740" xr:uid="{6530D77B-CDCD-48B4-936E-9AD23DF5797A}"/>
    <cellStyle name="Normal 4 2 2 8 2 2 2 4" xfId="19080" xr:uid="{5DDAAC43-50BE-44FD-8248-A4A9E05C5E03}"/>
    <cellStyle name="Normal 4 2 2 8 2 2 2 5" xfId="30401" xr:uid="{F75B3F40-E63A-4BCD-8B28-D05874C87627}"/>
    <cellStyle name="Normal 4 2 2 8 2 2 2 6" xfId="39761" xr:uid="{7543E5EB-6ED0-41C0-A3FD-3285BF64ABCA}"/>
    <cellStyle name="Normal 4 2 2 8 2 2 3" xfId="14269" xr:uid="{00000000-0005-0000-0000-0000531C0000}"/>
    <cellStyle name="Normal 4 2 2 8 2 2 3 2" xfId="26308" xr:uid="{9DEE3F01-5DE7-4995-BC2F-E22CCBC24586}"/>
    <cellStyle name="Normal 4 2 2 8 2 2 3 3" xfId="20648" xr:uid="{26EDD3C8-B9CE-496B-8475-16E0DF275A03}"/>
    <cellStyle name="Normal 4 2 2 8 2 2 3 4" xfId="31688" xr:uid="{752BA3A8-2434-4D52-9412-278BEBAF2915}"/>
    <cellStyle name="Normal 4 2 2 8 2 2 3 5" xfId="39763" xr:uid="{23DC9BEF-F425-45BA-B5D8-155094276D52}"/>
    <cellStyle name="Normal 4 2 2 8 2 2 4" xfId="23178" xr:uid="{5B07F029-35D2-4C1C-B1A0-95776C24180B}"/>
    <cellStyle name="Normal 4 2 2 8 2 2 5" xfId="17518" xr:uid="{51EA55D1-56C5-45BD-8CD3-27EAFA692F3D}"/>
    <cellStyle name="Normal 4 2 2 8 2 2 6" xfId="28839" xr:uid="{ECE6B129-545B-4F64-96E4-78D4A662701F}"/>
    <cellStyle name="Normal 4 2 2 8 2 2 7" xfId="39760" xr:uid="{E9F1297A-3BF9-46DD-B226-1EA91C926BAF}"/>
    <cellStyle name="Normal 4 2 2 8 2 3" xfId="6245" xr:uid="{00000000-0005-0000-0000-0000541C0000}"/>
    <cellStyle name="Normal 4 2 2 8 2 3 2" xfId="7575" xr:uid="{00000000-0005-0000-0000-0000551C0000}"/>
    <cellStyle name="Normal 4 2 2 8 2 3 2 2" xfId="16008" xr:uid="{00000000-0005-0000-0000-0000561C0000}"/>
    <cellStyle name="Normal 4 2 2 8 2 3 2 2 2" xfId="27902" xr:uid="{BF831EF1-3DAB-4E5A-AA8F-B4D15B086FBB}"/>
    <cellStyle name="Normal 4 2 2 8 2 3 2 2 3" xfId="22242" xr:uid="{4A81A42E-62B5-4F30-9C1B-413D776BC320}"/>
    <cellStyle name="Normal 4 2 2 8 2 3 2 2 4" xfId="33282" xr:uid="{0F2A1D4D-B997-41E4-8AD8-6A8F323B1184}"/>
    <cellStyle name="Normal 4 2 2 8 2 3 2 2 5" xfId="39766" xr:uid="{F349FD76-D266-40A8-8FE0-0CE3500E9745}"/>
    <cellStyle name="Normal 4 2 2 8 2 3 2 3" xfId="25069" xr:uid="{4ECB69B9-E221-4610-B66C-10DD4C22A2C1}"/>
    <cellStyle name="Normal 4 2 2 8 2 3 2 4" xfId="19409" xr:uid="{AA756172-0F56-4147-B0B2-D97CB75200E6}"/>
    <cellStyle name="Normal 4 2 2 8 2 3 2 5" xfId="30730" xr:uid="{3B30C62A-B9A9-46DD-8FE9-503D82DA1E0A}"/>
    <cellStyle name="Normal 4 2 2 8 2 3 2 6" xfId="39765" xr:uid="{42238EB1-BD1B-46A0-9396-A8C5F0F34EC4}"/>
    <cellStyle name="Normal 4 2 2 8 2 3 3" xfId="14690" xr:uid="{00000000-0005-0000-0000-0000571C0000}"/>
    <cellStyle name="Normal 4 2 2 8 2 3 3 2" xfId="26646" xr:uid="{9E00CEBF-2D16-455B-AE38-CA3C8CBC8B8C}"/>
    <cellStyle name="Normal 4 2 2 8 2 3 3 3" xfId="20986" xr:uid="{043012A6-165B-4705-9C94-22EF5F3A40EF}"/>
    <cellStyle name="Normal 4 2 2 8 2 3 3 4" xfId="32026" xr:uid="{A7D66CEC-6F7D-4B7D-92D8-70AE852CF8FC}"/>
    <cellStyle name="Normal 4 2 2 8 2 3 3 5" xfId="39767" xr:uid="{8BEF5862-F46E-4159-AC94-E910B6D044F5}"/>
    <cellStyle name="Normal 4 2 2 8 2 3 4" xfId="23813" xr:uid="{65F3E6CC-CC28-4763-B755-B020165F01CA}"/>
    <cellStyle name="Normal 4 2 2 8 2 3 5" xfId="18153" xr:uid="{163678A5-102B-4116-8853-9BDD20FB9061}"/>
    <cellStyle name="Normal 4 2 2 8 2 3 6" xfId="29474" xr:uid="{ADD1034E-5EB7-4D91-AF8A-79889C0A1565}"/>
    <cellStyle name="Normal 4 2 2 8 2 3 7" xfId="39764" xr:uid="{866A7A91-F87F-406A-B874-086C44178A58}"/>
    <cellStyle name="Normal 4 2 2 8 2 4" xfId="6828" xr:uid="{00000000-0005-0000-0000-0000581C0000}"/>
    <cellStyle name="Normal 4 2 2 8 2 4 2" xfId="15261" xr:uid="{00000000-0005-0000-0000-0000591C0000}"/>
    <cellStyle name="Normal 4 2 2 8 2 4 2 2" xfId="27155" xr:uid="{9162F3FE-E3AF-4329-8E7A-E7372FDFB11F}"/>
    <cellStyle name="Normal 4 2 2 8 2 4 2 3" xfId="21495" xr:uid="{5CB871AA-B895-45FE-B442-70CA6C4DF779}"/>
    <cellStyle name="Normal 4 2 2 8 2 4 2 4" xfId="32535" xr:uid="{0DC2316F-D6CA-43CB-9947-A314D30C92BA}"/>
    <cellStyle name="Normal 4 2 2 8 2 4 2 5" xfId="39769" xr:uid="{37BDD0DC-3827-450A-9CCC-D77A01A22359}"/>
    <cellStyle name="Normal 4 2 2 8 2 4 3" xfId="24322" xr:uid="{B2F76B06-A320-45B6-A5AD-20AFBA9BD589}"/>
    <cellStyle name="Normal 4 2 2 8 2 4 4" xfId="18662" xr:uid="{27F9E387-5503-4DD4-8F71-441E9B387682}"/>
    <cellStyle name="Normal 4 2 2 8 2 4 5" xfId="29983" xr:uid="{7414ADE8-BE77-4999-9A7A-21F6A0F3E456}"/>
    <cellStyle name="Normal 4 2 2 8 2 4 6" xfId="39768" xr:uid="{72596192-DCC3-4FA9-879C-A296105443A8}"/>
    <cellStyle name="Normal 4 2 2 8 2 5" xfId="8017" xr:uid="{00000000-0005-0000-0000-00005A1C0000}"/>
    <cellStyle name="Normal 4 2 2 8 2 5 2" xfId="25496" xr:uid="{1E4FC83E-2579-4583-BBA7-889A0689524E}"/>
    <cellStyle name="Normal 4 2 2 8 2 5 3" xfId="19836" xr:uid="{309EF296-D96E-40BF-8779-3CBB03DFA81D}"/>
    <cellStyle name="Normal 4 2 2 8 2 5 4" xfId="31157" xr:uid="{97104716-D33E-474F-8EFF-C465EB83C328}"/>
    <cellStyle name="Normal 4 2 2 8 2 5 5" xfId="39770" xr:uid="{5C0C1DF8-2FF2-4ECA-852A-164DBD06D49E}"/>
    <cellStyle name="Normal 4 2 2 8 2 6" xfId="22760" xr:uid="{F634BA14-0BDF-4D50-A69F-7D6463A637E0}"/>
    <cellStyle name="Normal 4 2 2 8 2 7" xfId="17100" xr:uid="{B202F01B-E365-4EF9-90ED-A91B8D8E8803}"/>
    <cellStyle name="Normal 4 2 2 8 2 8" xfId="28421" xr:uid="{504ED5BC-4C49-42F9-93B0-1FC33432DFB0}"/>
    <cellStyle name="Normal 4 2 2 8 2 9" xfId="39759" xr:uid="{E856E6BC-1C35-4414-AF55-E28808522F23}"/>
    <cellStyle name="Normal 4 2 2 8 3" xfId="5174" xr:uid="{00000000-0005-0000-0000-00005B1C0000}"/>
    <cellStyle name="Normal 4 2 2 8 3 2" xfId="6244" xr:uid="{00000000-0005-0000-0000-00005C1C0000}"/>
    <cellStyle name="Normal 4 2 2 8 3 2 2" xfId="7574" xr:uid="{00000000-0005-0000-0000-00005D1C0000}"/>
    <cellStyle name="Normal 4 2 2 8 3 2 2 2" xfId="16007" xr:uid="{00000000-0005-0000-0000-00005E1C0000}"/>
    <cellStyle name="Normal 4 2 2 8 3 2 2 2 2" xfId="27901" xr:uid="{764D33B0-079A-4C6B-90C6-CBB3C7A1CF7D}"/>
    <cellStyle name="Normal 4 2 2 8 3 2 2 2 3" xfId="22241" xr:uid="{3A2DD158-9192-4ABF-ADD2-6AE7B893D816}"/>
    <cellStyle name="Normal 4 2 2 8 3 2 2 2 4" xfId="33281" xr:uid="{8885AE6A-FA1C-409C-BEF5-16A21A42C9B2}"/>
    <cellStyle name="Normal 4 2 2 8 3 2 2 2 5" xfId="39774" xr:uid="{7A965B75-3FB7-4A90-8F96-811DDFD940B1}"/>
    <cellStyle name="Normal 4 2 2 8 3 2 2 3" xfId="25068" xr:uid="{3F901F39-99F1-47EB-87A3-60CE029E0B36}"/>
    <cellStyle name="Normal 4 2 2 8 3 2 2 4" xfId="19408" xr:uid="{9775F98F-64BB-4E43-97EB-80D3C1F8C575}"/>
    <cellStyle name="Normal 4 2 2 8 3 2 2 5" xfId="30729" xr:uid="{38B33B83-04F8-475C-AB23-874C961603B9}"/>
    <cellStyle name="Normal 4 2 2 8 3 2 2 6" xfId="39773" xr:uid="{95BD0B59-D779-4B49-B7DE-244F7302BCB4}"/>
    <cellStyle name="Normal 4 2 2 8 3 2 3" xfId="14689" xr:uid="{00000000-0005-0000-0000-00005F1C0000}"/>
    <cellStyle name="Normal 4 2 2 8 3 2 3 2" xfId="26645" xr:uid="{ADC941D2-2495-4863-BAC1-22AF572B92ED}"/>
    <cellStyle name="Normal 4 2 2 8 3 2 3 3" xfId="20985" xr:uid="{1A7DF78A-580B-4C58-B02B-8F7E1EBB2B55}"/>
    <cellStyle name="Normal 4 2 2 8 3 2 3 4" xfId="32025" xr:uid="{9A86700D-A6BC-4CD8-858B-718F0BE4525D}"/>
    <cellStyle name="Normal 4 2 2 8 3 2 3 5" xfId="39775" xr:uid="{1FBD8B48-E1A2-47ED-80FC-ED8BBDE7B0B6}"/>
    <cellStyle name="Normal 4 2 2 8 3 2 4" xfId="23812" xr:uid="{94771745-846A-442B-8BD5-C65448D52B9B}"/>
    <cellStyle name="Normal 4 2 2 8 3 2 5" xfId="18152" xr:uid="{3938828B-83C6-4E6D-90B3-11AB51C70C62}"/>
    <cellStyle name="Normal 4 2 2 8 3 2 6" xfId="29473" xr:uid="{8FEFBD64-FDAE-4432-8DE5-0AA31A715AC5}"/>
    <cellStyle name="Normal 4 2 2 8 3 2 7" xfId="39772" xr:uid="{9472C924-A3D3-4705-A80E-3C6F126C4443}"/>
    <cellStyle name="Normal 4 2 2 8 3 3" xfId="7037" xr:uid="{00000000-0005-0000-0000-0000601C0000}"/>
    <cellStyle name="Normal 4 2 2 8 3 3 2" xfId="15470" xr:uid="{00000000-0005-0000-0000-0000611C0000}"/>
    <cellStyle name="Normal 4 2 2 8 3 3 2 2" xfId="27364" xr:uid="{EDFD4CC4-342A-48B2-8835-D1CEDFBFE714}"/>
    <cellStyle name="Normal 4 2 2 8 3 3 2 3" xfId="21704" xr:uid="{6754B574-3D43-43DA-97B3-34BFA61C369F}"/>
    <cellStyle name="Normal 4 2 2 8 3 3 2 4" xfId="32744" xr:uid="{A0DBA02F-4F34-439F-A292-CE108B8028C5}"/>
    <cellStyle name="Normal 4 2 2 8 3 3 2 5" xfId="39777" xr:uid="{B2FCF4F7-73D8-46A0-BC96-B89375483D6B}"/>
    <cellStyle name="Normal 4 2 2 8 3 3 3" xfId="24531" xr:uid="{EE9899D5-5E7C-4A7C-82DC-78414A07C251}"/>
    <cellStyle name="Normal 4 2 2 8 3 3 4" xfId="18871" xr:uid="{3E5D42C4-6CFB-4FEF-9EC9-942E009A7BDB}"/>
    <cellStyle name="Normal 4 2 2 8 3 3 5" xfId="30192" xr:uid="{9C8E2F4B-2FD2-4982-9C6F-36916977DE3B}"/>
    <cellStyle name="Normal 4 2 2 8 3 3 6" xfId="39776" xr:uid="{0448CEBF-C833-46AC-8997-E1109ADCC233}"/>
    <cellStyle name="Normal 4 2 2 8 3 4" xfId="14061" xr:uid="{00000000-0005-0000-0000-0000621C0000}"/>
    <cellStyle name="Normal 4 2 2 8 3 4 2" xfId="26100" xr:uid="{98B058B1-343F-46BF-95E5-B094B733B8C6}"/>
    <cellStyle name="Normal 4 2 2 8 3 4 3" xfId="20440" xr:uid="{E7C220B1-9D65-4D23-A28B-0E449F0FB9DD}"/>
    <cellStyle name="Normal 4 2 2 8 3 4 4" xfId="31480" xr:uid="{1CB9BD84-1C04-4DCC-99D5-5D3E69868ED2}"/>
    <cellStyle name="Normal 4 2 2 8 3 4 5" xfId="39778" xr:uid="{71BA2FE3-FA0A-42A3-8914-CAB6D40B49F2}"/>
    <cellStyle name="Normal 4 2 2 8 3 5" xfId="22969" xr:uid="{BCE5F343-027D-4998-9F0B-4CDCED88212E}"/>
    <cellStyle name="Normal 4 2 2 8 3 6" xfId="17309" xr:uid="{40C69359-C6CD-42B0-AE78-70CCDB92702C}"/>
    <cellStyle name="Normal 4 2 2 8 3 7" xfId="28630" xr:uid="{6DD64585-45C6-4956-BFBE-EA5CE716688D}"/>
    <cellStyle name="Normal 4 2 2 8 3 8" xfId="39771" xr:uid="{D3E9D783-6EBB-4C5D-8CD2-ABC91B5DCED3}"/>
    <cellStyle name="Normal 4 2 2 8 4" xfId="5692" xr:uid="{00000000-0005-0000-0000-0000631C0000}"/>
    <cellStyle name="Normal 4 2 2 8 4 2" xfId="39779" xr:uid="{FF0D5E65-F490-40F7-8004-C0BEEAE684AD}"/>
    <cellStyle name="Normal 4 2 2 8 5" xfId="6619" xr:uid="{00000000-0005-0000-0000-0000641C0000}"/>
    <cellStyle name="Normal 4 2 2 8 5 2" xfId="15052" xr:uid="{00000000-0005-0000-0000-0000651C0000}"/>
    <cellStyle name="Normal 4 2 2 8 5 2 2" xfId="26946" xr:uid="{CBC88BD4-76EC-4B69-BB76-6780112B2F28}"/>
    <cellStyle name="Normal 4 2 2 8 5 2 3" xfId="21286" xr:uid="{FA50F72D-5793-4FE5-BDC2-58A9FEA9350D}"/>
    <cellStyle name="Normal 4 2 2 8 5 2 4" xfId="32326" xr:uid="{A21FD29F-6F90-48CC-9346-B0C9E70205D4}"/>
    <cellStyle name="Normal 4 2 2 8 5 2 5" xfId="39781" xr:uid="{30B8D7DC-7D84-44D5-81FE-DF085443569C}"/>
    <cellStyle name="Normal 4 2 2 8 5 3" xfId="24113" xr:uid="{A8842C76-71CF-40C1-9B85-467F02BF7805}"/>
    <cellStyle name="Normal 4 2 2 8 5 4" xfId="18453" xr:uid="{B78BC34C-B6AF-4C46-A808-780AB0EE487C}"/>
    <cellStyle name="Normal 4 2 2 8 5 5" xfId="29774" xr:uid="{75815DA7-F9A0-40AC-9618-AF2439C1D424}"/>
    <cellStyle name="Normal 4 2 2 8 5 6" xfId="39780" xr:uid="{06A20E98-3C07-4E26-B429-26B854AD34DC}"/>
    <cellStyle name="Normal 4 2 2 8 6" xfId="8016" xr:uid="{00000000-0005-0000-0000-0000661C0000}"/>
    <cellStyle name="Normal 4 2 2 8 6 2" xfId="25495" xr:uid="{B7D4D576-8830-427C-85D5-665DF2148AB0}"/>
    <cellStyle name="Normal 4 2 2 8 6 3" xfId="19835" xr:uid="{02104BB3-F623-4B0D-9D6E-D7BCE64C0D66}"/>
    <cellStyle name="Normal 4 2 2 8 6 4" xfId="31156" xr:uid="{B6B1AEE0-A0C9-4160-8E48-438CF3795B2F}"/>
    <cellStyle name="Normal 4 2 2 8 6 5" xfId="39782" xr:uid="{DAED3061-323D-47AF-A2B1-55AAD8E08D40}"/>
    <cellStyle name="Normal 4 2 2 8 7" xfId="22551" xr:uid="{671AF876-AFD5-4EFC-96DE-5D3541062F99}"/>
    <cellStyle name="Normal 4 2 2 8 8" xfId="16891" xr:uid="{69E6B923-FF70-4010-983F-9423FED7EC19}"/>
    <cellStyle name="Normal 4 2 2 8 9" xfId="28212" xr:uid="{AAC847C6-0D21-4B83-9B44-E72BE22C9D92}"/>
    <cellStyle name="Normal 4 2 2 9" xfId="4264" xr:uid="{00000000-0005-0000-0000-0000671C0000}"/>
    <cellStyle name="Normal 4 2 2 9 10" xfId="39783" xr:uid="{2F76B98A-AFAE-4C43-B8B1-539FCEFCA4F9}"/>
    <cellStyle name="Normal 4 2 2 9 2" xfId="4965" xr:uid="{00000000-0005-0000-0000-0000681C0000}"/>
    <cellStyle name="Normal 4 2 2 9 2 2" xfId="5384" xr:uid="{00000000-0005-0000-0000-0000691C0000}"/>
    <cellStyle name="Normal 4 2 2 9 2 2 2" xfId="7247" xr:uid="{00000000-0005-0000-0000-00006A1C0000}"/>
    <cellStyle name="Normal 4 2 2 9 2 2 2 2" xfId="15680" xr:uid="{00000000-0005-0000-0000-00006B1C0000}"/>
    <cellStyle name="Normal 4 2 2 9 2 2 2 2 2" xfId="27574" xr:uid="{E739C1F8-090D-40FF-85FE-A6E902D6614B}"/>
    <cellStyle name="Normal 4 2 2 9 2 2 2 2 3" xfId="21914" xr:uid="{0D8BF98C-7CFF-4B3D-A5A4-D1324EE3F543}"/>
    <cellStyle name="Normal 4 2 2 9 2 2 2 2 4" xfId="32954" xr:uid="{1B9065CF-2DA5-4657-B62E-7ACC87BDA847}"/>
    <cellStyle name="Normal 4 2 2 9 2 2 2 2 5" xfId="39787" xr:uid="{492398AE-4E59-4911-A2DB-475BAE4BABDE}"/>
    <cellStyle name="Normal 4 2 2 9 2 2 2 3" xfId="24741" xr:uid="{BF492FD0-108F-4F61-89FD-ED854A0CA24C}"/>
    <cellStyle name="Normal 4 2 2 9 2 2 2 4" xfId="19081" xr:uid="{932F3745-967D-41DF-9E43-89A737A7E3EC}"/>
    <cellStyle name="Normal 4 2 2 9 2 2 2 5" xfId="30402" xr:uid="{A10A5054-DEBB-4FAB-94FD-75749FCC415F}"/>
    <cellStyle name="Normal 4 2 2 9 2 2 2 6" xfId="39786" xr:uid="{ED931508-52C5-4BE7-97CC-488429B83835}"/>
    <cellStyle name="Normal 4 2 2 9 2 2 3" xfId="14270" xr:uid="{00000000-0005-0000-0000-00006C1C0000}"/>
    <cellStyle name="Normal 4 2 2 9 2 2 3 2" xfId="26309" xr:uid="{83C803E1-B2B5-4E85-8676-018E4C138AAE}"/>
    <cellStyle name="Normal 4 2 2 9 2 2 3 3" xfId="20649" xr:uid="{A9A419AD-3D68-49DD-A18C-FE5AAE1AA014}"/>
    <cellStyle name="Normal 4 2 2 9 2 2 3 4" xfId="31689" xr:uid="{EBE8BF64-5BD5-44F2-913F-F0337D90375D}"/>
    <cellStyle name="Normal 4 2 2 9 2 2 3 5" xfId="39788" xr:uid="{1AC5F98E-8D44-410B-80F1-6CEA4B8C6890}"/>
    <cellStyle name="Normal 4 2 2 9 2 2 4" xfId="23179" xr:uid="{31871846-4B11-4C95-82ED-62C9AAB36AE4}"/>
    <cellStyle name="Normal 4 2 2 9 2 2 5" xfId="17519" xr:uid="{71B75FB1-5022-49CD-AC92-3D1952480C20}"/>
    <cellStyle name="Normal 4 2 2 9 2 2 6" xfId="28840" xr:uid="{6A1C4E6A-C932-4EE3-91FB-3CB0CDEE99D4}"/>
    <cellStyle name="Normal 4 2 2 9 2 2 7" xfId="39785" xr:uid="{A5760D1A-0C0A-4286-975A-89F133055D63}"/>
    <cellStyle name="Normal 4 2 2 9 2 3" xfId="6247" xr:uid="{00000000-0005-0000-0000-00006D1C0000}"/>
    <cellStyle name="Normal 4 2 2 9 2 3 2" xfId="7577" xr:uid="{00000000-0005-0000-0000-00006E1C0000}"/>
    <cellStyle name="Normal 4 2 2 9 2 3 2 2" xfId="16010" xr:uid="{00000000-0005-0000-0000-00006F1C0000}"/>
    <cellStyle name="Normal 4 2 2 9 2 3 2 2 2" xfId="27904" xr:uid="{7E1ED401-86B2-41E0-B151-D9759B7468C7}"/>
    <cellStyle name="Normal 4 2 2 9 2 3 2 2 3" xfId="22244" xr:uid="{D8069BC3-ED1A-4DC7-AEAF-ED53C79A3F94}"/>
    <cellStyle name="Normal 4 2 2 9 2 3 2 2 4" xfId="33284" xr:uid="{90252894-9E76-44E2-AA10-70DD67E8AB54}"/>
    <cellStyle name="Normal 4 2 2 9 2 3 2 2 5" xfId="39791" xr:uid="{1F3EE4FD-02CB-473A-84D9-A858642354A1}"/>
    <cellStyle name="Normal 4 2 2 9 2 3 2 3" xfId="25071" xr:uid="{691A304E-C57E-493B-A77B-080806AD93F0}"/>
    <cellStyle name="Normal 4 2 2 9 2 3 2 4" xfId="19411" xr:uid="{800AC7C1-1E02-43B3-8BCF-6FE9CC8DAA83}"/>
    <cellStyle name="Normal 4 2 2 9 2 3 2 5" xfId="30732" xr:uid="{ED02782F-F3FF-4D6E-8208-E4B84A238210}"/>
    <cellStyle name="Normal 4 2 2 9 2 3 2 6" xfId="39790" xr:uid="{8C4D79E1-E038-41AC-99F8-F2F797D37155}"/>
    <cellStyle name="Normal 4 2 2 9 2 3 3" xfId="14692" xr:uid="{00000000-0005-0000-0000-0000701C0000}"/>
    <cellStyle name="Normal 4 2 2 9 2 3 3 2" xfId="26648" xr:uid="{8115109E-9213-48BB-9685-4640422F9E37}"/>
    <cellStyle name="Normal 4 2 2 9 2 3 3 3" xfId="20988" xr:uid="{BC49428E-9611-4002-9782-33795F36FC4D}"/>
    <cellStyle name="Normal 4 2 2 9 2 3 3 4" xfId="32028" xr:uid="{99935E53-A712-4AE7-8C49-90DF187346CD}"/>
    <cellStyle name="Normal 4 2 2 9 2 3 3 5" xfId="39792" xr:uid="{765DF2DD-3095-47B5-8AAC-827F0E16D6FF}"/>
    <cellStyle name="Normal 4 2 2 9 2 3 4" xfId="23815" xr:uid="{5F2C1CEA-ED09-44CC-B0A6-83E50DD1C875}"/>
    <cellStyle name="Normal 4 2 2 9 2 3 5" xfId="18155" xr:uid="{7045AFD7-D1A1-46B6-96E4-87389E36B1E5}"/>
    <cellStyle name="Normal 4 2 2 9 2 3 6" xfId="29476" xr:uid="{E4C9C397-1158-469F-97C2-C6B63183FCC2}"/>
    <cellStyle name="Normal 4 2 2 9 2 3 7" xfId="39789" xr:uid="{1696F5D2-9962-49F3-9BB4-8CA69C0F1444}"/>
    <cellStyle name="Normal 4 2 2 9 2 4" xfId="6829" xr:uid="{00000000-0005-0000-0000-0000711C0000}"/>
    <cellStyle name="Normal 4 2 2 9 2 4 2" xfId="15262" xr:uid="{00000000-0005-0000-0000-0000721C0000}"/>
    <cellStyle name="Normal 4 2 2 9 2 4 2 2" xfId="27156" xr:uid="{9A7F178B-30AA-45CD-9CE3-AE788C4FD253}"/>
    <cellStyle name="Normal 4 2 2 9 2 4 2 3" xfId="21496" xr:uid="{D4463A2F-2372-48A9-951B-52B0350C7AA0}"/>
    <cellStyle name="Normal 4 2 2 9 2 4 2 4" xfId="32536" xr:uid="{A83A7F08-9255-482A-84CA-A8E750266481}"/>
    <cellStyle name="Normal 4 2 2 9 2 4 2 5" xfId="39794" xr:uid="{C3E87864-E08C-477C-9FB2-3652423E1C3D}"/>
    <cellStyle name="Normal 4 2 2 9 2 4 3" xfId="24323" xr:uid="{75C13B52-20EF-4589-9C70-5AD0EDEC425A}"/>
    <cellStyle name="Normal 4 2 2 9 2 4 4" xfId="18663" xr:uid="{F0A2FC41-C2FE-4D73-B9E6-11BC58B93EE9}"/>
    <cellStyle name="Normal 4 2 2 9 2 4 5" xfId="29984" xr:uid="{27403B6E-BEBC-4516-A1FC-D75FC8626D56}"/>
    <cellStyle name="Normal 4 2 2 9 2 4 6" xfId="39793" xr:uid="{4A7D5A3D-0418-4A77-94AA-A3CA2C166295}"/>
    <cellStyle name="Normal 4 2 2 9 2 5" xfId="8019" xr:uid="{00000000-0005-0000-0000-0000731C0000}"/>
    <cellStyle name="Normal 4 2 2 9 2 5 2" xfId="25498" xr:uid="{1D75FA11-DC5E-476C-827A-BB09DF2F7892}"/>
    <cellStyle name="Normal 4 2 2 9 2 5 3" xfId="19838" xr:uid="{19749575-2696-48BE-8E16-F0D4912CC505}"/>
    <cellStyle name="Normal 4 2 2 9 2 5 4" xfId="31159" xr:uid="{472414FD-5F5C-4065-A635-A9C1E1EDE94C}"/>
    <cellStyle name="Normal 4 2 2 9 2 5 5" xfId="39795" xr:uid="{6CD0EAF7-C75F-47D9-8E6A-0218C3571C99}"/>
    <cellStyle name="Normal 4 2 2 9 2 6" xfId="22761" xr:uid="{0313FEB5-8B76-4E36-8B5A-19830BC97BB2}"/>
    <cellStyle name="Normal 4 2 2 9 2 7" xfId="17101" xr:uid="{5E398E51-D33D-4C67-8652-52A5DC2AF6B1}"/>
    <cellStyle name="Normal 4 2 2 9 2 8" xfId="28422" xr:uid="{0F4FAEB3-19F5-4E63-96DD-291144E0AD1B}"/>
    <cellStyle name="Normal 4 2 2 9 2 9" xfId="39784" xr:uid="{E8F80EF5-88AB-4E57-BFAF-03E648C360E6}"/>
    <cellStyle name="Normal 4 2 2 9 3" xfId="5175" xr:uid="{00000000-0005-0000-0000-0000741C0000}"/>
    <cellStyle name="Normal 4 2 2 9 3 2" xfId="6246" xr:uid="{00000000-0005-0000-0000-0000751C0000}"/>
    <cellStyle name="Normal 4 2 2 9 3 2 2" xfId="7576" xr:uid="{00000000-0005-0000-0000-0000761C0000}"/>
    <cellStyle name="Normal 4 2 2 9 3 2 2 2" xfId="16009" xr:uid="{00000000-0005-0000-0000-0000771C0000}"/>
    <cellStyle name="Normal 4 2 2 9 3 2 2 2 2" xfId="27903" xr:uid="{36F599F3-8844-4C7A-87D2-F89E131A41D5}"/>
    <cellStyle name="Normal 4 2 2 9 3 2 2 2 3" xfId="22243" xr:uid="{A6A06E48-7FC0-46D6-AA59-D2C533919ED9}"/>
    <cellStyle name="Normal 4 2 2 9 3 2 2 2 4" xfId="33283" xr:uid="{033285AA-FD5E-4DBC-A436-985D0B3884C0}"/>
    <cellStyle name="Normal 4 2 2 9 3 2 2 2 5" xfId="39799" xr:uid="{2DED619C-D407-4BE8-82ED-8738D43CDB1E}"/>
    <cellStyle name="Normal 4 2 2 9 3 2 2 3" xfId="25070" xr:uid="{00FEDE8A-5A2E-45B2-A848-1DB61A5455E3}"/>
    <cellStyle name="Normal 4 2 2 9 3 2 2 4" xfId="19410" xr:uid="{F3FE3B26-31D9-4AE7-89FC-E9E1A5F0F349}"/>
    <cellStyle name="Normal 4 2 2 9 3 2 2 5" xfId="30731" xr:uid="{B8E10F8E-BB32-43BF-9BFE-C6B99EE51362}"/>
    <cellStyle name="Normal 4 2 2 9 3 2 2 6" xfId="39798" xr:uid="{E08A7E83-9E14-4C28-A01A-0351A8B6FF41}"/>
    <cellStyle name="Normal 4 2 2 9 3 2 3" xfId="14691" xr:uid="{00000000-0005-0000-0000-0000781C0000}"/>
    <cellStyle name="Normal 4 2 2 9 3 2 3 2" xfId="26647" xr:uid="{58780908-E626-46F4-9644-54B882F94F77}"/>
    <cellStyle name="Normal 4 2 2 9 3 2 3 3" xfId="20987" xr:uid="{B643415F-A34B-4725-A489-1AEE8D5A0C73}"/>
    <cellStyle name="Normal 4 2 2 9 3 2 3 4" xfId="32027" xr:uid="{10D908C2-232E-4240-AFF1-CC7897703715}"/>
    <cellStyle name="Normal 4 2 2 9 3 2 3 5" xfId="39800" xr:uid="{99381AA2-D136-4FF7-A270-0539558C8C2C}"/>
    <cellStyle name="Normal 4 2 2 9 3 2 4" xfId="23814" xr:uid="{6CED7A13-280E-4FC7-A14D-59056A7F121D}"/>
    <cellStyle name="Normal 4 2 2 9 3 2 5" xfId="18154" xr:uid="{EE405762-5A35-4ECB-A103-FE68042F83C9}"/>
    <cellStyle name="Normal 4 2 2 9 3 2 6" xfId="29475" xr:uid="{FEE4F5D0-D9B2-4DB4-85C6-55C0A9BC2A55}"/>
    <cellStyle name="Normal 4 2 2 9 3 2 7" xfId="39797" xr:uid="{FC25D900-040C-46D6-9992-7CFDB73CDD01}"/>
    <cellStyle name="Normal 4 2 2 9 3 3" xfId="7038" xr:uid="{00000000-0005-0000-0000-0000791C0000}"/>
    <cellStyle name="Normal 4 2 2 9 3 3 2" xfId="15471" xr:uid="{00000000-0005-0000-0000-00007A1C0000}"/>
    <cellStyle name="Normal 4 2 2 9 3 3 2 2" xfId="27365" xr:uid="{D8BABA8A-7578-4119-AACF-8623C3197C0E}"/>
    <cellStyle name="Normal 4 2 2 9 3 3 2 3" xfId="21705" xr:uid="{8DB0B23D-A6E2-490E-A36C-E6BC9E2F9BA9}"/>
    <cellStyle name="Normal 4 2 2 9 3 3 2 4" xfId="32745" xr:uid="{1A125ED8-0E0C-4585-B1C5-8DEFD06C5A8D}"/>
    <cellStyle name="Normal 4 2 2 9 3 3 2 5" xfId="39802" xr:uid="{C189461B-DF9D-4A4A-8B0C-F9CCF6591583}"/>
    <cellStyle name="Normal 4 2 2 9 3 3 3" xfId="24532" xr:uid="{CD32A5CF-722F-4521-9E69-40F0143342E7}"/>
    <cellStyle name="Normal 4 2 2 9 3 3 4" xfId="18872" xr:uid="{46A481F8-0D33-426F-BC24-F0FBF7375835}"/>
    <cellStyle name="Normal 4 2 2 9 3 3 5" xfId="30193" xr:uid="{B8A6DA42-8A91-4E42-9D1A-7F5EB65FA40F}"/>
    <cellStyle name="Normal 4 2 2 9 3 3 6" xfId="39801" xr:uid="{28B21069-810C-4398-86DC-0532D042FC7F}"/>
    <cellStyle name="Normal 4 2 2 9 3 4" xfId="14062" xr:uid="{00000000-0005-0000-0000-00007B1C0000}"/>
    <cellStyle name="Normal 4 2 2 9 3 4 2" xfId="26101" xr:uid="{F38ACFD5-EF2B-425A-8BFB-8C606A86B019}"/>
    <cellStyle name="Normal 4 2 2 9 3 4 3" xfId="20441" xr:uid="{D6E85455-2627-4321-B883-E54A45801CC9}"/>
    <cellStyle name="Normal 4 2 2 9 3 4 4" xfId="31481" xr:uid="{C26CE89B-E551-43A1-9EE2-15B03EDF42AC}"/>
    <cellStyle name="Normal 4 2 2 9 3 4 5" xfId="39803" xr:uid="{6B010608-E5F8-42BF-AB3D-3AB2BEDD2436}"/>
    <cellStyle name="Normal 4 2 2 9 3 5" xfId="22970" xr:uid="{AAB7AFF9-1565-40F7-8810-C3C7EF3416B3}"/>
    <cellStyle name="Normal 4 2 2 9 3 6" xfId="17310" xr:uid="{2B34AC33-45DD-48FA-9209-7F8F718BB771}"/>
    <cellStyle name="Normal 4 2 2 9 3 7" xfId="28631" xr:uid="{F8A3943D-A01E-4184-B8A6-9DADF7C261AE}"/>
    <cellStyle name="Normal 4 2 2 9 3 8" xfId="39796" xr:uid="{6ECAD5A6-E30F-4419-93C8-F739598E2CD6}"/>
    <cellStyle name="Normal 4 2 2 9 4" xfId="5693" xr:uid="{00000000-0005-0000-0000-00007C1C0000}"/>
    <cellStyle name="Normal 4 2 2 9 4 2" xfId="39804" xr:uid="{2CCC6784-129B-461B-B9A2-26838263D6A6}"/>
    <cellStyle name="Normal 4 2 2 9 5" xfId="6620" xr:uid="{00000000-0005-0000-0000-00007D1C0000}"/>
    <cellStyle name="Normal 4 2 2 9 5 2" xfId="15053" xr:uid="{00000000-0005-0000-0000-00007E1C0000}"/>
    <cellStyle name="Normal 4 2 2 9 5 2 2" xfId="26947" xr:uid="{E179439B-02A0-45E4-BAA6-66CF2AFE6578}"/>
    <cellStyle name="Normal 4 2 2 9 5 2 3" xfId="21287" xr:uid="{86CE8013-8E0C-40F2-BF94-F1CC503492A8}"/>
    <cellStyle name="Normal 4 2 2 9 5 2 4" xfId="32327" xr:uid="{00409378-298E-4E02-A5FC-AA10D7D06D30}"/>
    <cellStyle name="Normal 4 2 2 9 5 2 5" xfId="39806" xr:uid="{F84C90FE-8B03-4E87-BFD9-9FED650B3DC6}"/>
    <cellStyle name="Normal 4 2 2 9 5 3" xfId="24114" xr:uid="{8DB15F09-04BF-48F2-B156-E6E0207203F1}"/>
    <cellStyle name="Normal 4 2 2 9 5 4" xfId="18454" xr:uid="{88929A64-527C-492A-8516-6F64CA988EE4}"/>
    <cellStyle name="Normal 4 2 2 9 5 5" xfId="29775" xr:uid="{97442AB7-3332-4F3B-8F72-1C47D61B58A9}"/>
    <cellStyle name="Normal 4 2 2 9 5 6" xfId="39805" xr:uid="{D4CE8771-F422-40F7-86DE-C090F0201BF2}"/>
    <cellStyle name="Normal 4 2 2 9 6" xfId="8018" xr:uid="{00000000-0005-0000-0000-00007F1C0000}"/>
    <cellStyle name="Normal 4 2 2 9 6 2" xfId="25497" xr:uid="{1201010F-8E82-4DEB-830A-0F47215F3612}"/>
    <cellStyle name="Normal 4 2 2 9 6 3" xfId="19837" xr:uid="{3650E6BE-B070-4D35-9E2F-170BC5565335}"/>
    <cellStyle name="Normal 4 2 2 9 6 4" xfId="31158" xr:uid="{0F11B9BD-D6B0-4F97-BCA3-35B6D5BDDE44}"/>
    <cellStyle name="Normal 4 2 2 9 6 5" xfId="39807" xr:uid="{1239918E-D267-4B12-BB94-49085897C1F3}"/>
    <cellStyle name="Normal 4 2 2 9 7" xfId="22552" xr:uid="{278B4E70-6704-411D-90F3-7D9144718B98}"/>
    <cellStyle name="Normal 4 2 2 9 8" xfId="16892" xr:uid="{D7EFEC0A-6949-44EF-AE30-D7F4E30A9C67}"/>
    <cellStyle name="Normal 4 2 2 9 9" xfId="28213" xr:uid="{873C8E0B-6E3F-41AF-B737-8D681A4A57C8}"/>
    <cellStyle name="Normal 4 2 3" xfId="2214" xr:uid="{00000000-0005-0000-0000-0000801C0000}"/>
    <cellStyle name="Normal 4 2 3 2" xfId="2215" xr:uid="{00000000-0005-0000-0000-0000811C0000}"/>
    <cellStyle name="Normal 4 2 3 2 10" xfId="39809" xr:uid="{EB3FE632-0895-460E-92D3-CA7ED70CF034}"/>
    <cellStyle name="Normal 4 2 3 2 2" xfId="4862" xr:uid="{00000000-0005-0000-0000-0000821C0000}"/>
    <cellStyle name="Normal 4 2 3 2 2 2" xfId="5281" xr:uid="{00000000-0005-0000-0000-0000831C0000}"/>
    <cellStyle name="Normal 4 2 3 2 2 2 2" xfId="7144" xr:uid="{00000000-0005-0000-0000-0000841C0000}"/>
    <cellStyle name="Normal 4 2 3 2 2 2 2 2" xfId="15577" xr:uid="{00000000-0005-0000-0000-0000851C0000}"/>
    <cellStyle name="Normal 4 2 3 2 2 2 2 2 2" xfId="27471" xr:uid="{B2D071FB-08BF-4B28-AD3B-1207416AD142}"/>
    <cellStyle name="Normal 4 2 3 2 2 2 2 2 3" xfId="21811" xr:uid="{A067F431-1C27-4F62-B125-55BA9BB2C266}"/>
    <cellStyle name="Normal 4 2 3 2 2 2 2 2 4" xfId="32851" xr:uid="{678CFAC1-106C-4195-82D7-F9F376BCE797}"/>
    <cellStyle name="Normal 4 2 3 2 2 2 2 2 5" xfId="39813" xr:uid="{C282340E-5A21-4097-9BF8-70638898EEE5}"/>
    <cellStyle name="Normal 4 2 3 2 2 2 2 3" xfId="24638" xr:uid="{5514ED00-8142-4837-839A-C71039AB8404}"/>
    <cellStyle name="Normal 4 2 3 2 2 2 2 4" xfId="18978" xr:uid="{F748C8EC-5647-4C73-A063-E9942393A02B}"/>
    <cellStyle name="Normal 4 2 3 2 2 2 2 5" xfId="30299" xr:uid="{E8611EA5-DFA1-447B-AAD0-9E1399FD92D2}"/>
    <cellStyle name="Normal 4 2 3 2 2 2 2 6" xfId="39812" xr:uid="{85FAC102-643F-4D66-A434-F39496D10171}"/>
    <cellStyle name="Normal 4 2 3 2 2 2 3" xfId="14167" xr:uid="{00000000-0005-0000-0000-0000861C0000}"/>
    <cellStyle name="Normal 4 2 3 2 2 2 3 2" xfId="26206" xr:uid="{CF039D29-E30D-4996-9578-4664A3A92021}"/>
    <cellStyle name="Normal 4 2 3 2 2 2 3 3" xfId="20546" xr:uid="{D8C3D9D0-6C57-4D99-B23A-2ADC2CCC6932}"/>
    <cellStyle name="Normal 4 2 3 2 2 2 3 4" xfId="31586" xr:uid="{9F4E81B6-D9F6-4345-95F4-A92D2D8D38B5}"/>
    <cellStyle name="Normal 4 2 3 2 2 2 3 5" xfId="39814" xr:uid="{CF8F2CF3-42AA-4613-B1C8-CF3E1A3D995D}"/>
    <cellStyle name="Normal 4 2 3 2 2 2 4" xfId="23076" xr:uid="{9831AB08-81CA-4E86-8406-6C600A300A0A}"/>
    <cellStyle name="Normal 4 2 3 2 2 2 5" xfId="17416" xr:uid="{FC4E604F-D404-4218-AD04-E71627D85F9C}"/>
    <cellStyle name="Normal 4 2 3 2 2 2 6" xfId="28737" xr:uid="{18390332-20F6-41D4-963A-BA8598654E13}"/>
    <cellStyle name="Normal 4 2 3 2 2 2 7" xfId="39811" xr:uid="{9EA3A87A-B2C2-4DF4-B5F7-16CB24F11DD5}"/>
    <cellStyle name="Normal 4 2 3 2 2 3" xfId="6250" xr:uid="{00000000-0005-0000-0000-0000871C0000}"/>
    <cellStyle name="Normal 4 2 3 2 2 3 2" xfId="7579" xr:uid="{00000000-0005-0000-0000-0000881C0000}"/>
    <cellStyle name="Normal 4 2 3 2 2 3 2 2" xfId="16012" xr:uid="{00000000-0005-0000-0000-0000891C0000}"/>
    <cellStyle name="Normal 4 2 3 2 2 3 2 2 2" xfId="27906" xr:uid="{29D259BE-ABBA-4CE9-A661-29A520DAB8D1}"/>
    <cellStyle name="Normal 4 2 3 2 2 3 2 2 3" xfId="22246" xr:uid="{ADCF2674-85AE-458C-BCF8-80287EAE7F4E}"/>
    <cellStyle name="Normal 4 2 3 2 2 3 2 2 4" xfId="33286" xr:uid="{AD6E26B4-A22B-4629-B326-613E92163C7E}"/>
    <cellStyle name="Normal 4 2 3 2 2 3 2 2 5" xfId="39817" xr:uid="{8BFA4626-00A7-4F1E-A5E0-53473C39036F}"/>
    <cellStyle name="Normal 4 2 3 2 2 3 2 3" xfId="25073" xr:uid="{7856629B-4EDE-4080-99CE-717EF576C43C}"/>
    <cellStyle name="Normal 4 2 3 2 2 3 2 4" xfId="19413" xr:uid="{064F1B8F-54D0-4134-B04B-7FAE78456C84}"/>
    <cellStyle name="Normal 4 2 3 2 2 3 2 5" xfId="30734" xr:uid="{7F3D564F-1F4B-4CC0-8CD5-84B1C73BBB3C}"/>
    <cellStyle name="Normal 4 2 3 2 2 3 2 6" xfId="39816" xr:uid="{19AAF72B-056E-4BCE-9B79-D4F1EC493125}"/>
    <cellStyle name="Normal 4 2 3 2 2 3 3" xfId="14694" xr:uid="{00000000-0005-0000-0000-00008A1C0000}"/>
    <cellStyle name="Normal 4 2 3 2 2 3 3 2" xfId="26650" xr:uid="{7FB99DDB-D50C-418D-BCC1-3464A83384A8}"/>
    <cellStyle name="Normal 4 2 3 2 2 3 3 3" xfId="20990" xr:uid="{189F4904-3D83-444E-9FB7-42FFB66A08AF}"/>
    <cellStyle name="Normal 4 2 3 2 2 3 3 4" xfId="32030" xr:uid="{B37A3636-0133-4881-976D-386D8DA314CA}"/>
    <cellStyle name="Normal 4 2 3 2 2 3 3 5" xfId="39818" xr:uid="{A06E3E37-ECB3-4885-92BC-0DA08EB42E33}"/>
    <cellStyle name="Normal 4 2 3 2 2 3 4" xfId="23817" xr:uid="{BBB754F2-6FB1-4921-ABAB-A86C56C459C8}"/>
    <cellStyle name="Normal 4 2 3 2 2 3 5" xfId="18157" xr:uid="{AB2267D3-DE83-4927-9B2E-1F7D599DB731}"/>
    <cellStyle name="Normal 4 2 3 2 2 3 6" xfId="29478" xr:uid="{77CB6F22-A1D1-4B9B-BA71-1AAA9ACB1A24}"/>
    <cellStyle name="Normal 4 2 3 2 2 3 7" xfId="39815" xr:uid="{B801DA0B-2609-490D-8A6B-65CB2364394A}"/>
    <cellStyle name="Normal 4 2 3 2 2 4" xfId="6726" xr:uid="{00000000-0005-0000-0000-00008B1C0000}"/>
    <cellStyle name="Normal 4 2 3 2 2 4 2" xfId="15159" xr:uid="{00000000-0005-0000-0000-00008C1C0000}"/>
    <cellStyle name="Normal 4 2 3 2 2 4 2 2" xfId="27053" xr:uid="{C314ADB6-079E-4457-8BD0-7FA20944490D}"/>
    <cellStyle name="Normal 4 2 3 2 2 4 2 3" xfId="21393" xr:uid="{3C572358-B123-4961-BF69-80F63D0A1566}"/>
    <cellStyle name="Normal 4 2 3 2 2 4 2 4" xfId="32433" xr:uid="{1A0D2838-1183-4C96-99DA-D93554D41259}"/>
    <cellStyle name="Normal 4 2 3 2 2 4 2 5" xfId="39820" xr:uid="{6122EB46-5AAD-4CAE-BA40-2BEECA458836}"/>
    <cellStyle name="Normal 4 2 3 2 2 4 3" xfId="24220" xr:uid="{4D2D3CEA-2F8B-473D-A0CD-DD06ECAE858C}"/>
    <cellStyle name="Normal 4 2 3 2 2 4 4" xfId="18560" xr:uid="{B4717C81-F2DE-4133-950B-9DA81EF485EA}"/>
    <cellStyle name="Normal 4 2 3 2 2 4 5" xfId="29881" xr:uid="{98E0C1AC-FEA6-49C0-9BF4-2CDA80CCB1CE}"/>
    <cellStyle name="Normal 4 2 3 2 2 4 6" xfId="39819" xr:uid="{73302528-F4EF-4032-86A8-5695415FCF3B}"/>
    <cellStyle name="Normal 4 2 3 2 2 5" xfId="8021" xr:uid="{00000000-0005-0000-0000-00008D1C0000}"/>
    <cellStyle name="Normal 4 2 3 2 2 5 2" xfId="25500" xr:uid="{E06E4535-F727-40C8-B821-E5B6B628E934}"/>
    <cellStyle name="Normal 4 2 3 2 2 5 3" xfId="19840" xr:uid="{AA8D6F6C-3A6B-4217-B0B6-88B4F2C2F7B8}"/>
    <cellStyle name="Normal 4 2 3 2 2 5 4" xfId="31161" xr:uid="{F671CA89-FEC3-428D-80A4-3E9DFD11F238}"/>
    <cellStyle name="Normal 4 2 3 2 2 5 5" xfId="39821" xr:uid="{9AB158EB-41C7-404C-888D-5CDA252F5185}"/>
    <cellStyle name="Normal 4 2 3 2 2 6" xfId="22658" xr:uid="{AF453124-177C-473B-A3A9-157CDC499585}"/>
    <cellStyle name="Normal 4 2 3 2 2 7" xfId="16998" xr:uid="{A8436E3D-7D58-4231-B5D3-8B9809544680}"/>
    <cellStyle name="Normal 4 2 3 2 2 8" xfId="28319" xr:uid="{6CE34AC0-B5EE-487C-B6BE-2970682165D2}"/>
    <cellStyle name="Normal 4 2 3 2 2 9" xfId="39810" xr:uid="{A886F545-DCC5-406F-AFD9-71712A98D952}"/>
    <cellStyle name="Normal 4 2 3 2 3" xfId="5072" xr:uid="{00000000-0005-0000-0000-00008E1C0000}"/>
    <cellStyle name="Normal 4 2 3 2 3 2" xfId="6935" xr:uid="{00000000-0005-0000-0000-00008F1C0000}"/>
    <cellStyle name="Normal 4 2 3 2 3 2 2" xfId="15368" xr:uid="{00000000-0005-0000-0000-0000901C0000}"/>
    <cellStyle name="Normal 4 2 3 2 3 2 2 2" xfId="27262" xr:uid="{0CFDCAF1-B990-4EEA-941D-214E9AC4399B}"/>
    <cellStyle name="Normal 4 2 3 2 3 2 2 3" xfId="21602" xr:uid="{6E8CDDFE-4394-47C4-BADA-B3D7A2D50DDC}"/>
    <cellStyle name="Normal 4 2 3 2 3 2 2 4" xfId="32642" xr:uid="{61EBF17B-D3ED-4F9C-A0D7-42E6B28362B7}"/>
    <cellStyle name="Normal 4 2 3 2 3 2 2 5" xfId="39824" xr:uid="{2535AF02-6051-4AF5-8C52-1A7E6A131950}"/>
    <cellStyle name="Normal 4 2 3 2 3 2 3" xfId="24429" xr:uid="{464D7008-A3B2-4917-B5B0-7B3E53F42A93}"/>
    <cellStyle name="Normal 4 2 3 2 3 2 4" xfId="18769" xr:uid="{18458ED5-D9A4-4DCB-8598-535C6FF20E2F}"/>
    <cellStyle name="Normal 4 2 3 2 3 2 5" xfId="30090" xr:uid="{CD1F368A-8A4B-4C6A-AFCC-E6E0899E85F3}"/>
    <cellStyle name="Normal 4 2 3 2 3 2 6" xfId="39823" xr:uid="{FBB64D00-27BA-41C2-BDD1-765C01D7A92B}"/>
    <cellStyle name="Normal 4 2 3 2 3 3" xfId="13965" xr:uid="{00000000-0005-0000-0000-0000911C0000}"/>
    <cellStyle name="Normal 4 2 3 2 3 3 2" xfId="26006" xr:uid="{36368CA2-6DB2-4375-A668-AD3E60C0B1C5}"/>
    <cellStyle name="Normal 4 2 3 2 3 3 3" xfId="20346" xr:uid="{893CCE4C-BBD9-413B-BBAC-EF65C418A2D2}"/>
    <cellStyle name="Normal 4 2 3 2 3 3 4" xfId="31386" xr:uid="{99E16A8F-1F41-4144-9709-23688AF34742}"/>
    <cellStyle name="Normal 4 2 3 2 3 3 5" xfId="39825" xr:uid="{F06DE131-11CB-418F-93B7-401F6BD14BA6}"/>
    <cellStyle name="Normal 4 2 3 2 3 4" xfId="9677" xr:uid="{00000000-0005-0000-0000-0000921C0000}"/>
    <cellStyle name="Normal 4 2 3 2 3 4 2" xfId="39826" xr:uid="{40D963EF-D0F9-42E5-AC0A-7D3491DB7D8B}"/>
    <cellStyle name="Normal 4 2 3 2 3 5" xfId="22867" xr:uid="{0BDBD30F-D60F-45BA-A382-A53A344DE7ED}"/>
    <cellStyle name="Normal 4 2 3 2 3 6" xfId="17207" xr:uid="{910AFDD8-67DB-4DBC-8B30-AD752367ECC9}"/>
    <cellStyle name="Normal 4 2 3 2 3 7" xfId="28528" xr:uid="{48A284A9-4337-4058-9848-C878C3ADC9ED}"/>
    <cellStyle name="Normal 4 2 3 2 3 8" xfId="39822" xr:uid="{9C435CB0-5BAC-4796-9902-318993E43929}"/>
    <cellStyle name="Normal 4 2 3 2 4" xfId="6249" xr:uid="{00000000-0005-0000-0000-0000931C0000}"/>
    <cellStyle name="Normal 4 2 3 2 4 2" xfId="7578" xr:uid="{00000000-0005-0000-0000-0000941C0000}"/>
    <cellStyle name="Normal 4 2 3 2 4 2 2" xfId="16011" xr:uid="{00000000-0005-0000-0000-0000951C0000}"/>
    <cellStyle name="Normal 4 2 3 2 4 2 2 2" xfId="27905" xr:uid="{DFDC38E4-2B47-4477-881F-667708FDAB97}"/>
    <cellStyle name="Normal 4 2 3 2 4 2 2 3" xfId="22245" xr:uid="{2E83FA52-9A5E-4635-B525-B8AF59F62A01}"/>
    <cellStyle name="Normal 4 2 3 2 4 2 2 4" xfId="33285" xr:uid="{73E8F599-3C1D-4A39-A74E-CFCC5878815E}"/>
    <cellStyle name="Normal 4 2 3 2 4 2 2 5" xfId="39829" xr:uid="{6326CA74-DF9D-483D-9123-50D227AFC722}"/>
    <cellStyle name="Normal 4 2 3 2 4 2 3" xfId="25072" xr:uid="{961D6C4E-37B5-45BB-9F4E-B77E1F190001}"/>
    <cellStyle name="Normal 4 2 3 2 4 2 4" xfId="19412" xr:uid="{9FAF99FB-C745-40B4-93A0-1A8E8F2C7477}"/>
    <cellStyle name="Normal 4 2 3 2 4 2 5" xfId="30733" xr:uid="{D68D9DF0-E630-4B42-89D9-BF21844FA3E1}"/>
    <cellStyle name="Normal 4 2 3 2 4 2 6" xfId="39828" xr:uid="{18F9A3B5-B50B-4DCE-8D3F-4C9B1A987DD8}"/>
    <cellStyle name="Normal 4 2 3 2 4 3" xfId="14693" xr:uid="{00000000-0005-0000-0000-0000961C0000}"/>
    <cellStyle name="Normal 4 2 3 2 4 3 2" xfId="26649" xr:uid="{F2F7BB3E-CB7D-42AD-81A5-E66492FF5288}"/>
    <cellStyle name="Normal 4 2 3 2 4 3 3" xfId="20989" xr:uid="{3D1BD3B4-3019-4109-8D97-9108192C3B39}"/>
    <cellStyle name="Normal 4 2 3 2 4 3 4" xfId="32029" xr:uid="{339C2239-A732-49AD-BDD6-08C6173B3488}"/>
    <cellStyle name="Normal 4 2 3 2 4 3 5" xfId="39830" xr:uid="{2A983EBD-FE37-4C42-9910-684BEB56017F}"/>
    <cellStyle name="Normal 4 2 3 2 4 4" xfId="23816" xr:uid="{6149F1D3-0F5B-4E17-BB55-DCD1E546FAEB}"/>
    <cellStyle name="Normal 4 2 3 2 4 5" xfId="18156" xr:uid="{DF22C2D2-F53E-4755-A48C-12676ABBC5F6}"/>
    <cellStyle name="Normal 4 2 3 2 4 6" xfId="29477" xr:uid="{4C423BE7-9E8D-444E-A0FD-707707FBF1B1}"/>
    <cellStyle name="Normal 4 2 3 2 4 7" xfId="39827" xr:uid="{0EEFA0FA-0D6C-4374-8D98-0584B4214D4B}"/>
    <cellStyle name="Normal 4 2 3 2 5" xfId="6517" xr:uid="{00000000-0005-0000-0000-0000971C0000}"/>
    <cellStyle name="Normal 4 2 3 2 5 2" xfId="14950" xr:uid="{00000000-0005-0000-0000-0000981C0000}"/>
    <cellStyle name="Normal 4 2 3 2 5 2 2" xfId="26844" xr:uid="{4E1AA1FE-36BF-4F73-BB78-AD0585F884FF}"/>
    <cellStyle name="Normal 4 2 3 2 5 2 3" xfId="21184" xr:uid="{496910BB-F1A7-4BCC-A35A-3CF45703F5E4}"/>
    <cellStyle name="Normal 4 2 3 2 5 2 4" xfId="32224" xr:uid="{5252D4F9-16AF-408E-B6F3-6178A82A3436}"/>
    <cellStyle name="Normal 4 2 3 2 5 2 5" xfId="39832" xr:uid="{4A86304E-3731-41E6-82E6-9295F93C5B7F}"/>
    <cellStyle name="Normal 4 2 3 2 5 3" xfId="24011" xr:uid="{6DFC3BD6-DF3E-4064-ADE0-F332389CB05F}"/>
    <cellStyle name="Normal 4 2 3 2 5 4" xfId="18351" xr:uid="{145A4495-7979-4F6F-B151-891F2F0B0F34}"/>
    <cellStyle name="Normal 4 2 3 2 5 5" xfId="29672" xr:uid="{73D240F9-85ED-434A-8427-FAACD15B521E}"/>
    <cellStyle name="Normal 4 2 3 2 5 6" xfId="39831" xr:uid="{597177A9-17BC-432F-9A1D-AA9FEEA71672}"/>
    <cellStyle name="Normal 4 2 3 2 6" xfId="8020" xr:uid="{00000000-0005-0000-0000-0000991C0000}"/>
    <cellStyle name="Normal 4 2 3 2 6 2" xfId="25499" xr:uid="{270823F8-2AE9-4D45-A0AF-A15699984AC3}"/>
    <cellStyle name="Normal 4 2 3 2 6 3" xfId="19839" xr:uid="{CE6F81BD-92A6-4949-BF15-E04D9B9DD39E}"/>
    <cellStyle name="Normal 4 2 3 2 6 4" xfId="31160" xr:uid="{07F6495B-2188-4D40-8395-CA87EB9BB99D}"/>
    <cellStyle name="Normal 4 2 3 2 6 5" xfId="39833" xr:uid="{B7E32F53-1FDC-418C-A4CB-0E19F2584A3F}"/>
    <cellStyle name="Normal 4 2 3 2 7" xfId="22449" xr:uid="{731CDBA9-8F93-49EC-B93A-343F72ACCD49}"/>
    <cellStyle name="Normal 4 2 3 2 8" xfId="16789" xr:uid="{9ACFCDAE-D443-4BEB-BA40-C1CE273813DE}"/>
    <cellStyle name="Normal 4 2 3 2 9" xfId="28110" xr:uid="{741ED5F9-EB2C-4186-9AC5-68B8CBBB7AFB}"/>
    <cellStyle name="Normal 4 2 3 3" xfId="4265" xr:uid="{00000000-0005-0000-0000-00009A1C0000}"/>
    <cellStyle name="Normal 4 2 3 3 2" xfId="39834" xr:uid="{38B66702-9D10-41C2-8C8E-A946B828461C}"/>
    <cellStyle name="Normal 4 2 3 4" xfId="6248" xr:uid="{00000000-0005-0000-0000-00009B1C0000}"/>
    <cellStyle name="Normal 4 2 3 4 2" xfId="39835" xr:uid="{0014FBC8-C9B8-485A-9E0D-7B8550431BFA}"/>
    <cellStyle name="Normal 4 2 3 5" xfId="39836" xr:uid="{FB80B18A-86F1-4B2C-B332-A2EF2169EA7D}"/>
    <cellStyle name="Normal 4 2 3 6" xfId="39808" xr:uid="{5EFD767B-B327-4AD2-9492-5DFC7148CA82}"/>
    <cellStyle name="Normal 4 2 4" xfId="2211" xr:uid="{00000000-0005-0000-0000-00009C1C0000}"/>
    <cellStyle name="Normal 4 2 4 2" xfId="39838" xr:uid="{63B713F3-212D-4260-9093-82603D79F001}"/>
    <cellStyle name="Normal 4 2 4 3" xfId="39837" xr:uid="{CBD80500-7EA8-4DD5-8E70-6F29E91348E1}"/>
    <cellStyle name="Normal 4 2 5" xfId="4266" xr:uid="{00000000-0005-0000-0000-00009D1C0000}"/>
    <cellStyle name="Normal 4 2 5 2" xfId="39839" xr:uid="{C9A61F91-0368-48FB-95FF-481D33A100EE}"/>
    <cellStyle name="Normal 4 2 6" xfId="4267" xr:uid="{00000000-0005-0000-0000-00009E1C0000}"/>
    <cellStyle name="Normal 4 2 6 2" xfId="39840" xr:uid="{9CC133D8-5A91-4837-9792-E8318777221E}"/>
    <cellStyle name="Normal 4 2 7" xfId="4268" xr:uid="{00000000-0005-0000-0000-00009F1C0000}"/>
    <cellStyle name="Normal 4 2 7 2" xfId="39841" xr:uid="{99D16635-5FE4-4B7D-B3C7-62D1DEEE5FF2}"/>
    <cellStyle name="Normal 4 2 8" xfId="4269" xr:uid="{00000000-0005-0000-0000-0000A01C0000}"/>
    <cellStyle name="Normal 4 2 8 2" xfId="39842" xr:uid="{8FB048C9-9E10-4E46-928A-CAA06DBA686A}"/>
    <cellStyle name="Normal 4 2 9" xfId="4270" xr:uid="{00000000-0005-0000-0000-0000A11C0000}"/>
    <cellStyle name="Normal 4 2 9 2" xfId="6251" xr:uid="{00000000-0005-0000-0000-0000A21C0000}"/>
    <cellStyle name="Normal 4 2 9 2 2" xfId="39844" xr:uid="{8D4E0A0A-28F1-4296-8521-0408D7FE2B2E}"/>
    <cellStyle name="Normal 4 2 9 3" xfId="5694" xr:uid="{00000000-0005-0000-0000-0000A31C0000}"/>
    <cellStyle name="Normal 4 2 9 3 2" xfId="7293" xr:uid="{00000000-0005-0000-0000-0000A41C0000}"/>
    <cellStyle name="Normal 4 2 9 3 2 2" xfId="15726" xr:uid="{00000000-0005-0000-0000-0000A51C0000}"/>
    <cellStyle name="Normal 4 2 9 3 2 2 2" xfId="27620" xr:uid="{3C8E43DC-5B1F-44B8-8212-CF63A971334F}"/>
    <cellStyle name="Normal 4 2 9 3 2 2 3" xfId="21960" xr:uid="{1306D923-AC6A-4748-B33D-CE151EB90D0B}"/>
    <cellStyle name="Normal 4 2 9 3 2 2 4" xfId="33000" xr:uid="{3C568885-9AA0-42F3-B12F-783CCAE8C73D}"/>
    <cellStyle name="Normal 4 2 9 3 2 2 5" xfId="39847" xr:uid="{6AD0BAD9-7560-4226-90BC-38C5713F85F1}"/>
    <cellStyle name="Normal 4 2 9 3 2 3" xfId="24787" xr:uid="{E73A5186-784A-434B-B7EF-BDD4C338BECA}"/>
    <cellStyle name="Normal 4 2 9 3 2 4" xfId="19127" xr:uid="{01D9A0BD-BF1C-4187-B300-567B71DB52DC}"/>
    <cellStyle name="Normal 4 2 9 3 2 5" xfId="30448" xr:uid="{C0ABE989-9F41-49A5-91EA-367760E17B36}"/>
    <cellStyle name="Normal 4 2 9 3 2 6" xfId="39846" xr:uid="{A9A3D863-A22C-4FDD-BE06-83F0786BB01D}"/>
    <cellStyle name="Normal 4 2 9 3 3" xfId="14350" xr:uid="{00000000-0005-0000-0000-0000A61C0000}"/>
    <cellStyle name="Normal 4 2 9 3 3 2" xfId="26357" xr:uid="{77A4308F-D508-4ED3-B7B4-9B20E2B8B441}"/>
    <cellStyle name="Normal 4 2 9 3 3 3" xfId="20697" xr:uid="{064DD020-BDDB-4628-A809-5277290F6CB2}"/>
    <cellStyle name="Normal 4 2 9 3 3 4" xfId="31737" xr:uid="{834188DA-5F31-4C7D-B5CE-FC472CCEAB4A}"/>
    <cellStyle name="Normal 4 2 9 3 3 5" xfId="39848" xr:uid="{EE7DF0FB-B18C-4765-AF4F-2AB8A9478B91}"/>
    <cellStyle name="Normal 4 2 9 3 4" xfId="23419" xr:uid="{94221ACB-7B6F-4E24-BD53-B6EA74C2BEA2}"/>
    <cellStyle name="Normal 4 2 9 3 5" xfId="17759" xr:uid="{3CC4F3F9-747F-4C26-8615-A32C601BA330}"/>
    <cellStyle name="Normal 4 2 9 3 6" xfId="29080" xr:uid="{D083300C-92AD-4313-863C-B4AE5E215F57}"/>
    <cellStyle name="Normal 4 2 9 3 7" xfId="39845" xr:uid="{D70144D5-2AFC-4A2E-89EA-6ECCA99D2072}"/>
    <cellStyle name="Normal 4 2 9 4" xfId="39843" xr:uid="{2521A730-D379-4FA4-9575-A55A489C5982}"/>
    <cellStyle name="Normal 4 2_Scen_XBase" xfId="2216" xr:uid="{00000000-0005-0000-0000-0000A71C0000}"/>
    <cellStyle name="Normal 4 3" xfId="166" xr:uid="{00000000-0005-0000-0000-0000A81C0000}"/>
    <cellStyle name="Normal 4 3 10" xfId="4804" xr:uid="{00000000-0005-0000-0000-0000A91C0000}"/>
    <cellStyle name="Normal 4 3 10 2" xfId="5226" xr:uid="{00000000-0005-0000-0000-0000AA1C0000}"/>
    <cellStyle name="Normal 4 3 10 2 2" xfId="7089" xr:uid="{00000000-0005-0000-0000-0000AB1C0000}"/>
    <cellStyle name="Normal 4 3 10 2 2 2" xfId="15522" xr:uid="{00000000-0005-0000-0000-0000AC1C0000}"/>
    <cellStyle name="Normal 4 3 10 2 2 2 2" xfId="27416" xr:uid="{E6BB8B4A-74D7-4336-A6D5-F16BB0354373}"/>
    <cellStyle name="Normal 4 3 10 2 2 2 3" xfId="21756" xr:uid="{29919D68-2300-4581-B74A-59E48397FDFB}"/>
    <cellStyle name="Normal 4 3 10 2 2 2 4" xfId="32796" xr:uid="{7F8DB436-8E71-4296-8CA3-71F2B7467F92}"/>
    <cellStyle name="Normal 4 3 10 2 2 2 5" xfId="39853" xr:uid="{74B8BB7C-1911-4F2C-926A-4CE2C77D3787}"/>
    <cellStyle name="Normal 4 3 10 2 2 3" xfId="24583" xr:uid="{78333A6E-D707-4957-B694-295E12A9E3A7}"/>
    <cellStyle name="Normal 4 3 10 2 2 4" xfId="18923" xr:uid="{5AE4E246-3BC3-4829-A11F-F1015ED5AF2E}"/>
    <cellStyle name="Normal 4 3 10 2 2 5" xfId="30244" xr:uid="{132A925C-3F85-4758-BBCB-9EFFD4E90888}"/>
    <cellStyle name="Normal 4 3 10 2 2 6" xfId="39852" xr:uid="{460CFCD8-8D67-4CDB-95D7-218E7BFAB902}"/>
    <cellStyle name="Normal 4 3 10 2 3" xfId="14112" xr:uid="{00000000-0005-0000-0000-0000AD1C0000}"/>
    <cellStyle name="Normal 4 3 10 2 3 2" xfId="26151" xr:uid="{4B859A64-3A5C-404A-9974-6259EAFA4CAD}"/>
    <cellStyle name="Normal 4 3 10 2 3 3" xfId="20491" xr:uid="{25A813BD-4BF2-42F8-8283-C62AF20110F3}"/>
    <cellStyle name="Normal 4 3 10 2 3 4" xfId="31531" xr:uid="{CB276D82-3DA2-4D3A-BF62-265A416D3F91}"/>
    <cellStyle name="Normal 4 3 10 2 3 5" xfId="39854" xr:uid="{F05585D7-F353-4CB7-A93A-5BE8FDB08F07}"/>
    <cellStyle name="Normal 4 3 10 2 4" xfId="23021" xr:uid="{199B9BDA-5FAB-4585-BBB7-60FAD32E341A}"/>
    <cellStyle name="Normal 4 3 10 2 5" xfId="17361" xr:uid="{DB9977B4-F707-4870-A76A-2B4FE9D27866}"/>
    <cellStyle name="Normal 4 3 10 2 6" xfId="28682" xr:uid="{EE9ABB3E-5B97-4B29-A7AA-D867E4E62795}"/>
    <cellStyle name="Normal 4 3 10 2 7" xfId="39851" xr:uid="{701F0805-DA2F-4047-B74D-AE9012EAAD55}"/>
    <cellStyle name="Normal 4 3 10 3" xfId="6252" xr:uid="{00000000-0005-0000-0000-0000AE1C0000}"/>
    <cellStyle name="Normal 4 3 10 3 2" xfId="7580" xr:uid="{00000000-0005-0000-0000-0000AF1C0000}"/>
    <cellStyle name="Normal 4 3 10 3 2 2" xfId="16013" xr:uid="{00000000-0005-0000-0000-0000B01C0000}"/>
    <cellStyle name="Normal 4 3 10 3 2 2 2" xfId="27907" xr:uid="{C428A307-57A9-4927-8E1B-453BFF142B62}"/>
    <cellStyle name="Normal 4 3 10 3 2 2 3" xfId="22247" xr:uid="{9A494C3E-A77B-4B4D-BDAC-91A1F13FE40A}"/>
    <cellStyle name="Normal 4 3 10 3 2 2 4" xfId="33287" xr:uid="{DEE55584-F53D-4290-B843-61634CC422AC}"/>
    <cellStyle name="Normal 4 3 10 3 2 2 5" xfId="39857" xr:uid="{A4AFDEA7-77BE-4C97-ABEB-A69887C67770}"/>
    <cellStyle name="Normal 4 3 10 3 2 3" xfId="25074" xr:uid="{BAC165BF-BC52-468A-AE8D-2AE537CC6150}"/>
    <cellStyle name="Normal 4 3 10 3 2 4" xfId="19414" xr:uid="{D80BA227-48FA-4C4D-9EAC-6194CE8834D5}"/>
    <cellStyle name="Normal 4 3 10 3 2 5" xfId="30735" xr:uid="{2DE9C360-D0D1-433D-B38D-BD30CC16A847}"/>
    <cellStyle name="Normal 4 3 10 3 2 6" xfId="39856" xr:uid="{D598F616-6C88-4ECF-85AC-3D74ACD886E8}"/>
    <cellStyle name="Normal 4 3 10 3 3" xfId="14695" xr:uid="{00000000-0005-0000-0000-0000B11C0000}"/>
    <cellStyle name="Normal 4 3 10 3 3 2" xfId="26651" xr:uid="{84B5FB8D-8BD8-4FBC-A5FD-65598C213BEF}"/>
    <cellStyle name="Normal 4 3 10 3 3 3" xfId="20991" xr:uid="{0E78247D-2B73-41B7-B889-7E8670648583}"/>
    <cellStyle name="Normal 4 3 10 3 3 4" xfId="32031" xr:uid="{C9E98BE7-8CED-4143-B802-9D99ADF0B506}"/>
    <cellStyle name="Normal 4 3 10 3 3 5" xfId="39858" xr:uid="{57E8E20A-4F4D-4A25-B709-5D60A6C55A39}"/>
    <cellStyle name="Normal 4 3 10 3 4" xfId="23818" xr:uid="{FC6B187B-C336-43D9-A791-CE6030A336E8}"/>
    <cellStyle name="Normal 4 3 10 3 5" xfId="18158" xr:uid="{4722FFFF-E154-4E35-B511-C4D9D4995F52}"/>
    <cellStyle name="Normal 4 3 10 3 6" xfId="29479" xr:uid="{4609C180-3D56-4943-981D-7CBC732E4933}"/>
    <cellStyle name="Normal 4 3 10 3 7" xfId="39855" xr:uid="{43771F49-6C43-4853-9CA9-275BADCBEC6B}"/>
    <cellStyle name="Normal 4 3 10 4" xfId="6671" xr:uid="{00000000-0005-0000-0000-0000B21C0000}"/>
    <cellStyle name="Normal 4 3 10 4 2" xfId="15104" xr:uid="{00000000-0005-0000-0000-0000B31C0000}"/>
    <cellStyle name="Normal 4 3 10 4 2 2" xfId="26998" xr:uid="{7F5C8B67-2CEE-4F37-9375-88C605B55E85}"/>
    <cellStyle name="Normal 4 3 10 4 2 3" xfId="21338" xr:uid="{680F5753-3030-4966-B720-22BFF7084C25}"/>
    <cellStyle name="Normal 4 3 10 4 2 4" xfId="32378" xr:uid="{55C7B369-F6E6-4A9E-BFFD-8ECDC12A1D6D}"/>
    <cellStyle name="Normal 4 3 10 4 2 5" xfId="39860" xr:uid="{12A7FAA6-5F62-482F-8D4C-619EF10C2984}"/>
    <cellStyle name="Normal 4 3 10 4 3" xfId="24165" xr:uid="{85563CF0-5BC2-48D4-964F-ED631CCB68B4}"/>
    <cellStyle name="Normal 4 3 10 4 4" xfId="18505" xr:uid="{DC1363EE-DF86-41FE-8F00-6EB15DEBF8DB}"/>
    <cellStyle name="Normal 4 3 10 4 5" xfId="29826" xr:uid="{82C84260-70B1-44A1-A39C-0C08A23A15A5}"/>
    <cellStyle name="Normal 4 3 10 4 6" xfId="39859" xr:uid="{EA4D4373-B18E-473D-9112-C88E10650C92}"/>
    <cellStyle name="Normal 4 3 10 5" xfId="8022" xr:uid="{00000000-0005-0000-0000-0000B41C0000}"/>
    <cellStyle name="Normal 4 3 10 5 2" xfId="25501" xr:uid="{B7756BB8-9811-43D0-AF8D-3210399FD727}"/>
    <cellStyle name="Normal 4 3 10 5 3" xfId="19841" xr:uid="{A208E966-D9A7-4ED3-AE8D-3D0EC0D2C717}"/>
    <cellStyle name="Normal 4 3 10 5 4" xfId="31162" xr:uid="{4767BAB3-CAA3-402E-9671-3A5D2E1ACA08}"/>
    <cellStyle name="Normal 4 3 10 5 5" xfId="39861" xr:uid="{BB82ADE3-7BF8-4C51-80E3-A0208C7DA948}"/>
    <cellStyle name="Normal 4 3 10 6" xfId="22603" xr:uid="{01E6ED61-784D-43DF-952E-6AE97A239DA1}"/>
    <cellStyle name="Normal 4 3 10 7" xfId="16943" xr:uid="{60D05F81-94DE-4A47-B96A-1122C24682B2}"/>
    <cellStyle name="Normal 4 3 10 8" xfId="28264" xr:uid="{BBD43508-3667-4752-BDDA-DB659A838DB3}"/>
    <cellStyle name="Normal 4 3 10 9" xfId="39850" xr:uid="{CB82E0B2-A807-4B32-9AD3-6FDA0B2B9515}"/>
    <cellStyle name="Normal 4 3 11" xfId="5017" xr:uid="{00000000-0005-0000-0000-0000B51C0000}"/>
    <cellStyle name="Normal 4 3 11 2" xfId="5795" xr:uid="{00000000-0005-0000-0000-0000B61C0000}"/>
    <cellStyle name="Normal 4 3 11 2 2" xfId="7300" xr:uid="{00000000-0005-0000-0000-0000B71C0000}"/>
    <cellStyle name="Normal 4 3 11 2 2 2" xfId="15733" xr:uid="{00000000-0005-0000-0000-0000B81C0000}"/>
    <cellStyle name="Normal 4 3 11 2 2 2 2" xfId="27627" xr:uid="{B035A313-6804-4962-AA93-0B9EA49BCBA9}"/>
    <cellStyle name="Normal 4 3 11 2 2 2 3" xfId="21967" xr:uid="{900AE944-F9AE-4F76-8F32-079A23671B7D}"/>
    <cellStyle name="Normal 4 3 11 2 2 2 4" xfId="33007" xr:uid="{0B7C0F72-9825-45F3-AA40-5C665ECE897B}"/>
    <cellStyle name="Normal 4 3 11 2 2 2 5" xfId="39865" xr:uid="{4F0E16CF-311A-49F2-A1A3-05661BA8FE55}"/>
    <cellStyle name="Normal 4 3 11 2 2 3" xfId="24794" xr:uid="{9AE4B83F-F994-4371-BE56-276E584B7885}"/>
    <cellStyle name="Normal 4 3 11 2 2 4" xfId="19134" xr:uid="{CABFE4C5-E6ED-4358-8114-A2B200481CDB}"/>
    <cellStyle name="Normal 4 3 11 2 2 5" xfId="30455" xr:uid="{226AEF0B-8983-46FA-817A-47CD41209ACF}"/>
    <cellStyle name="Normal 4 3 11 2 2 6" xfId="39864" xr:uid="{5954FFBF-DC7D-4D2B-8F7E-909B21C64632}"/>
    <cellStyle name="Normal 4 3 11 2 3" xfId="14377" xr:uid="{00000000-0005-0000-0000-0000B91C0000}"/>
    <cellStyle name="Normal 4 3 11 2 3 2" xfId="26369" xr:uid="{3504BFA9-4E39-433A-A486-D936B4528440}"/>
    <cellStyle name="Normal 4 3 11 2 3 3" xfId="20709" xr:uid="{3555A0F5-2D7B-4C30-84FE-C015DE5BFC90}"/>
    <cellStyle name="Normal 4 3 11 2 3 4" xfId="31749" xr:uid="{2ECDB330-E1B3-40DB-B65D-65BCC5AA0F26}"/>
    <cellStyle name="Normal 4 3 11 2 3 5" xfId="39866" xr:uid="{66EAE583-CC3B-4EAE-B984-B5470D18C61B}"/>
    <cellStyle name="Normal 4 3 11 2 4" xfId="23453" xr:uid="{4DDD0844-895C-41CE-B12D-1C458D68BA29}"/>
    <cellStyle name="Normal 4 3 11 2 5" xfId="17793" xr:uid="{127DD1E7-99D2-4819-A541-B53EDAD8484E}"/>
    <cellStyle name="Normal 4 3 11 2 6" xfId="29114" xr:uid="{C4C062E2-C42E-49D5-AD4B-11E50B7BAAEA}"/>
    <cellStyle name="Normal 4 3 11 2 7" xfId="39863" xr:uid="{5E663D44-7EAA-4CD3-A2D0-E76C328F691E}"/>
    <cellStyle name="Normal 4 3 11 3" xfId="6880" xr:uid="{00000000-0005-0000-0000-0000BA1C0000}"/>
    <cellStyle name="Normal 4 3 11 3 2" xfId="15313" xr:uid="{00000000-0005-0000-0000-0000BB1C0000}"/>
    <cellStyle name="Normal 4 3 11 3 2 2" xfId="27207" xr:uid="{8671203A-62F9-435A-A4A8-B493F6CDEABE}"/>
    <cellStyle name="Normal 4 3 11 3 2 3" xfId="21547" xr:uid="{36A615DC-3ABB-4DF3-B275-5B126A5281E3}"/>
    <cellStyle name="Normal 4 3 11 3 2 4" xfId="32587" xr:uid="{C709F432-E757-41D7-A222-6B1EF1D1F55F}"/>
    <cellStyle name="Normal 4 3 11 3 2 5" xfId="39868" xr:uid="{D186BE19-DF91-4945-9A36-B02FDA78B990}"/>
    <cellStyle name="Normal 4 3 11 3 3" xfId="24374" xr:uid="{1D43E881-C1DF-47AC-8E9E-440662AE5486}"/>
    <cellStyle name="Normal 4 3 11 3 4" xfId="18714" xr:uid="{6A0B3359-1A8A-4BB2-B6EB-10188D071F3A}"/>
    <cellStyle name="Normal 4 3 11 3 5" xfId="30035" xr:uid="{BFA337AA-1E18-4F83-BFE8-320DD6965A4D}"/>
    <cellStyle name="Normal 4 3 11 3 6" xfId="39867" xr:uid="{669AA8A9-AE99-48E1-85BE-8B213E27CEA1}"/>
    <cellStyle name="Normal 4 3 11 4" xfId="8023" xr:uid="{00000000-0005-0000-0000-0000BC1C0000}"/>
    <cellStyle name="Normal 4 3 11 4 2" xfId="25502" xr:uid="{086A19D1-0A2A-4758-8BB6-EF45EFA64CDD}"/>
    <cellStyle name="Normal 4 3 11 4 3" xfId="19842" xr:uid="{581C7C7B-ACD7-458B-9815-12D59977E6E9}"/>
    <cellStyle name="Normal 4 3 11 4 4" xfId="31163" xr:uid="{2D81E05C-22AA-4837-B660-41047BB1D0F8}"/>
    <cellStyle name="Normal 4 3 11 4 5" xfId="39869" xr:uid="{97C94055-A95C-488E-B0B1-588933FCFA03}"/>
    <cellStyle name="Normal 4 3 11 5" xfId="22812" xr:uid="{7EF34E02-A15E-482E-9F9C-28AF579EDF5B}"/>
    <cellStyle name="Normal 4 3 11 6" xfId="17152" xr:uid="{5591742E-DDA7-44AD-9154-F44F8F42FB8C}"/>
    <cellStyle name="Normal 4 3 11 7" xfId="28473" xr:uid="{939A554D-DB7A-47DC-BA01-AF50621CF04B}"/>
    <cellStyle name="Normal 4 3 11 8" xfId="39862" xr:uid="{019DADD3-D199-499C-AEBA-411B1023E73A}"/>
    <cellStyle name="Normal 4 3 12" xfId="6462" xr:uid="{00000000-0005-0000-0000-0000BD1C0000}"/>
    <cellStyle name="Normal 4 3 12 2" xfId="14895" xr:uid="{00000000-0005-0000-0000-0000BE1C0000}"/>
    <cellStyle name="Normal 4 3 12 2 2" xfId="26789" xr:uid="{394E3F00-70BE-485A-BB2B-D5B95775DB82}"/>
    <cellStyle name="Normal 4 3 12 2 3" xfId="21129" xr:uid="{5F490789-ED75-4D80-BFE7-E12BA0C38722}"/>
    <cellStyle name="Normal 4 3 12 2 4" xfId="32169" xr:uid="{2ADB5D7B-79B2-4690-8B4C-6B9CC4946BCC}"/>
    <cellStyle name="Normal 4 3 12 2 5" xfId="39871" xr:uid="{498EC605-4116-4865-8F76-6FA43BD6E5FF}"/>
    <cellStyle name="Normal 4 3 12 3" xfId="23956" xr:uid="{5044354F-B5AC-4C08-8E11-BBCE18C5EF9B}"/>
    <cellStyle name="Normal 4 3 12 4" xfId="18296" xr:uid="{276B359A-00B0-4B3B-9F0F-21DC5C1A9C48}"/>
    <cellStyle name="Normal 4 3 12 5" xfId="29617" xr:uid="{E96DBE6D-3F5F-435D-8EDB-3FD96203E972}"/>
    <cellStyle name="Normal 4 3 12 6" xfId="39870" xr:uid="{2EA2F909-EFF4-49D2-AFAE-7E4812080F20}"/>
    <cellStyle name="Normal 4 3 13" xfId="22394" xr:uid="{911B28A4-EB21-478D-82B2-E30F29DA0124}"/>
    <cellStyle name="Normal 4 3 14" xfId="16734" xr:uid="{DDC2664C-5899-40DF-AE75-A45C6C5DC128}"/>
    <cellStyle name="Normal 4 3 15" xfId="28055" xr:uid="{3F2A70C7-B613-4B91-BF56-6CB720CEE8EC}"/>
    <cellStyle name="Normal 4 3 16" xfId="39849" xr:uid="{2A3601BE-FAAE-43EF-9CCA-49D85FC884E7}"/>
    <cellStyle name="Normal 4 3 17" xfId="49819" xr:uid="{0F36DCC1-8F96-45C9-95DB-71E7A99E7357}"/>
    <cellStyle name="Normal 4 3 2" xfId="167" xr:uid="{00000000-0005-0000-0000-0000BF1C0000}"/>
    <cellStyle name="Normal 4 3 2 2" xfId="2218" xr:uid="{00000000-0005-0000-0000-0000C01C0000}"/>
    <cellStyle name="Normal 4 3 2 2 2" xfId="39873" xr:uid="{1A61B7FA-9B8B-40D5-9AC3-F3DF74B1FBF1}"/>
    <cellStyle name="Normal 4 3 2 3" xfId="5796" xr:uid="{00000000-0005-0000-0000-0000C11C0000}"/>
    <cellStyle name="Normal 4 3 2 3 2" xfId="39874" xr:uid="{DCA1DA1F-55FE-4127-A205-D2160FF6844D}"/>
    <cellStyle name="Normal 4 3 2 4" xfId="39875" xr:uid="{CE91CB45-1429-420A-AF82-443EC26AA82D}"/>
    <cellStyle name="Normal 4 3 2 5" xfId="39872" xr:uid="{633DE21D-4AC8-493B-9CE5-1D9768A8DC0F}"/>
    <cellStyle name="Normal 4 3 3" xfId="317" xr:uid="{00000000-0005-0000-0000-0000C21C0000}"/>
    <cellStyle name="Normal 4 3 3 10" xfId="39876" xr:uid="{48AC9E82-9FCF-4BE0-91D5-70D35B695874}"/>
    <cellStyle name="Normal 4 3 3 2" xfId="2219" xr:uid="{00000000-0005-0000-0000-0000C31C0000}"/>
    <cellStyle name="Normal 4 3 3 2 10" xfId="39877" xr:uid="{7EDAA5A3-2675-44B8-91F6-719274255ACE}"/>
    <cellStyle name="Normal 4 3 3 2 2" xfId="4863" xr:uid="{00000000-0005-0000-0000-0000C41C0000}"/>
    <cellStyle name="Normal 4 3 3 2 2 2" xfId="5282" xr:uid="{00000000-0005-0000-0000-0000C51C0000}"/>
    <cellStyle name="Normal 4 3 3 2 2 2 2" xfId="7145" xr:uid="{00000000-0005-0000-0000-0000C61C0000}"/>
    <cellStyle name="Normal 4 3 3 2 2 2 2 2" xfId="15578" xr:uid="{00000000-0005-0000-0000-0000C71C0000}"/>
    <cellStyle name="Normal 4 3 3 2 2 2 2 2 2" xfId="27472" xr:uid="{23E88AA2-0336-403C-86A9-CBAEA4AEA430}"/>
    <cellStyle name="Normal 4 3 3 2 2 2 2 2 3" xfId="21812" xr:uid="{79B06D2C-3058-40DB-9AC9-C6CFD704633C}"/>
    <cellStyle name="Normal 4 3 3 2 2 2 2 2 4" xfId="32852" xr:uid="{608725E7-92F7-447E-A159-D573D0FB3A92}"/>
    <cellStyle name="Normal 4 3 3 2 2 2 2 2 5" xfId="39881" xr:uid="{D8B0E8C4-EBEA-496E-BAE8-54C85832E72D}"/>
    <cellStyle name="Normal 4 3 3 2 2 2 2 3" xfId="24639" xr:uid="{32870530-41BC-4AE8-8672-CF1C1A42E467}"/>
    <cellStyle name="Normal 4 3 3 2 2 2 2 4" xfId="18979" xr:uid="{394AF8BF-DB70-4217-8A48-C55663088DB3}"/>
    <cellStyle name="Normal 4 3 3 2 2 2 2 5" xfId="30300" xr:uid="{D98A19A9-E33D-451A-BAB3-818B078E3712}"/>
    <cellStyle name="Normal 4 3 3 2 2 2 2 6" xfId="39880" xr:uid="{72DF3632-DF30-4C81-94B6-BCBC3A70247C}"/>
    <cellStyle name="Normal 4 3 3 2 2 2 3" xfId="14168" xr:uid="{00000000-0005-0000-0000-0000C81C0000}"/>
    <cellStyle name="Normal 4 3 3 2 2 2 3 2" xfId="26207" xr:uid="{C5D4CE3D-10C3-4091-B44C-A044E214A46B}"/>
    <cellStyle name="Normal 4 3 3 2 2 2 3 3" xfId="20547" xr:uid="{939D5C87-244B-45D5-B687-559EDA55CC79}"/>
    <cellStyle name="Normal 4 3 3 2 2 2 3 4" xfId="31587" xr:uid="{EA1C7E13-520E-423A-9C0C-3CAE75D3386B}"/>
    <cellStyle name="Normal 4 3 3 2 2 2 3 5" xfId="39882" xr:uid="{C25F1130-FE0B-4279-94E9-400E48DB2D53}"/>
    <cellStyle name="Normal 4 3 3 2 2 2 4" xfId="23077" xr:uid="{FC52C8E8-870F-45F8-8BB8-0658AAF540C0}"/>
    <cellStyle name="Normal 4 3 3 2 2 2 5" xfId="17417" xr:uid="{45C549D4-DE2F-4469-AFA7-E6335A6894DF}"/>
    <cellStyle name="Normal 4 3 3 2 2 2 6" xfId="28738" xr:uid="{D2F2922F-23FB-49F7-BDAB-F5B4A80AEF39}"/>
    <cellStyle name="Normal 4 3 3 2 2 2 7" xfId="39879" xr:uid="{C010EBE7-5851-4B34-8D39-E2374AF625FF}"/>
    <cellStyle name="Normal 4 3 3 2 2 3" xfId="6255" xr:uid="{00000000-0005-0000-0000-0000C91C0000}"/>
    <cellStyle name="Normal 4 3 3 2 2 3 2" xfId="7583" xr:uid="{00000000-0005-0000-0000-0000CA1C0000}"/>
    <cellStyle name="Normal 4 3 3 2 2 3 2 2" xfId="16016" xr:uid="{00000000-0005-0000-0000-0000CB1C0000}"/>
    <cellStyle name="Normal 4 3 3 2 2 3 2 2 2" xfId="27910" xr:uid="{A18AB84F-465A-401C-B7EC-E7BF569A0DBB}"/>
    <cellStyle name="Normal 4 3 3 2 2 3 2 2 3" xfId="22250" xr:uid="{48A85CA8-86D5-41E9-BF4D-8A8E772F41F9}"/>
    <cellStyle name="Normal 4 3 3 2 2 3 2 2 4" xfId="33290" xr:uid="{6F7BDFEE-6FDC-4569-BCD6-1FAC644E79B0}"/>
    <cellStyle name="Normal 4 3 3 2 2 3 2 2 5" xfId="39885" xr:uid="{37973CBC-F0C7-4220-BE00-BDF904C64B25}"/>
    <cellStyle name="Normal 4 3 3 2 2 3 2 3" xfId="25077" xr:uid="{5EADBF00-E351-4DB9-ACD4-08CD1671A15B}"/>
    <cellStyle name="Normal 4 3 3 2 2 3 2 4" xfId="19417" xr:uid="{89811E16-527C-405B-9448-AFA45F4E8C9C}"/>
    <cellStyle name="Normal 4 3 3 2 2 3 2 5" xfId="30738" xr:uid="{A140F5FB-118F-41B4-96D5-4FC331E95EA5}"/>
    <cellStyle name="Normal 4 3 3 2 2 3 2 6" xfId="39884" xr:uid="{120D9AF6-8B6C-4027-8928-0F1FE4A6231B}"/>
    <cellStyle name="Normal 4 3 3 2 2 3 3" xfId="14698" xr:uid="{00000000-0005-0000-0000-0000CC1C0000}"/>
    <cellStyle name="Normal 4 3 3 2 2 3 3 2" xfId="26654" xr:uid="{BD16B23E-7132-4C54-B381-9C6E7E7D3540}"/>
    <cellStyle name="Normal 4 3 3 2 2 3 3 3" xfId="20994" xr:uid="{A3AE2E42-9C46-4A8A-930B-08949A212238}"/>
    <cellStyle name="Normal 4 3 3 2 2 3 3 4" xfId="32034" xr:uid="{1A3A8051-9594-4AD0-BA18-5D63C9A9A9F4}"/>
    <cellStyle name="Normal 4 3 3 2 2 3 3 5" xfId="39886" xr:uid="{EBFCCF67-88C7-4E14-B3D9-C75543BF9CB2}"/>
    <cellStyle name="Normal 4 3 3 2 2 3 4" xfId="23821" xr:uid="{006A12D1-8223-4399-97E6-E32D7B36148B}"/>
    <cellStyle name="Normal 4 3 3 2 2 3 5" xfId="18161" xr:uid="{694A069E-6051-4DEB-B9FA-FCE9DA81FA35}"/>
    <cellStyle name="Normal 4 3 3 2 2 3 6" xfId="29482" xr:uid="{15F7D5D4-9520-4E46-9BC7-E6B7F132DFF9}"/>
    <cellStyle name="Normal 4 3 3 2 2 3 7" xfId="39883" xr:uid="{81A661A8-74A0-4B9B-88D3-E406FABA2FAC}"/>
    <cellStyle name="Normal 4 3 3 2 2 4" xfId="6727" xr:uid="{00000000-0005-0000-0000-0000CD1C0000}"/>
    <cellStyle name="Normal 4 3 3 2 2 4 2" xfId="15160" xr:uid="{00000000-0005-0000-0000-0000CE1C0000}"/>
    <cellStyle name="Normal 4 3 3 2 2 4 2 2" xfId="27054" xr:uid="{2B1C56D3-A14C-49EF-9C55-9EF9232C4E78}"/>
    <cellStyle name="Normal 4 3 3 2 2 4 2 3" xfId="21394" xr:uid="{30CBBDBF-2C79-40EC-87FA-0949E35689AC}"/>
    <cellStyle name="Normal 4 3 3 2 2 4 2 4" xfId="32434" xr:uid="{03867EBA-E1C4-423F-B252-5F8340DD5D5B}"/>
    <cellStyle name="Normal 4 3 3 2 2 4 2 5" xfId="39888" xr:uid="{40D4E483-ECAC-450D-BFE2-AD3849E9EEAE}"/>
    <cellStyle name="Normal 4 3 3 2 2 4 3" xfId="24221" xr:uid="{943DE03D-865F-44CD-8CA3-24A0EF24F22C}"/>
    <cellStyle name="Normal 4 3 3 2 2 4 4" xfId="18561" xr:uid="{3C1918F5-4CF5-4579-B950-B5E87D63311C}"/>
    <cellStyle name="Normal 4 3 3 2 2 4 5" xfId="29882" xr:uid="{654D288A-328F-454C-8B95-A93CD7F4CB52}"/>
    <cellStyle name="Normal 4 3 3 2 2 4 6" xfId="39887" xr:uid="{E7B60C42-28F8-425D-B401-87CF4100C8A4}"/>
    <cellStyle name="Normal 4 3 3 2 2 5" xfId="8025" xr:uid="{00000000-0005-0000-0000-0000CF1C0000}"/>
    <cellStyle name="Normal 4 3 3 2 2 5 2" xfId="25504" xr:uid="{228748E2-F9FB-4F83-8101-F4D269608143}"/>
    <cellStyle name="Normal 4 3 3 2 2 5 3" xfId="19844" xr:uid="{5830926C-538F-4E2C-95BD-BB0A6C50F44D}"/>
    <cellStyle name="Normal 4 3 3 2 2 5 4" xfId="31165" xr:uid="{DBA96BD9-6E3E-4BE8-AA59-BC0D78D89E10}"/>
    <cellStyle name="Normal 4 3 3 2 2 5 5" xfId="39889" xr:uid="{1DF88AAF-6B98-4F4E-939C-ABCA7A8CA42F}"/>
    <cellStyle name="Normal 4 3 3 2 2 6" xfId="22659" xr:uid="{2FA85B28-7A70-4A12-9CD4-F990F4429E7C}"/>
    <cellStyle name="Normal 4 3 3 2 2 7" xfId="16999" xr:uid="{0F67BBE4-3632-44EA-99F7-72BC69FC12CB}"/>
    <cellStyle name="Normal 4 3 3 2 2 8" xfId="28320" xr:uid="{9C21259F-1F98-46EE-8BC5-5AF49B9A7096}"/>
    <cellStyle name="Normal 4 3 3 2 2 9" xfId="39878" xr:uid="{3F07D1E4-A564-47FC-9CDB-108819E7A956}"/>
    <cellStyle name="Normal 4 3 3 2 3" xfId="5073" xr:uid="{00000000-0005-0000-0000-0000D01C0000}"/>
    <cellStyle name="Normal 4 3 3 2 3 2" xfId="6936" xr:uid="{00000000-0005-0000-0000-0000D11C0000}"/>
    <cellStyle name="Normal 4 3 3 2 3 2 2" xfId="15369" xr:uid="{00000000-0005-0000-0000-0000D21C0000}"/>
    <cellStyle name="Normal 4 3 3 2 3 2 2 2" xfId="27263" xr:uid="{6F65EF71-D234-4E09-8C48-9E844DB9B0CF}"/>
    <cellStyle name="Normal 4 3 3 2 3 2 2 3" xfId="21603" xr:uid="{5C92F557-C93F-4CB0-A209-CF6B0AEBF543}"/>
    <cellStyle name="Normal 4 3 3 2 3 2 2 4" xfId="32643" xr:uid="{A92D49D8-C90F-4977-A79F-F24EB3D7602C}"/>
    <cellStyle name="Normal 4 3 3 2 3 2 2 5" xfId="39892" xr:uid="{377C159A-F30E-472F-A2A0-50F019093744}"/>
    <cellStyle name="Normal 4 3 3 2 3 2 3" xfId="24430" xr:uid="{DAEC7A03-D0A1-4BA7-819A-1BC9CB1B3575}"/>
    <cellStyle name="Normal 4 3 3 2 3 2 4" xfId="18770" xr:uid="{F49A36BA-B027-4752-BD0E-B11B2BAF3742}"/>
    <cellStyle name="Normal 4 3 3 2 3 2 5" xfId="30091" xr:uid="{0F20059F-CC21-4835-828C-0597B53926FA}"/>
    <cellStyle name="Normal 4 3 3 2 3 2 6" xfId="39891" xr:uid="{C26E6B08-4C7A-4773-8E7D-378A3B3E3D27}"/>
    <cellStyle name="Normal 4 3 3 2 3 3" xfId="13966" xr:uid="{00000000-0005-0000-0000-0000D31C0000}"/>
    <cellStyle name="Normal 4 3 3 2 3 3 2" xfId="26007" xr:uid="{8C5BD187-EDA1-474B-9F76-2B45F1F5A5C7}"/>
    <cellStyle name="Normal 4 3 3 2 3 3 3" xfId="20347" xr:uid="{D073D2B0-4BB4-4081-B172-202ABDEBBE7D}"/>
    <cellStyle name="Normal 4 3 3 2 3 3 4" xfId="31387" xr:uid="{E0FB4011-E74B-4FE4-B6A0-1BA46367B23A}"/>
    <cellStyle name="Normal 4 3 3 2 3 3 5" xfId="39893" xr:uid="{099AA6B5-0823-4306-B62A-266F277D29F0}"/>
    <cellStyle name="Normal 4 3 3 2 3 4" xfId="22868" xr:uid="{C5F5E471-9398-4E59-BFFB-6226A91B6C9A}"/>
    <cellStyle name="Normal 4 3 3 2 3 5" xfId="17208" xr:uid="{F1E7173C-A0D7-4406-B112-482E1F51CA3D}"/>
    <cellStyle name="Normal 4 3 3 2 3 6" xfId="28529" xr:uid="{2E22FC87-9821-4FF9-849E-1DA676A2F62F}"/>
    <cellStyle name="Normal 4 3 3 2 3 7" xfId="39890" xr:uid="{B8B0A2EC-A69E-40C3-8C12-D53089F70677}"/>
    <cellStyle name="Normal 4 3 3 2 4" xfId="6254" xr:uid="{00000000-0005-0000-0000-0000D41C0000}"/>
    <cellStyle name="Normal 4 3 3 2 4 2" xfId="7582" xr:uid="{00000000-0005-0000-0000-0000D51C0000}"/>
    <cellStyle name="Normal 4 3 3 2 4 2 2" xfId="16015" xr:uid="{00000000-0005-0000-0000-0000D61C0000}"/>
    <cellStyle name="Normal 4 3 3 2 4 2 2 2" xfId="27909" xr:uid="{3F30443E-5BA4-4DA4-B75F-20E3A956FDD0}"/>
    <cellStyle name="Normal 4 3 3 2 4 2 2 3" xfId="22249" xr:uid="{E0FEF408-1E6E-4E71-A81D-17DC0DB7D9C3}"/>
    <cellStyle name="Normal 4 3 3 2 4 2 2 4" xfId="33289" xr:uid="{24B0E3F6-A050-48FF-B952-FAD4B4B1C7D1}"/>
    <cellStyle name="Normal 4 3 3 2 4 2 2 5" xfId="39896" xr:uid="{0C9E718C-84E2-4160-A1EC-8219B3BC05C8}"/>
    <cellStyle name="Normal 4 3 3 2 4 2 3" xfId="25076" xr:uid="{26CA3C55-DBA4-414D-A2E4-406716FC2183}"/>
    <cellStyle name="Normal 4 3 3 2 4 2 4" xfId="19416" xr:uid="{D7559738-61E9-45B1-A66F-94464DEE2C99}"/>
    <cellStyle name="Normal 4 3 3 2 4 2 5" xfId="30737" xr:uid="{0142158F-DE1C-4D93-840B-8934D17A3745}"/>
    <cellStyle name="Normal 4 3 3 2 4 2 6" xfId="39895" xr:uid="{4E9F03F9-5572-44C0-B2C3-CE61F09B742D}"/>
    <cellStyle name="Normal 4 3 3 2 4 3" xfId="14697" xr:uid="{00000000-0005-0000-0000-0000D71C0000}"/>
    <cellStyle name="Normal 4 3 3 2 4 3 2" xfId="26653" xr:uid="{C8133532-6FC5-4845-A8C3-C14595374EA1}"/>
    <cellStyle name="Normal 4 3 3 2 4 3 3" xfId="20993" xr:uid="{EA6FD34D-44DD-4529-9DA4-D57FEF494C9C}"/>
    <cellStyle name="Normal 4 3 3 2 4 3 4" xfId="32033" xr:uid="{4D221508-5B64-46AA-A685-E67935EC90EB}"/>
    <cellStyle name="Normal 4 3 3 2 4 3 5" xfId="39897" xr:uid="{C22BF6F8-64B2-497B-BD75-16DE09E5283B}"/>
    <cellStyle name="Normal 4 3 3 2 4 4" xfId="23820" xr:uid="{08FCBCA7-481D-4F39-8A4E-C20A21DE660F}"/>
    <cellStyle name="Normal 4 3 3 2 4 5" xfId="18160" xr:uid="{6B2C64AB-E2DC-4692-99B8-7B18CF473BDF}"/>
    <cellStyle name="Normal 4 3 3 2 4 6" xfId="29481" xr:uid="{B00C712F-4984-4CA3-930D-99444DE4DB92}"/>
    <cellStyle name="Normal 4 3 3 2 4 7" xfId="39894" xr:uid="{41F41156-05C1-418C-8D53-5E3BE0D38BD0}"/>
    <cellStyle name="Normal 4 3 3 2 5" xfId="6518" xr:uid="{00000000-0005-0000-0000-0000D81C0000}"/>
    <cellStyle name="Normal 4 3 3 2 5 2" xfId="14951" xr:uid="{00000000-0005-0000-0000-0000D91C0000}"/>
    <cellStyle name="Normal 4 3 3 2 5 2 2" xfId="26845" xr:uid="{81609C8C-0EE2-4190-8284-EF3E8D9878A6}"/>
    <cellStyle name="Normal 4 3 3 2 5 2 3" xfId="21185" xr:uid="{0E373048-7A1B-4B34-8914-AAF5AD9576D2}"/>
    <cellStyle name="Normal 4 3 3 2 5 2 4" xfId="32225" xr:uid="{68CED5AB-EA17-4578-AE18-735DACE2A17E}"/>
    <cellStyle name="Normal 4 3 3 2 5 2 5" xfId="39899" xr:uid="{2C18AF00-6B77-43D9-96B6-D8C01DAD82FC}"/>
    <cellStyle name="Normal 4 3 3 2 5 3" xfId="24012" xr:uid="{CCD6F8D0-8095-4442-8B8B-DBB69BAD7B55}"/>
    <cellStyle name="Normal 4 3 3 2 5 4" xfId="18352" xr:uid="{23196AE6-3F17-42E4-B0D5-9C07A7745C16}"/>
    <cellStyle name="Normal 4 3 3 2 5 5" xfId="29673" xr:uid="{924BE1F7-F684-49FA-A862-2F3D3FEF466C}"/>
    <cellStyle name="Normal 4 3 3 2 5 6" xfId="39898" xr:uid="{30DB2227-CFC5-4233-9ECE-71F3CD4B4992}"/>
    <cellStyle name="Normal 4 3 3 2 6" xfId="8024" xr:uid="{00000000-0005-0000-0000-0000DA1C0000}"/>
    <cellStyle name="Normal 4 3 3 2 6 2" xfId="25503" xr:uid="{66B9329A-2FAA-47DB-83FA-FF49D949B2B7}"/>
    <cellStyle name="Normal 4 3 3 2 6 3" xfId="19843" xr:uid="{6F0D36F3-AF20-4740-B73B-99B1D9A722A5}"/>
    <cellStyle name="Normal 4 3 3 2 6 4" xfId="31164" xr:uid="{DF0961D6-5380-4710-AD95-030932463AC0}"/>
    <cellStyle name="Normal 4 3 3 2 6 5" xfId="39900" xr:uid="{43A80475-23C1-41E1-917F-4683E6FC04A5}"/>
    <cellStyle name="Normal 4 3 3 2 7" xfId="22450" xr:uid="{7DEDA9DA-FF46-4D92-BB6D-BA47EC3C5EBB}"/>
    <cellStyle name="Normal 4 3 3 2 8" xfId="16790" xr:uid="{EA7C82AF-4229-4971-B975-43C7A3F77712}"/>
    <cellStyle name="Normal 4 3 3 2 9" xfId="28111" xr:uid="{901A7B43-08E5-404D-AD4D-8B8B96B2FA51}"/>
    <cellStyle name="Normal 4 3 3 3" xfId="4271" xr:uid="{00000000-0005-0000-0000-0000DB1C0000}"/>
    <cellStyle name="Normal 4 3 3 3 2" xfId="39901" xr:uid="{7B4E20F8-0F05-4576-BAB7-E3F3B658C097}"/>
    <cellStyle name="Normal 4 3 3 4" xfId="4829" xr:uid="{00000000-0005-0000-0000-0000DC1C0000}"/>
    <cellStyle name="Normal 4 3 3 4 2" xfId="5250" xr:uid="{00000000-0005-0000-0000-0000DD1C0000}"/>
    <cellStyle name="Normal 4 3 3 4 2 2" xfId="7113" xr:uid="{00000000-0005-0000-0000-0000DE1C0000}"/>
    <cellStyle name="Normal 4 3 3 4 2 2 2" xfId="15546" xr:uid="{00000000-0005-0000-0000-0000DF1C0000}"/>
    <cellStyle name="Normal 4 3 3 4 2 2 2 2" xfId="27440" xr:uid="{F39DFD50-C71D-4A40-8563-7A23DF9E1D34}"/>
    <cellStyle name="Normal 4 3 3 4 2 2 2 3" xfId="21780" xr:uid="{DD243687-AD39-480B-B6E6-D58AD242A2AE}"/>
    <cellStyle name="Normal 4 3 3 4 2 2 2 4" xfId="32820" xr:uid="{BF339CF8-1665-4452-8055-F3EDAC5B1B34}"/>
    <cellStyle name="Normal 4 3 3 4 2 2 2 5" xfId="39905" xr:uid="{AAA00876-EFEB-43E9-888E-7DE68FF8B247}"/>
    <cellStyle name="Normal 4 3 3 4 2 2 3" xfId="24607" xr:uid="{8B150A8D-6AFC-4951-A3D3-AEF2BEE2847A}"/>
    <cellStyle name="Normal 4 3 3 4 2 2 4" xfId="18947" xr:uid="{374205FA-B23F-4435-AED5-359F9BA150B4}"/>
    <cellStyle name="Normal 4 3 3 4 2 2 5" xfId="30268" xr:uid="{F758B63F-3EC4-4CBB-9125-81A720CEAFEA}"/>
    <cellStyle name="Normal 4 3 3 4 2 2 6" xfId="39904" xr:uid="{A9A73717-27EA-42D4-9C0C-27401E44F0B9}"/>
    <cellStyle name="Normal 4 3 3 4 2 3" xfId="14136" xr:uid="{00000000-0005-0000-0000-0000E01C0000}"/>
    <cellStyle name="Normal 4 3 3 4 2 3 2" xfId="26175" xr:uid="{278BBF01-7D0A-4D63-8B8C-3F3164044D37}"/>
    <cellStyle name="Normal 4 3 3 4 2 3 3" xfId="20515" xr:uid="{03484523-7728-42AC-8E21-FCE838343C23}"/>
    <cellStyle name="Normal 4 3 3 4 2 3 4" xfId="31555" xr:uid="{9CFAE856-5652-4AB1-8BD0-ED8175A1F4FA}"/>
    <cellStyle name="Normal 4 3 3 4 2 3 5" xfId="39906" xr:uid="{FF4D5837-6EC3-497B-B8EC-9D965DA756C5}"/>
    <cellStyle name="Normal 4 3 3 4 2 4" xfId="23045" xr:uid="{F4273CAB-AE94-432A-921A-27E3C0A6A157}"/>
    <cellStyle name="Normal 4 3 3 4 2 5" xfId="17385" xr:uid="{54F2A4E6-CD72-41C2-B98B-EBDD71D4A186}"/>
    <cellStyle name="Normal 4 3 3 4 2 6" xfId="28706" xr:uid="{7A417125-26E9-4B67-B307-81BBA99E685F}"/>
    <cellStyle name="Normal 4 3 3 4 2 7" xfId="39903" xr:uid="{D67A5D5E-E325-4AEF-857D-7BB346B21F6B}"/>
    <cellStyle name="Normal 4 3 3 4 3" xfId="6256" xr:uid="{00000000-0005-0000-0000-0000E11C0000}"/>
    <cellStyle name="Normal 4 3 3 4 3 2" xfId="7584" xr:uid="{00000000-0005-0000-0000-0000E21C0000}"/>
    <cellStyle name="Normal 4 3 3 4 3 2 2" xfId="16017" xr:uid="{00000000-0005-0000-0000-0000E31C0000}"/>
    <cellStyle name="Normal 4 3 3 4 3 2 2 2" xfId="27911" xr:uid="{7A51C61C-04FF-451B-B771-7BFA911C8B35}"/>
    <cellStyle name="Normal 4 3 3 4 3 2 2 3" xfId="22251" xr:uid="{36A7B2AD-ABE1-455E-95AA-CF4FB7441F1A}"/>
    <cellStyle name="Normal 4 3 3 4 3 2 2 4" xfId="33291" xr:uid="{38DA8C82-210A-4225-9A69-3640E1181329}"/>
    <cellStyle name="Normal 4 3 3 4 3 2 2 5" xfId="39909" xr:uid="{0177A514-C1AD-4992-A537-8E5D8731C546}"/>
    <cellStyle name="Normal 4 3 3 4 3 2 3" xfId="25078" xr:uid="{E29D7BF5-0BB6-49C0-A7A3-DEFFE53593C6}"/>
    <cellStyle name="Normal 4 3 3 4 3 2 4" xfId="19418" xr:uid="{0DECACC8-AFA8-441E-AC1A-522608D89503}"/>
    <cellStyle name="Normal 4 3 3 4 3 2 5" xfId="30739" xr:uid="{748C2593-AA27-4378-AE04-640301FDDA4F}"/>
    <cellStyle name="Normal 4 3 3 4 3 2 6" xfId="39908" xr:uid="{F9BEA93B-D15B-42A3-81BD-43E100014A4D}"/>
    <cellStyle name="Normal 4 3 3 4 3 3" xfId="14699" xr:uid="{00000000-0005-0000-0000-0000E41C0000}"/>
    <cellStyle name="Normal 4 3 3 4 3 3 2" xfId="26655" xr:uid="{1DDFAB44-0C69-4746-A08E-6DBB1FE1B93E}"/>
    <cellStyle name="Normal 4 3 3 4 3 3 3" xfId="20995" xr:uid="{073BA3BA-0F47-4B31-9D48-D394FA4CEFBB}"/>
    <cellStyle name="Normal 4 3 3 4 3 3 4" xfId="32035" xr:uid="{FD29E4BB-249B-4C1A-9DB1-4FEAEB3F40E0}"/>
    <cellStyle name="Normal 4 3 3 4 3 3 5" xfId="39910" xr:uid="{51995AE9-7AA9-486D-A8FD-895DCD191227}"/>
    <cellStyle name="Normal 4 3 3 4 3 4" xfId="23822" xr:uid="{ACE8EBC6-592E-4864-9B84-52BFFD44A5C5}"/>
    <cellStyle name="Normal 4 3 3 4 3 5" xfId="18162" xr:uid="{265CAA73-D13A-4F14-AE90-B48E12A46135}"/>
    <cellStyle name="Normal 4 3 3 4 3 6" xfId="29483" xr:uid="{29E19C97-815C-43C6-83DA-5A993426615D}"/>
    <cellStyle name="Normal 4 3 3 4 3 7" xfId="39907" xr:uid="{6903A180-FCF6-4119-962A-2080F2AD1917}"/>
    <cellStyle name="Normal 4 3 3 4 4" xfId="6695" xr:uid="{00000000-0005-0000-0000-0000E51C0000}"/>
    <cellStyle name="Normal 4 3 3 4 4 2" xfId="15128" xr:uid="{00000000-0005-0000-0000-0000E61C0000}"/>
    <cellStyle name="Normal 4 3 3 4 4 2 2" xfId="27022" xr:uid="{DBC751EF-AD92-4BBE-B97C-1666DB3A76BE}"/>
    <cellStyle name="Normal 4 3 3 4 4 2 3" xfId="21362" xr:uid="{CEEB6B48-9215-4939-B31D-067C9D3A10F4}"/>
    <cellStyle name="Normal 4 3 3 4 4 2 4" xfId="32402" xr:uid="{6860A345-5B30-400A-9EA8-21DF44118D15}"/>
    <cellStyle name="Normal 4 3 3 4 4 2 5" xfId="39912" xr:uid="{A54D27FE-B2B3-41B3-AFAF-EF7626B6A1D4}"/>
    <cellStyle name="Normal 4 3 3 4 4 3" xfId="24189" xr:uid="{9A7B834C-8AC7-4814-8A55-6D8301C3B687}"/>
    <cellStyle name="Normal 4 3 3 4 4 4" xfId="18529" xr:uid="{C674A08D-03B5-4498-A683-C9E4CA4D9145}"/>
    <cellStyle name="Normal 4 3 3 4 4 5" xfId="29850" xr:uid="{B660FB18-7114-4C8F-9DFE-9FF2858BC748}"/>
    <cellStyle name="Normal 4 3 3 4 4 6" xfId="39911" xr:uid="{6E63CBA3-9D2B-4CE2-8393-3C74E9261772}"/>
    <cellStyle name="Normal 4 3 3 4 5" xfId="8026" xr:uid="{00000000-0005-0000-0000-0000E71C0000}"/>
    <cellStyle name="Normal 4 3 3 4 5 2" xfId="25505" xr:uid="{537F1F8F-5C9A-4E95-8A27-3917D47F47D2}"/>
    <cellStyle name="Normal 4 3 3 4 5 3" xfId="19845" xr:uid="{BEB8EB5D-533B-4CB0-AB14-DC08D8CC9544}"/>
    <cellStyle name="Normal 4 3 3 4 5 4" xfId="31166" xr:uid="{253A8E6A-BF57-4CFA-9680-0698D676FB7B}"/>
    <cellStyle name="Normal 4 3 3 4 5 5" xfId="39913" xr:uid="{4E409098-9165-4237-9C47-8B0724AE6989}"/>
    <cellStyle name="Normal 4 3 3 4 6" xfId="22627" xr:uid="{19779978-D32A-4B9F-9546-D2EAB9965338}"/>
    <cellStyle name="Normal 4 3 3 4 7" xfId="16967" xr:uid="{C9168BCA-C27A-4E80-B41F-EFD590CFF7C4}"/>
    <cellStyle name="Normal 4 3 3 4 8" xfId="28288" xr:uid="{20B2B04E-3B18-46DF-B563-2A9AB5F8EC92}"/>
    <cellStyle name="Normal 4 3 3 4 9" xfId="39902" xr:uid="{ACB480A3-9DA3-415B-90A1-085406024DD3}"/>
    <cellStyle name="Normal 4 3 3 5" xfId="5041" xr:uid="{00000000-0005-0000-0000-0000E81C0000}"/>
    <cellStyle name="Normal 4 3 3 5 2" xfId="6253" xr:uid="{00000000-0005-0000-0000-0000E91C0000}"/>
    <cellStyle name="Normal 4 3 3 5 2 2" xfId="7581" xr:uid="{00000000-0005-0000-0000-0000EA1C0000}"/>
    <cellStyle name="Normal 4 3 3 5 2 2 2" xfId="16014" xr:uid="{00000000-0005-0000-0000-0000EB1C0000}"/>
    <cellStyle name="Normal 4 3 3 5 2 2 2 2" xfId="27908" xr:uid="{510FC3B6-DF97-4E09-9533-7F5490CA9A5C}"/>
    <cellStyle name="Normal 4 3 3 5 2 2 2 3" xfId="22248" xr:uid="{E5819543-3D41-48EF-BE4E-D4C39C7AC0A5}"/>
    <cellStyle name="Normal 4 3 3 5 2 2 2 4" xfId="33288" xr:uid="{EAB453CE-9947-4894-92EB-388274A5ADB8}"/>
    <cellStyle name="Normal 4 3 3 5 2 2 2 5" xfId="39917" xr:uid="{7F5EC767-64CF-42FF-BB89-9A0E9F54356A}"/>
    <cellStyle name="Normal 4 3 3 5 2 2 3" xfId="25075" xr:uid="{ADA3791F-B8EF-4B69-8E8D-484DCB01DBB8}"/>
    <cellStyle name="Normal 4 3 3 5 2 2 4" xfId="19415" xr:uid="{5EB82D45-EB8C-4442-9990-FEC5759A861F}"/>
    <cellStyle name="Normal 4 3 3 5 2 2 5" xfId="30736" xr:uid="{85F946F2-7111-4C3D-B896-3E6BFC31D0E8}"/>
    <cellStyle name="Normal 4 3 3 5 2 2 6" xfId="39916" xr:uid="{6BDFF776-DEB2-4702-BF73-8C2455E7E7D5}"/>
    <cellStyle name="Normal 4 3 3 5 2 3" xfId="14696" xr:uid="{00000000-0005-0000-0000-0000EC1C0000}"/>
    <cellStyle name="Normal 4 3 3 5 2 3 2" xfId="26652" xr:uid="{756E69C9-1083-4653-B75E-32AEB781D83E}"/>
    <cellStyle name="Normal 4 3 3 5 2 3 3" xfId="20992" xr:uid="{1F66AAA7-BBC0-48B9-B532-FE68EEB25EF4}"/>
    <cellStyle name="Normal 4 3 3 5 2 3 4" xfId="32032" xr:uid="{9DE31836-9656-46F0-88A6-5828A12C36D2}"/>
    <cellStyle name="Normal 4 3 3 5 2 3 5" xfId="39918" xr:uid="{6C9E68CD-AEF4-4450-9021-413445903AEA}"/>
    <cellStyle name="Normal 4 3 3 5 2 4" xfId="23819" xr:uid="{21F5EE94-9B35-4419-B1F4-95DF9C157088}"/>
    <cellStyle name="Normal 4 3 3 5 2 5" xfId="18159" xr:uid="{70F0D58E-991B-4B57-AA36-26FE3429CD90}"/>
    <cellStyle name="Normal 4 3 3 5 2 6" xfId="29480" xr:uid="{41AA8E20-A84C-47CF-A811-054952CFFBC0}"/>
    <cellStyle name="Normal 4 3 3 5 2 7" xfId="39915" xr:uid="{E6887236-AE00-4A88-B025-3CAAF419363B}"/>
    <cellStyle name="Normal 4 3 3 5 3" xfId="6904" xr:uid="{00000000-0005-0000-0000-0000ED1C0000}"/>
    <cellStyle name="Normal 4 3 3 5 3 2" xfId="15337" xr:uid="{00000000-0005-0000-0000-0000EE1C0000}"/>
    <cellStyle name="Normal 4 3 3 5 3 2 2" xfId="27231" xr:uid="{5C570768-F2D7-46D1-80AD-F67286332222}"/>
    <cellStyle name="Normal 4 3 3 5 3 2 3" xfId="21571" xr:uid="{0C829364-EFB5-4D3A-B308-DE4EC8F636BC}"/>
    <cellStyle name="Normal 4 3 3 5 3 2 4" xfId="32611" xr:uid="{32149E16-B73E-415A-88AC-E96FB2674674}"/>
    <cellStyle name="Normal 4 3 3 5 3 2 5" xfId="39920" xr:uid="{698A9CC8-7D8F-43AE-AFD5-0844704E5841}"/>
    <cellStyle name="Normal 4 3 3 5 3 3" xfId="24398" xr:uid="{2CEA37B3-D360-4098-B75C-7AEEAD3B0CF9}"/>
    <cellStyle name="Normal 4 3 3 5 3 4" xfId="18738" xr:uid="{B67ED243-555C-4B41-B2BE-8385CFF2F581}"/>
    <cellStyle name="Normal 4 3 3 5 3 5" xfId="30059" xr:uid="{3442E83E-B8E4-43CA-B66D-A7FC706752BD}"/>
    <cellStyle name="Normal 4 3 3 5 3 6" xfId="39919" xr:uid="{8A7F55A5-AA95-4D9F-936E-4A6920F65C77}"/>
    <cellStyle name="Normal 4 3 3 5 4" xfId="8027" xr:uid="{00000000-0005-0000-0000-0000EF1C0000}"/>
    <cellStyle name="Normal 4 3 3 5 4 2" xfId="25506" xr:uid="{E7EBCC5C-7B74-442F-9011-C379C08D5BA9}"/>
    <cellStyle name="Normal 4 3 3 5 4 3" xfId="19846" xr:uid="{8B5A4E92-611A-448E-8BAC-6DB28C266D43}"/>
    <cellStyle name="Normal 4 3 3 5 4 4" xfId="31167" xr:uid="{F318887A-BE80-401D-B27F-A22ABA59062E}"/>
    <cellStyle name="Normal 4 3 3 5 4 5" xfId="39921" xr:uid="{D48F6B63-11C0-417C-84CB-658F3ACAF3D7}"/>
    <cellStyle name="Normal 4 3 3 5 5" xfId="22836" xr:uid="{A2E5571B-A979-4FB0-8FDF-E9DE3CC4B5BC}"/>
    <cellStyle name="Normal 4 3 3 5 6" xfId="17176" xr:uid="{0FE50782-038E-4A8D-AC32-F479EECDE50A}"/>
    <cellStyle name="Normal 4 3 3 5 7" xfId="28497" xr:uid="{50452AC8-8E6C-40C3-8B62-3CEEAB7734CA}"/>
    <cellStyle name="Normal 4 3 3 5 8" xfId="39914" xr:uid="{2EDC5739-0544-4999-988B-613CCE7B522C}"/>
    <cellStyle name="Normal 4 3 3 6" xfId="6486" xr:uid="{00000000-0005-0000-0000-0000F01C0000}"/>
    <cellStyle name="Normal 4 3 3 6 2" xfId="14919" xr:uid="{00000000-0005-0000-0000-0000F11C0000}"/>
    <cellStyle name="Normal 4 3 3 6 2 2" xfId="26813" xr:uid="{57727F28-ECF4-45E5-A3B8-538D4E19F179}"/>
    <cellStyle name="Normal 4 3 3 6 2 3" xfId="21153" xr:uid="{79C4CE3E-545D-4E7B-8941-E0BB015DD638}"/>
    <cellStyle name="Normal 4 3 3 6 2 4" xfId="32193" xr:uid="{E381B5E8-BE94-438F-913E-CF6B4A90451B}"/>
    <cellStyle name="Normal 4 3 3 6 2 5" xfId="39923" xr:uid="{9D4D13FC-18FC-46F4-AA98-B6A4C8654D26}"/>
    <cellStyle name="Normal 4 3 3 6 3" xfId="23980" xr:uid="{67FF17B4-3A03-4D34-A184-A5555B11EA65}"/>
    <cellStyle name="Normal 4 3 3 6 4" xfId="18320" xr:uid="{E6CDC791-AB97-409A-B702-9FB6E81A474A}"/>
    <cellStyle name="Normal 4 3 3 6 5" xfId="29641" xr:uid="{C9A25375-F69C-4C7E-859B-CED7E61513CE}"/>
    <cellStyle name="Normal 4 3 3 6 6" xfId="39922" xr:uid="{D7D5AF9E-47A8-4B83-B950-5D8BEA6CAFA5}"/>
    <cellStyle name="Normal 4 3 3 7" xfId="22418" xr:uid="{BD9B6692-BEDB-4DD5-B839-4E5CFDCFD300}"/>
    <cellStyle name="Normal 4 3 3 8" xfId="16758" xr:uid="{DAEB44E0-94CE-4A76-8D79-A64A154E895D}"/>
    <cellStyle name="Normal 4 3 3 9" xfId="28079" xr:uid="{24AEFDAD-CDEB-48DC-AB34-1C4BE38B27B6}"/>
    <cellStyle name="Normal 4 3 4" xfId="316" xr:uid="{00000000-0005-0000-0000-0000F21C0000}"/>
    <cellStyle name="Normal 4 3 4 10" xfId="39924" xr:uid="{1D2FA55E-6189-430D-B0F9-90323789500D}"/>
    <cellStyle name="Normal 4 3 4 2" xfId="2220" xr:uid="{00000000-0005-0000-0000-0000F31C0000}"/>
    <cellStyle name="Normal 4 3 4 2 2" xfId="39925" xr:uid="{D501A90D-D0B4-476A-959F-C49104C9FA96}"/>
    <cellStyle name="Normal 4 3 4 3" xfId="4272" xr:uid="{00000000-0005-0000-0000-0000F41C0000}"/>
    <cellStyle name="Normal 4 3 4 3 2" xfId="39926" xr:uid="{761AAE52-7FED-4F85-B3E7-D17376AC58B5}"/>
    <cellStyle name="Normal 4 3 4 4" xfId="4828" xr:uid="{00000000-0005-0000-0000-0000F51C0000}"/>
    <cellStyle name="Normal 4 3 4 4 2" xfId="5249" xr:uid="{00000000-0005-0000-0000-0000F61C0000}"/>
    <cellStyle name="Normal 4 3 4 4 2 2" xfId="7112" xr:uid="{00000000-0005-0000-0000-0000F71C0000}"/>
    <cellStyle name="Normal 4 3 4 4 2 2 2" xfId="15545" xr:uid="{00000000-0005-0000-0000-0000F81C0000}"/>
    <cellStyle name="Normal 4 3 4 4 2 2 2 2" xfId="27439" xr:uid="{F85F5C1C-1739-40B5-8B64-B548739B72AF}"/>
    <cellStyle name="Normal 4 3 4 4 2 2 2 3" xfId="21779" xr:uid="{E9E7D538-E56F-4E3B-81F1-AD295E7E5FC0}"/>
    <cellStyle name="Normal 4 3 4 4 2 2 2 4" xfId="32819" xr:uid="{9CF91E1A-E7EB-44AC-A13C-F05B341B69FC}"/>
    <cellStyle name="Normal 4 3 4 4 2 2 2 5" xfId="39930" xr:uid="{D908CBD1-B4A2-4592-9E30-ADF14FBE023F}"/>
    <cellStyle name="Normal 4 3 4 4 2 2 3" xfId="24606" xr:uid="{D03CFAE9-13C0-4C71-99EF-CC09F6A34942}"/>
    <cellStyle name="Normal 4 3 4 4 2 2 4" xfId="18946" xr:uid="{38DD4A0E-B799-49EC-B569-145C376E5A78}"/>
    <cellStyle name="Normal 4 3 4 4 2 2 5" xfId="30267" xr:uid="{F3FCB82B-EC28-499F-AFD4-40C5CF54346C}"/>
    <cellStyle name="Normal 4 3 4 4 2 2 6" xfId="39929" xr:uid="{A6E5E32D-EE58-4724-B9AB-CF4383DF816D}"/>
    <cellStyle name="Normal 4 3 4 4 2 3" xfId="14135" xr:uid="{00000000-0005-0000-0000-0000F91C0000}"/>
    <cellStyle name="Normal 4 3 4 4 2 3 2" xfId="26174" xr:uid="{DAF38A9F-9B16-4012-9B1C-2A3B4DD3AA29}"/>
    <cellStyle name="Normal 4 3 4 4 2 3 3" xfId="20514" xr:uid="{3C9A25E2-B154-4F1D-A020-E6F08140A07E}"/>
    <cellStyle name="Normal 4 3 4 4 2 3 4" xfId="31554" xr:uid="{400106A6-17C1-42A8-8FB4-9F5A8513E3DD}"/>
    <cellStyle name="Normal 4 3 4 4 2 3 5" xfId="39931" xr:uid="{44B2DDB0-6692-4A7D-85EA-419A7C02F359}"/>
    <cellStyle name="Normal 4 3 4 4 2 4" xfId="23044" xr:uid="{AC629A54-9464-4983-AA3A-E9CA66819A2C}"/>
    <cellStyle name="Normal 4 3 4 4 2 5" xfId="17384" xr:uid="{2B430596-4A4E-4DF3-99A2-B4BEC5498A0D}"/>
    <cellStyle name="Normal 4 3 4 4 2 6" xfId="28705" xr:uid="{DE7DAC28-4B68-47FE-A8F8-A2F576B7E3F6}"/>
    <cellStyle name="Normal 4 3 4 4 2 7" xfId="39928" xr:uid="{9F3E259C-752D-487F-9D46-7EC434157361}"/>
    <cellStyle name="Normal 4 3 4 4 3" xfId="6258" xr:uid="{00000000-0005-0000-0000-0000FA1C0000}"/>
    <cellStyle name="Normal 4 3 4 4 3 2" xfId="7586" xr:uid="{00000000-0005-0000-0000-0000FB1C0000}"/>
    <cellStyle name="Normal 4 3 4 4 3 2 2" xfId="16019" xr:uid="{00000000-0005-0000-0000-0000FC1C0000}"/>
    <cellStyle name="Normal 4 3 4 4 3 2 2 2" xfId="27913" xr:uid="{2521EC8D-158E-4D53-A400-B76CAAD9781C}"/>
    <cellStyle name="Normal 4 3 4 4 3 2 2 3" xfId="22253" xr:uid="{88530CD0-0A65-4A7D-BE63-9FBBAE25A858}"/>
    <cellStyle name="Normal 4 3 4 4 3 2 2 4" xfId="33293" xr:uid="{A59D94B3-8822-4172-AAD6-F24786689ECC}"/>
    <cellStyle name="Normal 4 3 4 4 3 2 2 5" xfId="39934" xr:uid="{B39E0BDD-CBB9-4D04-A1E6-9ED530A6B446}"/>
    <cellStyle name="Normal 4 3 4 4 3 2 3" xfId="25080" xr:uid="{1DDCEDC2-8A0F-46F9-9574-8F47519AA261}"/>
    <cellStyle name="Normal 4 3 4 4 3 2 4" xfId="19420" xr:uid="{B1AB5E72-2A60-4C70-B351-F7AB299DA293}"/>
    <cellStyle name="Normal 4 3 4 4 3 2 5" xfId="30741" xr:uid="{150D6000-8CD5-4B05-9B71-2269E6EF5288}"/>
    <cellStyle name="Normal 4 3 4 4 3 2 6" xfId="39933" xr:uid="{DBEAC9BE-DC02-459A-8190-7B404EA6D0FF}"/>
    <cellStyle name="Normal 4 3 4 4 3 3" xfId="14701" xr:uid="{00000000-0005-0000-0000-0000FD1C0000}"/>
    <cellStyle name="Normal 4 3 4 4 3 3 2" xfId="26657" xr:uid="{EE3A2D70-DF55-4570-839D-1021DC0F3CB9}"/>
    <cellStyle name="Normal 4 3 4 4 3 3 3" xfId="20997" xr:uid="{E4342B13-56FE-4CF9-AB6B-C2A2DB743555}"/>
    <cellStyle name="Normal 4 3 4 4 3 3 4" xfId="32037" xr:uid="{BD9B7491-E68C-4919-A087-0A962C87D211}"/>
    <cellStyle name="Normal 4 3 4 4 3 3 5" xfId="39935" xr:uid="{77802B9A-4625-4FFC-98E4-91081EC08FF8}"/>
    <cellStyle name="Normal 4 3 4 4 3 4" xfId="23824" xr:uid="{D1484F9B-9557-46F2-A8FF-BF30D7C7CC35}"/>
    <cellStyle name="Normal 4 3 4 4 3 5" xfId="18164" xr:uid="{37FE6832-260D-4131-AA94-A488997FB9A5}"/>
    <cellStyle name="Normal 4 3 4 4 3 6" xfId="29485" xr:uid="{2FE8EEC6-EE19-4FD5-BEDE-E9CD7906E141}"/>
    <cellStyle name="Normal 4 3 4 4 3 7" xfId="39932" xr:uid="{CBEA6ADF-77F1-4415-8555-B2F2E7792E41}"/>
    <cellStyle name="Normal 4 3 4 4 4" xfId="6694" xr:uid="{00000000-0005-0000-0000-0000FE1C0000}"/>
    <cellStyle name="Normal 4 3 4 4 4 2" xfId="15127" xr:uid="{00000000-0005-0000-0000-0000FF1C0000}"/>
    <cellStyle name="Normal 4 3 4 4 4 2 2" xfId="27021" xr:uid="{E465150E-949E-46C3-B8EE-75E528C41939}"/>
    <cellStyle name="Normal 4 3 4 4 4 2 3" xfId="21361" xr:uid="{E5F76A21-AE9D-427A-AD7D-8106577C7E90}"/>
    <cellStyle name="Normal 4 3 4 4 4 2 4" xfId="32401" xr:uid="{493B88D0-1A1E-46B2-9BFA-8D0AB7611D1A}"/>
    <cellStyle name="Normal 4 3 4 4 4 2 5" xfId="39937" xr:uid="{2A7BD7EE-E0AB-4995-8690-C1C6741DDD44}"/>
    <cellStyle name="Normal 4 3 4 4 4 3" xfId="24188" xr:uid="{AE1D7B1C-5BDF-4215-B759-C06B636F0D32}"/>
    <cellStyle name="Normal 4 3 4 4 4 4" xfId="18528" xr:uid="{6A2DD59C-E0D1-4A3E-ADA6-B07D1BECF8A0}"/>
    <cellStyle name="Normal 4 3 4 4 4 5" xfId="29849" xr:uid="{5FED121C-B684-4C21-9508-71A42DC8FF43}"/>
    <cellStyle name="Normal 4 3 4 4 4 6" xfId="39936" xr:uid="{FBFA306C-CB2F-445F-BBD8-5A588E4E4A61}"/>
    <cellStyle name="Normal 4 3 4 4 5" xfId="8028" xr:uid="{00000000-0005-0000-0000-0000001D0000}"/>
    <cellStyle name="Normal 4 3 4 4 5 2" xfId="25507" xr:uid="{1CF84332-00DE-4120-BB8A-1118B2D940C0}"/>
    <cellStyle name="Normal 4 3 4 4 5 3" xfId="19847" xr:uid="{64800081-5823-404D-9AF5-AB4E22576A64}"/>
    <cellStyle name="Normal 4 3 4 4 5 4" xfId="31168" xr:uid="{2A7DE535-90BB-4961-8C09-8EC9F5E5E58A}"/>
    <cellStyle name="Normal 4 3 4 4 5 5" xfId="39938" xr:uid="{1DC32C68-89F2-43D0-AEAC-91A9FE5E4C29}"/>
    <cellStyle name="Normal 4 3 4 4 6" xfId="22626" xr:uid="{946B5CB1-6AE7-4AD0-9F3E-C70ECC9FA6AA}"/>
    <cellStyle name="Normal 4 3 4 4 7" xfId="16966" xr:uid="{BE1B8552-4788-4F92-8C8E-4A1A24CCC49A}"/>
    <cellStyle name="Normal 4 3 4 4 8" xfId="28287" xr:uid="{6A31209C-1CA1-428C-8E45-4DAD55AD710E}"/>
    <cellStyle name="Normal 4 3 4 4 9" xfId="39927" xr:uid="{468462CF-9492-41ED-BB7E-B88290F0C5BE}"/>
    <cellStyle name="Normal 4 3 4 5" xfId="5040" xr:uid="{00000000-0005-0000-0000-0000011D0000}"/>
    <cellStyle name="Normal 4 3 4 5 2" xfId="6257" xr:uid="{00000000-0005-0000-0000-0000021D0000}"/>
    <cellStyle name="Normal 4 3 4 5 2 2" xfId="7585" xr:uid="{00000000-0005-0000-0000-0000031D0000}"/>
    <cellStyle name="Normal 4 3 4 5 2 2 2" xfId="16018" xr:uid="{00000000-0005-0000-0000-0000041D0000}"/>
    <cellStyle name="Normal 4 3 4 5 2 2 2 2" xfId="27912" xr:uid="{6B064514-8510-4F3F-886D-7D94F20E5F62}"/>
    <cellStyle name="Normal 4 3 4 5 2 2 2 3" xfId="22252" xr:uid="{66325C78-E3AC-4E98-BB62-24E08E78E967}"/>
    <cellStyle name="Normal 4 3 4 5 2 2 2 4" xfId="33292" xr:uid="{61FE1618-2EC1-4DE5-B82F-987554999E4C}"/>
    <cellStyle name="Normal 4 3 4 5 2 2 2 5" xfId="39942" xr:uid="{56A1E735-CE9F-4411-BD20-690274602B2C}"/>
    <cellStyle name="Normal 4 3 4 5 2 2 3" xfId="25079" xr:uid="{65157022-2C61-4C26-988A-AB55DA146B16}"/>
    <cellStyle name="Normal 4 3 4 5 2 2 4" xfId="19419" xr:uid="{7A7A423E-61E0-4C53-8E5D-ACCE99948C34}"/>
    <cellStyle name="Normal 4 3 4 5 2 2 5" xfId="30740" xr:uid="{DC4937A4-67F0-4661-98AF-25765B0F41B2}"/>
    <cellStyle name="Normal 4 3 4 5 2 2 6" xfId="39941" xr:uid="{0D5CA58A-0D34-4C32-8F0A-069220A90EF5}"/>
    <cellStyle name="Normal 4 3 4 5 2 3" xfId="14700" xr:uid="{00000000-0005-0000-0000-0000051D0000}"/>
    <cellStyle name="Normal 4 3 4 5 2 3 2" xfId="26656" xr:uid="{903EBE38-FDAC-454B-888D-C57845E1A293}"/>
    <cellStyle name="Normal 4 3 4 5 2 3 3" xfId="20996" xr:uid="{280F6F21-7BF0-4D79-8922-E2FF7CCCEDBA}"/>
    <cellStyle name="Normal 4 3 4 5 2 3 4" xfId="32036" xr:uid="{9C41BBF9-5B38-4A9F-AA91-BCC7278BF22B}"/>
    <cellStyle name="Normal 4 3 4 5 2 3 5" xfId="39943" xr:uid="{EE6C4157-F874-4F48-A7AC-B0F2E12DEC93}"/>
    <cellStyle name="Normal 4 3 4 5 2 4" xfId="23823" xr:uid="{F659BB72-F174-4AE7-9F53-67CABFB6811F}"/>
    <cellStyle name="Normal 4 3 4 5 2 5" xfId="18163" xr:uid="{60650949-B39C-464F-A2F8-671C46A6A001}"/>
    <cellStyle name="Normal 4 3 4 5 2 6" xfId="29484" xr:uid="{DEA6B886-09E5-4E6F-9C8F-6DB5AE6325EF}"/>
    <cellStyle name="Normal 4 3 4 5 2 7" xfId="39940" xr:uid="{0497FB61-57AC-4243-81C2-778AB551C977}"/>
    <cellStyle name="Normal 4 3 4 5 3" xfId="6903" xr:uid="{00000000-0005-0000-0000-0000061D0000}"/>
    <cellStyle name="Normal 4 3 4 5 3 2" xfId="15336" xr:uid="{00000000-0005-0000-0000-0000071D0000}"/>
    <cellStyle name="Normal 4 3 4 5 3 2 2" xfId="27230" xr:uid="{6D3A6A20-5AA5-4069-9384-7820A20F6234}"/>
    <cellStyle name="Normal 4 3 4 5 3 2 3" xfId="21570" xr:uid="{A6FE9D18-956E-4A94-A27F-6AC7F4B26566}"/>
    <cellStyle name="Normal 4 3 4 5 3 2 4" xfId="32610" xr:uid="{A9ABC4CB-70F1-4B86-953E-56581FDF1B33}"/>
    <cellStyle name="Normal 4 3 4 5 3 2 5" xfId="39945" xr:uid="{43276135-F1DB-45F4-BFDA-E199D17103EC}"/>
    <cellStyle name="Normal 4 3 4 5 3 3" xfId="24397" xr:uid="{0EC1009E-2D07-4E5B-838C-FDD4EB36F6C4}"/>
    <cellStyle name="Normal 4 3 4 5 3 4" xfId="18737" xr:uid="{C4B30A8E-69C3-45E2-8868-D03CD2849EFD}"/>
    <cellStyle name="Normal 4 3 4 5 3 5" xfId="30058" xr:uid="{C9098E61-3DFC-4E42-8DC4-9CAE41FCE596}"/>
    <cellStyle name="Normal 4 3 4 5 3 6" xfId="39944" xr:uid="{ACDE6C36-3708-4786-AF1B-778DF16210C9}"/>
    <cellStyle name="Normal 4 3 4 5 4" xfId="8029" xr:uid="{00000000-0005-0000-0000-0000081D0000}"/>
    <cellStyle name="Normal 4 3 4 5 4 2" xfId="25508" xr:uid="{3B55695F-F4D0-48A5-8027-0DAF7D01A6E7}"/>
    <cellStyle name="Normal 4 3 4 5 4 3" xfId="19848" xr:uid="{B71AD97D-4D90-4FB4-AE58-FBDB71874690}"/>
    <cellStyle name="Normal 4 3 4 5 4 4" xfId="31169" xr:uid="{6640DFAA-8182-4F3B-816D-AA4510BB37E0}"/>
    <cellStyle name="Normal 4 3 4 5 4 5" xfId="39946" xr:uid="{4CA1E425-F846-4FB3-9F72-98965DADE3A0}"/>
    <cellStyle name="Normal 4 3 4 5 5" xfId="22835" xr:uid="{DEA07A7C-1CD1-4409-8E33-4B974EDB21A8}"/>
    <cellStyle name="Normal 4 3 4 5 6" xfId="17175" xr:uid="{C2A275EC-7D84-43F6-AA28-B23B9D67FE1A}"/>
    <cellStyle name="Normal 4 3 4 5 7" xfId="28496" xr:uid="{5F1F10D5-1926-4FC6-8492-637438BC339C}"/>
    <cellStyle name="Normal 4 3 4 5 8" xfId="39939" xr:uid="{D2D589DA-B57B-4A11-97C0-AE178707A977}"/>
    <cellStyle name="Normal 4 3 4 6" xfId="6485" xr:uid="{00000000-0005-0000-0000-0000091D0000}"/>
    <cellStyle name="Normal 4 3 4 6 2" xfId="14918" xr:uid="{00000000-0005-0000-0000-00000A1D0000}"/>
    <cellStyle name="Normal 4 3 4 6 2 2" xfId="26812" xr:uid="{0380BC0C-C641-410F-A7D3-A075884731EC}"/>
    <cellStyle name="Normal 4 3 4 6 2 3" xfId="21152" xr:uid="{7D90D202-27D4-49C8-A3FD-96193F058C61}"/>
    <cellStyle name="Normal 4 3 4 6 2 4" xfId="32192" xr:uid="{72EF203C-E154-4D42-8D35-C8305A9757CC}"/>
    <cellStyle name="Normal 4 3 4 6 2 5" xfId="39948" xr:uid="{73F116D1-68FA-446F-AB23-BDD7A2A68908}"/>
    <cellStyle name="Normal 4 3 4 6 3" xfId="23979" xr:uid="{EF162EA5-86FB-448B-B62A-5EC462061996}"/>
    <cellStyle name="Normal 4 3 4 6 4" xfId="18319" xr:uid="{E661CEF2-4DA5-4198-A19E-D124F3552105}"/>
    <cellStyle name="Normal 4 3 4 6 5" xfId="29640" xr:uid="{524DB38D-C479-4011-8546-CF446CFE4FB7}"/>
    <cellStyle name="Normal 4 3 4 6 6" xfId="39947" xr:uid="{75CDF433-0F90-4B36-BAE8-7A6958FE1830}"/>
    <cellStyle name="Normal 4 3 4 7" xfId="22417" xr:uid="{B008C5D2-B5C3-4BDC-8396-D5F20F0F79D0}"/>
    <cellStyle name="Normal 4 3 4 8" xfId="16757" xr:uid="{284A6AED-8C8C-4E3F-8B87-26BB4B48ECEB}"/>
    <cellStyle name="Normal 4 3 4 9" xfId="28078" xr:uid="{FF9D6F69-EB95-454E-9CA5-7FF354E71D03}"/>
    <cellStyle name="Normal 4 3 5" xfId="2221" xr:uid="{00000000-0005-0000-0000-00000B1D0000}"/>
    <cellStyle name="Normal 4 3 5 2" xfId="4273" xr:uid="{00000000-0005-0000-0000-00000C1D0000}"/>
    <cellStyle name="Normal 4 3 5 2 2" xfId="39950" xr:uid="{40C90E63-43D5-44FF-86B8-642BF38B5E97}"/>
    <cellStyle name="Normal 4 3 5 3" xfId="4864" xr:uid="{00000000-0005-0000-0000-00000D1D0000}"/>
    <cellStyle name="Normal 4 3 5 3 2" xfId="5283" xr:uid="{00000000-0005-0000-0000-00000E1D0000}"/>
    <cellStyle name="Normal 4 3 5 3 2 2" xfId="7146" xr:uid="{00000000-0005-0000-0000-00000F1D0000}"/>
    <cellStyle name="Normal 4 3 5 3 2 2 2" xfId="15579" xr:uid="{00000000-0005-0000-0000-0000101D0000}"/>
    <cellStyle name="Normal 4 3 5 3 2 2 2 2" xfId="27473" xr:uid="{0589BF14-39F4-4DFB-B6DA-EE9E28B53FE5}"/>
    <cellStyle name="Normal 4 3 5 3 2 2 2 3" xfId="21813" xr:uid="{5155D37D-3412-455F-8E67-F259890FBFD5}"/>
    <cellStyle name="Normal 4 3 5 3 2 2 2 4" xfId="32853" xr:uid="{A9DD0530-9A39-4FD9-830D-7922BF3F2DCF}"/>
    <cellStyle name="Normal 4 3 5 3 2 2 2 5" xfId="39954" xr:uid="{00D34816-4DA2-497A-A7D5-1B57D7BEDAD9}"/>
    <cellStyle name="Normal 4 3 5 3 2 2 3" xfId="24640" xr:uid="{00A997E5-FB86-4BF0-B25D-9FAA21C4B54D}"/>
    <cellStyle name="Normal 4 3 5 3 2 2 4" xfId="18980" xr:uid="{EF185482-7CF0-4611-990F-3756C940800C}"/>
    <cellStyle name="Normal 4 3 5 3 2 2 5" xfId="30301" xr:uid="{EC1F8C4C-D0B0-47D8-AA1D-0DE1581B6372}"/>
    <cellStyle name="Normal 4 3 5 3 2 2 6" xfId="39953" xr:uid="{F930D6CC-DB20-44C3-BD1B-0520B7DD9280}"/>
    <cellStyle name="Normal 4 3 5 3 2 3" xfId="14169" xr:uid="{00000000-0005-0000-0000-0000111D0000}"/>
    <cellStyle name="Normal 4 3 5 3 2 3 2" xfId="26208" xr:uid="{32E279ED-E0C6-47F4-813C-A2EB155183F4}"/>
    <cellStyle name="Normal 4 3 5 3 2 3 3" xfId="20548" xr:uid="{4E845F3A-AFD5-4209-B73D-D278233E232F}"/>
    <cellStyle name="Normal 4 3 5 3 2 3 4" xfId="31588" xr:uid="{D389B7F8-4E33-4532-83F4-A62914BDA787}"/>
    <cellStyle name="Normal 4 3 5 3 2 3 5" xfId="39955" xr:uid="{47F73060-5F36-4F1E-A848-12196507BE49}"/>
    <cellStyle name="Normal 4 3 5 3 2 4" xfId="23078" xr:uid="{3198CFFD-38C0-459A-825C-597EAE3EB0A8}"/>
    <cellStyle name="Normal 4 3 5 3 2 5" xfId="17418" xr:uid="{39CE1463-0E3F-4E7D-B3CA-607725E25EAF}"/>
    <cellStyle name="Normal 4 3 5 3 2 6" xfId="28739" xr:uid="{86C58483-88E6-4C90-9216-90DEB305E634}"/>
    <cellStyle name="Normal 4 3 5 3 2 7" xfId="39952" xr:uid="{5369C801-0CB9-497B-9D58-CC894D6F8382}"/>
    <cellStyle name="Normal 4 3 5 3 3" xfId="6260" xr:uid="{00000000-0005-0000-0000-0000121D0000}"/>
    <cellStyle name="Normal 4 3 5 3 3 2" xfId="7588" xr:uid="{00000000-0005-0000-0000-0000131D0000}"/>
    <cellStyle name="Normal 4 3 5 3 3 2 2" xfId="16021" xr:uid="{00000000-0005-0000-0000-0000141D0000}"/>
    <cellStyle name="Normal 4 3 5 3 3 2 2 2" xfId="27915" xr:uid="{3016714E-973E-4D86-A37B-77C78DBD162A}"/>
    <cellStyle name="Normal 4 3 5 3 3 2 2 3" xfId="22255" xr:uid="{4FBFE9B9-5E3D-4BB4-A8B6-702E77512179}"/>
    <cellStyle name="Normal 4 3 5 3 3 2 2 4" xfId="33295" xr:uid="{BBE86A5B-0F68-4576-868B-DAB21076CFA0}"/>
    <cellStyle name="Normal 4 3 5 3 3 2 2 5" xfId="39958" xr:uid="{7CDE329F-67E6-4215-9C57-B1C5763518D4}"/>
    <cellStyle name="Normal 4 3 5 3 3 2 3" xfId="25082" xr:uid="{F7C66636-CEB8-4281-8812-8F5BE1ACCB7F}"/>
    <cellStyle name="Normal 4 3 5 3 3 2 4" xfId="19422" xr:uid="{341800AB-A163-4EF3-BEFD-80BCC54AC670}"/>
    <cellStyle name="Normal 4 3 5 3 3 2 5" xfId="30743" xr:uid="{F4D9ED91-F94E-4B4A-80D6-DE73E0BFD6CF}"/>
    <cellStyle name="Normal 4 3 5 3 3 2 6" xfId="39957" xr:uid="{344CD767-6639-44DC-A37F-6B6916146C01}"/>
    <cellStyle name="Normal 4 3 5 3 3 3" xfId="14703" xr:uid="{00000000-0005-0000-0000-0000151D0000}"/>
    <cellStyle name="Normal 4 3 5 3 3 3 2" xfId="26659" xr:uid="{E1A8F1AE-AF26-4A85-B22F-FCBD203D8B4E}"/>
    <cellStyle name="Normal 4 3 5 3 3 3 3" xfId="20999" xr:uid="{3F918910-F154-495E-AE21-0A5089EE7127}"/>
    <cellStyle name="Normal 4 3 5 3 3 3 4" xfId="32039" xr:uid="{E6454CDB-C909-4E8E-8E30-9D27907FB0ED}"/>
    <cellStyle name="Normal 4 3 5 3 3 3 5" xfId="39959" xr:uid="{8D0C0B11-5E90-4467-B8B2-EBC0C7B57AC3}"/>
    <cellStyle name="Normal 4 3 5 3 3 4" xfId="23826" xr:uid="{0AA49017-1C66-4C2F-B7E3-5208D9029897}"/>
    <cellStyle name="Normal 4 3 5 3 3 5" xfId="18166" xr:uid="{ABAD5DEE-E428-452B-B824-338156AE313E}"/>
    <cellStyle name="Normal 4 3 5 3 3 6" xfId="29487" xr:uid="{CFE6331C-AD93-48DD-BE38-3C18965E55FD}"/>
    <cellStyle name="Normal 4 3 5 3 3 7" xfId="39956" xr:uid="{2B8B7142-48CA-40E2-9237-011CF6E3A8A3}"/>
    <cellStyle name="Normal 4 3 5 3 4" xfId="6728" xr:uid="{00000000-0005-0000-0000-0000161D0000}"/>
    <cellStyle name="Normal 4 3 5 3 4 2" xfId="15161" xr:uid="{00000000-0005-0000-0000-0000171D0000}"/>
    <cellStyle name="Normal 4 3 5 3 4 2 2" xfId="27055" xr:uid="{2AD04DB9-2F0D-448F-924E-6D8D738D9F05}"/>
    <cellStyle name="Normal 4 3 5 3 4 2 3" xfId="21395" xr:uid="{E61BA318-3E9D-43FB-B956-6BFEB002090D}"/>
    <cellStyle name="Normal 4 3 5 3 4 2 4" xfId="32435" xr:uid="{39E88D75-D2EA-498F-A506-39CA9C503909}"/>
    <cellStyle name="Normal 4 3 5 3 4 2 5" xfId="39961" xr:uid="{96C87F15-B47B-468C-9B1D-68F3B7EF1B46}"/>
    <cellStyle name="Normal 4 3 5 3 4 3" xfId="24222" xr:uid="{25800FED-4974-4035-8392-68902011E316}"/>
    <cellStyle name="Normal 4 3 5 3 4 4" xfId="18562" xr:uid="{6FD6120C-1473-4E0D-9BE7-D0BC036CBB9E}"/>
    <cellStyle name="Normal 4 3 5 3 4 5" xfId="29883" xr:uid="{AC218857-ABCF-4AD1-9216-9C307C6C109E}"/>
    <cellStyle name="Normal 4 3 5 3 4 6" xfId="39960" xr:uid="{37B1A6C8-9574-44F2-9A5F-A758EC828D8F}"/>
    <cellStyle name="Normal 4 3 5 3 5" xfId="8030" xr:uid="{00000000-0005-0000-0000-0000181D0000}"/>
    <cellStyle name="Normal 4 3 5 3 5 2" xfId="25509" xr:uid="{D5D00B6F-44B4-48A7-BA4A-BFC493111D50}"/>
    <cellStyle name="Normal 4 3 5 3 5 3" xfId="19849" xr:uid="{3A20A932-C69F-4A71-A5E8-1FB3E3ECEB5F}"/>
    <cellStyle name="Normal 4 3 5 3 5 4" xfId="31170" xr:uid="{9B7CC70F-4811-4B7F-973C-4CEEAEE404D8}"/>
    <cellStyle name="Normal 4 3 5 3 5 5" xfId="39962" xr:uid="{B3141148-D09C-483A-A786-98273F51D32E}"/>
    <cellStyle name="Normal 4 3 5 3 6" xfId="22660" xr:uid="{0F891C54-D3DE-4F8E-A09A-CC67619E6D16}"/>
    <cellStyle name="Normal 4 3 5 3 7" xfId="17000" xr:uid="{07EC5295-D579-4A86-9B8C-0438D651CD80}"/>
    <cellStyle name="Normal 4 3 5 3 8" xfId="28321" xr:uid="{409EB7DB-2BCC-4DE1-B458-BE9FAB0FBAA3}"/>
    <cellStyle name="Normal 4 3 5 3 9" xfId="39951" xr:uid="{7B64557E-5F80-467C-9789-3FD306B91330}"/>
    <cellStyle name="Normal 4 3 5 4" xfId="5074" xr:uid="{00000000-0005-0000-0000-0000191D0000}"/>
    <cellStyle name="Normal 4 3 5 4 2" xfId="6259" xr:uid="{00000000-0005-0000-0000-00001A1D0000}"/>
    <cellStyle name="Normal 4 3 5 4 2 2" xfId="7587" xr:uid="{00000000-0005-0000-0000-00001B1D0000}"/>
    <cellStyle name="Normal 4 3 5 4 2 2 2" xfId="16020" xr:uid="{00000000-0005-0000-0000-00001C1D0000}"/>
    <cellStyle name="Normal 4 3 5 4 2 2 2 2" xfId="27914" xr:uid="{E9EE99E4-D8BF-492D-A817-23CD6A58399E}"/>
    <cellStyle name="Normal 4 3 5 4 2 2 2 3" xfId="22254" xr:uid="{D095B9CC-C082-41C4-B3F1-4756FB1541C9}"/>
    <cellStyle name="Normal 4 3 5 4 2 2 2 4" xfId="33294" xr:uid="{C552AEB2-C05F-47B3-8FA5-476DCA2CC3DA}"/>
    <cellStyle name="Normal 4 3 5 4 2 2 2 5" xfId="39966" xr:uid="{A4CD9CEC-260D-4F04-93A9-D3E70496E362}"/>
    <cellStyle name="Normal 4 3 5 4 2 2 3" xfId="25081" xr:uid="{16D14669-D83F-4680-985A-2EF9FF94ADFE}"/>
    <cellStyle name="Normal 4 3 5 4 2 2 4" xfId="19421" xr:uid="{1D2CDB1A-816A-4D92-A98F-F1C3A07B8EA7}"/>
    <cellStyle name="Normal 4 3 5 4 2 2 5" xfId="30742" xr:uid="{10ED7106-A486-48A3-A083-62D29E323E68}"/>
    <cellStyle name="Normal 4 3 5 4 2 2 6" xfId="39965" xr:uid="{3F5CE5FA-999B-4053-AF82-ECBEA7EBC19B}"/>
    <cellStyle name="Normal 4 3 5 4 2 3" xfId="14702" xr:uid="{00000000-0005-0000-0000-00001D1D0000}"/>
    <cellStyle name="Normal 4 3 5 4 2 3 2" xfId="26658" xr:uid="{7569B255-D05E-41DF-AEF5-E0F953BB43BC}"/>
    <cellStyle name="Normal 4 3 5 4 2 3 3" xfId="20998" xr:uid="{91A9B0CB-8882-4065-812C-F67948482415}"/>
    <cellStyle name="Normal 4 3 5 4 2 3 4" xfId="32038" xr:uid="{D0E7B570-1492-4BF7-9E35-8340055BF4E1}"/>
    <cellStyle name="Normal 4 3 5 4 2 3 5" xfId="39967" xr:uid="{E805D1AC-2B75-45F3-9E6D-E5F7F57904C0}"/>
    <cellStyle name="Normal 4 3 5 4 2 4" xfId="23825" xr:uid="{11B5C40A-D2AF-42EE-9AB6-0E2E1C85DF4A}"/>
    <cellStyle name="Normal 4 3 5 4 2 5" xfId="18165" xr:uid="{D3CAD1D7-6D43-4077-8356-8CC23214195B}"/>
    <cellStyle name="Normal 4 3 5 4 2 6" xfId="29486" xr:uid="{A1EF9CA0-C0CE-42E3-A2D7-2867089BFC7E}"/>
    <cellStyle name="Normal 4 3 5 4 2 7" xfId="39964" xr:uid="{B191C454-7B32-4361-9CD8-E3F8C3EB2D8D}"/>
    <cellStyle name="Normal 4 3 5 4 3" xfId="6937" xr:uid="{00000000-0005-0000-0000-00001E1D0000}"/>
    <cellStyle name="Normal 4 3 5 4 3 2" xfId="15370" xr:uid="{00000000-0005-0000-0000-00001F1D0000}"/>
    <cellStyle name="Normal 4 3 5 4 3 2 2" xfId="27264" xr:uid="{A5569CAB-3CF9-4D6F-8F5C-70E69BF1B2DB}"/>
    <cellStyle name="Normal 4 3 5 4 3 2 3" xfId="21604" xr:uid="{A31799B7-CE17-4AB1-A346-CC7A612FA039}"/>
    <cellStyle name="Normal 4 3 5 4 3 2 4" xfId="32644" xr:uid="{EC20F883-1CDF-4C09-94D1-1DB338853585}"/>
    <cellStyle name="Normal 4 3 5 4 3 2 5" xfId="39969" xr:uid="{1310A893-FD28-4A80-92A4-4EDEDD845D1A}"/>
    <cellStyle name="Normal 4 3 5 4 3 3" xfId="24431" xr:uid="{44CE3243-B820-441D-AA71-827673EF205B}"/>
    <cellStyle name="Normal 4 3 5 4 3 4" xfId="18771" xr:uid="{4A161AB7-4710-4376-93E8-D3A6BC46397E}"/>
    <cellStyle name="Normal 4 3 5 4 3 5" xfId="30092" xr:uid="{AA9B97EC-BD8F-49C9-9EC0-6145ED544E8C}"/>
    <cellStyle name="Normal 4 3 5 4 3 6" xfId="39968" xr:uid="{A26FD076-E9BC-4DB4-A2E1-836EAF7F2DAE}"/>
    <cellStyle name="Normal 4 3 5 4 4" xfId="8031" xr:uid="{00000000-0005-0000-0000-0000201D0000}"/>
    <cellStyle name="Normal 4 3 5 4 4 2" xfId="25510" xr:uid="{B3F415EF-6D8E-4073-80BD-B2BCEE29BA2E}"/>
    <cellStyle name="Normal 4 3 5 4 4 3" xfId="19850" xr:uid="{BF16B237-9673-488E-8E1D-ADFAE96781CD}"/>
    <cellStyle name="Normal 4 3 5 4 4 4" xfId="31171" xr:uid="{0A05F1A8-1BCF-459A-BED0-E85EA24FCE63}"/>
    <cellStyle name="Normal 4 3 5 4 4 5" xfId="39970" xr:uid="{6B62D76F-D17F-4741-886E-896690C1ECEF}"/>
    <cellStyle name="Normal 4 3 5 4 5" xfId="22869" xr:uid="{01613660-6C8C-433A-A0FF-27E221A578A2}"/>
    <cellStyle name="Normal 4 3 5 4 6" xfId="17209" xr:uid="{61C9C004-1210-4F36-B5B7-EFCA55F3739C}"/>
    <cellStyle name="Normal 4 3 5 4 7" xfId="28530" xr:uid="{6EF457CA-E794-44B8-8EC3-C3CEE9ADEC82}"/>
    <cellStyle name="Normal 4 3 5 4 8" xfId="39963" xr:uid="{08D9D39D-9BB4-407B-ABAC-EA5CD58A530F}"/>
    <cellStyle name="Normal 4 3 5 5" xfId="6519" xr:uid="{00000000-0005-0000-0000-0000211D0000}"/>
    <cellStyle name="Normal 4 3 5 5 2" xfId="14952" xr:uid="{00000000-0005-0000-0000-0000221D0000}"/>
    <cellStyle name="Normal 4 3 5 5 2 2" xfId="26846" xr:uid="{88A38112-9860-4701-8047-BB17CFCE8AAE}"/>
    <cellStyle name="Normal 4 3 5 5 2 3" xfId="21186" xr:uid="{D1E3B238-0948-4820-8647-E8143597CABF}"/>
    <cellStyle name="Normal 4 3 5 5 2 4" xfId="32226" xr:uid="{5B52E6AA-2EDA-4FD7-81D7-49FB2C60014F}"/>
    <cellStyle name="Normal 4 3 5 5 2 5" xfId="39972" xr:uid="{710721DC-AA9B-4826-9A12-1A327608AC5F}"/>
    <cellStyle name="Normal 4 3 5 5 3" xfId="24013" xr:uid="{00EB4B40-2F3C-45D8-AAD3-F06EB7EADC58}"/>
    <cellStyle name="Normal 4 3 5 5 4" xfId="18353" xr:uid="{11AA1701-0E73-495E-B41A-164CD2E34C55}"/>
    <cellStyle name="Normal 4 3 5 5 5" xfId="29674" xr:uid="{8908EDB4-3D52-4B2C-882F-84AE27C123C7}"/>
    <cellStyle name="Normal 4 3 5 5 6" xfId="39971" xr:uid="{80F02850-11E4-4F96-B536-7837BC459261}"/>
    <cellStyle name="Normal 4 3 5 6" xfId="22451" xr:uid="{5C57C7C1-C5A0-4D92-9941-64D0182E7317}"/>
    <cellStyle name="Normal 4 3 5 7" xfId="16791" xr:uid="{275EC202-98D8-4AC4-9CE3-B5FB36EA6F78}"/>
    <cellStyle name="Normal 4 3 5 8" xfId="28112" xr:uid="{5C51C095-6C2A-4A64-9B53-6AD9CAC629EE}"/>
    <cellStyle name="Normal 4 3 5 9" xfId="39949" xr:uid="{457EAA8F-CD7F-45D9-B8B8-81114B326976}"/>
    <cellStyle name="Normal 4 3 6" xfId="2217" xr:uid="{00000000-0005-0000-0000-0000231D0000}"/>
    <cellStyle name="Normal 4 3 6 2" xfId="39973" xr:uid="{66293C46-C14D-4912-B35F-A5F5A5059D4D}"/>
    <cellStyle name="Normal 4 3 7" xfId="4274" xr:uid="{00000000-0005-0000-0000-0000241D0000}"/>
    <cellStyle name="Normal 4 3 7 2" xfId="39974" xr:uid="{065084B1-9203-4BAF-A39F-C68B70DEA65B}"/>
    <cellStyle name="Normal 4 3 8" xfId="4275" xr:uid="{00000000-0005-0000-0000-0000251D0000}"/>
    <cellStyle name="Normal 4 3 8 2" xfId="39975" xr:uid="{866D905C-A48A-4EE7-8D8A-D875A63B424E}"/>
    <cellStyle name="Normal 4 3 9" xfId="4787" xr:uid="{00000000-0005-0000-0000-0000261D0000}"/>
    <cellStyle name="Normal 4 3 9 10" xfId="39976" xr:uid="{1874ABCB-BCBB-49C7-B9C7-EA635A8AA688}"/>
    <cellStyle name="Normal 4 3 9 2" xfId="5001" xr:uid="{00000000-0005-0000-0000-0000271D0000}"/>
    <cellStyle name="Normal 4 3 9 2 2" xfId="5419" xr:uid="{00000000-0005-0000-0000-0000281D0000}"/>
    <cellStyle name="Normal 4 3 9 2 2 2" xfId="7282" xr:uid="{00000000-0005-0000-0000-0000291D0000}"/>
    <cellStyle name="Normal 4 3 9 2 2 2 2" xfId="15715" xr:uid="{00000000-0005-0000-0000-00002A1D0000}"/>
    <cellStyle name="Normal 4 3 9 2 2 2 2 2" xfId="27609" xr:uid="{31635DD6-7EEA-4CA4-AC00-10229884B6E9}"/>
    <cellStyle name="Normal 4 3 9 2 2 2 2 3" xfId="21949" xr:uid="{F2F916F8-968D-431D-B9CB-6B47339FCB06}"/>
    <cellStyle name="Normal 4 3 9 2 2 2 2 4" xfId="32989" xr:uid="{B3A6B0FC-2598-4243-B283-D08698CF8019}"/>
    <cellStyle name="Normal 4 3 9 2 2 2 2 5" xfId="39980" xr:uid="{06AD89E0-EDD0-411B-A0F9-BFD343F12BB7}"/>
    <cellStyle name="Normal 4 3 9 2 2 2 3" xfId="24776" xr:uid="{4EFCC716-7139-4022-AC42-0D82D7B1DC37}"/>
    <cellStyle name="Normal 4 3 9 2 2 2 4" xfId="19116" xr:uid="{250C887D-15C3-49DC-9398-14C56F08944F}"/>
    <cellStyle name="Normal 4 3 9 2 2 2 5" xfId="30437" xr:uid="{AAFA1F66-E15C-4EC8-9106-8AC211F614B8}"/>
    <cellStyle name="Normal 4 3 9 2 2 2 6" xfId="39979" xr:uid="{9CBD0B39-9E01-4BFF-B6DF-7BF7EB675D62}"/>
    <cellStyle name="Normal 4 3 9 2 2 3" xfId="14305" xr:uid="{00000000-0005-0000-0000-00002B1D0000}"/>
    <cellStyle name="Normal 4 3 9 2 2 3 2" xfId="26344" xr:uid="{15C53A76-0E40-4F78-B0A7-BD8B596E7981}"/>
    <cellStyle name="Normal 4 3 9 2 2 3 3" xfId="20684" xr:uid="{A41B2514-2D67-4D25-A63A-CEF1A73DBFB0}"/>
    <cellStyle name="Normal 4 3 9 2 2 3 4" xfId="31724" xr:uid="{57DB98E6-712B-4AAC-84F3-6B0545B256AA}"/>
    <cellStyle name="Normal 4 3 9 2 2 3 5" xfId="39981" xr:uid="{825008CD-8000-44DA-A0A1-5C9138D1C1FD}"/>
    <cellStyle name="Normal 4 3 9 2 2 4" xfId="23214" xr:uid="{09ECDB18-03A9-42AF-9A94-82BD305E91CF}"/>
    <cellStyle name="Normal 4 3 9 2 2 5" xfId="17554" xr:uid="{29D52A94-31D8-4998-96CF-788DCD434E5C}"/>
    <cellStyle name="Normal 4 3 9 2 2 6" xfId="28875" xr:uid="{F8C06A24-3B12-4C37-8009-DE998EF22E01}"/>
    <cellStyle name="Normal 4 3 9 2 2 7" xfId="39978" xr:uid="{E9A023C4-AD20-414E-8CE8-762EAD897F14}"/>
    <cellStyle name="Normal 4 3 9 2 3" xfId="6262" xr:uid="{00000000-0005-0000-0000-00002C1D0000}"/>
    <cellStyle name="Normal 4 3 9 2 3 2" xfId="7590" xr:uid="{00000000-0005-0000-0000-00002D1D0000}"/>
    <cellStyle name="Normal 4 3 9 2 3 2 2" xfId="16023" xr:uid="{00000000-0005-0000-0000-00002E1D0000}"/>
    <cellStyle name="Normal 4 3 9 2 3 2 2 2" xfId="27917" xr:uid="{DD0D94BB-AB3B-4238-A5B6-E4F31F8F0C31}"/>
    <cellStyle name="Normal 4 3 9 2 3 2 2 3" xfId="22257" xr:uid="{8E4C2BBD-CDCC-4287-85D6-B03377897E83}"/>
    <cellStyle name="Normal 4 3 9 2 3 2 2 4" xfId="33297" xr:uid="{DD018E43-2FB0-4DA1-ADFA-16DCA380919C}"/>
    <cellStyle name="Normal 4 3 9 2 3 2 2 5" xfId="39984" xr:uid="{31FB4BB5-4B90-4F3D-9E26-01382BFAE56E}"/>
    <cellStyle name="Normal 4 3 9 2 3 2 3" xfId="25084" xr:uid="{AFA8F945-9DA1-4454-A832-83D499DDA449}"/>
    <cellStyle name="Normal 4 3 9 2 3 2 4" xfId="19424" xr:uid="{8ADFEB9B-D285-4315-8082-1CCE48A2C0A9}"/>
    <cellStyle name="Normal 4 3 9 2 3 2 5" xfId="30745" xr:uid="{37F8739E-A5C6-47F3-9E73-50EA2E59E484}"/>
    <cellStyle name="Normal 4 3 9 2 3 2 6" xfId="39983" xr:uid="{62255C7B-C2EB-4022-A4E9-54584392D840}"/>
    <cellStyle name="Normal 4 3 9 2 3 3" xfId="14705" xr:uid="{00000000-0005-0000-0000-00002F1D0000}"/>
    <cellStyle name="Normal 4 3 9 2 3 3 2" xfId="26661" xr:uid="{40C905EA-6132-40D1-82B2-2279EB375A8F}"/>
    <cellStyle name="Normal 4 3 9 2 3 3 3" xfId="21001" xr:uid="{918BF604-3387-4A38-BCDA-8F73A3D08541}"/>
    <cellStyle name="Normal 4 3 9 2 3 3 4" xfId="32041" xr:uid="{5B023AC6-1EEF-4E2F-88EE-A452E50CC784}"/>
    <cellStyle name="Normal 4 3 9 2 3 3 5" xfId="39985" xr:uid="{D18ACFAE-C2F0-41D3-A3C2-048A21B08BBF}"/>
    <cellStyle name="Normal 4 3 9 2 3 4" xfId="23828" xr:uid="{169BA256-B551-4CED-BB51-F89B13A7A01C}"/>
    <cellStyle name="Normal 4 3 9 2 3 5" xfId="18168" xr:uid="{D25A1448-2ACE-4FE0-9D5F-49C701297199}"/>
    <cellStyle name="Normal 4 3 9 2 3 6" xfId="29489" xr:uid="{792B130E-9E76-47A9-98FA-B8C354B215FB}"/>
    <cellStyle name="Normal 4 3 9 2 3 7" xfId="39982" xr:uid="{C27D5C50-E92F-41D7-AA29-7930B71C6EE4}"/>
    <cellStyle name="Normal 4 3 9 2 4" xfId="6864" xr:uid="{00000000-0005-0000-0000-0000301D0000}"/>
    <cellStyle name="Normal 4 3 9 2 4 2" xfId="15297" xr:uid="{00000000-0005-0000-0000-0000311D0000}"/>
    <cellStyle name="Normal 4 3 9 2 4 2 2" xfId="27191" xr:uid="{32DAE66A-956B-47F0-BDFE-2DED68575A4B}"/>
    <cellStyle name="Normal 4 3 9 2 4 2 3" xfId="21531" xr:uid="{9828DEE2-2F58-4305-9DF3-F9C2A044926A}"/>
    <cellStyle name="Normal 4 3 9 2 4 2 4" xfId="32571" xr:uid="{3EE25967-8E71-46B9-A826-BB153270370F}"/>
    <cellStyle name="Normal 4 3 9 2 4 2 5" xfId="39987" xr:uid="{5228A777-74A5-4BB6-898B-05D0E2E6D80F}"/>
    <cellStyle name="Normal 4 3 9 2 4 3" xfId="24358" xr:uid="{07A3371C-B910-4B25-A023-87087DBA4A07}"/>
    <cellStyle name="Normal 4 3 9 2 4 4" xfId="18698" xr:uid="{B47EFD9B-6834-4DED-A3B3-F72ADCA214BC}"/>
    <cellStyle name="Normal 4 3 9 2 4 5" xfId="30019" xr:uid="{6F25CF90-168D-428B-A7DA-0B9674DF3F7A}"/>
    <cellStyle name="Normal 4 3 9 2 4 6" xfId="39986" xr:uid="{A6BA51CD-FAE6-4457-AC76-A53B29D08EE5}"/>
    <cellStyle name="Normal 4 3 9 2 5" xfId="8033" xr:uid="{00000000-0005-0000-0000-0000321D0000}"/>
    <cellStyle name="Normal 4 3 9 2 5 2" xfId="25512" xr:uid="{9379092A-7F28-49B9-A0C6-B6ED9A7B855D}"/>
    <cellStyle name="Normal 4 3 9 2 5 3" xfId="19852" xr:uid="{E5271A5B-2775-4DB8-BAC4-B69C0E33B473}"/>
    <cellStyle name="Normal 4 3 9 2 5 4" xfId="31173" xr:uid="{D95491AD-5D9F-4B80-A376-CABE74AC0CFE}"/>
    <cellStyle name="Normal 4 3 9 2 5 5" xfId="39988" xr:uid="{DF977288-03F0-4A1F-8E93-6747CC0B151E}"/>
    <cellStyle name="Normal 4 3 9 2 6" xfId="22796" xr:uid="{603BE270-E074-4A98-93AE-EE86DCBB0FEF}"/>
    <cellStyle name="Normal 4 3 9 2 7" xfId="17136" xr:uid="{C9074B0D-66C3-4097-84C5-78DC99D9A3B5}"/>
    <cellStyle name="Normal 4 3 9 2 8" xfId="28457" xr:uid="{6455CFBA-0BFB-4A96-9118-F5FCF2F092E6}"/>
    <cellStyle name="Normal 4 3 9 2 9" xfId="39977" xr:uid="{E470DF90-D6D2-410B-974E-9D4315DEBE11}"/>
    <cellStyle name="Normal 4 3 9 3" xfId="5210" xr:uid="{00000000-0005-0000-0000-0000331D0000}"/>
    <cellStyle name="Normal 4 3 9 3 2" xfId="7073" xr:uid="{00000000-0005-0000-0000-0000341D0000}"/>
    <cellStyle name="Normal 4 3 9 3 2 2" xfId="15506" xr:uid="{00000000-0005-0000-0000-0000351D0000}"/>
    <cellStyle name="Normal 4 3 9 3 2 2 2" xfId="27400" xr:uid="{363E3B1C-E1F8-4CA5-ADE7-93FF13F3F018}"/>
    <cellStyle name="Normal 4 3 9 3 2 2 3" xfId="21740" xr:uid="{481ACEAD-1051-4280-9955-D1FE87CE2B3F}"/>
    <cellStyle name="Normal 4 3 9 3 2 2 4" xfId="32780" xr:uid="{FF669438-6D04-4941-9EA0-BFEDCACB1328}"/>
    <cellStyle name="Normal 4 3 9 3 2 2 5" xfId="39991" xr:uid="{A14667C2-73BB-4F13-A725-8A17D1861C22}"/>
    <cellStyle name="Normal 4 3 9 3 2 3" xfId="24567" xr:uid="{835D280E-B0B0-4BCA-92F7-5E92F23DB594}"/>
    <cellStyle name="Normal 4 3 9 3 2 4" xfId="18907" xr:uid="{4CD8856E-1102-4CF4-8AF0-7A4708129F61}"/>
    <cellStyle name="Normal 4 3 9 3 2 5" xfId="30228" xr:uid="{7D0DBB52-0641-487C-AB29-7131AA949FE1}"/>
    <cellStyle name="Normal 4 3 9 3 2 6" xfId="39990" xr:uid="{E0753AFF-C4BA-436D-83CC-F50633C3DDED}"/>
    <cellStyle name="Normal 4 3 9 3 3" xfId="14096" xr:uid="{00000000-0005-0000-0000-0000361D0000}"/>
    <cellStyle name="Normal 4 3 9 3 3 2" xfId="26135" xr:uid="{7BD7B827-2B62-47BE-84EC-3E41E2800334}"/>
    <cellStyle name="Normal 4 3 9 3 3 3" xfId="20475" xr:uid="{FAAA4EE9-7A2F-4B1B-9B4F-4583157BCCA8}"/>
    <cellStyle name="Normal 4 3 9 3 3 4" xfId="31515" xr:uid="{3DDB3E09-122A-43C8-AB3D-479F87F98C88}"/>
    <cellStyle name="Normal 4 3 9 3 3 5" xfId="39992" xr:uid="{6D694F5E-50CF-4BE3-A3BB-2B565230F503}"/>
    <cellStyle name="Normal 4 3 9 3 4" xfId="23005" xr:uid="{A8C5DCF5-6E79-456F-8069-D5C2E663A78D}"/>
    <cellStyle name="Normal 4 3 9 3 5" xfId="17345" xr:uid="{A229A056-B11A-403C-BCC2-916A65BB8A8B}"/>
    <cellStyle name="Normal 4 3 9 3 6" xfId="28666" xr:uid="{08A0029C-C5E7-4855-AC52-F1CE1C1CF2BF}"/>
    <cellStyle name="Normal 4 3 9 3 7" xfId="39989" xr:uid="{F308FD77-4BD5-44DD-A388-FB94FAD583B9}"/>
    <cellStyle name="Normal 4 3 9 4" xfId="6261" xr:uid="{00000000-0005-0000-0000-0000371D0000}"/>
    <cellStyle name="Normal 4 3 9 4 2" xfId="7589" xr:uid="{00000000-0005-0000-0000-0000381D0000}"/>
    <cellStyle name="Normal 4 3 9 4 2 2" xfId="16022" xr:uid="{00000000-0005-0000-0000-0000391D0000}"/>
    <cellStyle name="Normal 4 3 9 4 2 2 2" xfId="27916" xr:uid="{0A31516E-CFE7-4FA5-885D-937DDE4BD7DF}"/>
    <cellStyle name="Normal 4 3 9 4 2 2 3" xfId="22256" xr:uid="{E997C5E4-8A20-4AAD-8B2B-6F02596987CE}"/>
    <cellStyle name="Normal 4 3 9 4 2 2 4" xfId="33296" xr:uid="{2901509D-EBC6-464F-A094-4DF6AFFBAA21}"/>
    <cellStyle name="Normal 4 3 9 4 2 2 5" xfId="39995" xr:uid="{CE1C210F-4175-4D62-8D9E-E8FA77D10828}"/>
    <cellStyle name="Normal 4 3 9 4 2 3" xfId="25083" xr:uid="{3D104380-2BD8-41AF-9EC4-8831E0693054}"/>
    <cellStyle name="Normal 4 3 9 4 2 4" xfId="19423" xr:uid="{014E983C-2337-47A9-B8C0-B1251D706106}"/>
    <cellStyle name="Normal 4 3 9 4 2 5" xfId="30744" xr:uid="{B3AB7B20-0BC7-4F38-BBD8-9E05ECC70EAF}"/>
    <cellStyle name="Normal 4 3 9 4 2 6" xfId="39994" xr:uid="{09E6173B-BAA1-4D5C-B932-1CBC735B1026}"/>
    <cellStyle name="Normal 4 3 9 4 3" xfId="14704" xr:uid="{00000000-0005-0000-0000-00003A1D0000}"/>
    <cellStyle name="Normal 4 3 9 4 3 2" xfId="26660" xr:uid="{80FFEA32-4C40-4FD6-8C60-96F5DBDC9235}"/>
    <cellStyle name="Normal 4 3 9 4 3 3" xfId="21000" xr:uid="{5F543A8C-3422-49D3-9226-8A3FA68070E5}"/>
    <cellStyle name="Normal 4 3 9 4 3 4" xfId="32040" xr:uid="{F6BEAA2C-1D5F-4EBE-AEE2-9150FD1B5C1C}"/>
    <cellStyle name="Normal 4 3 9 4 3 5" xfId="39996" xr:uid="{5AE44DDA-39DA-407A-97F6-5A7CA7538A66}"/>
    <cellStyle name="Normal 4 3 9 4 4" xfId="23827" xr:uid="{18879F28-0829-40D3-9325-38B7DD3F41BD}"/>
    <cellStyle name="Normal 4 3 9 4 5" xfId="18167" xr:uid="{0498308E-C145-4A85-BC1C-AFAFDF4CC28C}"/>
    <cellStyle name="Normal 4 3 9 4 6" xfId="29488" xr:uid="{2DDAA618-8830-4BE6-813B-14D0A0719B43}"/>
    <cellStyle name="Normal 4 3 9 4 7" xfId="39993" xr:uid="{678188F1-599E-4E41-B536-4D0C5227EE2B}"/>
    <cellStyle name="Normal 4 3 9 5" xfId="6655" xr:uid="{00000000-0005-0000-0000-00003B1D0000}"/>
    <cellStyle name="Normal 4 3 9 5 2" xfId="15088" xr:uid="{00000000-0005-0000-0000-00003C1D0000}"/>
    <cellStyle name="Normal 4 3 9 5 2 2" xfId="26982" xr:uid="{5FA5C4AE-CB8D-4442-A1D9-386546986E40}"/>
    <cellStyle name="Normal 4 3 9 5 2 3" xfId="21322" xr:uid="{03C6BE7D-FDD5-4E45-9AE5-E667120C8EDF}"/>
    <cellStyle name="Normal 4 3 9 5 2 4" xfId="32362" xr:uid="{02691A85-B909-42FE-8A68-C33FCFB336E5}"/>
    <cellStyle name="Normal 4 3 9 5 2 5" xfId="39998" xr:uid="{9B4C61D8-017F-4D6C-8470-8DE593D35DE7}"/>
    <cellStyle name="Normal 4 3 9 5 3" xfId="24149" xr:uid="{F1313129-B8FE-4D81-BD76-076B318CC389}"/>
    <cellStyle name="Normal 4 3 9 5 4" xfId="18489" xr:uid="{BD2FDC17-60F1-4F3E-8B24-5AD678A3E0C8}"/>
    <cellStyle name="Normal 4 3 9 5 5" xfId="29810" xr:uid="{784B4DF0-5BE8-42EC-8291-04393B20B24B}"/>
    <cellStyle name="Normal 4 3 9 5 6" xfId="39997" xr:uid="{18F035C6-3997-48D9-B94F-AF63CE4E33E9}"/>
    <cellStyle name="Normal 4 3 9 6" xfId="8032" xr:uid="{00000000-0005-0000-0000-00003D1D0000}"/>
    <cellStyle name="Normal 4 3 9 6 2" xfId="25511" xr:uid="{D0D819DB-AC0C-4AD5-BAA6-61094EEDBB3E}"/>
    <cellStyle name="Normal 4 3 9 6 3" xfId="19851" xr:uid="{B9090E26-7467-4435-808D-21070C98DD67}"/>
    <cellStyle name="Normal 4 3 9 6 4" xfId="31172" xr:uid="{839F3135-E037-41E5-A023-B09CD86A504A}"/>
    <cellStyle name="Normal 4 3 9 6 5" xfId="39999" xr:uid="{6DFA6C8E-E6B3-48A2-B2DB-CEDB673359DA}"/>
    <cellStyle name="Normal 4 3 9 7" xfId="22587" xr:uid="{1AF64386-3BE3-4A29-9DF7-76FABE8CAB4C}"/>
    <cellStyle name="Normal 4 3 9 8" xfId="16927" xr:uid="{83142DA2-D874-416C-9838-22A4CD76393C}"/>
    <cellStyle name="Normal 4 3 9 9" xfId="28248" xr:uid="{A1FE6A18-B6C9-4D31-8A23-DAFCA4071E63}"/>
    <cellStyle name="Normal 4 3_Scen_XBase" xfId="2222" xr:uid="{00000000-0005-0000-0000-00003E1D0000}"/>
    <cellStyle name="Normal 4 4" xfId="168" xr:uid="{00000000-0005-0000-0000-00003F1D0000}"/>
    <cellStyle name="Normal 4 4 10" xfId="40000" xr:uid="{F851B1B1-6BD2-4CFC-BDF6-B427C2121DE0}"/>
    <cellStyle name="Normal 4 4 2" xfId="2224" xr:uid="{00000000-0005-0000-0000-0000401D0000}"/>
    <cellStyle name="Normal 4 4 2 2" xfId="40002" xr:uid="{6B1749FE-FAAC-4591-8FA2-D9AA4294019C}"/>
    <cellStyle name="Normal 4 4 2 3" xfId="40003" xr:uid="{11681352-E571-4F48-8E81-02E668CDFB0A}"/>
    <cellStyle name="Normal 4 4 2 4" xfId="40001" xr:uid="{B6407EC4-5E5F-448E-ABBB-61BD916BFB32}"/>
    <cellStyle name="Normal 4 4 3" xfId="2225" xr:uid="{00000000-0005-0000-0000-0000411D0000}"/>
    <cellStyle name="Normal 4 4 3 2" xfId="4276" xr:uid="{00000000-0005-0000-0000-0000421D0000}"/>
    <cellStyle name="Normal 4 4 3 2 2" xfId="40005" xr:uid="{3F035421-9062-4161-935C-BAB53EBDA483}"/>
    <cellStyle name="Normal 4 4 3 3" xfId="6263" xr:uid="{00000000-0005-0000-0000-0000431D0000}"/>
    <cellStyle name="Normal 4 4 3 3 2" xfId="40006" xr:uid="{93658CC6-F6AC-44F1-A611-4B27355A7E06}"/>
    <cellStyle name="Normal 4 4 3 4" xfId="40007" xr:uid="{55FFC836-2892-4AE8-BC98-CDB47EA7699F}"/>
    <cellStyle name="Normal 4 4 3 5" xfId="40004" xr:uid="{FD0374D5-8430-4DE2-BE12-3F4ECBC8E3C9}"/>
    <cellStyle name="Normal 4 4 4" xfId="2223" xr:uid="{00000000-0005-0000-0000-0000441D0000}"/>
    <cellStyle name="Normal 4 4 4 2" xfId="40008" xr:uid="{BF9FF9C1-AED3-41A2-B4AF-A85DCFDEBC90}"/>
    <cellStyle name="Normal 4 4 5" xfId="4277" xr:uid="{00000000-0005-0000-0000-0000451D0000}"/>
    <cellStyle name="Normal 4 4 5 2" xfId="40009" xr:uid="{1E5BBE28-704A-4C9E-9932-A1E0DFB5D0E8}"/>
    <cellStyle name="Normal 4 4 6" xfId="4278" xr:uid="{00000000-0005-0000-0000-0000461D0000}"/>
    <cellStyle name="Normal 4 4 6 2" xfId="40010" xr:uid="{9C81772B-E32C-4422-AEEC-0DBC029CA8CC}"/>
    <cellStyle name="Normal 4 4 7" xfId="4279" xr:uid="{00000000-0005-0000-0000-0000471D0000}"/>
    <cellStyle name="Normal 4 4 7 2" xfId="40011" xr:uid="{5AC3B262-1D6F-4498-851E-4DD51B9EF7D0}"/>
    <cellStyle name="Normal 4 4 8" xfId="4280" xr:uid="{00000000-0005-0000-0000-0000481D0000}"/>
    <cellStyle name="Normal 4 4 8 2" xfId="40012" xr:uid="{B5CADE16-D766-4150-A516-BC7B03768593}"/>
    <cellStyle name="Normal 4 4 9" xfId="5797" xr:uid="{00000000-0005-0000-0000-0000491D0000}"/>
    <cellStyle name="Normal 4 4 9 2" xfId="40013" xr:uid="{71C6D618-CC6C-4F15-9508-84218F54A0B9}"/>
    <cellStyle name="Normal 4 5" xfId="169" xr:uid="{00000000-0005-0000-0000-00004A1D0000}"/>
    <cellStyle name="Normal 4 5 10" xfId="4805" xr:uid="{00000000-0005-0000-0000-00004B1D0000}"/>
    <cellStyle name="Normal 4 5 10 2" xfId="5227" xr:uid="{00000000-0005-0000-0000-00004C1D0000}"/>
    <cellStyle name="Normal 4 5 10 2 2" xfId="7090" xr:uid="{00000000-0005-0000-0000-00004D1D0000}"/>
    <cellStyle name="Normal 4 5 10 2 2 2" xfId="15523" xr:uid="{00000000-0005-0000-0000-00004E1D0000}"/>
    <cellStyle name="Normal 4 5 10 2 2 2 2" xfId="27417" xr:uid="{4092F8B5-39E3-4B56-B089-47F59749C7C3}"/>
    <cellStyle name="Normal 4 5 10 2 2 2 3" xfId="21757" xr:uid="{12D01015-AAC9-43D2-89A3-642853B29983}"/>
    <cellStyle name="Normal 4 5 10 2 2 2 4" xfId="32797" xr:uid="{8BBA0EE0-6D72-44A1-A69B-EFC44D971E3F}"/>
    <cellStyle name="Normal 4 5 10 2 2 2 5" xfId="40018" xr:uid="{EFD9C654-C2FA-4AA2-A809-6E1523D50AA0}"/>
    <cellStyle name="Normal 4 5 10 2 2 3" xfId="24584" xr:uid="{C787AD70-89C2-4119-8E3C-223C0ACA0A76}"/>
    <cellStyle name="Normal 4 5 10 2 2 4" xfId="18924" xr:uid="{A06C0892-1D13-4902-830F-8CBDA7BACE8B}"/>
    <cellStyle name="Normal 4 5 10 2 2 5" xfId="30245" xr:uid="{EAF9E92B-EC93-4391-9A30-AD9B313FFAEB}"/>
    <cellStyle name="Normal 4 5 10 2 2 6" xfId="40017" xr:uid="{C2AC1A84-C957-43E3-A8F6-C470E5B29EA1}"/>
    <cellStyle name="Normal 4 5 10 2 3" xfId="14113" xr:uid="{00000000-0005-0000-0000-00004F1D0000}"/>
    <cellStyle name="Normal 4 5 10 2 3 2" xfId="26152" xr:uid="{7C93742A-AB23-44AA-ACBE-EE9AFD2A5643}"/>
    <cellStyle name="Normal 4 5 10 2 3 3" xfId="20492" xr:uid="{F6BD39E2-1EC0-4F53-A8E2-892DF156B30D}"/>
    <cellStyle name="Normal 4 5 10 2 3 4" xfId="31532" xr:uid="{1B49CFCC-7CD0-42D7-A619-C7DB14437D89}"/>
    <cellStyle name="Normal 4 5 10 2 3 5" xfId="40019" xr:uid="{53B59F75-900D-4CAE-A49D-E6DF904BADDA}"/>
    <cellStyle name="Normal 4 5 10 2 4" xfId="23022" xr:uid="{4A54E237-4051-442A-BBC5-BE70C0A9607B}"/>
    <cellStyle name="Normal 4 5 10 2 5" xfId="17362" xr:uid="{4FB3E8DC-37A2-434D-B7D5-505E5615637B}"/>
    <cellStyle name="Normal 4 5 10 2 6" xfId="28683" xr:uid="{E287732D-7258-4981-B20E-D6E8E5D25EE3}"/>
    <cellStyle name="Normal 4 5 10 2 7" xfId="40016" xr:uid="{E3A52D88-7FAC-49A2-9C9A-1AE51B7F643E}"/>
    <cellStyle name="Normal 4 5 10 3" xfId="6264" xr:uid="{00000000-0005-0000-0000-0000501D0000}"/>
    <cellStyle name="Normal 4 5 10 3 2" xfId="7591" xr:uid="{00000000-0005-0000-0000-0000511D0000}"/>
    <cellStyle name="Normal 4 5 10 3 2 2" xfId="16024" xr:uid="{00000000-0005-0000-0000-0000521D0000}"/>
    <cellStyle name="Normal 4 5 10 3 2 2 2" xfId="27918" xr:uid="{36EA74D2-594B-442C-ADCA-3D991B7AC9DD}"/>
    <cellStyle name="Normal 4 5 10 3 2 2 3" xfId="22258" xr:uid="{FF032298-523B-4496-B07A-2BF8E0CF7EF3}"/>
    <cellStyle name="Normal 4 5 10 3 2 2 4" xfId="33298" xr:uid="{BF86B440-371A-40C5-9146-B37C92514DC6}"/>
    <cellStyle name="Normal 4 5 10 3 2 2 5" xfId="40022" xr:uid="{9FB377B3-409D-4747-9170-DB96D088B3C4}"/>
    <cellStyle name="Normal 4 5 10 3 2 3" xfId="25085" xr:uid="{7571E927-9624-4196-9083-26ADC3A08987}"/>
    <cellStyle name="Normal 4 5 10 3 2 4" xfId="19425" xr:uid="{1596576C-21E1-4C18-838E-A6D8FE9E39B1}"/>
    <cellStyle name="Normal 4 5 10 3 2 5" xfId="30746" xr:uid="{6FADE78D-FEEA-4AEB-A644-656FBFCD8599}"/>
    <cellStyle name="Normal 4 5 10 3 2 6" xfId="40021" xr:uid="{F84658B3-AAB3-4E32-9D72-76810C620C47}"/>
    <cellStyle name="Normal 4 5 10 3 3" xfId="14706" xr:uid="{00000000-0005-0000-0000-0000531D0000}"/>
    <cellStyle name="Normal 4 5 10 3 3 2" xfId="26662" xr:uid="{A16AA2BC-ED97-452F-9480-4FC44BA59F17}"/>
    <cellStyle name="Normal 4 5 10 3 3 3" xfId="21002" xr:uid="{06907616-2206-490E-936B-A63C20CD795A}"/>
    <cellStyle name="Normal 4 5 10 3 3 4" xfId="32042" xr:uid="{EB0F97E7-A6AB-404F-B13B-5819E47C0806}"/>
    <cellStyle name="Normal 4 5 10 3 3 5" xfId="40023" xr:uid="{0B7E0524-C258-419D-9B10-AB5AE51F71DD}"/>
    <cellStyle name="Normal 4 5 10 3 4" xfId="23829" xr:uid="{0B734496-4C56-4AC7-9E79-E1DD6AE2089D}"/>
    <cellStyle name="Normal 4 5 10 3 5" xfId="18169" xr:uid="{668CF6A4-72F4-46D5-B301-E6C04F00FEB9}"/>
    <cellStyle name="Normal 4 5 10 3 6" xfId="29490" xr:uid="{B80B113C-1A9B-4C70-8EE5-9004F42A8D59}"/>
    <cellStyle name="Normal 4 5 10 3 7" xfId="40020" xr:uid="{6E96051C-D3C8-41D7-8AD8-828216954720}"/>
    <cellStyle name="Normal 4 5 10 4" xfId="6672" xr:uid="{00000000-0005-0000-0000-0000541D0000}"/>
    <cellStyle name="Normal 4 5 10 4 2" xfId="15105" xr:uid="{00000000-0005-0000-0000-0000551D0000}"/>
    <cellStyle name="Normal 4 5 10 4 2 2" xfId="26999" xr:uid="{F441646D-B681-4EC0-B14E-C79DF53A8AE0}"/>
    <cellStyle name="Normal 4 5 10 4 2 3" xfId="21339" xr:uid="{57D21268-13F5-411F-B8C5-FEACCD4C6CE4}"/>
    <cellStyle name="Normal 4 5 10 4 2 4" xfId="32379" xr:uid="{95D5A2B9-82EE-4BAD-886B-33ED10974466}"/>
    <cellStyle name="Normal 4 5 10 4 2 5" xfId="40025" xr:uid="{CF29E2CC-3BD6-4081-91FB-1480EB413E84}"/>
    <cellStyle name="Normal 4 5 10 4 3" xfId="24166" xr:uid="{1111BC0E-5B58-4222-A629-DB9263032BF0}"/>
    <cellStyle name="Normal 4 5 10 4 4" xfId="18506" xr:uid="{0DDBC0CF-3473-46F9-BD4D-4A8EA091145B}"/>
    <cellStyle name="Normal 4 5 10 4 5" xfId="29827" xr:uid="{AEDACBF5-A58D-4704-B8DF-B0B4F029B00A}"/>
    <cellStyle name="Normal 4 5 10 4 6" xfId="40024" xr:uid="{BAAFFC84-CFA7-4963-8BB6-47C65287125F}"/>
    <cellStyle name="Normal 4 5 10 5" xfId="8034" xr:uid="{00000000-0005-0000-0000-0000561D0000}"/>
    <cellStyle name="Normal 4 5 10 5 2" xfId="25513" xr:uid="{2ABB7AE2-D1ED-4146-A2F0-A437F96B449C}"/>
    <cellStyle name="Normal 4 5 10 5 3" xfId="19853" xr:uid="{30180BD2-3E4D-4FAB-B1E2-E1A248A199FF}"/>
    <cellStyle name="Normal 4 5 10 5 4" xfId="31174" xr:uid="{DF75D87E-BBB4-4EF5-AF97-E280E1C10266}"/>
    <cellStyle name="Normal 4 5 10 5 5" xfId="40026" xr:uid="{31495DB0-B6C8-44CE-8C12-1ED72AB03579}"/>
    <cellStyle name="Normal 4 5 10 6" xfId="22604" xr:uid="{CE3A493C-73E2-4BE5-91DA-2632D706C884}"/>
    <cellStyle name="Normal 4 5 10 7" xfId="16944" xr:uid="{6E9FD699-83D2-474A-BEE5-209189C27550}"/>
    <cellStyle name="Normal 4 5 10 8" xfId="28265" xr:uid="{B9294641-EB1A-417D-B58B-57404BC08D0E}"/>
    <cellStyle name="Normal 4 5 10 9" xfId="40015" xr:uid="{199C119F-F0EE-4C40-A4A8-76C6D48346E6}"/>
    <cellStyle name="Normal 4 5 11" xfId="5018" xr:uid="{00000000-0005-0000-0000-0000571D0000}"/>
    <cellStyle name="Normal 4 5 11 2" xfId="5798" xr:uid="{00000000-0005-0000-0000-0000581D0000}"/>
    <cellStyle name="Normal 4 5 11 2 2" xfId="7301" xr:uid="{00000000-0005-0000-0000-0000591D0000}"/>
    <cellStyle name="Normal 4 5 11 2 2 2" xfId="15734" xr:uid="{00000000-0005-0000-0000-00005A1D0000}"/>
    <cellStyle name="Normal 4 5 11 2 2 2 2" xfId="27628" xr:uid="{FD4AEED2-1A8A-4180-BDA9-985B3437AC48}"/>
    <cellStyle name="Normal 4 5 11 2 2 2 3" xfId="21968" xr:uid="{38CBFA97-48B0-4FE0-9318-6180F8595E37}"/>
    <cellStyle name="Normal 4 5 11 2 2 2 4" xfId="33008" xr:uid="{14EDDBEE-28D4-468E-BE5C-1A6D4AA256A7}"/>
    <cellStyle name="Normal 4 5 11 2 2 2 5" xfId="40030" xr:uid="{8A4561B6-304E-4ABD-A5DD-B64B62CEA41F}"/>
    <cellStyle name="Normal 4 5 11 2 2 3" xfId="24795" xr:uid="{76B0EE29-498F-4C1D-9298-6F1AB1EEE70F}"/>
    <cellStyle name="Normal 4 5 11 2 2 4" xfId="19135" xr:uid="{4DE06B1E-4ACB-4369-AECD-4954D6FD2851}"/>
    <cellStyle name="Normal 4 5 11 2 2 5" xfId="30456" xr:uid="{46638155-3852-4566-91ED-926E05807693}"/>
    <cellStyle name="Normal 4 5 11 2 2 6" xfId="40029" xr:uid="{C9B6DA35-2D00-4E65-A045-C143A9874C54}"/>
    <cellStyle name="Normal 4 5 11 2 3" xfId="14378" xr:uid="{00000000-0005-0000-0000-00005B1D0000}"/>
    <cellStyle name="Normal 4 5 11 2 3 2" xfId="26370" xr:uid="{7CD61D66-9434-440C-8343-A602F55BDBB8}"/>
    <cellStyle name="Normal 4 5 11 2 3 3" xfId="20710" xr:uid="{5CC7BE07-312C-42E6-90E1-E73F10FB3D6E}"/>
    <cellStyle name="Normal 4 5 11 2 3 4" xfId="31750" xr:uid="{5A5C2413-5E55-48BA-87B7-8BA933DC40F8}"/>
    <cellStyle name="Normal 4 5 11 2 3 5" xfId="40031" xr:uid="{04E60D46-684A-420C-91D1-32426CCC7FCB}"/>
    <cellStyle name="Normal 4 5 11 2 4" xfId="23454" xr:uid="{4CDCAE30-9D6C-4C9A-9859-92032D9348E7}"/>
    <cellStyle name="Normal 4 5 11 2 5" xfId="17794" xr:uid="{8FCFEF9A-09E8-4581-A619-8DF9426FCB34}"/>
    <cellStyle name="Normal 4 5 11 2 6" xfId="29115" xr:uid="{B7916615-4473-49BF-977C-8F781E69D5D0}"/>
    <cellStyle name="Normal 4 5 11 2 7" xfId="40028" xr:uid="{7CEC2067-9BCB-49B6-A706-8AEEDA17A4A4}"/>
    <cellStyle name="Normal 4 5 11 3" xfId="6881" xr:uid="{00000000-0005-0000-0000-00005C1D0000}"/>
    <cellStyle name="Normal 4 5 11 3 2" xfId="15314" xr:uid="{00000000-0005-0000-0000-00005D1D0000}"/>
    <cellStyle name="Normal 4 5 11 3 2 2" xfId="27208" xr:uid="{D9C46407-B37D-4145-88F9-57E758AE3AD4}"/>
    <cellStyle name="Normal 4 5 11 3 2 3" xfId="21548" xr:uid="{BABB36A0-09C4-47C6-814A-7FB088153939}"/>
    <cellStyle name="Normal 4 5 11 3 2 4" xfId="32588" xr:uid="{E212A45D-14D1-4718-9122-39E0AE7CD989}"/>
    <cellStyle name="Normal 4 5 11 3 2 5" xfId="40033" xr:uid="{43344AFE-B61A-44F2-BE0C-6477E0C368AD}"/>
    <cellStyle name="Normal 4 5 11 3 3" xfId="24375" xr:uid="{4E1CFBD0-2B5E-4122-9B74-2C0CCD0A8F47}"/>
    <cellStyle name="Normal 4 5 11 3 4" xfId="18715" xr:uid="{CBEE1C91-CBAF-4709-A566-5BBE0A577E45}"/>
    <cellStyle name="Normal 4 5 11 3 5" xfId="30036" xr:uid="{94054CBE-8493-4F04-9F2D-83E65D9F1126}"/>
    <cellStyle name="Normal 4 5 11 3 6" xfId="40032" xr:uid="{C6035103-7BAF-4F84-B3AE-77418FB18223}"/>
    <cellStyle name="Normal 4 5 11 4" xfId="8035" xr:uid="{00000000-0005-0000-0000-00005E1D0000}"/>
    <cellStyle name="Normal 4 5 11 4 2" xfId="25514" xr:uid="{2FD40146-5CE2-4274-8793-FA1540C258E0}"/>
    <cellStyle name="Normal 4 5 11 4 3" xfId="19854" xr:uid="{212E194E-A683-4DD8-A40C-0428A4288805}"/>
    <cellStyle name="Normal 4 5 11 4 4" xfId="31175" xr:uid="{76E8B255-4F27-4697-97F5-734AA2755137}"/>
    <cellStyle name="Normal 4 5 11 4 5" xfId="40034" xr:uid="{79DA04AD-84F9-4AC2-A34F-7C199CDD3BF0}"/>
    <cellStyle name="Normal 4 5 11 5" xfId="22813" xr:uid="{E8BCEF34-37FC-406A-9AD0-61054AC86527}"/>
    <cellStyle name="Normal 4 5 11 6" xfId="17153" xr:uid="{1FC1C7BA-9AA0-437E-802E-D3A70B54E8D0}"/>
    <cellStyle name="Normal 4 5 11 7" xfId="28474" xr:uid="{77B439D4-CCDB-4AFF-85E3-AC3943F24F62}"/>
    <cellStyle name="Normal 4 5 11 8" xfId="40027" xr:uid="{07551869-6089-4F96-9A72-B3B50542931A}"/>
    <cellStyle name="Normal 4 5 12" xfId="6463" xr:uid="{00000000-0005-0000-0000-00005F1D0000}"/>
    <cellStyle name="Normal 4 5 12 2" xfId="14896" xr:uid="{00000000-0005-0000-0000-0000601D0000}"/>
    <cellStyle name="Normal 4 5 12 2 2" xfId="26790" xr:uid="{5DEC35A9-2E8D-4E37-8E69-F218C35AAAEA}"/>
    <cellStyle name="Normal 4 5 12 2 3" xfId="21130" xr:uid="{9BBE73AC-98B9-4C5A-B2B2-2E67BDD0A636}"/>
    <cellStyle name="Normal 4 5 12 2 4" xfId="32170" xr:uid="{05426C80-1502-4112-AD45-7BF3531F5F7F}"/>
    <cellStyle name="Normal 4 5 12 2 5" xfId="40036" xr:uid="{A13CB9F9-851D-4F84-A6E2-60CBBFBD2C93}"/>
    <cellStyle name="Normal 4 5 12 3" xfId="23957" xr:uid="{FCF92B7C-BCBB-432A-A384-54802189A770}"/>
    <cellStyle name="Normal 4 5 12 4" xfId="18297" xr:uid="{F92C3EDC-1642-4B6B-A3B7-AAE37B9570BD}"/>
    <cellStyle name="Normal 4 5 12 5" xfId="29618" xr:uid="{09FF5882-C2EC-46E2-9135-FCC3363E8578}"/>
    <cellStyle name="Normal 4 5 12 6" xfId="40035" xr:uid="{24BA5C17-5A76-494B-8EC1-279E0C22B095}"/>
    <cellStyle name="Normal 4 5 13" xfId="22395" xr:uid="{F3B853F2-1980-487B-A868-AC8320434317}"/>
    <cellStyle name="Normal 4 5 13 2" xfId="40037" xr:uid="{5BBFB3E1-5A34-4AAF-93A8-B4EEFB58B58E}"/>
    <cellStyle name="Normal 4 5 14" xfId="16735" xr:uid="{E79471F9-FA7F-4B8C-A365-A543C02C3AC5}"/>
    <cellStyle name="Normal 4 5 15" xfId="28056" xr:uid="{3F4ECFBB-85E5-47C9-BC3B-9C45AADDF4F4}"/>
    <cellStyle name="Normal 4 5 16" xfId="40014" xr:uid="{7A695D48-311C-47F2-8F26-2619DA496995}"/>
    <cellStyle name="Normal 4 5 2" xfId="318" xr:uid="{00000000-0005-0000-0000-0000611D0000}"/>
    <cellStyle name="Normal 4 5 2 2" xfId="2227" xr:uid="{00000000-0005-0000-0000-0000621D0000}"/>
    <cellStyle name="Normal 4 5 2 2 2" xfId="40039" xr:uid="{396FCB04-5504-47FD-AB01-E4B5DD64A522}"/>
    <cellStyle name="Normal 4 5 2 3" xfId="4830" xr:uid="{00000000-0005-0000-0000-0000631D0000}"/>
    <cellStyle name="Normal 4 5 2 3 2" xfId="5251" xr:uid="{00000000-0005-0000-0000-0000641D0000}"/>
    <cellStyle name="Normal 4 5 2 3 2 2" xfId="7114" xr:uid="{00000000-0005-0000-0000-0000651D0000}"/>
    <cellStyle name="Normal 4 5 2 3 2 2 2" xfId="15547" xr:uid="{00000000-0005-0000-0000-0000661D0000}"/>
    <cellStyle name="Normal 4 5 2 3 2 2 2 2" xfId="27441" xr:uid="{F4EA57FB-C08A-4FFF-8302-E85D70CC1D09}"/>
    <cellStyle name="Normal 4 5 2 3 2 2 2 3" xfId="21781" xr:uid="{81123A9D-7A54-45E1-9FBF-2D3FD895489E}"/>
    <cellStyle name="Normal 4 5 2 3 2 2 2 4" xfId="32821" xr:uid="{52031251-EC42-43D4-BAA0-8138F08A2417}"/>
    <cellStyle name="Normal 4 5 2 3 2 2 2 5" xfId="40043" xr:uid="{634F7AC7-1E97-4D0C-B475-F22CD5295794}"/>
    <cellStyle name="Normal 4 5 2 3 2 2 3" xfId="24608" xr:uid="{514F2802-BDE4-49C4-9B26-7AF3E5110922}"/>
    <cellStyle name="Normal 4 5 2 3 2 2 4" xfId="18948" xr:uid="{0D17A40E-773C-4EE0-9ECC-6DDF178E0FDC}"/>
    <cellStyle name="Normal 4 5 2 3 2 2 5" xfId="30269" xr:uid="{C64F4E44-1A73-4D42-BE8B-6BE6701BA815}"/>
    <cellStyle name="Normal 4 5 2 3 2 2 6" xfId="40042" xr:uid="{0423CFB8-D5E2-41CE-A054-00FFBF73330A}"/>
    <cellStyle name="Normal 4 5 2 3 2 3" xfId="14137" xr:uid="{00000000-0005-0000-0000-0000671D0000}"/>
    <cellStyle name="Normal 4 5 2 3 2 3 2" xfId="26176" xr:uid="{DEB3841E-59BC-4794-9CA3-BA0C80B8FD9E}"/>
    <cellStyle name="Normal 4 5 2 3 2 3 3" xfId="20516" xr:uid="{EF7BF2D1-95E1-4549-889A-04F25E03659D}"/>
    <cellStyle name="Normal 4 5 2 3 2 3 4" xfId="31556" xr:uid="{AEFEEA9A-9BD8-45F2-BEEB-79D5D12F73A8}"/>
    <cellStyle name="Normal 4 5 2 3 2 3 5" xfId="40044" xr:uid="{241E6392-2009-4F74-98D8-EDA288ACC905}"/>
    <cellStyle name="Normal 4 5 2 3 2 4" xfId="23046" xr:uid="{6D7D92DB-D04E-457A-A70B-2BD57FC25BEB}"/>
    <cellStyle name="Normal 4 5 2 3 2 5" xfId="17386" xr:uid="{B3301E77-FFBC-4ECD-9599-BF70DF03CA04}"/>
    <cellStyle name="Normal 4 5 2 3 2 6" xfId="28707" xr:uid="{07D3D0BA-C54D-42B6-AB5C-D105EDE2A388}"/>
    <cellStyle name="Normal 4 5 2 3 2 7" xfId="40041" xr:uid="{DB8F53C3-14E1-4FCC-872A-A4221C2974CF}"/>
    <cellStyle name="Normal 4 5 2 3 3" xfId="6266" xr:uid="{00000000-0005-0000-0000-0000681D0000}"/>
    <cellStyle name="Normal 4 5 2 3 3 2" xfId="7593" xr:uid="{00000000-0005-0000-0000-0000691D0000}"/>
    <cellStyle name="Normal 4 5 2 3 3 2 2" xfId="16026" xr:uid="{00000000-0005-0000-0000-00006A1D0000}"/>
    <cellStyle name="Normal 4 5 2 3 3 2 2 2" xfId="27920" xr:uid="{CEC57BD4-33E4-4C13-8478-15111DA4D484}"/>
    <cellStyle name="Normal 4 5 2 3 3 2 2 3" xfId="22260" xr:uid="{A9384854-92BE-4344-9488-C3E543BA5FC7}"/>
    <cellStyle name="Normal 4 5 2 3 3 2 2 4" xfId="33300" xr:uid="{596CA93B-0444-428F-B5F8-8BD75B7CF21D}"/>
    <cellStyle name="Normal 4 5 2 3 3 2 2 5" xfId="40047" xr:uid="{8A892D3C-82E2-41CE-BFBB-FE3C595D498B}"/>
    <cellStyle name="Normal 4 5 2 3 3 2 3" xfId="25087" xr:uid="{82617A3D-BB8C-4294-8E38-5FB65759FF54}"/>
    <cellStyle name="Normal 4 5 2 3 3 2 4" xfId="19427" xr:uid="{5BF95A7D-03EC-4426-B0CB-A97ED3E02803}"/>
    <cellStyle name="Normal 4 5 2 3 3 2 5" xfId="30748" xr:uid="{F5381D78-5784-4C1F-A59C-9E5F966EF7C1}"/>
    <cellStyle name="Normal 4 5 2 3 3 2 6" xfId="40046" xr:uid="{0410936C-51D1-4C83-9E31-BD32BB175B2C}"/>
    <cellStyle name="Normal 4 5 2 3 3 3" xfId="14708" xr:uid="{00000000-0005-0000-0000-00006B1D0000}"/>
    <cellStyle name="Normal 4 5 2 3 3 3 2" xfId="26664" xr:uid="{690E02B5-F905-45FE-81A7-5E7926D84B2B}"/>
    <cellStyle name="Normal 4 5 2 3 3 3 3" xfId="21004" xr:uid="{25D2E83C-A162-455D-88D1-EB76DDB51DF3}"/>
    <cellStyle name="Normal 4 5 2 3 3 3 4" xfId="32044" xr:uid="{B8C728EC-86A1-43DB-A1F7-C7DDC6A26907}"/>
    <cellStyle name="Normal 4 5 2 3 3 3 5" xfId="40048" xr:uid="{2AB91498-749A-49D9-9A10-958DFFB666F8}"/>
    <cellStyle name="Normal 4 5 2 3 3 4" xfId="23831" xr:uid="{17853584-D985-4343-A50A-2AEA28D1060D}"/>
    <cellStyle name="Normal 4 5 2 3 3 5" xfId="18171" xr:uid="{10E7F38B-94E1-4996-974E-B79DBEBBCCBE}"/>
    <cellStyle name="Normal 4 5 2 3 3 6" xfId="29492" xr:uid="{3F881FD4-E187-4B80-B01E-56FE82455610}"/>
    <cellStyle name="Normal 4 5 2 3 3 7" xfId="40045" xr:uid="{52E021D1-D24F-4713-A4BD-4B6D35BF529F}"/>
    <cellStyle name="Normal 4 5 2 3 4" xfId="6696" xr:uid="{00000000-0005-0000-0000-00006C1D0000}"/>
    <cellStyle name="Normal 4 5 2 3 4 2" xfId="15129" xr:uid="{00000000-0005-0000-0000-00006D1D0000}"/>
    <cellStyle name="Normal 4 5 2 3 4 2 2" xfId="27023" xr:uid="{CBA64C98-1B11-429D-B31A-28930CF638E5}"/>
    <cellStyle name="Normal 4 5 2 3 4 2 3" xfId="21363" xr:uid="{4C1298B2-548D-46BE-90D5-FFD45C37AD6C}"/>
    <cellStyle name="Normal 4 5 2 3 4 2 4" xfId="32403" xr:uid="{C190CEE8-6B54-4BE0-9279-943BF6F8C97D}"/>
    <cellStyle name="Normal 4 5 2 3 4 2 5" xfId="40050" xr:uid="{B7B3B9B2-78A7-44CD-A21D-73E5D29F6A9F}"/>
    <cellStyle name="Normal 4 5 2 3 4 3" xfId="24190" xr:uid="{57BAD3DA-5AB4-4269-A563-AE42532524E1}"/>
    <cellStyle name="Normal 4 5 2 3 4 4" xfId="18530" xr:uid="{F838B719-1F5C-4728-BA93-F0C3ADCB15E8}"/>
    <cellStyle name="Normal 4 5 2 3 4 5" xfId="29851" xr:uid="{13103AC0-B56E-410D-BF89-8C035DF35C05}"/>
    <cellStyle name="Normal 4 5 2 3 4 6" xfId="40049" xr:uid="{B781C078-6977-4982-998E-09C46DFAE71E}"/>
    <cellStyle name="Normal 4 5 2 3 5" xfId="8036" xr:uid="{00000000-0005-0000-0000-00006E1D0000}"/>
    <cellStyle name="Normal 4 5 2 3 5 2" xfId="25515" xr:uid="{8DAA8445-98FE-4F98-BAFF-64B47BA9AF09}"/>
    <cellStyle name="Normal 4 5 2 3 5 3" xfId="19855" xr:uid="{4350EF6B-BC17-413C-B989-BE3B3D582BE1}"/>
    <cellStyle name="Normal 4 5 2 3 5 4" xfId="31176" xr:uid="{C45AFF32-FA60-4DC7-A129-065A4699ECB3}"/>
    <cellStyle name="Normal 4 5 2 3 5 5" xfId="40051" xr:uid="{57AF0343-20DD-409E-B89D-60694947E767}"/>
    <cellStyle name="Normal 4 5 2 3 6" xfId="22628" xr:uid="{3AE7BA60-CD31-4E1D-8AAD-963703F5EE27}"/>
    <cellStyle name="Normal 4 5 2 3 7" xfId="16968" xr:uid="{9329BCC0-10C9-4BCA-BDC0-FE2A9E4DC041}"/>
    <cellStyle name="Normal 4 5 2 3 8" xfId="28289" xr:uid="{4A76754C-9F93-44B5-9FF2-7CD62FE993AE}"/>
    <cellStyle name="Normal 4 5 2 3 9" xfId="40040" xr:uid="{2CD09F08-6718-4DDB-9042-28AAB85DA3C8}"/>
    <cellStyle name="Normal 4 5 2 4" xfId="5042" xr:uid="{00000000-0005-0000-0000-00006F1D0000}"/>
    <cellStyle name="Normal 4 5 2 4 2" xfId="6265" xr:uid="{00000000-0005-0000-0000-0000701D0000}"/>
    <cellStyle name="Normal 4 5 2 4 2 2" xfId="7592" xr:uid="{00000000-0005-0000-0000-0000711D0000}"/>
    <cellStyle name="Normal 4 5 2 4 2 2 2" xfId="16025" xr:uid="{00000000-0005-0000-0000-0000721D0000}"/>
    <cellStyle name="Normal 4 5 2 4 2 2 2 2" xfId="27919" xr:uid="{C0EF5346-CA38-4AF9-8BD9-50F1F47E99EF}"/>
    <cellStyle name="Normal 4 5 2 4 2 2 2 3" xfId="22259" xr:uid="{A3DE7025-7411-4A08-9038-AD4A51B776E9}"/>
    <cellStyle name="Normal 4 5 2 4 2 2 2 4" xfId="33299" xr:uid="{8A7DCDEC-0811-4572-B7CC-9D16E9823CD2}"/>
    <cellStyle name="Normal 4 5 2 4 2 2 2 5" xfId="40055" xr:uid="{21BEA7EB-2D11-487C-9787-73644C75E72B}"/>
    <cellStyle name="Normal 4 5 2 4 2 2 3" xfId="25086" xr:uid="{429396EB-CC37-4A03-82B6-A0226C8E22B7}"/>
    <cellStyle name="Normal 4 5 2 4 2 2 4" xfId="19426" xr:uid="{0F77373B-6978-4BA8-B284-75576BB2F653}"/>
    <cellStyle name="Normal 4 5 2 4 2 2 5" xfId="30747" xr:uid="{6B19466A-097F-4545-A47A-67F0B5490C6F}"/>
    <cellStyle name="Normal 4 5 2 4 2 2 6" xfId="40054" xr:uid="{4024C368-0F10-4101-B24A-3ADCB09C3EAE}"/>
    <cellStyle name="Normal 4 5 2 4 2 3" xfId="14707" xr:uid="{00000000-0005-0000-0000-0000731D0000}"/>
    <cellStyle name="Normal 4 5 2 4 2 3 2" xfId="26663" xr:uid="{605AB81B-9012-4958-B522-0CBA02AE49D3}"/>
    <cellStyle name="Normal 4 5 2 4 2 3 3" xfId="21003" xr:uid="{4B1CC226-35FC-4A41-A554-A2F7B724CC22}"/>
    <cellStyle name="Normal 4 5 2 4 2 3 4" xfId="32043" xr:uid="{B37100A2-D3C8-439B-AEE7-FDA39EA871D0}"/>
    <cellStyle name="Normal 4 5 2 4 2 3 5" xfId="40056" xr:uid="{4B5EE43D-4789-4A69-8B0A-67154F5081FA}"/>
    <cellStyle name="Normal 4 5 2 4 2 4" xfId="23830" xr:uid="{9D451119-48F1-47B9-9080-ADD98EB30231}"/>
    <cellStyle name="Normal 4 5 2 4 2 5" xfId="18170" xr:uid="{D844185B-4426-4A0B-8B69-1A8E80D7700C}"/>
    <cellStyle name="Normal 4 5 2 4 2 6" xfId="29491" xr:uid="{56E934ED-8336-4613-9029-4D0F97FF2CCB}"/>
    <cellStyle name="Normal 4 5 2 4 2 7" xfId="40053" xr:uid="{742E2003-059E-46AD-823A-4F1E80AF0EF3}"/>
    <cellStyle name="Normal 4 5 2 4 3" xfId="6905" xr:uid="{00000000-0005-0000-0000-0000741D0000}"/>
    <cellStyle name="Normal 4 5 2 4 3 2" xfId="15338" xr:uid="{00000000-0005-0000-0000-0000751D0000}"/>
    <cellStyle name="Normal 4 5 2 4 3 2 2" xfId="27232" xr:uid="{316837AA-9F7A-4BB6-A4AB-025E89B18457}"/>
    <cellStyle name="Normal 4 5 2 4 3 2 3" xfId="21572" xr:uid="{862A79B7-18C4-45A7-9FAE-0054AE54886E}"/>
    <cellStyle name="Normal 4 5 2 4 3 2 4" xfId="32612" xr:uid="{B0BD0C50-D194-4C01-9242-1AAF5C8D4605}"/>
    <cellStyle name="Normal 4 5 2 4 3 2 5" xfId="40058" xr:uid="{E1E35CCE-6B02-4A16-857A-A3B52EAF9D78}"/>
    <cellStyle name="Normal 4 5 2 4 3 3" xfId="24399" xr:uid="{C092408D-513A-492B-ABB6-3BB518CB17D4}"/>
    <cellStyle name="Normal 4 5 2 4 3 4" xfId="18739" xr:uid="{76DBFCE8-B1A3-4266-AB46-9803AAA7731E}"/>
    <cellStyle name="Normal 4 5 2 4 3 5" xfId="30060" xr:uid="{927148E4-E324-4F06-BB83-081206DFB0EB}"/>
    <cellStyle name="Normal 4 5 2 4 3 6" xfId="40057" xr:uid="{4446AF2D-7796-4EB8-9D7C-1C23B7F143D2}"/>
    <cellStyle name="Normal 4 5 2 4 4" xfId="8037" xr:uid="{00000000-0005-0000-0000-0000761D0000}"/>
    <cellStyle name="Normal 4 5 2 4 4 2" xfId="25516" xr:uid="{EBEB4757-437F-4D7E-8E3D-DD8912F88EB6}"/>
    <cellStyle name="Normal 4 5 2 4 4 3" xfId="19856" xr:uid="{1C6BB17F-C7D0-4C67-9F91-B01007DE8204}"/>
    <cellStyle name="Normal 4 5 2 4 4 4" xfId="31177" xr:uid="{1A38E33A-1215-4EEC-AD81-DEDCABE390C2}"/>
    <cellStyle name="Normal 4 5 2 4 4 5" xfId="40059" xr:uid="{0E50836D-3049-43AC-898A-1A70B767362C}"/>
    <cellStyle name="Normal 4 5 2 4 5" xfId="22837" xr:uid="{744C2C6E-D5F3-47D0-BC0E-198188A34C2F}"/>
    <cellStyle name="Normal 4 5 2 4 6" xfId="17177" xr:uid="{31ADBECF-CF50-473E-9736-F97A61D8D2A1}"/>
    <cellStyle name="Normal 4 5 2 4 7" xfId="28498" xr:uid="{E1928FBC-BF63-43DC-8136-D7EBFB55CE99}"/>
    <cellStyle name="Normal 4 5 2 4 8" xfId="40052" xr:uid="{93026C1B-DB74-4B45-AAF5-C1CED1162AAD}"/>
    <cellStyle name="Normal 4 5 2 5" xfId="6487" xr:uid="{00000000-0005-0000-0000-0000771D0000}"/>
    <cellStyle name="Normal 4 5 2 5 2" xfId="14920" xr:uid="{00000000-0005-0000-0000-0000781D0000}"/>
    <cellStyle name="Normal 4 5 2 5 2 2" xfId="26814" xr:uid="{5238F769-3F42-4D2F-A9E3-D4A843A5DDED}"/>
    <cellStyle name="Normal 4 5 2 5 2 3" xfId="21154" xr:uid="{56B5F60A-9685-4BDD-8D6C-2744947BD7DD}"/>
    <cellStyle name="Normal 4 5 2 5 2 4" xfId="32194" xr:uid="{49066F45-8A2A-4D3F-9746-584FA8B225D3}"/>
    <cellStyle name="Normal 4 5 2 5 2 5" xfId="40061" xr:uid="{FC37F8DA-0AA5-4746-AB16-9102087CCB46}"/>
    <cellStyle name="Normal 4 5 2 5 3" xfId="23981" xr:uid="{DAA0A3EC-2600-49D1-AAF8-CB38386DC0EE}"/>
    <cellStyle name="Normal 4 5 2 5 4" xfId="18321" xr:uid="{95280EFC-1DDB-4983-A1EE-16EB973926A2}"/>
    <cellStyle name="Normal 4 5 2 5 5" xfId="29642" xr:uid="{07CE93B6-7B94-4BA9-90CD-562E5A9EF221}"/>
    <cellStyle name="Normal 4 5 2 5 6" xfId="40060" xr:uid="{2A8D5466-14F7-4B1F-B7F3-D9779C4F4683}"/>
    <cellStyle name="Normal 4 5 2 6" xfId="22419" xr:uid="{CCF3A0B1-BA70-4CEE-8A71-753FAF1358F0}"/>
    <cellStyle name="Normal 4 5 2 6 2" xfId="40062" xr:uid="{E316E46B-1BB1-46E2-AB91-AC9DAECF9082}"/>
    <cellStyle name="Normal 4 5 2 7" xfId="16759" xr:uid="{AAC370E0-B23C-49BD-BA0C-2A22B2B98D28}"/>
    <cellStyle name="Normal 4 5 2 8" xfId="28080" xr:uid="{225DB160-8025-4E36-AE2F-12001495D7B4}"/>
    <cellStyle name="Normal 4 5 2 9" xfId="40038" xr:uid="{EA66B95C-AC1C-4CBF-AE6E-4C308F5B4801}"/>
    <cellStyle name="Normal 4 5 3" xfId="2226" xr:uid="{00000000-0005-0000-0000-0000791D0000}"/>
    <cellStyle name="Normal 4 5 3 2" xfId="4281" xr:uid="{00000000-0005-0000-0000-00007A1D0000}"/>
    <cellStyle name="Normal 4 5 3 2 2" xfId="40064" xr:uid="{3ABAEA01-F14A-4C72-9987-41FC666D4FC0}"/>
    <cellStyle name="Normal 4 5 3 3" xfId="4865" xr:uid="{00000000-0005-0000-0000-00007B1D0000}"/>
    <cellStyle name="Normal 4 5 3 3 2" xfId="5284" xr:uid="{00000000-0005-0000-0000-00007C1D0000}"/>
    <cellStyle name="Normal 4 5 3 3 2 2" xfId="7147" xr:uid="{00000000-0005-0000-0000-00007D1D0000}"/>
    <cellStyle name="Normal 4 5 3 3 2 2 2" xfId="15580" xr:uid="{00000000-0005-0000-0000-00007E1D0000}"/>
    <cellStyle name="Normal 4 5 3 3 2 2 2 2" xfId="27474" xr:uid="{06115F58-DFB9-4950-AB0E-6025C6B9F685}"/>
    <cellStyle name="Normal 4 5 3 3 2 2 2 3" xfId="21814" xr:uid="{48AA7E98-20FF-439F-A712-52B0E0C1561B}"/>
    <cellStyle name="Normal 4 5 3 3 2 2 2 4" xfId="32854" xr:uid="{F8CCBD82-5F32-4DD6-A407-CFD3F220319F}"/>
    <cellStyle name="Normal 4 5 3 3 2 2 2 5" xfId="40068" xr:uid="{59772A16-92CE-4752-81E1-F5C452722ED6}"/>
    <cellStyle name="Normal 4 5 3 3 2 2 3" xfId="24641" xr:uid="{D8E18128-E4DA-41A7-80E4-50486FD3D3D9}"/>
    <cellStyle name="Normal 4 5 3 3 2 2 4" xfId="18981" xr:uid="{012FD75D-7711-47E7-B37B-DAE1723DB9BC}"/>
    <cellStyle name="Normal 4 5 3 3 2 2 5" xfId="30302" xr:uid="{DCDE709F-2E20-4C33-BFC2-DA29E172EE3A}"/>
    <cellStyle name="Normal 4 5 3 3 2 2 6" xfId="40067" xr:uid="{2920B516-C1B1-4611-82F1-82A80CEC7110}"/>
    <cellStyle name="Normal 4 5 3 3 2 3" xfId="14170" xr:uid="{00000000-0005-0000-0000-00007F1D0000}"/>
    <cellStyle name="Normal 4 5 3 3 2 3 2" xfId="26209" xr:uid="{6E579DE4-A6A9-4B21-9A56-18A7EFB624E5}"/>
    <cellStyle name="Normal 4 5 3 3 2 3 3" xfId="20549" xr:uid="{8813ED5D-975F-44A3-8733-E2C7B2D9260E}"/>
    <cellStyle name="Normal 4 5 3 3 2 3 4" xfId="31589" xr:uid="{0EEBB9D1-4FDD-4F46-97A7-265FC3CD0381}"/>
    <cellStyle name="Normal 4 5 3 3 2 3 5" xfId="40069" xr:uid="{0E03F9E5-82A1-41BC-A97D-3FFD53CF1904}"/>
    <cellStyle name="Normal 4 5 3 3 2 4" xfId="23079" xr:uid="{787D9444-B2BC-405E-A451-52F7D0486485}"/>
    <cellStyle name="Normal 4 5 3 3 2 5" xfId="17419" xr:uid="{BDFD3E8D-8381-4D57-B5B7-7BB2BE42CC08}"/>
    <cellStyle name="Normal 4 5 3 3 2 6" xfId="28740" xr:uid="{6E8E7DE0-1D23-456C-8381-8FE681CF16C5}"/>
    <cellStyle name="Normal 4 5 3 3 2 7" xfId="40066" xr:uid="{AA209BDD-3BF4-4E3B-98B2-10CC65C41F1D}"/>
    <cellStyle name="Normal 4 5 3 3 3" xfId="6268" xr:uid="{00000000-0005-0000-0000-0000801D0000}"/>
    <cellStyle name="Normal 4 5 3 3 3 2" xfId="7595" xr:uid="{00000000-0005-0000-0000-0000811D0000}"/>
    <cellStyle name="Normal 4 5 3 3 3 2 2" xfId="16028" xr:uid="{00000000-0005-0000-0000-0000821D0000}"/>
    <cellStyle name="Normal 4 5 3 3 3 2 2 2" xfId="27922" xr:uid="{6A741161-9E8D-4E32-9D41-F6F1102D6527}"/>
    <cellStyle name="Normal 4 5 3 3 3 2 2 3" xfId="22262" xr:uid="{7C28EEDE-CF14-4C8E-A346-64AD059B7D27}"/>
    <cellStyle name="Normal 4 5 3 3 3 2 2 4" xfId="33302" xr:uid="{962CD36F-444D-4BF7-8B65-EA0DE14F8D0C}"/>
    <cellStyle name="Normal 4 5 3 3 3 2 2 5" xfId="40072" xr:uid="{69A42B14-7853-4B43-8E88-9203B8E932B8}"/>
    <cellStyle name="Normal 4 5 3 3 3 2 3" xfId="25089" xr:uid="{68D0BF62-BB2E-4B5B-B43F-946C20FE7E04}"/>
    <cellStyle name="Normal 4 5 3 3 3 2 4" xfId="19429" xr:uid="{61C5F412-BD0C-4567-868E-D306A80033F3}"/>
    <cellStyle name="Normal 4 5 3 3 3 2 5" xfId="30750" xr:uid="{81EC4B39-2E30-474D-9BAC-8F1DCC8FEDD5}"/>
    <cellStyle name="Normal 4 5 3 3 3 2 6" xfId="40071" xr:uid="{BCC99C33-906E-40D4-B651-C309EE77B4D6}"/>
    <cellStyle name="Normal 4 5 3 3 3 3" xfId="14710" xr:uid="{00000000-0005-0000-0000-0000831D0000}"/>
    <cellStyle name="Normal 4 5 3 3 3 3 2" xfId="26666" xr:uid="{5092799B-559B-4BE8-86D7-442FC490FDBE}"/>
    <cellStyle name="Normal 4 5 3 3 3 3 3" xfId="21006" xr:uid="{25FC3059-A7F4-455B-B485-288BB6A0C257}"/>
    <cellStyle name="Normal 4 5 3 3 3 3 4" xfId="32046" xr:uid="{3A2A173B-08E2-41B9-9915-B8C01DD4E936}"/>
    <cellStyle name="Normal 4 5 3 3 3 3 5" xfId="40073" xr:uid="{59A3F8C3-11A0-47AE-999E-7ED0843EC836}"/>
    <cellStyle name="Normal 4 5 3 3 3 4" xfId="23833" xr:uid="{2A05835B-2C4F-4147-A591-692778A0DF74}"/>
    <cellStyle name="Normal 4 5 3 3 3 5" xfId="18173" xr:uid="{541A06B5-3214-497E-A3EC-08B8443544E2}"/>
    <cellStyle name="Normal 4 5 3 3 3 6" xfId="29494" xr:uid="{7F5A1B13-8489-4910-834B-58735B4ABA33}"/>
    <cellStyle name="Normal 4 5 3 3 3 7" xfId="40070" xr:uid="{B15C2227-66D5-4251-B1AD-5F2A5675B2A5}"/>
    <cellStyle name="Normal 4 5 3 3 4" xfId="6729" xr:uid="{00000000-0005-0000-0000-0000841D0000}"/>
    <cellStyle name="Normal 4 5 3 3 4 2" xfId="15162" xr:uid="{00000000-0005-0000-0000-0000851D0000}"/>
    <cellStyle name="Normal 4 5 3 3 4 2 2" xfId="27056" xr:uid="{EEC6EA76-93BC-48F9-90AC-30790881D9E1}"/>
    <cellStyle name="Normal 4 5 3 3 4 2 3" xfId="21396" xr:uid="{777C2996-99DD-4F93-92A8-A0B7D0132F8B}"/>
    <cellStyle name="Normal 4 5 3 3 4 2 4" xfId="32436" xr:uid="{996C5558-5C94-48A1-BEB3-C457003BA2FA}"/>
    <cellStyle name="Normal 4 5 3 3 4 2 5" xfId="40075" xr:uid="{956B3A72-4304-4B04-8853-525B54EF6556}"/>
    <cellStyle name="Normal 4 5 3 3 4 3" xfId="24223" xr:uid="{0B8A7057-1299-4FCC-81D8-48C92E3CB09C}"/>
    <cellStyle name="Normal 4 5 3 3 4 4" xfId="18563" xr:uid="{580129E9-761F-4CCD-8675-FA9F12CDA1FD}"/>
    <cellStyle name="Normal 4 5 3 3 4 5" xfId="29884" xr:uid="{7249DB31-280A-495E-B355-61A3450001F7}"/>
    <cellStyle name="Normal 4 5 3 3 4 6" xfId="40074" xr:uid="{9C7A99ED-F4E6-4ECC-B554-DC7522714FE0}"/>
    <cellStyle name="Normal 4 5 3 3 5" xfId="8038" xr:uid="{00000000-0005-0000-0000-0000861D0000}"/>
    <cellStyle name="Normal 4 5 3 3 5 2" xfId="25517" xr:uid="{D05F2F2F-0E44-4C7A-BB90-592290A933CF}"/>
    <cellStyle name="Normal 4 5 3 3 5 3" xfId="19857" xr:uid="{04252A6F-1B80-4662-B901-115B8EAC4109}"/>
    <cellStyle name="Normal 4 5 3 3 5 4" xfId="31178" xr:uid="{5ADC1B9C-5C5F-4653-A73B-5AC864F99BCE}"/>
    <cellStyle name="Normal 4 5 3 3 5 5" xfId="40076" xr:uid="{AF75BFAB-32B7-4EC4-BB0E-7750863B7161}"/>
    <cellStyle name="Normal 4 5 3 3 6" xfId="22661" xr:uid="{4C9F5323-F0F0-426F-A089-97C746427479}"/>
    <cellStyle name="Normal 4 5 3 3 7" xfId="17001" xr:uid="{8B45D9D9-F0E0-4156-8023-C015BCC697A4}"/>
    <cellStyle name="Normal 4 5 3 3 8" xfId="28322" xr:uid="{78C2DC69-3D9C-43F0-9B3B-E6EF202F0A4C}"/>
    <cellStyle name="Normal 4 5 3 3 9" xfId="40065" xr:uid="{F0F6683E-4629-46DF-B6E3-D3016750E0D7}"/>
    <cellStyle name="Normal 4 5 3 4" xfId="5075" xr:uid="{00000000-0005-0000-0000-0000871D0000}"/>
    <cellStyle name="Normal 4 5 3 4 2" xfId="6267" xr:uid="{00000000-0005-0000-0000-0000881D0000}"/>
    <cellStyle name="Normal 4 5 3 4 2 2" xfId="7594" xr:uid="{00000000-0005-0000-0000-0000891D0000}"/>
    <cellStyle name="Normal 4 5 3 4 2 2 2" xfId="16027" xr:uid="{00000000-0005-0000-0000-00008A1D0000}"/>
    <cellStyle name="Normal 4 5 3 4 2 2 2 2" xfId="27921" xr:uid="{C14C4C70-059B-4CA6-8707-4250DF030FED}"/>
    <cellStyle name="Normal 4 5 3 4 2 2 2 3" xfId="22261" xr:uid="{57D04077-E03D-443E-BB05-A3132688B48F}"/>
    <cellStyle name="Normal 4 5 3 4 2 2 2 4" xfId="33301" xr:uid="{D8447B2B-D805-459F-A3EB-89D56772B00A}"/>
    <cellStyle name="Normal 4 5 3 4 2 2 2 5" xfId="40080" xr:uid="{3F34132A-AC0A-4008-90F8-841B7EA01BE8}"/>
    <cellStyle name="Normal 4 5 3 4 2 2 3" xfId="25088" xr:uid="{E719A1BA-D697-4C0B-A631-1FCE2DA654F8}"/>
    <cellStyle name="Normal 4 5 3 4 2 2 4" xfId="19428" xr:uid="{14D30CA7-4C08-4496-AA6B-3027C280B01C}"/>
    <cellStyle name="Normal 4 5 3 4 2 2 5" xfId="30749" xr:uid="{B5667579-6B66-4BEE-A535-44EF75093ED8}"/>
    <cellStyle name="Normal 4 5 3 4 2 2 6" xfId="40079" xr:uid="{D89D1F90-D39F-41D5-9E2D-A158B004504B}"/>
    <cellStyle name="Normal 4 5 3 4 2 3" xfId="14709" xr:uid="{00000000-0005-0000-0000-00008B1D0000}"/>
    <cellStyle name="Normal 4 5 3 4 2 3 2" xfId="26665" xr:uid="{5B24F6EE-AE64-40D6-B421-FFD09AEBF885}"/>
    <cellStyle name="Normal 4 5 3 4 2 3 3" xfId="21005" xr:uid="{35F3C79F-173F-4903-8F36-2283DE9ED9B3}"/>
    <cellStyle name="Normal 4 5 3 4 2 3 4" xfId="32045" xr:uid="{952592E1-1DF8-473D-89D2-A8A33F03DF4D}"/>
    <cellStyle name="Normal 4 5 3 4 2 3 5" xfId="40081" xr:uid="{5295A355-443A-4E42-9C33-FA419B707F1D}"/>
    <cellStyle name="Normal 4 5 3 4 2 4" xfId="23832" xr:uid="{816DB8D3-646E-4B6D-9758-172C3188B7CD}"/>
    <cellStyle name="Normal 4 5 3 4 2 5" xfId="18172" xr:uid="{DC849938-F817-4C8A-AE81-02BEE3CCBF1C}"/>
    <cellStyle name="Normal 4 5 3 4 2 6" xfId="29493" xr:uid="{45851EA8-C64F-4F16-A6B9-0015F19CCC3F}"/>
    <cellStyle name="Normal 4 5 3 4 2 7" xfId="40078" xr:uid="{128AB755-83EE-4034-80B0-4BFB89576E2D}"/>
    <cellStyle name="Normal 4 5 3 4 3" xfId="6938" xr:uid="{00000000-0005-0000-0000-00008C1D0000}"/>
    <cellStyle name="Normal 4 5 3 4 3 2" xfId="15371" xr:uid="{00000000-0005-0000-0000-00008D1D0000}"/>
    <cellStyle name="Normal 4 5 3 4 3 2 2" xfId="27265" xr:uid="{A8B10459-59D7-4FED-8A6F-3230E5DA4AB1}"/>
    <cellStyle name="Normal 4 5 3 4 3 2 3" xfId="21605" xr:uid="{17E43F07-66DF-4EC0-B8EC-5A36420B1556}"/>
    <cellStyle name="Normal 4 5 3 4 3 2 4" xfId="32645" xr:uid="{D169D420-28FD-4043-966A-43275DD393B8}"/>
    <cellStyle name="Normal 4 5 3 4 3 2 5" xfId="40083" xr:uid="{3C7F0988-4B08-4793-BC0C-07575A7F74B5}"/>
    <cellStyle name="Normal 4 5 3 4 3 3" xfId="24432" xr:uid="{D865CA9F-EBAB-47EE-BB01-3FCF73AE7056}"/>
    <cellStyle name="Normal 4 5 3 4 3 4" xfId="18772" xr:uid="{40501EFB-ED40-4C39-92A1-3141DD1D45FD}"/>
    <cellStyle name="Normal 4 5 3 4 3 5" xfId="30093" xr:uid="{FCEB1368-EF43-4436-8448-D298CB57E2E1}"/>
    <cellStyle name="Normal 4 5 3 4 3 6" xfId="40082" xr:uid="{A1AF3D58-0663-40B3-8BF5-852C3BE42621}"/>
    <cellStyle name="Normal 4 5 3 4 4" xfId="8039" xr:uid="{00000000-0005-0000-0000-00008E1D0000}"/>
    <cellStyle name="Normal 4 5 3 4 4 2" xfId="25518" xr:uid="{2AF5144A-B6EE-4926-AA7D-450F304C7B75}"/>
    <cellStyle name="Normal 4 5 3 4 4 3" xfId="19858" xr:uid="{66ED7021-A800-4C46-B202-141FCE16F882}"/>
    <cellStyle name="Normal 4 5 3 4 4 4" xfId="31179" xr:uid="{9E1B768C-EEE5-44D0-8A91-B52BCC61CA8C}"/>
    <cellStyle name="Normal 4 5 3 4 4 5" xfId="40084" xr:uid="{B999BB26-F7BC-4DF7-A614-BCD993773980}"/>
    <cellStyle name="Normal 4 5 3 4 5" xfId="22870" xr:uid="{83581CEF-72A3-48F5-AFD0-D5AEECE389E0}"/>
    <cellStyle name="Normal 4 5 3 4 6" xfId="17210" xr:uid="{8B23CDF3-BD53-41F2-82B2-DEAB29B4BAB7}"/>
    <cellStyle name="Normal 4 5 3 4 7" xfId="28531" xr:uid="{5533C8AA-9F90-4822-9F7A-7D4F881BAD95}"/>
    <cellStyle name="Normal 4 5 3 4 8" xfId="40077" xr:uid="{12A3FF66-9D68-48BB-B5C3-8081E4D3B2AA}"/>
    <cellStyle name="Normal 4 5 3 5" xfId="6520" xr:uid="{00000000-0005-0000-0000-00008F1D0000}"/>
    <cellStyle name="Normal 4 5 3 5 2" xfId="14953" xr:uid="{00000000-0005-0000-0000-0000901D0000}"/>
    <cellStyle name="Normal 4 5 3 5 2 2" xfId="26847" xr:uid="{31AF5DE8-61A3-40E8-952C-A5DCAC05DFE7}"/>
    <cellStyle name="Normal 4 5 3 5 2 3" xfId="21187" xr:uid="{7CD7168C-4B14-4DD6-BE16-500089DCC168}"/>
    <cellStyle name="Normal 4 5 3 5 2 4" xfId="32227" xr:uid="{631504A9-FFDC-4FC8-B100-41E2B229CE28}"/>
    <cellStyle name="Normal 4 5 3 5 2 5" xfId="40086" xr:uid="{5735E5F5-6181-4AB6-AEF6-ADB84D619378}"/>
    <cellStyle name="Normal 4 5 3 5 3" xfId="24014" xr:uid="{6A340BF9-9AC0-4F47-BA6D-11126C2FC23B}"/>
    <cellStyle name="Normal 4 5 3 5 4" xfId="18354" xr:uid="{B7C0B9E6-EB41-4A7E-89FC-9D3D7FD311D3}"/>
    <cellStyle name="Normal 4 5 3 5 5" xfId="29675" xr:uid="{ADF87018-3D07-4903-BA7F-97DB9F9AE022}"/>
    <cellStyle name="Normal 4 5 3 5 6" xfId="40085" xr:uid="{6A91DFB0-E37C-4581-942A-6ACD68C55713}"/>
    <cellStyle name="Normal 4 5 3 6" xfId="22452" xr:uid="{62AAD008-41FC-45A2-B27B-4B60E5D4B66B}"/>
    <cellStyle name="Normal 4 5 3 6 2" xfId="40087" xr:uid="{E96CFCF4-AE37-4AB9-8B49-31A5A11623BE}"/>
    <cellStyle name="Normal 4 5 3 7" xfId="16792" xr:uid="{CDFB61C7-A4A5-416F-9272-12A32BEAEBA5}"/>
    <cellStyle name="Normal 4 5 3 8" xfId="28113" xr:uid="{1D3B48D5-3E1D-423D-A2F3-E0EB3D641353}"/>
    <cellStyle name="Normal 4 5 3 9" xfId="40063" xr:uid="{31BB289A-B711-49FC-8A73-4083A688DE6F}"/>
    <cellStyle name="Normal 4 5 4" xfId="4282" xr:uid="{00000000-0005-0000-0000-0000911D0000}"/>
    <cellStyle name="Normal 4 5 4 2" xfId="40088" xr:uid="{B0C99B58-B8F1-4B72-8702-9E859B3AD0C7}"/>
    <cellStyle name="Normal 4 5 5" xfId="4283" xr:uid="{00000000-0005-0000-0000-0000921D0000}"/>
    <cellStyle name="Normal 4 5 5 2" xfId="40089" xr:uid="{E290A90E-1D2F-4A47-9D0A-920EBC85DD97}"/>
    <cellStyle name="Normal 4 5 6" xfId="4284" xr:uid="{00000000-0005-0000-0000-0000931D0000}"/>
    <cellStyle name="Normal 4 5 6 2" xfId="40090" xr:uid="{46EFE4BB-F5FF-40C8-913A-0226AE803C0D}"/>
    <cellStyle name="Normal 4 5 7" xfId="4285" xr:uid="{00000000-0005-0000-0000-0000941D0000}"/>
    <cellStyle name="Normal 4 5 7 2" xfId="40091" xr:uid="{98D63757-1D99-40FE-A259-64544B806F12}"/>
    <cellStyle name="Normal 4 5 8" xfId="4286" xr:uid="{00000000-0005-0000-0000-0000951D0000}"/>
    <cellStyle name="Normal 4 5 8 2" xfId="40092" xr:uid="{84C8194A-1F87-4181-A294-EB757470B861}"/>
    <cellStyle name="Normal 4 5 9" xfId="4788" xr:uid="{00000000-0005-0000-0000-0000961D0000}"/>
    <cellStyle name="Normal 4 5 9 10" xfId="40093" xr:uid="{453C96C8-CABD-48B0-B0CA-F67BD119F50E}"/>
    <cellStyle name="Normal 4 5 9 2" xfId="5002" xr:uid="{00000000-0005-0000-0000-0000971D0000}"/>
    <cellStyle name="Normal 4 5 9 2 2" xfId="5420" xr:uid="{00000000-0005-0000-0000-0000981D0000}"/>
    <cellStyle name="Normal 4 5 9 2 2 2" xfId="7283" xr:uid="{00000000-0005-0000-0000-0000991D0000}"/>
    <cellStyle name="Normal 4 5 9 2 2 2 2" xfId="15716" xr:uid="{00000000-0005-0000-0000-00009A1D0000}"/>
    <cellStyle name="Normal 4 5 9 2 2 2 2 2" xfId="27610" xr:uid="{E9160289-3C62-4707-9D09-4EC5D04A41D2}"/>
    <cellStyle name="Normal 4 5 9 2 2 2 2 3" xfId="21950" xr:uid="{9A2C27BD-61BE-4C86-8966-D175C9D54254}"/>
    <cellStyle name="Normal 4 5 9 2 2 2 2 4" xfId="32990" xr:uid="{FAB31D51-A2C6-4D80-9BF8-760AF248A363}"/>
    <cellStyle name="Normal 4 5 9 2 2 2 2 5" xfId="40097" xr:uid="{0F23E718-CB91-4ADF-9ED1-76AD92A2A996}"/>
    <cellStyle name="Normal 4 5 9 2 2 2 3" xfId="24777" xr:uid="{076063BF-768E-4869-9311-E5F923F8D0BC}"/>
    <cellStyle name="Normal 4 5 9 2 2 2 4" xfId="19117" xr:uid="{8C52B7C4-0884-4E15-853E-14B698BF21EA}"/>
    <cellStyle name="Normal 4 5 9 2 2 2 5" xfId="30438" xr:uid="{C397D9CA-EDE0-4E55-B6CA-2712609D1C0D}"/>
    <cellStyle name="Normal 4 5 9 2 2 2 6" xfId="40096" xr:uid="{CC8585BC-C73F-4B5F-8DE9-2645853EAE7A}"/>
    <cellStyle name="Normal 4 5 9 2 2 3" xfId="14306" xr:uid="{00000000-0005-0000-0000-00009B1D0000}"/>
    <cellStyle name="Normal 4 5 9 2 2 3 2" xfId="26345" xr:uid="{BE7962D6-D14E-4F4A-BF49-523F20AE30EA}"/>
    <cellStyle name="Normal 4 5 9 2 2 3 3" xfId="20685" xr:uid="{390F476A-A42A-41ED-BA99-14E12261EBF3}"/>
    <cellStyle name="Normal 4 5 9 2 2 3 4" xfId="31725" xr:uid="{C149EB10-F9A7-424B-B49C-A082D6DF22B2}"/>
    <cellStyle name="Normal 4 5 9 2 2 3 5" xfId="40098" xr:uid="{18CA1117-C986-47B9-8CF9-ADAF3083CE2F}"/>
    <cellStyle name="Normal 4 5 9 2 2 4" xfId="23215" xr:uid="{E76C2BDD-A769-48CA-8014-400D0933AE47}"/>
    <cellStyle name="Normal 4 5 9 2 2 5" xfId="17555" xr:uid="{91733DDC-8DB4-4BE9-B8BB-3D800DD5A056}"/>
    <cellStyle name="Normal 4 5 9 2 2 6" xfId="28876" xr:uid="{7799A1A2-AEBE-4785-AD58-24E7B8126FBC}"/>
    <cellStyle name="Normal 4 5 9 2 2 7" xfId="40095" xr:uid="{25E7E6D6-971A-4E42-BCE2-AB36899847CC}"/>
    <cellStyle name="Normal 4 5 9 2 3" xfId="6270" xr:uid="{00000000-0005-0000-0000-00009C1D0000}"/>
    <cellStyle name="Normal 4 5 9 2 3 2" xfId="7597" xr:uid="{00000000-0005-0000-0000-00009D1D0000}"/>
    <cellStyle name="Normal 4 5 9 2 3 2 2" xfId="16030" xr:uid="{00000000-0005-0000-0000-00009E1D0000}"/>
    <cellStyle name="Normal 4 5 9 2 3 2 2 2" xfId="27924" xr:uid="{3EA46099-7D1D-40A7-8599-5962ACBE7AEC}"/>
    <cellStyle name="Normal 4 5 9 2 3 2 2 3" xfId="22264" xr:uid="{6E265C89-4B23-41A2-BDAA-C5C95BD3AA7F}"/>
    <cellStyle name="Normal 4 5 9 2 3 2 2 4" xfId="33304" xr:uid="{B25F59C2-8E5E-4C27-93B6-1357E9C14149}"/>
    <cellStyle name="Normal 4 5 9 2 3 2 2 5" xfId="40101" xr:uid="{3ADA681B-3873-4EF6-AEB9-7EB3C754BAF5}"/>
    <cellStyle name="Normal 4 5 9 2 3 2 3" xfId="25091" xr:uid="{4981AF23-C268-4D6D-BCAA-58B319514AC7}"/>
    <cellStyle name="Normal 4 5 9 2 3 2 4" xfId="19431" xr:uid="{0737AD94-E44C-4387-BF0D-203CF1615687}"/>
    <cellStyle name="Normal 4 5 9 2 3 2 5" xfId="30752" xr:uid="{59913B96-0A08-42F4-8E9B-43B1154EA74D}"/>
    <cellStyle name="Normal 4 5 9 2 3 2 6" xfId="40100" xr:uid="{2AF0C19E-6A43-40AA-B40B-0D9695FB6A9C}"/>
    <cellStyle name="Normal 4 5 9 2 3 3" xfId="14712" xr:uid="{00000000-0005-0000-0000-00009F1D0000}"/>
    <cellStyle name="Normal 4 5 9 2 3 3 2" xfId="26668" xr:uid="{839D58B4-6543-4F90-9A27-EA78B7C83D83}"/>
    <cellStyle name="Normal 4 5 9 2 3 3 3" xfId="21008" xr:uid="{0A607F18-E258-4CC1-BD73-76882A51C1B7}"/>
    <cellStyle name="Normal 4 5 9 2 3 3 4" xfId="32048" xr:uid="{9C541407-B60C-45F8-9F10-58B17107E8A9}"/>
    <cellStyle name="Normal 4 5 9 2 3 3 5" xfId="40102" xr:uid="{13C6487B-8424-4096-B4D0-1107839F526A}"/>
    <cellStyle name="Normal 4 5 9 2 3 4" xfId="23835" xr:uid="{FC978858-E1DC-4A3D-85DE-C0014F2B2553}"/>
    <cellStyle name="Normal 4 5 9 2 3 5" xfId="18175" xr:uid="{CBE5C898-AA79-41A1-A363-83392DED7731}"/>
    <cellStyle name="Normal 4 5 9 2 3 6" xfId="29496" xr:uid="{0A935710-C261-4DC7-8AAE-84B8BF3D8DC6}"/>
    <cellStyle name="Normal 4 5 9 2 3 7" xfId="40099" xr:uid="{E3D19DC5-3E64-4762-81C9-88B6770A3203}"/>
    <cellStyle name="Normal 4 5 9 2 4" xfId="6865" xr:uid="{00000000-0005-0000-0000-0000A01D0000}"/>
    <cellStyle name="Normal 4 5 9 2 4 2" xfId="15298" xr:uid="{00000000-0005-0000-0000-0000A11D0000}"/>
    <cellStyle name="Normal 4 5 9 2 4 2 2" xfId="27192" xr:uid="{153741BD-1BC7-4813-91AE-7D0AB82A1481}"/>
    <cellStyle name="Normal 4 5 9 2 4 2 3" xfId="21532" xr:uid="{AD9AB5EA-9D83-4FC3-97D3-699B119F5F10}"/>
    <cellStyle name="Normal 4 5 9 2 4 2 4" xfId="32572" xr:uid="{58A1E4DA-30D3-4B88-959F-D0D9AD170306}"/>
    <cellStyle name="Normal 4 5 9 2 4 2 5" xfId="40104" xr:uid="{40E7EB24-84DE-45A0-874E-0C098A0A5A36}"/>
    <cellStyle name="Normal 4 5 9 2 4 3" xfId="24359" xr:uid="{15D20D73-A63A-4181-9303-C36A803084BD}"/>
    <cellStyle name="Normal 4 5 9 2 4 4" xfId="18699" xr:uid="{99E67967-7B1B-4047-812E-DE6A36D71E28}"/>
    <cellStyle name="Normal 4 5 9 2 4 5" xfId="30020" xr:uid="{AA38BF2C-91F5-49CD-9A4D-E5183EE45DBF}"/>
    <cellStyle name="Normal 4 5 9 2 4 6" xfId="40103" xr:uid="{9A3C5174-00AB-4130-B562-757C873E1FC3}"/>
    <cellStyle name="Normal 4 5 9 2 5" xfId="8041" xr:uid="{00000000-0005-0000-0000-0000A21D0000}"/>
    <cellStyle name="Normal 4 5 9 2 5 2" xfId="25520" xr:uid="{98ED093B-1D47-444D-B4A3-F5DF09BA652F}"/>
    <cellStyle name="Normal 4 5 9 2 5 3" xfId="19860" xr:uid="{BD97798F-071F-45BE-916E-E8A8DBA2822D}"/>
    <cellStyle name="Normal 4 5 9 2 5 4" xfId="31181" xr:uid="{D1984661-FC7C-4941-BC0E-4DC2346B3B2B}"/>
    <cellStyle name="Normal 4 5 9 2 5 5" xfId="40105" xr:uid="{48CF9C73-DEAF-4BA7-8BC8-A4DFA3B25101}"/>
    <cellStyle name="Normal 4 5 9 2 6" xfId="22797" xr:uid="{FAA50691-39B9-4372-A87F-127A37B59469}"/>
    <cellStyle name="Normal 4 5 9 2 7" xfId="17137" xr:uid="{D413BC4C-75B7-430D-9531-224EBCA94BD3}"/>
    <cellStyle name="Normal 4 5 9 2 8" xfId="28458" xr:uid="{747B2941-0193-4A5F-947F-D6025F4C2FA1}"/>
    <cellStyle name="Normal 4 5 9 2 9" xfId="40094" xr:uid="{56A54F66-0858-4857-B280-6D56EA160119}"/>
    <cellStyle name="Normal 4 5 9 3" xfId="5211" xr:uid="{00000000-0005-0000-0000-0000A31D0000}"/>
    <cellStyle name="Normal 4 5 9 3 2" xfId="7074" xr:uid="{00000000-0005-0000-0000-0000A41D0000}"/>
    <cellStyle name="Normal 4 5 9 3 2 2" xfId="15507" xr:uid="{00000000-0005-0000-0000-0000A51D0000}"/>
    <cellStyle name="Normal 4 5 9 3 2 2 2" xfId="27401" xr:uid="{7CFEB731-F6F9-4D99-AE27-2885A27ED3B1}"/>
    <cellStyle name="Normal 4 5 9 3 2 2 3" xfId="21741" xr:uid="{B4EE622C-326B-4FF0-8721-782B26052ED3}"/>
    <cellStyle name="Normal 4 5 9 3 2 2 4" xfId="32781" xr:uid="{85B9BBD7-0EC4-4049-B068-7E791EE37068}"/>
    <cellStyle name="Normal 4 5 9 3 2 2 5" xfId="40108" xr:uid="{D0739042-9169-437F-9AC6-A4054FB29CAB}"/>
    <cellStyle name="Normal 4 5 9 3 2 3" xfId="24568" xr:uid="{B91989D4-0532-42B6-9BD1-70751845E59A}"/>
    <cellStyle name="Normal 4 5 9 3 2 4" xfId="18908" xr:uid="{7CA80595-05D5-4834-A9F2-1B7EE5E12F30}"/>
    <cellStyle name="Normal 4 5 9 3 2 5" xfId="30229" xr:uid="{22DE2611-645F-4724-A57B-D10C58B52E6B}"/>
    <cellStyle name="Normal 4 5 9 3 2 6" xfId="40107" xr:uid="{019FAE3E-BC99-4E6E-B3C3-01F06AB3FF92}"/>
    <cellStyle name="Normal 4 5 9 3 3" xfId="14097" xr:uid="{00000000-0005-0000-0000-0000A61D0000}"/>
    <cellStyle name="Normal 4 5 9 3 3 2" xfId="26136" xr:uid="{9D642C5B-1949-433F-9779-5125757FA67E}"/>
    <cellStyle name="Normal 4 5 9 3 3 3" xfId="20476" xr:uid="{CEC3D4D4-A311-4F17-A367-DE980238EB5F}"/>
    <cellStyle name="Normal 4 5 9 3 3 4" xfId="31516" xr:uid="{F29F5C37-DCA0-49AE-9B4C-9B0E0D453D0B}"/>
    <cellStyle name="Normal 4 5 9 3 3 5" xfId="40109" xr:uid="{671F7FE3-47FD-4C63-BA16-6E3D93960FB0}"/>
    <cellStyle name="Normal 4 5 9 3 4" xfId="23006" xr:uid="{CB6500BA-93D9-48FD-878D-9B652C76625B}"/>
    <cellStyle name="Normal 4 5 9 3 5" xfId="17346" xr:uid="{16C1CB8A-8816-478C-9DFA-FAF7E574B454}"/>
    <cellStyle name="Normal 4 5 9 3 6" xfId="28667" xr:uid="{BEF1EFD7-446F-446F-B76A-3A76784E17BB}"/>
    <cellStyle name="Normal 4 5 9 3 7" xfId="40106" xr:uid="{75E70F45-9135-4751-A9AE-14D75077826E}"/>
    <cellStyle name="Normal 4 5 9 4" xfId="6269" xr:uid="{00000000-0005-0000-0000-0000A71D0000}"/>
    <cellStyle name="Normal 4 5 9 4 2" xfId="7596" xr:uid="{00000000-0005-0000-0000-0000A81D0000}"/>
    <cellStyle name="Normal 4 5 9 4 2 2" xfId="16029" xr:uid="{00000000-0005-0000-0000-0000A91D0000}"/>
    <cellStyle name="Normal 4 5 9 4 2 2 2" xfId="27923" xr:uid="{787CCC6A-A18F-4FAB-B678-837357B421B7}"/>
    <cellStyle name="Normal 4 5 9 4 2 2 3" xfId="22263" xr:uid="{F96EA30A-F6E3-4B5C-91F5-FDF5792C475C}"/>
    <cellStyle name="Normal 4 5 9 4 2 2 4" xfId="33303" xr:uid="{DA26AFA8-3395-4EDB-ABF0-E1BB15ADA488}"/>
    <cellStyle name="Normal 4 5 9 4 2 2 5" xfId="40112" xr:uid="{1C5B26BC-B984-470D-87CA-16222AA75EBC}"/>
    <cellStyle name="Normal 4 5 9 4 2 3" xfId="25090" xr:uid="{BB01CAF2-FB43-47DF-9D99-93B7A300B4D0}"/>
    <cellStyle name="Normal 4 5 9 4 2 4" xfId="19430" xr:uid="{347B80BB-D6D8-4787-B428-385C6B9AC456}"/>
    <cellStyle name="Normal 4 5 9 4 2 5" xfId="30751" xr:uid="{5F7F28FB-9AED-49EB-9E95-DDD3F995E905}"/>
    <cellStyle name="Normal 4 5 9 4 2 6" xfId="40111" xr:uid="{9B43682F-ED2F-4E4C-976F-B0673094B99D}"/>
    <cellStyle name="Normal 4 5 9 4 3" xfId="14711" xr:uid="{00000000-0005-0000-0000-0000AA1D0000}"/>
    <cellStyle name="Normal 4 5 9 4 3 2" xfId="26667" xr:uid="{50E8DEFF-4867-4363-9441-31AC6F70CC83}"/>
    <cellStyle name="Normal 4 5 9 4 3 3" xfId="21007" xr:uid="{7EDC46C1-A919-45D1-81A1-92CCA69B37DC}"/>
    <cellStyle name="Normal 4 5 9 4 3 4" xfId="32047" xr:uid="{B45947AD-4FBD-4417-8318-78282B62CD44}"/>
    <cellStyle name="Normal 4 5 9 4 3 5" xfId="40113" xr:uid="{AFC3DEF3-538C-40F6-8978-F13C24664747}"/>
    <cellStyle name="Normal 4 5 9 4 4" xfId="23834" xr:uid="{C4C88CBC-443C-4919-AD63-AA701DBE2BD6}"/>
    <cellStyle name="Normal 4 5 9 4 5" xfId="18174" xr:uid="{AC291F3D-09E3-43F5-B7A0-03ED4A15E703}"/>
    <cellStyle name="Normal 4 5 9 4 6" xfId="29495" xr:uid="{A05552A7-2153-462E-9325-9A63A22BF8BC}"/>
    <cellStyle name="Normal 4 5 9 4 7" xfId="40110" xr:uid="{1E05C669-4AB9-4B7B-A94C-ABAEB2869276}"/>
    <cellStyle name="Normal 4 5 9 5" xfId="6656" xr:uid="{00000000-0005-0000-0000-0000AB1D0000}"/>
    <cellStyle name="Normal 4 5 9 5 2" xfId="15089" xr:uid="{00000000-0005-0000-0000-0000AC1D0000}"/>
    <cellStyle name="Normal 4 5 9 5 2 2" xfId="26983" xr:uid="{859073FD-0320-4563-9E07-06FA62B85C3D}"/>
    <cellStyle name="Normal 4 5 9 5 2 3" xfId="21323" xr:uid="{451653F0-D128-44A0-9FAE-2DA479F2AB10}"/>
    <cellStyle name="Normal 4 5 9 5 2 4" xfId="32363" xr:uid="{F3BFA70C-8FFC-4BAF-A5C7-977DE92D1543}"/>
    <cellStyle name="Normal 4 5 9 5 2 5" xfId="40115" xr:uid="{BFE6EDA1-D2A6-4403-BCBF-964D323A6740}"/>
    <cellStyle name="Normal 4 5 9 5 3" xfId="24150" xr:uid="{0031C9EB-81AF-4DB6-AD9E-5BD83439194E}"/>
    <cellStyle name="Normal 4 5 9 5 4" xfId="18490" xr:uid="{A808077B-5383-4DB8-97F2-B5C586595A8F}"/>
    <cellStyle name="Normal 4 5 9 5 5" xfId="29811" xr:uid="{E436980C-11EA-410D-B6A7-E1FFCFFE9DE4}"/>
    <cellStyle name="Normal 4 5 9 5 6" xfId="40114" xr:uid="{F16AB562-0DA5-4CB8-AC4A-452A8E356570}"/>
    <cellStyle name="Normal 4 5 9 6" xfId="8040" xr:uid="{00000000-0005-0000-0000-0000AD1D0000}"/>
    <cellStyle name="Normal 4 5 9 6 2" xfId="25519" xr:uid="{C79B9F69-03CC-4D85-9FEB-401017544392}"/>
    <cellStyle name="Normal 4 5 9 6 3" xfId="19859" xr:uid="{62D164D6-758B-4898-BCFD-343DBA6DE7BC}"/>
    <cellStyle name="Normal 4 5 9 6 4" xfId="31180" xr:uid="{570548D1-F68E-44AD-8513-47F0B5125147}"/>
    <cellStyle name="Normal 4 5 9 6 5" xfId="40116" xr:uid="{504E0A36-BC7B-4B7A-B38B-3BAD8A1AF60B}"/>
    <cellStyle name="Normal 4 5 9 7" xfId="22588" xr:uid="{1F33ABC4-BCDA-4F2E-9BD3-4A396DB4F8FC}"/>
    <cellStyle name="Normal 4 5 9 8" xfId="16928" xr:uid="{77000798-3BB1-49B0-8325-B8CAA25A2B1E}"/>
    <cellStyle name="Normal 4 5 9 9" xfId="28249" xr:uid="{352D17F1-144B-4EEE-A92D-E5922DD2B25C}"/>
    <cellStyle name="Normal 4 6" xfId="170" xr:uid="{00000000-0005-0000-0000-0000AE1D0000}"/>
    <cellStyle name="Normal 4 6 10" xfId="16736" xr:uid="{CB4AD4BD-AAD5-49AD-9889-0087A844F315}"/>
    <cellStyle name="Normal 4 6 11" xfId="28057" xr:uid="{1497CF74-9EDC-4B10-A035-3B0B73ADE9E4}"/>
    <cellStyle name="Normal 4 6 12" xfId="40117" xr:uid="{330972D0-F475-4833-ADE5-6350C06D6B2E}"/>
    <cellStyle name="Normal 4 6 2" xfId="319" xr:uid="{00000000-0005-0000-0000-0000AF1D0000}"/>
    <cellStyle name="Normal 4 6 2 10" xfId="28081" xr:uid="{9B73DBEB-5768-4D1A-91EC-1542FE459F1A}"/>
    <cellStyle name="Normal 4 6 2 11" xfId="40118" xr:uid="{A2C931D8-F07C-45BD-9D4E-43FFE9B607E2}"/>
    <cellStyle name="Normal 4 6 2 2" xfId="2229" xr:uid="{00000000-0005-0000-0000-0000B01D0000}"/>
    <cellStyle name="Normal 4 6 2 2 2" xfId="40119" xr:uid="{AE31B8CC-D0DD-41B3-9ED4-446B4C29B36D}"/>
    <cellStyle name="Normal 4 6 2 3" xfId="4831" xr:uid="{00000000-0005-0000-0000-0000B11D0000}"/>
    <cellStyle name="Normal 4 6 2 3 2" xfId="5252" xr:uid="{00000000-0005-0000-0000-0000B21D0000}"/>
    <cellStyle name="Normal 4 6 2 3 2 2" xfId="7115" xr:uid="{00000000-0005-0000-0000-0000B31D0000}"/>
    <cellStyle name="Normal 4 6 2 3 2 2 2" xfId="15548" xr:uid="{00000000-0005-0000-0000-0000B41D0000}"/>
    <cellStyle name="Normal 4 6 2 3 2 2 2 2" xfId="27442" xr:uid="{479CD0D3-A484-4830-9358-CB9B97E374CF}"/>
    <cellStyle name="Normal 4 6 2 3 2 2 2 3" xfId="21782" xr:uid="{D972909C-5088-447F-849F-9E7857E1363C}"/>
    <cellStyle name="Normal 4 6 2 3 2 2 2 4" xfId="32822" xr:uid="{5A18BDF5-E82C-46D5-AD54-8ED743B6897F}"/>
    <cellStyle name="Normal 4 6 2 3 2 2 2 5" xfId="40123" xr:uid="{1E390CD9-E259-4E4F-877A-D012A1A8DFF3}"/>
    <cellStyle name="Normal 4 6 2 3 2 2 3" xfId="24609" xr:uid="{9E337BF5-84BD-4D25-B44D-A7B3AC8EC18F}"/>
    <cellStyle name="Normal 4 6 2 3 2 2 4" xfId="18949" xr:uid="{7F242F37-FF5B-4687-B3C5-17A77B71CB6B}"/>
    <cellStyle name="Normal 4 6 2 3 2 2 5" xfId="30270" xr:uid="{67E014DA-F3C1-4751-AD71-0B15BC852B9C}"/>
    <cellStyle name="Normal 4 6 2 3 2 2 6" xfId="40122" xr:uid="{A0F16610-17E1-4927-B395-38AA24F7A6B2}"/>
    <cellStyle name="Normal 4 6 2 3 2 3" xfId="14138" xr:uid="{00000000-0005-0000-0000-0000B51D0000}"/>
    <cellStyle name="Normal 4 6 2 3 2 3 2" xfId="26177" xr:uid="{6F0BD0D7-4790-4C01-9637-B6825E18499A}"/>
    <cellStyle name="Normal 4 6 2 3 2 3 3" xfId="20517" xr:uid="{55871959-F0F9-432F-9949-0450E9182DA9}"/>
    <cellStyle name="Normal 4 6 2 3 2 3 4" xfId="31557" xr:uid="{45BAF3BC-87F5-4079-9AEA-9D5E4FC220F6}"/>
    <cellStyle name="Normal 4 6 2 3 2 3 5" xfId="40124" xr:uid="{5DF3676F-D8AF-468A-A79F-ADCEE7D90753}"/>
    <cellStyle name="Normal 4 6 2 3 2 4" xfId="23047" xr:uid="{1C60AFF6-8D56-4F5E-9764-984606BC4E0A}"/>
    <cellStyle name="Normal 4 6 2 3 2 5" xfId="17387" xr:uid="{D05444F8-E60D-4CD3-AE3C-4CC23174B737}"/>
    <cellStyle name="Normal 4 6 2 3 2 6" xfId="28708" xr:uid="{BBF68478-BFFA-409F-8CD2-012A6B102D9B}"/>
    <cellStyle name="Normal 4 6 2 3 2 7" xfId="40121" xr:uid="{A0B9F37F-9996-4E34-95EA-35B5BD66C5EF}"/>
    <cellStyle name="Normal 4 6 2 3 3" xfId="6272" xr:uid="{00000000-0005-0000-0000-0000B61D0000}"/>
    <cellStyle name="Normal 4 6 2 3 3 2" xfId="7599" xr:uid="{00000000-0005-0000-0000-0000B71D0000}"/>
    <cellStyle name="Normal 4 6 2 3 3 2 2" xfId="16032" xr:uid="{00000000-0005-0000-0000-0000B81D0000}"/>
    <cellStyle name="Normal 4 6 2 3 3 2 2 2" xfId="27926" xr:uid="{B10C3AA5-BD4C-44AA-8964-F8B812369AC3}"/>
    <cellStyle name="Normal 4 6 2 3 3 2 2 3" xfId="22266" xr:uid="{C115FB03-EA95-40E6-87BD-37552B168089}"/>
    <cellStyle name="Normal 4 6 2 3 3 2 2 4" xfId="33306" xr:uid="{A335A604-D4AF-47E8-B83A-6FF76ABD7996}"/>
    <cellStyle name="Normal 4 6 2 3 3 2 2 5" xfId="40127" xr:uid="{1C28CA89-9F4F-4F73-99B3-4B8872E501FE}"/>
    <cellStyle name="Normal 4 6 2 3 3 2 3" xfId="25093" xr:uid="{C201461F-C618-4FD5-A79F-F50160D2275E}"/>
    <cellStyle name="Normal 4 6 2 3 3 2 4" xfId="19433" xr:uid="{3FCC29E1-0921-4C38-9203-1115DD8ACB95}"/>
    <cellStyle name="Normal 4 6 2 3 3 2 5" xfId="30754" xr:uid="{A6A281F6-6A59-4D85-9CFF-2EC76F8D9A5F}"/>
    <cellStyle name="Normal 4 6 2 3 3 2 6" xfId="40126" xr:uid="{712D4B42-5ADF-44C3-BFD4-2A180E89792A}"/>
    <cellStyle name="Normal 4 6 2 3 3 3" xfId="14714" xr:uid="{00000000-0005-0000-0000-0000B91D0000}"/>
    <cellStyle name="Normal 4 6 2 3 3 3 2" xfId="26670" xr:uid="{134F9D8C-BE7E-43D0-B9D3-A118BE3A0B2A}"/>
    <cellStyle name="Normal 4 6 2 3 3 3 3" xfId="21010" xr:uid="{8A50A84A-C0F9-468F-8033-CDC1569E4228}"/>
    <cellStyle name="Normal 4 6 2 3 3 3 4" xfId="32050" xr:uid="{1A8C4F85-A1CA-4138-B722-0C0282782697}"/>
    <cellStyle name="Normal 4 6 2 3 3 3 5" xfId="40128" xr:uid="{02BFCCF2-E4BD-4439-B4CE-3DB5ADDC1B20}"/>
    <cellStyle name="Normal 4 6 2 3 3 4" xfId="23837" xr:uid="{84BC8256-28A8-4AB4-8B41-F47EB3B5AA32}"/>
    <cellStyle name="Normal 4 6 2 3 3 5" xfId="18177" xr:uid="{45E8B246-4EC2-4845-B3C5-7D536D881329}"/>
    <cellStyle name="Normal 4 6 2 3 3 6" xfId="29498" xr:uid="{7D22E532-F88E-4E65-B154-C962B6AEE7B5}"/>
    <cellStyle name="Normal 4 6 2 3 3 7" xfId="40125" xr:uid="{858DA7A4-C39F-4F6E-89B2-20C79FBEC5AD}"/>
    <cellStyle name="Normal 4 6 2 3 4" xfId="6697" xr:uid="{00000000-0005-0000-0000-0000BA1D0000}"/>
    <cellStyle name="Normal 4 6 2 3 4 2" xfId="15130" xr:uid="{00000000-0005-0000-0000-0000BB1D0000}"/>
    <cellStyle name="Normal 4 6 2 3 4 2 2" xfId="27024" xr:uid="{DF06D5CB-C16F-48C3-8B9B-0640AF5010C6}"/>
    <cellStyle name="Normal 4 6 2 3 4 2 3" xfId="21364" xr:uid="{BA60E8EE-E118-42B1-8A22-BCE33E83642A}"/>
    <cellStyle name="Normal 4 6 2 3 4 2 4" xfId="32404" xr:uid="{27E567EE-AC18-4E8E-965E-F08DF4938F47}"/>
    <cellStyle name="Normal 4 6 2 3 4 2 5" xfId="40130" xr:uid="{60C093A2-206A-4CC1-8ECD-539C91AF4A35}"/>
    <cellStyle name="Normal 4 6 2 3 4 3" xfId="24191" xr:uid="{9A6EF5D3-7B50-4C67-99DA-90E40F9EA42F}"/>
    <cellStyle name="Normal 4 6 2 3 4 4" xfId="18531" xr:uid="{ABB27658-26DC-41AF-B585-EB8D677CAE1C}"/>
    <cellStyle name="Normal 4 6 2 3 4 5" xfId="29852" xr:uid="{4F7E3B07-1416-49AD-BF8E-4E4549FD9C0E}"/>
    <cellStyle name="Normal 4 6 2 3 4 6" xfId="40129" xr:uid="{D3CD42E6-F92D-48A8-AAF0-3F0F4AB1AB07}"/>
    <cellStyle name="Normal 4 6 2 3 5" xfId="8043" xr:uid="{00000000-0005-0000-0000-0000BC1D0000}"/>
    <cellStyle name="Normal 4 6 2 3 5 2" xfId="25522" xr:uid="{124D6CF8-4C7A-4DB6-B809-F14A71A51BDC}"/>
    <cellStyle name="Normal 4 6 2 3 5 3" xfId="19862" xr:uid="{9FB102F6-5AA4-4904-9D8C-708F49A675BB}"/>
    <cellStyle name="Normal 4 6 2 3 5 4" xfId="31183" xr:uid="{478DCF57-E55E-4CAF-91D4-FE5243C020E4}"/>
    <cellStyle name="Normal 4 6 2 3 5 5" xfId="40131" xr:uid="{8429093E-2DBD-436B-BE1F-CBBBBFBC7FFD}"/>
    <cellStyle name="Normal 4 6 2 3 6" xfId="22629" xr:uid="{BC691788-AAEE-4083-AEFB-6AA6AAFC1483}"/>
    <cellStyle name="Normal 4 6 2 3 7" xfId="16969" xr:uid="{54311C48-4963-4714-BDBF-FBDF693E55DE}"/>
    <cellStyle name="Normal 4 6 2 3 8" xfId="28290" xr:uid="{FD393D59-BE75-458B-AB06-1800EBCD9465}"/>
    <cellStyle name="Normal 4 6 2 3 9" xfId="40120" xr:uid="{54A72A7D-8B82-40E9-9CE1-7D65D3676C05}"/>
    <cellStyle name="Normal 4 6 2 4" xfId="5043" xr:uid="{00000000-0005-0000-0000-0000BD1D0000}"/>
    <cellStyle name="Normal 4 6 2 4 2" xfId="6906" xr:uid="{00000000-0005-0000-0000-0000BE1D0000}"/>
    <cellStyle name="Normal 4 6 2 4 2 2" xfId="15339" xr:uid="{00000000-0005-0000-0000-0000BF1D0000}"/>
    <cellStyle name="Normal 4 6 2 4 2 2 2" xfId="27233" xr:uid="{07B79706-E604-4AA7-BC31-71AB7E4B7D5F}"/>
    <cellStyle name="Normal 4 6 2 4 2 2 3" xfId="21573" xr:uid="{BB9E91D3-9A46-4A79-84EA-00F1F02F2FDB}"/>
    <cellStyle name="Normal 4 6 2 4 2 2 4" xfId="32613" xr:uid="{BD6366C4-397A-41F6-BE14-9271AA70BE68}"/>
    <cellStyle name="Normal 4 6 2 4 2 2 5" xfId="40134" xr:uid="{B11759D5-B71A-4D8E-9BF4-F3A6C77E4983}"/>
    <cellStyle name="Normal 4 6 2 4 2 3" xfId="24400" xr:uid="{2E3CEB47-FBFC-4054-B68C-93B6371EA5A5}"/>
    <cellStyle name="Normal 4 6 2 4 2 4" xfId="18740" xr:uid="{F93677E3-3369-421E-AF20-5B7D0498B76B}"/>
    <cellStyle name="Normal 4 6 2 4 2 5" xfId="30061" xr:uid="{DB627A57-C94E-4AB8-99A4-1804E0AAAB99}"/>
    <cellStyle name="Normal 4 6 2 4 2 6" xfId="40133" xr:uid="{502B84DC-3C78-4629-8CB0-A5135B912539}"/>
    <cellStyle name="Normal 4 6 2 4 3" xfId="13943" xr:uid="{00000000-0005-0000-0000-0000C01D0000}"/>
    <cellStyle name="Normal 4 6 2 4 3 2" xfId="25984" xr:uid="{E65CB8E6-D3D2-47CC-99BB-67152B47A773}"/>
    <cellStyle name="Normal 4 6 2 4 3 3" xfId="20324" xr:uid="{4196A88D-874D-4ABE-BF93-B8A69963B893}"/>
    <cellStyle name="Normal 4 6 2 4 3 4" xfId="31364" xr:uid="{81988B65-4FF7-4B7B-8F51-7F764F2F24B0}"/>
    <cellStyle name="Normal 4 6 2 4 3 5" xfId="40135" xr:uid="{7DDD23BB-E9F4-4EF3-9F68-42129ECED2DE}"/>
    <cellStyle name="Normal 4 6 2 4 4" xfId="22838" xr:uid="{0DA4900D-7044-4212-8E2D-AC6CAEFE531D}"/>
    <cellStyle name="Normal 4 6 2 4 5" xfId="17178" xr:uid="{8F298336-8A73-4EC8-9C24-ABEE577988FB}"/>
    <cellStyle name="Normal 4 6 2 4 6" xfId="28499" xr:uid="{F127DC24-5BDE-4C92-A31E-3568A077376D}"/>
    <cellStyle name="Normal 4 6 2 4 7" xfId="40132" xr:uid="{931B173D-A222-4489-BDEB-81078F7D49A5}"/>
    <cellStyle name="Normal 4 6 2 5" xfId="6271" xr:uid="{00000000-0005-0000-0000-0000C11D0000}"/>
    <cellStyle name="Normal 4 6 2 5 2" xfId="7598" xr:uid="{00000000-0005-0000-0000-0000C21D0000}"/>
    <cellStyle name="Normal 4 6 2 5 2 2" xfId="16031" xr:uid="{00000000-0005-0000-0000-0000C31D0000}"/>
    <cellStyle name="Normal 4 6 2 5 2 2 2" xfId="27925" xr:uid="{BF6905B2-2374-4AEF-9F8C-55430ECA85A9}"/>
    <cellStyle name="Normal 4 6 2 5 2 2 3" xfId="22265" xr:uid="{25DB20BE-4003-42D7-BAA5-F8AB92B29223}"/>
    <cellStyle name="Normal 4 6 2 5 2 2 4" xfId="33305" xr:uid="{F25C41A3-8F65-4719-A74A-46ADDC1199C8}"/>
    <cellStyle name="Normal 4 6 2 5 2 2 5" xfId="40138" xr:uid="{189BF601-4DCB-4293-94A7-D7EE98D75B3A}"/>
    <cellStyle name="Normal 4 6 2 5 2 3" xfId="25092" xr:uid="{031D030E-4482-4809-A20D-027B301B5A6E}"/>
    <cellStyle name="Normal 4 6 2 5 2 4" xfId="19432" xr:uid="{539D45D2-A820-45C1-B5A0-F2CB66312583}"/>
    <cellStyle name="Normal 4 6 2 5 2 5" xfId="30753" xr:uid="{E69DCAA5-53D3-4A95-BE88-D4A068884F6C}"/>
    <cellStyle name="Normal 4 6 2 5 2 6" xfId="40137" xr:uid="{56305602-5941-4BA8-9CF1-74F7D0436E50}"/>
    <cellStyle name="Normal 4 6 2 5 3" xfId="14713" xr:uid="{00000000-0005-0000-0000-0000C41D0000}"/>
    <cellStyle name="Normal 4 6 2 5 3 2" xfId="26669" xr:uid="{F2AD0BA9-4B2B-4395-991E-12BC1B82CFCB}"/>
    <cellStyle name="Normal 4 6 2 5 3 3" xfId="21009" xr:uid="{5698D5AD-41E1-4C63-8AC7-E69845928E95}"/>
    <cellStyle name="Normal 4 6 2 5 3 4" xfId="32049" xr:uid="{385EDDDC-B276-48C1-AEEF-CEDC80E3FC4E}"/>
    <cellStyle name="Normal 4 6 2 5 3 5" xfId="40139" xr:uid="{70505ADB-2B57-43C5-AA1A-6434965A9947}"/>
    <cellStyle name="Normal 4 6 2 5 4" xfId="23836" xr:uid="{B0FEFD8A-62FD-4DC0-8B50-ADEF639C991C}"/>
    <cellStyle name="Normal 4 6 2 5 5" xfId="18176" xr:uid="{7AFDCE81-D2D8-4AC0-9CFD-2563AC94C880}"/>
    <cellStyle name="Normal 4 6 2 5 6" xfId="29497" xr:uid="{19CEDB9A-0837-4749-A936-60B7793A187E}"/>
    <cellStyle name="Normal 4 6 2 5 7" xfId="40136" xr:uid="{F3DD5CBB-2331-4CC4-B133-9481ED7BC0A9}"/>
    <cellStyle name="Normal 4 6 2 6" xfId="6488" xr:uid="{00000000-0005-0000-0000-0000C51D0000}"/>
    <cellStyle name="Normal 4 6 2 6 2" xfId="14921" xr:uid="{00000000-0005-0000-0000-0000C61D0000}"/>
    <cellStyle name="Normal 4 6 2 6 2 2" xfId="26815" xr:uid="{EF3B96F2-C91D-499F-9618-4817246B7742}"/>
    <cellStyle name="Normal 4 6 2 6 2 3" xfId="21155" xr:uid="{80EE407A-D58E-4FFF-A34D-E465D3B097F4}"/>
    <cellStyle name="Normal 4 6 2 6 2 4" xfId="32195" xr:uid="{2809BB48-79E8-4EC3-9341-6F38DF47B66F}"/>
    <cellStyle name="Normal 4 6 2 6 2 5" xfId="40141" xr:uid="{FBBF3F6F-AE58-4D26-A351-A41DF9B778EC}"/>
    <cellStyle name="Normal 4 6 2 6 3" xfId="23982" xr:uid="{90E7E652-88D6-45C4-8B3A-9E0E98BB8A65}"/>
    <cellStyle name="Normal 4 6 2 6 4" xfId="18322" xr:uid="{1477C49B-4A85-46BE-BC64-7F33ABE11670}"/>
    <cellStyle name="Normal 4 6 2 6 5" xfId="29643" xr:uid="{A35581A9-93F6-447C-8AD5-51A7DAA070DD}"/>
    <cellStyle name="Normal 4 6 2 6 6" xfId="40140" xr:uid="{0D76B6DF-CD28-4F59-8DD5-A4940B825883}"/>
    <cellStyle name="Normal 4 6 2 7" xfId="8042" xr:uid="{00000000-0005-0000-0000-0000C71D0000}"/>
    <cellStyle name="Normal 4 6 2 7 2" xfId="25521" xr:uid="{0487FF6E-DD12-407B-B5C4-7FEDA55FC68B}"/>
    <cellStyle name="Normal 4 6 2 7 3" xfId="19861" xr:uid="{0F357044-8165-4516-BCCB-100F6F0CE890}"/>
    <cellStyle name="Normal 4 6 2 7 4" xfId="31182" xr:uid="{63A898EE-DF9C-4D06-8107-FE79955E4CBE}"/>
    <cellStyle name="Normal 4 6 2 7 5" xfId="40142" xr:uid="{0D746D6A-A088-4572-A30D-25B41A5C1C74}"/>
    <cellStyle name="Normal 4 6 2 8" xfId="22420" xr:uid="{113C33F1-8274-4337-A6B7-4A47D64DD1A4}"/>
    <cellStyle name="Normal 4 6 2 8 2" xfId="40143" xr:uid="{241CACCA-ED55-4C96-B6FB-86FE5EFF8B82}"/>
    <cellStyle name="Normal 4 6 2 9" xfId="16760" xr:uid="{E3C184DC-3F1F-434C-9FA7-C2802125DE63}"/>
    <cellStyle name="Normal 4 6 3" xfId="2230" xr:uid="{00000000-0005-0000-0000-0000C81D0000}"/>
    <cellStyle name="Normal 4 6 3 2" xfId="40144" xr:uid="{00B2F7CB-E03B-4E00-9B37-4977D6791259}"/>
    <cellStyle name="Normal 4 6 4" xfId="2228" xr:uid="{00000000-0005-0000-0000-0000C91D0000}"/>
    <cellStyle name="Normal 4 6 4 10" xfId="40145" xr:uid="{4FED3422-ED88-49BF-A988-4F33C0B314A4}"/>
    <cellStyle name="Normal 4 6 4 11" xfId="49820" xr:uid="{82ED7E1D-9151-4BDD-84EA-54941A48EC24}"/>
    <cellStyle name="Normal 4 6 4 2" xfId="4866" xr:uid="{00000000-0005-0000-0000-0000CA1D0000}"/>
    <cellStyle name="Normal 4 6 4 2 10" xfId="49821" xr:uid="{630EE5DA-FF66-452B-BE8D-0523E204C904}"/>
    <cellStyle name="Normal 4 6 4 2 2" xfId="5285" xr:uid="{00000000-0005-0000-0000-0000CB1D0000}"/>
    <cellStyle name="Normal 4 6 4 2 2 2" xfId="7148" xr:uid="{00000000-0005-0000-0000-0000CC1D0000}"/>
    <cellStyle name="Normal 4 6 4 2 2 2 2" xfId="15581" xr:uid="{00000000-0005-0000-0000-0000CD1D0000}"/>
    <cellStyle name="Normal 4 6 4 2 2 2 2 2" xfId="27475" xr:uid="{E63C0D88-49C9-46FE-8F83-8C9A09CA5DB4}"/>
    <cellStyle name="Normal 4 6 4 2 2 2 2 3" xfId="21815" xr:uid="{DC6000D5-296E-4375-BC58-7D7516C44A2A}"/>
    <cellStyle name="Normal 4 6 4 2 2 2 2 4" xfId="32855" xr:uid="{905798B6-B213-4320-A83D-DAC39F125647}"/>
    <cellStyle name="Normal 4 6 4 2 2 2 2 5" xfId="40149" xr:uid="{76D4BB15-9652-4909-880F-86CB54A9408A}"/>
    <cellStyle name="Normal 4 6 4 2 2 2 3" xfId="24642" xr:uid="{7CC162B3-CEB2-4BDB-905F-1F073A52405B}"/>
    <cellStyle name="Normal 4 6 4 2 2 2 4" xfId="18982" xr:uid="{127B0DF0-18A0-4183-A43F-8169BB601DC3}"/>
    <cellStyle name="Normal 4 6 4 2 2 2 5" xfId="30303" xr:uid="{069D39FE-4459-4144-BDD7-6A4A0E2B39AE}"/>
    <cellStyle name="Normal 4 6 4 2 2 2 6" xfId="40148" xr:uid="{60E8F2EB-C040-443B-BC61-DB0DB6850E0D}"/>
    <cellStyle name="Normal 4 6 4 2 2 3" xfId="14171" xr:uid="{00000000-0005-0000-0000-0000CE1D0000}"/>
    <cellStyle name="Normal 4 6 4 2 2 3 2" xfId="26210" xr:uid="{AD2DE4D1-5F6B-4013-9861-9FC43D989C0E}"/>
    <cellStyle name="Normal 4 6 4 2 2 3 3" xfId="20550" xr:uid="{5EC05A9B-2DDF-4065-BCB4-1B456E76326B}"/>
    <cellStyle name="Normal 4 6 4 2 2 3 4" xfId="31590" xr:uid="{198CE63D-FC25-44A1-B28F-554B407CE40E}"/>
    <cellStyle name="Normal 4 6 4 2 2 3 5" xfId="40150" xr:uid="{B652A6D8-5BCC-467A-A371-EC880D95B46B}"/>
    <cellStyle name="Normal 4 6 4 2 2 4" xfId="23080" xr:uid="{444FE4B5-39AA-4623-84FE-FA5CDBD10612}"/>
    <cellStyle name="Normal 4 6 4 2 2 5" xfId="17420" xr:uid="{4C3AC8EA-AC84-4B09-AC22-181E98580374}"/>
    <cellStyle name="Normal 4 6 4 2 2 6" xfId="28741" xr:uid="{9731213C-B0B0-4380-A75D-2BC2859C18E9}"/>
    <cellStyle name="Normal 4 6 4 2 2 7" xfId="40147" xr:uid="{3870EEBE-14EA-4E29-B2DE-38BB9A49B7E2}"/>
    <cellStyle name="Normal 4 6 4 2 3" xfId="6274" xr:uid="{00000000-0005-0000-0000-0000CF1D0000}"/>
    <cellStyle name="Normal 4 6 4 2 3 2" xfId="7601" xr:uid="{00000000-0005-0000-0000-0000D01D0000}"/>
    <cellStyle name="Normal 4 6 4 2 3 2 2" xfId="16034" xr:uid="{00000000-0005-0000-0000-0000D11D0000}"/>
    <cellStyle name="Normal 4 6 4 2 3 2 2 2" xfId="27928" xr:uid="{FB8CB7EA-9A7F-4A33-A19B-03439B567DFE}"/>
    <cellStyle name="Normal 4 6 4 2 3 2 2 3" xfId="22268" xr:uid="{049A6570-EA69-4944-AB4F-21636AB0A755}"/>
    <cellStyle name="Normal 4 6 4 2 3 2 2 4" xfId="33308" xr:uid="{053CD468-1C5F-493D-9404-9C16512F1750}"/>
    <cellStyle name="Normal 4 6 4 2 3 2 2 5" xfId="40153" xr:uid="{A2585880-ED3B-48D1-8F95-8110FBC6D6B1}"/>
    <cellStyle name="Normal 4 6 4 2 3 2 3" xfId="25095" xr:uid="{08FA1959-3415-444F-BF29-77D2C6A8ECDD}"/>
    <cellStyle name="Normal 4 6 4 2 3 2 4" xfId="19435" xr:uid="{DA30EFBC-B4B3-4685-90D4-801D3CBB76E5}"/>
    <cellStyle name="Normal 4 6 4 2 3 2 5" xfId="30756" xr:uid="{7554A5EA-E152-47FF-963E-818DC0322CC0}"/>
    <cellStyle name="Normal 4 6 4 2 3 2 6" xfId="40152" xr:uid="{EE9E80DE-0BE5-4297-80D0-A98E4A9F5222}"/>
    <cellStyle name="Normal 4 6 4 2 3 3" xfId="14716" xr:uid="{00000000-0005-0000-0000-0000D21D0000}"/>
    <cellStyle name="Normal 4 6 4 2 3 3 2" xfId="26672" xr:uid="{E3CFA182-BFD9-4AAC-95FC-20D65BFD88E2}"/>
    <cellStyle name="Normal 4 6 4 2 3 3 3" xfId="21012" xr:uid="{B7DD9319-64E0-4BA1-BB60-1957984017A7}"/>
    <cellStyle name="Normal 4 6 4 2 3 3 4" xfId="32052" xr:uid="{1F7550C8-0A94-41B6-9F9F-00CD411B51CB}"/>
    <cellStyle name="Normal 4 6 4 2 3 3 5" xfId="40154" xr:uid="{218B3B77-8F42-4235-89AA-BB01A611A8A9}"/>
    <cellStyle name="Normal 4 6 4 2 3 4" xfId="23839" xr:uid="{9EF38E28-DD02-49F7-9072-0E8F0E06A6CA}"/>
    <cellStyle name="Normal 4 6 4 2 3 5" xfId="18179" xr:uid="{FFDD5CC4-FFE2-4BF0-8E1E-0D7CF6E73395}"/>
    <cellStyle name="Normal 4 6 4 2 3 6" xfId="29500" xr:uid="{AEDEFE92-C505-436C-8F80-87161DE6031D}"/>
    <cellStyle name="Normal 4 6 4 2 3 7" xfId="40151" xr:uid="{978DEF39-98BD-4E4A-B94D-AFCE0A810221}"/>
    <cellStyle name="Normal 4 6 4 2 4" xfId="6730" xr:uid="{00000000-0005-0000-0000-0000D31D0000}"/>
    <cellStyle name="Normal 4 6 4 2 4 2" xfId="15163" xr:uid="{00000000-0005-0000-0000-0000D41D0000}"/>
    <cellStyle name="Normal 4 6 4 2 4 2 2" xfId="27057" xr:uid="{7BB504EA-2566-40EF-9543-B459671BCED9}"/>
    <cellStyle name="Normal 4 6 4 2 4 2 3" xfId="21397" xr:uid="{FE8FFD94-D5F2-4732-AD95-66673FA4FDEE}"/>
    <cellStyle name="Normal 4 6 4 2 4 2 4" xfId="32437" xr:uid="{87CBF9A0-FA77-4DF1-A939-821433F53FEF}"/>
    <cellStyle name="Normal 4 6 4 2 4 2 5" xfId="40156" xr:uid="{A057C111-C184-48E4-9F94-A34383E041A9}"/>
    <cellStyle name="Normal 4 6 4 2 4 3" xfId="24224" xr:uid="{C93D2067-670D-4F1B-B748-6D233C28DA70}"/>
    <cellStyle name="Normal 4 6 4 2 4 4" xfId="18564" xr:uid="{6D8F39D4-0AD4-4E3A-853D-618788C674C7}"/>
    <cellStyle name="Normal 4 6 4 2 4 5" xfId="29885" xr:uid="{DB525080-60A5-45DD-A1E5-3D7998DF9A3D}"/>
    <cellStyle name="Normal 4 6 4 2 4 6" xfId="40155" xr:uid="{36784284-B16A-4271-9529-0962B58BEBB5}"/>
    <cellStyle name="Normal 4 6 4 2 5" xfId="8045" xr:uid="{00000000-0005-0000-0000-0000D51D0000}"/>
    <cellStyle name="Normal 4 6 4 2 5 2" xfId="25524" xr:uid="{75234191-28C6-4D76-B51B-153278C0774B}"/>
    <cellStyle name="Normal 4 6 4 2 5 3" xfId="19864" xr:uid="{3C6FF89F-E6EA-4894-B2E3-04BCCFFB4686}"/>
    <cellStyle name="Normal 4 6 4 2 5 4" xfId="31185" xr:uid="{4F64FC3B-E2F5-4137-8F90-F26B273C2E8C}"/>
    <cellStyle name="Normal 4 6 4 2 5 5" xfId="40157" xr:uid="{03924E01-47B5-4FCF-9E93-EAAD47454D57}"/>
    <cellStyle name="Normal 4 6 4 2 6" xfId="22662" xr:uid="{12C48385-4D4B-4B94-95A3-59BA6CC817EB}"/>
    <cellStyle name="Normal 4 6 4 2 6 2" xfId="40158" xr:uid="{C0ADEF41-9848-4F4C-A384-221394F0C8D6}"/>
    <cellStyle name="Normal 4 6 4 2 7" xfId="17002" xr:uid="{02D56779-B884-4D44-9837-A6D65FAEE7EC}"/>
    <cellStyle name="Normal 4 6 4 2 8" xfId="28323" xr:uid="{4E399F06-2CF5-47FF-841B-BCA2E757D1CB}"/>
    <cellStyle name="Normal 4 6 4 2 9" xfId="40146" xr:uid="{BD4F8D6F-0AD0-4F5F-91E2-75544C2FA7D3}"/>
    <cellStyle name="Normal 4 6 4 3" xfId="5076" xr:uid="{00000000-0005-0000-0000-0000D61D0000}"/>
    <cellStyle name="Normal 4 6 4 3 2" xfId="6939" xr:uid="{00000000-0005-0000-0000-0000D71D0000}"/>
    <cellStyle name="Normal 4 6 4 3 2 2" xfId="15372" xr:uid="{00000000-0005-0000-0000-0000D81D0000}"/>
    <cellStyle name="Normal 4 6 4 3 2 2 2" xfId="27266" xr:uid="{E7A3472B-995E-4FCD-A856-2615CA3549E2}"/>
    <cellStyle name="Normal 4 6 4 3 2 2 3" xfId="21606" xr:uid="{206CC830-0824-480A-A41B-E114526549D0}"/>
    <cellStyle name="Normal 4 6 4 3 2 2 4" xfId="32646" xr:uid="{9D01E863-7611-49BC-8A6D-9CEEB5CAAD3C}"/>
    <cellStyle name="Normal 4 6 4 3 2 2 5" xfId="40161" xr:uid="{DB642369-AA85-4361-88C1-664C3580FE65}"/>
    <cellStyle name="Normal 4 6 4 3 2 3" xfId="24433" xr:uid="{5CF25D69-FBD3-4DED-B0BC-3B5BD9E8B9D9}"/>
    <cellStyle name="Normal 4 6 4 3 2 4" xfId="18773" xr:uid="{E1AAC67B-EFDE-417F-86F6-D8663203E085}"/>
    <cellStyle name="Normal 4 6 4 3 2 5" xfId="30094" xr:uid="{5D093DB2-81B5-49CA-9472-22621AA09AB0}"/>
    <cellStyle name="Normal 4 6 4 3 2 6" xfId="40160" xr:uid="{A5BCC1B8-2E42-4F88-BA0A-E731984E9728}"/>
    <cellStyle name="Normal 4 6 4 3 3" xfId="13967" xr:uid="{00000000-0005-0000-0000-0000D91D0000}"/>
    <cellStyle name="Normal 4 6 4 3 3 2" xfId="26008" xr:uid="{BCFF1AFF-4DD7-4911-BAED-96B572154CB8}"/>
    <cellStyle name="Normal 4 6 4 3 3 3" xfId="20348" xr:uid="{69A406BF-CC12-40E2-B9C9-7CC6E64E3C09}"/>
    <cellStyle name="Normal 4 6 4 3 3 4" xfId="31388" xr:uid="{233D1BB4-DB6F-44BC-B3D8-D53546C07072}"/>
    <cellStyle name="Normal 4 6 4 3 3 5" xfId="40162" xr:uid="{B2982D73-2E8D-46D5-98FF-11D0DA75CCC1}"/>
    <cellStyle name="Normal 4 6 4 3 4" xfId="22871" xr:uid="{3236B062-97E3-461E-A873-324760FCCFA4}"/>
    <cellStyle name="Normal 4 6 4 3 5" xfId="17211" xr:uid="{A045987A-92ED-47EE-8412-1A850BAB3FE7}"/>
    <cellStyle name="Normal 4 6 4 3 6" xfId="28532" xr:uid="{E618FB26-2BE5-405C-9435-0C5E75DC68CC}"/>
    <cellStyle name="Normal 4 6 4 3 7" xfId="40159" xr:uid="{51DEBB75-6EB6-40DA-83D0-26207040B007}"/>
    <cellStyle name="Normal 4 6 4 4" xfId="6273" xr:uid="{00000000-0005-0000-0000-0000DA1D0000}"/>
    <cellStyle name="Normal 4 6 4 4 2" xfId="7600" xr:uid="{00000000-0005-0000-0000-0000DB1D0000}"/>
    <cellStyle name="Normal 4 6 4 4 2 2" xfId="16033" xr:uid="{00000000-0005-0000-0000-0000DC1D0000}"/>
    <cellStyle name="Normal 4 6 4 4 2 2 2" xfId="27927" xr:uid="{5CEBF2AE-A7F8-448C-9B8C-0C236BA964D4}"/>
    <cellStyle name="Normal 4 6 4 4 2 2 3" xfId="22267" xr:uid="{D51C000A-0DB9-4308-BF52-162FFD9CE107}"/>
    <cellStyle name="Normal 4 6 4 4 2 2 4" xfId="33307" xr:uid="{C4098C0F-E6BD-4053-AAAC-737E13800F0F}"/>
    <cellStyle name="Normal 4 6 4 4 2 2 5" xfId="40165" xr:uid="{B41B1400-DD88-4A7B-8C48-FAB99921C60C}"/>
    <cellStyle name="Normal 4 6 4 4 2 3" xfId="25094" xr:uid="{9CAD4020-46E8-4AC5-B15D-8F7B87EEFD5C}"/>
    <cellStyle name="Normal 4 6 4 4 2 4" xfId="19434" xr:uid="{35098D68-9BA4-4470-B37D-1AAA2B70817D}"/>
    <cellStyle name="Normal 4 6 4 4 2 5" xfId="30755" xr:uid="{06648510-0380-42A5-B6D0-E6D8A40BC85A}"/>
    <cellStyle name="Normal 4 6 4 4 2 6" xfId="40164" xr:uid="{F3478D41-155E-478D-BC00-3A30EC8FC0F6}"/>
    <cellStyle name="Normal 4 6 4 4 3" xfId="14715" xr:uid="{00000000-0005-0000-0000-0000DD1D0000}"/>
    <cellStyle name="Normal 4 6 4 4 3 2" xfId="26671" xr:uid="{E32F5417-3B5B-490C-8004-A12F5D0DD28B}"/>
    <cellStyle name="Normal 4 6 4 4 3 3" xfId="21011" xr:uid="{EE507482-4CE5-45F5-82FB-AA10ED707DD0}"/>
    <cellStyle name="Normal 4 6 4 4 3 4" xfId="32051" xr:uid="{CEC1197C-2CED-4845-8E81-E440E6A3247C}"/>
    <cellStyle name="Normal 4 6 4 4 3 5" xfId="40166" xr:uid="{98427295-7675-469C-B661-E4CA783910C3}"/>
    <cellStyle name="Normal 4 6 4 4 4" xfId="23838" xr:uid="{83A63308-8362-4E56-9F1E-689567CBDF42}"/>
    <cellStyle name="Normal 4 6 4 4 5" xfId="18178" xr:uid="{D9624603-5A5D-499F-9153-396F6D82D9FF}"/>
    <cellStyle name="Normal 4 6 4 4 6" xfId="29499" xr:uid="{317FF275-7968-427E-A03E-96223CE0D532}"/>
    <cellStyle name="Normal 4 6 4 4 7" xfId="40163" xr:uid="{489F29EB-5450-45B4-942B-273E6A73045C}"/>
    <cellStyle name="Normal 4 6 4 5" xfId="6521" xr:uid="{00000000-0005-0000-0000-0000DE1D0000}"/>
    <cellStyle name="Normal 4 6 4 5 2" xfId="14954" xr:uid="{00000000-0005-0000-0000-0000DF1D0000}"/>
    <cellStyle name="Normal 4 6 4 5 2 2" xfId="26848" xr:uid="{34B18AAF-4365-4517-9681-C470720A477E}"/>
    <cellStyle name="Normal 4 6 4 5 2 3" xfId="21188" xr:uid="{0D23BB3F-3AEA-4E09-A395-AE5339FE3692}"/>
    <cellStyle name="Normal 4 6 4 5 2 4" xfId="32228" xr:uid="{D004DA9B-B37A-465E-AB16-1A795CC19909}"/>
    <cellStyle name="Normal 4 6 4 5 2 5" xfId="40168" xr:uid="{8E59A3F8-DCCE-4D6A-8830-CCB5B4BF725F}"/>
    <cellStyle name="Normal 4 6 4 5 3" xfId="24015" xr:uid="{4C5E4DF8-7B56-4D65-BD1E-F3468AD448A5}"/>
    <cellStyle name="Normal 4 6 4 5 4" xfId="18355" xr:uid="{441FDBEA-6DA5-4537-B55C-B1E9602EDCAF}"/>
    <cellStyle name="Normal 4 6 4 5 5" xfId="29676" xr:uid="{B4880473-DA0B-4B43-AD81-C8FA5ACBCE67}"/>
    <cellStyle name="Normal 4 6 4 5 6" xfId="40167" xr:uid="{8BD3A2BE-E6F4-4E29-A5D0-C911FC996A67}"/>
    <cellStyle name="Normal 4 6 4 6" xfId="8044" xr:uid="{00000000-0005-0000-0000-0000E01D0000}"/>
    <cellStyle name="Normal 4 6 4 6 2" xfId="25523" xr:uid="{1A8CEED9-4845-4CA1-9166-E8CCE57838A2}"/>
    <cellStyle name="Normal 4 6 4 6 3" xfId="19863" xr:uid="{58DF1817-23B5-48D2-B1BB-2B917764A222}"/>
    <cellStyle name="Normal 4 6 4 6 4" xfId="31184" xr:uid="{177CE4A0-9C03-4DEE-BD2E-B53B2EE63FD9}"/>
    <cellStyle name="Normal 4 6 4 6 5" xfId="40169" xr:uid="{2896C24D-E1AD-491A-8EC5-3B3577410E05}"/>
    <cellStyle name="Normal 4 6 4 7" xfId="22453" xr:uid="{259EC32D-8B8C-4B23-9DCA-C74E66164D07}"/>
    <cellStyle name="Normal 4 6 4 7 2" xfId="40170" xr:uid="{8A4E3B83-4BFD-40BE-9276-6614C06F522B}"/>
    <cellStyle name="Normal 4 6 4 8" xfId="16793" xr:uid="{4697C7F8-CCD6-43F5-820E-A8F00B075C67}"/>
    <cellStyle name="Normal 4 6 4 9" xfId="28114" xr:uid="{C78D55CD-92ED-4AB1-A3A6-88507B1B688E}"/>
    <cellStyle name="Normal 4 6 5" xfId="4789" xr:uid="{00000000-0005-0000-0000-0000E11D0000}"/>
    <cellStyle name="Normal 4 6 5 10" xfId="40171" xr:uid="{87FB3DBF-EA90-421B-8DC0-0E3CC0A37E7A}"/>
    <cellStyle name="Normal 4 6 5 2" xfId="5003" xr:uid="{00000000-0005-0000-0000-0000E21D0000}"/>
    <cellStyle name="Normal 4 6 5 2 2" xfId="5421" xr:uid="{00000000-0005-0000-0000-0000E31D0000}"/>
    <cellStyle name="Normal 4 6 5 2 2 2" xfId="7284" xr:uid="{00000000-0005-0000-0000-0000E41D0000}"/>
    <cellStyle name="Normal 4 6 5 2 2 2 2" xfId="15717" xr:uid="{00000000-0005-0000-0000-0000E51D0000}"/>
    <cellStyle name="Normal 4 6 5 2 2 2 2 2" xfId="27611" xr:uid="{4F83AE21-6A97-4211-BB56-5985A5BA3D91}"/>
    <cellStyle name="Normal 4 6 5 2 2 2 2 3" xfId="21951" xr:uid="{E78DE84D-7EB4-4D0D-AB1C-97B54B5DCAE7}"/>
    <cellStyle name="Normal 4 6 5 2 2 2 2 4" xfId="32991" xr:uid="{FF67FA95-D617-408B-8114-A88CD062931C}"/>
    <cellStyle name="Normal 4 6 5 2 2 2 2 5" xfId="40175" xr:uid="{717940FC-53F1-40BF-9FA2-C26A8603B56C}"/>
    <cellStyle name="Normal 4 6 5 2 2 2 3" xfId="24778" xr:uid="{108E78E5-56A0-4845-9E16-1CCB18F5BB80}"/>
    <cellStyle name="Normal 4 6 5 2 2 2 4" xfId="19118" xr:uid="{80657A02-CD04-4CFA-A026-352FA09CDE4B}"/>
    <cellStyle name="Normal 4 6 5 2 2 2 5" xfId="30439" xr:uid="{C2604CAA-B2A9-4807-AAC9-D2AEEDAE6F82}"/>
    <cellStyle name="Normal 4 6 5 2 2 2 6" xfId="40174" xr:uid="{09FC15EA-E2B2-4009-BC12-EBAD597FD680}"/>
    <cellStyle name="Normal 4 6 5 2 2 3" xfId="14307" xr:uid="{00000000-0005-0000-0000-0000E61D0000}"/>
    <cellStyle name="Normal 4 6 5 2 2 3 2" xfId="26346" xr:uid="{DA303B30-DEA5-4917-AEA3-F9DC4944686E}"/>
    <cellStyle name="Normal 4 6 5 2 2 3 3" xfId="20686" xr:uid="{F5F53A6C-9398-40BF-9F28-E02B4320E770}"/>
    <cellStyle name="Normal 4 6 5 2 2 3 4" xfId="31726" xr:uid="{60FBCB86-6F67-4A7D-A1F7-43905F5303F4}"/>
    <cellStyle name="Normal 4 6 5 2 2 3 5" xfId="40176" xr:uid="{300F79D1-4B0D-4DB8-8981-A4DDAD10C61B}"/>
    <cellStyle name="Normal 4 6 5 2 2 4" xfId="23216" xr:uid="{C7D3D647-E064-40CF-8DE6-1BCD0B1081AE}"/>
    <cellStyle name="Normal 4 6 5 2 2 5" xfId="17556" xr:uid="{0E7E221C-13FA-4A3E-A667-E4BF1E2AB868}"/>
    <cellStyle name="Normal 4 6 5 2 2 6" xfId="28877" xr:uid="{CBCD9D66-E4B9-46D4-8FFE-174165DC4F9F}"/>
    <cellStyle name="Normal 4 6 5 2 2 7" xfId="40173" xr:uid="{94C614AD-3FDF-4BB3-AA87-24603C0E280F}"/>
    <cellStyle name="Normal 4 6 5 2 3" xfId="6276" xr:uid="{00000000-0005-0000-0000-0000E71D0000}"/>
    <cellStyle name="Normal 4 6 5 2 3 2" xfId="7603" xr:uid="{00000000-0005-0000-0000-0000E81D0000}"/>
    <cellStyle name="Normal 4 6 5 2 3 2 2" xfId="16036" xr:uid="{00000000-0005-0000-0000-0000E91D0000}"/>
    <cellStyle name="Normal 4 6 5 2 3 2 2 2" xfId="27930" xr:uid="{A3E554E6-E2A8-4F85-99C2-CEEF5EA5755B}"/>
    <cellStyle name="Normal 4 6 5 2 3 2 2 3" xfId="22270" xr:uid="{4ED0E728-D79D-4D20-B88E-856FCFB74BA4}"/>
    <cellStyle name="Normal 4 6 5 2 3 2 2 4" xfId="33310" xr:uid="{9FA7DD02-31C4-45E9-B515-EBB9590CCBB9}"/>
    <cellStyle name="Normal 4 6 5 2 3 2 2 5" xfId="40179" xr:uid="{2179E61B-4FD0-4D6A-BCB2-48FA9B9953D7}"/>
    <cellStyle name="Normal 4 6 5 2 3 2 3" xfId="25097" xr:uid="{E3961B48-D047-4FD9-864A-93A9B47949C6}"/>
    <cellStyle name="Normal 4 6 5 2 3 2 4" xfId="19437" xr:uid="{639E2E28-0A09-4997-A44C-378F31E8428C}"/>
    <cellStyle name="Normal 4 6 5 2 3 2 5" xfId="30758" xr:uid="{CFFE8793-848F-4EFF-BEFE-B6647EDFA699}"/>
    <cellStyle name="Normal 4 6 5 2 3 2 6" xfId="40178" xr:uid="{03558A01-A1D6-4E4E-BF9B-EE9A03067ED1}"/>
    <cellStyle name="Normal 4 6 5 2 3 3" xfId="14718" xr:uid="{00000000-0005-0000-0000-0000EA1D0000}"/>
    <cellStyle name="Normal 4 6 5 2 3 3 2" xfId="26674" xr:uid="{516AB5E1-A954-4347-9945-341F290E2F5D}"/>
    <cellStyle name="Normal 4 6 5 2 3 3 3" xfId="21014" xr:uid="{8C38B30C-9BC2-43CD-A1F0-4643F465254F}"/>
    <cellStyle name="Normal 4 6 5 2 3 3 4" xfId="32054" xr:uid="{C42D85F3-5AAA-41E1-9E53-30F11EFCE21C}"/>
    <cellStyle name="Normal 4 6 5 2 3 3 5" xfId="40180" xr:uid="{8F8B614C-C0E8-48BE-959A-6EBA30DC6EAE}"/>
    <cellStyle name="Normal 4 6 5 2 3 4" xfId="23841" xr:uid="{E378FC63-2BA1-4AA0-8187-51C0F4759605}"/>
    <cellStyle name="Normal 4 6 5 2 3 5" xfId="18181" xr:uid="{7EC5A52E-9FA4-4027-BA94-1B6F975471D5}"/>
    <cellStyle name="Normal 4 6 5 2 3 6" xfId="29502" xr:uid="{4F43ED09-4022-48B2-8C5E-AFB034B5FF31}"/>
    <cellStyle name="Normal 4 6 5 2 3 7" xfId="40177" xr:uid="{1B78E707-B64F-4DC6-9996-B9F4B2B4C4DC}"/>
    <cellStyle name="Normal 4 6 5 2 4" xfId="6866" xr:uid="{00000000-0005-0000-0000-0000EB1D0000}"/>
    <cellStyle name="Normal 4 6 5 2 4 2" xfId="15299" xr:uid="{00000000-0005-0000-0000-0000EC1D0000}"/>
    <cellStyle name="Normal 4 6 5 2 4 2 2" xfId="27193" xr:uid="{4F17B833-B106-45A2-A9D3-49A178FBEB12}"/>
    <cellStyle name="Normal 4 6 5 2 4 2 3" xfId="21533" xr:uid="{19948BE7-AAD3-4A01-8031-BC4F10017697}"/>
    <cellStyle name="Normal 4 6 5 2 4 2 4" xfId="32573" xr:uid="{DFCC1073-E6D2-4C67-B8FD-D438F61C84DD}"/>
    <cellStyle name="Normal 4 6 5 2 4 2 5" xfId="40182" xr:uid="{BF2EF197-E825-4828-B0DF-DEE54FB3070D}"/>
    <cellStyle name="Normal 4 6 5 2 4 3" xfId="24360" xr:uid="{88A9F72F-34C7-40FB-9AB4-B13E01140469}"/>
    <cellStyle name="Normal 4 6 5 2 4 4" xfId="18700" xr:uid="{46E5801C-0CA3-488B-BCF8-F1267D2ADCF5}"/>
    <cellStyle name="Normal 4 6 5 2 4 5" xfId="30021" xr:uid="{AC407566-08B2-4683-8ECB-E3C4D7CDFE44}"/>
    <cellStyle name="Normal 4 6 5 2 4 6" xfId="40181" xr:uid="{42ACC7B0-A8BF-4030-979D-4E63FF7F3D13}"/>
    <cellStyle name="Normal 4 6 5 2 5" xfId="8047" xr:uid="{00000000-0005-0000-0000-0000ED1D0000}"/>
    <cellStyle name="Normal 4 6 5 2 5 2" xfId="25526" xr:uid="{99A7E9B7-F8DE-40D5-B2C8-4ECF6C97CBD8}"/>
    <cellStyle name="Normal 4 6 5 2 5 3" xfId="19866" xr:uid="{E851391A-143E-49B1-A751-10E3F9FAAF33}"/>
    <cellStyle name="Normal 4 6 5 2 5 4" xfId="31187" xr:uid="{42A79A81-387B-41B5-B2FF-D536905DB158}"/>
    <cellStyle name="Normal 4 6 5 2 5 5" xfId="40183" xr:uid="{07215D3E-2880-4852-819B-A9BAFEC0C168}"/>
    <cellStyle name="Normal 4 6 5 2 6" xfId="22798" xr:uid="{14755D7B-E938-4D27-82F0-57F2CABDAAE7}"/>
    <cellStyle name="Normal 4 6 5 2 7" xfId="17138" xr:uid="{42FE1FF8-405C-4C8B-8125-BCDBFFC97ADC}"/>
    <cellStyle name="Normal 4 6 5 2 8" xfId="28459" xr:uid="{123AAAE5-B3F4-4262-BE1F-42E914D205FF}"/>
    <cellStyle name="Normal 4 6 5 2 9" xfId="40172" xr:uid="{6289AB86-19F8-42B9-8017-7819711B1529}"/>
    <cellStyle name="Normal 4 6 5 3" xfId="5212" xr:uid="{00000000-0005-0000-0000-0000EE1D0000}"/>
    <cellStyle name="Normal 4 6 5 3 2" xfId="7075" xr:uid="{00000000-0005-0000-0000-0000EF1D0000}"/>
    <cellStyle name="Normal 4 6 5 3 2 2" xfId="15508" xr:uid="{00000000-0005-0000-0000-0000F01D0000}"/>
    <cellStyle name="Normal 4 6 5 3 2 2 2" xfId="27402" xr:uid="{0F3FC374-11A5-4D48-A071-631FCB880F29}"/>
    <cellStyle name="Normal 4 6 5 3 2 2 3" xfId="21742" xr:uid="{0FA4C196-3EA8-4C79-B8F7-42BD21502067}"/>
    <cellStyle name="Normal 4 6 5 3 2 2 4" xfId="32782" xr:uid="{90237DA3-588A-4706-9847-61DD3FCF5E8B}"/>
    <cellStyle name="Normal 4 6 5 3 2 2 5" xfId="40186" xr:uid="{12CED813-0264-47F9-AA13-B4F5560EBF1D}"/>
    <cellStyle name="Normal 4 6 5 3 2 3" xfId="24569" xr:uid="{BC396572-7FD4-4194-BB7F-B8566BDD89C9}"/>
    <cellStyle name="Normal 4 6 5 3 2 4" xfId="18909" xr:uid="{407BA18A-D6FC-4E7C-8DB4-298EF9A72F26}"/>
    <cellStyle name="Normal 4 6 5 3 2 5" xfId="30230" xr:uid="{93768EA8-09A9-4194-8B05-229779BE4179}"/>
    <cellStyle name="Normal 4 6 5 3 2 6" xfId="40185" xr:uid="{941AC392-337A-4C1F-B667-3E1ABDADD811}"/>
    <cellStyle name="Normal 4 6 5 3 3" xfId="14098" xr:uid="{00000000-0005-0000-0000-0000F11D0000}"/>
    <cellStyle name="Normal 4 6 5 3 3 2" xfId="26137" xr:uid="{EBCC1DBE-562A-42BB-9B4C-58773000F451}"/>
    <cellStyle name="Normal 4 6 5 3 3 3" xfId="20477" xr:uid="{9D22AA07-507E-4B0D-B1FF-19F0E7B67D96}"/>
    <cellStyle name="Normal 4 6 5 3 3 4" xfId="31517" xr:uid="{7D3B4F3C-0342-4D5F-B2B6-44EC7CD452C4}"/>
    <cellStyle name="Normal 4 6 5 3 3 5" xfId="40187" xr:uid="{DF679427-B31D-4841-B162-CADE7BD20AFC}"/>
    <cellStyle name="Normal 4 6 5 3 4" xfId="23007" xr:uid="{DA14AC6C-A0FB-41D6-8D26-F05AC3EBA5C8}"/>
    <cellStyle name="Normal 4 6 5 3 5" xfId="17347" xr:uid="{19E00BC7-D45E-43CB-9D3B-0E0B80FF9012}"/>
    <cellStyle name="Normal 4 6 5 3 6" xfId="28668" xr:uid="{6C84A6D5-8626-4A5C-90B3-7523088E59CC}"/>
    <cellStyle name="Normal 4 6 5 3 7" xfId="40184" xr:uid="{966D8556-2C75-45B9-B47B-A05D7DB6A616}"/>
    <cellStyle name="Normal 4 6 5 4" xfId="6275" xr:uid="{00000000-0005-0000-0000-0000F21D0000}"/>
    <cellStyle name="Normal 4 6 5 4 2" xfId="7602" xr:uid="{00000000-0005-0000-0000-0000F31D0000}"/>
    <cellStyle name="Normal 4 6 5 4 2 2" xfId="16035" xr:uid="{00000000-0005-0000-0000-0000F41D0000}"/>
    <cellStyle name="Normal 4 6 5 4 2 2 2" xfId="27929" xr:uid="{61A84DAD-C16E-4ABF-8B86-C89319937395}"/>
    <cellStyle name="Normal 4 6 5 4 2 2 3" xfId="22269" xr:uid="{DE364241-5A14-4720-8C90-001A1279A771}"/>
    <cellStyle name="Normal 4 6 5 4 2 2 4" xfId="33309" xr:uid="{C67476CA-BAFB-4E79-8013-A664AA05CB66}"/>
    <cellStyle name="Normal 4 6 5 4 2 2 5" xfId="40190" xr:uid="{3E86EB94-FF66-4DED-9711-EB491CB76667}"/>
    <cellStyle name="Normal 4 6 5 4 2 3" xfId="25096" xr:uid="{A780BD16-96BC-4955-AB28-11194338FA6D}"/>
    <cellStyle name="Normal 4 6 5 4 2 4" xfId="19436" xr:uid="{F401133A-7DC4-4974-9F4A-6907E52940A8}"/>
    <cellStyle name="Normal 4 6 5 4 2 5" xfId="30757" xr:uid="{890E4675-8922-46ED-A6E8-6CEB5C60EFBD}"/>
    <cellStyle name="Normal 4 6 5 4 2 6" xfId="40189" xr:uid="{E63EF231-5ADE-410E-9366-00B8B50CA1A7}"/>
    <cellStyle name="Normal 4 6 5 4 3" xfId="14717" xr:uid="{00000000-0005-0000-0000-0000F51D0000}"/>
    <cellStyle name="Normal 4 6 5 4 3 2" xfId="26673" xr:uid="{D9BF65E1-2CB3-4846-A5C4-CEC5DFE4A7D8}"/>
    <cellStyle name="Normal 4 6 5 4 3 3" xfId="21013" xr:uid="{1FE7BE1D-C42B-44BB-9DF6-EA3E80883E3D}"/>
    <cellStyle name="Normal 4 6 5 4 3 4" xfId="32053" xr:uid="{FD083B59-2A69-4485-8042-00366FB28946}"/>
    <cellStyle name="Normal 4 6 5 4 3 5" xfId="40191" xr:uid="{2CA11186-B8B9-453B-83A2-FA82B1CA134B}"/>
    <cellStyle name="Normal 4 6 5 4 4" xfId="23840" xr:uid="{22AD113C-D786-4B1E-9F77-8FC3B523AA40}"/>
    <cellStyle name="Normal 4 6 5 4 5" xfId="18180" xr:uid="{8C42A819-D9BC-4E17-B71D-7A24CE154D2C}"/>
    <cellStyle name="Normal 4 6 5 4 6" xfId="29501" xr:uid="{40CD6BEE-9A34-4A7C-84FE-40506C93C020}"/>
    <cellStyle name="Normal 4 6 5 4 7" xfId="40188" xr:uid="{9FC6B630-136B-4FB2-9C62-CA586FA777CB}"/>
    <cellStyle name="Normal 4 6 5 5" xfId="6657" xr:uid="{00000000-0005-0000-0000-0000F61D0000}"/>
    <cellStyle name="Normal 4 6 5 5 2" xfId="15090" xr:uid="{00000000-0005-0000-0000-0000F71D0000}"/>
    <cellStyle name="Normal 4 6 5 5 2 2" xfId="26984" xr:uid="{E319FEFB-F714-4B28-A05E-AFE0AD53152A}"/>
    <cellStyle name="Normal 4 6 5 5 2 3" xfId="21324" xr:uid="{942C6109-8B0B-4251-B32F-993A936B60A6}"/>
    <cellStyle name="Normal 4 6 5 5 2 4" xfId="32364" xr:uid="{6CF3E354-D4B1-4136-B9F8-3253DAA7F9CA}"/>
    <cellStyle name="Normal 4 6 5 5 2 5" xfId="40193" xr:uid="{238804A1-8A9A-4CBC-A6CA-8A94D7D082EE}"/>
    <cellStyle name="Normal 4 6 5 5 3" xfId="24151" xr:uid="{0FED9AF8-1DA9-4EF8-A778-9D25EDAD5F5F}"/>
    <cellStyle name="Normal 4 6 5 5 4" xfId="18491" xr:uid="{E3DF33DE-153D-4C87-80EB-59FE2FC78548}"/>
    <cellStyle name="Normal 4 6 5 5 5" xfId="29812" xr:uid="{86F49851-18CA-4B83-8494-56FA03414C55}"/>
    <cellStyle name="Normal 4 6 5 5 6" xfId="40192" xr:uid="{4A890B24-E2D1-4FB8-8A8F-EBD2112FE811}"/>
    <cellStyle name="Normal 4 6 5 6" xfId="8046" xr:uid="{00000000-0005-0000-0000-0000F81D0000}"/>
    <cellStyle name="Normal 4 6 5 6 2" xfId="25525" xr:uid="{21EAB93F-059A-486B-9294-FCBC971B9964}"/>
    <cellStyle name="Normal 4 6 5 6 3" xfId="19865" xr:uid="{A7E44325-7D73-477F-B01F-84E54A2A26DD}"/>
    <cellStyle name="Normal 4 6 5 6 4" xfId="31186" xr:uid="{35D6842E-B163-486A-A0F0-321479A40F2D}"/>
    <cellStyle name="Normal 4 6 5 6 5" xfId="40194" xr:uid="{424D5728-405A-4360-AAF5-27C7B0A61702}"/>
    <cellStyle name="Normal 4 6 5 7" xfId="22589" xr:uid="{4B2A3D6B-01A2-4261-8B51-0BAD8A4C8C9B}"/>
    <cellStyle name="Normal 4 6 5 8" xfId="16929" xr:uid="{9514F5E8-298C-49C6-9C2B-40A11B53D7CD}"/>
    <cellStyle name="Normal 4 6 5 9" xfId="28250" xr:uid="{E2F09049-F60D-41E0-BBC8-61F4F1CA27EE}"/>
    <cellStyle name="Normal 4 6 6" xfId="4806" xr:uid="{00000000-0005-0000-0000-0000F91D0000}"/>
    <cellStyle name="Normal 4 6 6 2" xfId="5228" xr:uid="{00000000-0005-0000-0000-0000FA1D0000}"/>
    <cellStyle name="Normal 4 6 6 2 2" xfId="7091" xr:uid="{00000000-0005-0000-0000-0000FB1D0000}"/>
    <cellStyle name="Normal 4 6 6 2 2 2" xfId="15524" xr:uid="{00000000-0005-0000-0000-0000FC1D0000}"/>
    <cellStyle name="Normal 4 6 6 2 2 2 2" xfId="27418" xr:uid="{55CB5E6A-D14D-4015-9E07-F2620C9EB6EE}"/>
    <cellStyle name="Normal 4 6 6 2 2 2 3" xfId="21758" xr:uid="{299F11F6-CF6D-46F8-B494-A906D7C4106E}"/>
    <cellStyle name="Normal 4 6 6 2 2 2 4" xfId="32798" xr:uid="{66E510F4-9037-4EF2-94A0-01C138EA7E68}"/>
    <cellStyle name="Normal 4 6 6 2 2 2 5" xfId="40198" xr:uid="{92302815-C9DA-41B7-9AAB-1526712E0FA2}"/>
    <cellStyle name="Normal 4 6 6 2 2 3" xfId="24585" xr:uid="{5F6192B4-FBCA-4E9F-8F94-508ED00A9A54}"/>
    <cellStyle name="Normal 4 6 6 2 2 4" xfId="18925" xr:uid="{E570BD5B-28B6-4596-883D-7B2255FC2C32}"/>
    <cellStyle name="Normal 4 6 6 2 2 5" xfId="30246" xr:uid="{9165573F-B55D-44FD-B3D1-19F980524907}"/>
    <cellStyle name="Normal 4 6 6 2 2 6" xfId="40197" xr:uid="{6B768BA6-EED0-46A2-AAD1-B9AFA44A61F2}"/>
    <cellStyle name="Normal 4 6 6 2 3" xfId="14114" xr:uid="{00000000-0005-0000-0000-0000FD1D0000}"/>
    <cellStyle name="Normal 4 6 6 2 3 2" xfId="26153" xr:uid="{3AE6172A-6420-4545-87E0-6A8A560BD3FD}"/>
    <cellStyle name="Normal 4 6 6 2 3 3" xfId="20493" xr:uid="{C38B575B-BF35-405A-A51D-4F0F68522F35}"/>
    <cellStyle name="Normal 4 6 6 2 3 4" xfId="31533" xr:uid="{360E0EEC-99E4-4FED-BA09-2A0E103F3AB0}"/>
    <cellStyle name="Normal 4 6 6 2 3 5" xfId="40199" xr:uid="{E6020774-DDC2-4CB1-90A8-37C0AC39FFBD}"/>
    <cellStyle name="Normal 4 6 6 2 4" xfId="23023" xr:uid="{B2462A49-AAB0-47F3-876F-018FD2FEF1A8}"/>
    <cellStyle name="Normal 4 6 6 2 5" xfId="17363" xr:uid="{36E78366-7E4A-4BE8-8140-6C8898BC3566}"/>
    <cellStyle name="Normal 4 6 6 2 6" xfId="28684" xr:uid="{BFAEDACC-6E6F-4BC1-94CA-672D34B824CC}"/>
    <cellStyle name="Normal 4 6 6 2 7" xfId="40196" xr:uid="{1AEE33FA-C4B0-4839-BFB9-3DEEBDCC739B}"/>
    <cellStyle name="Normal 4 6 6 3" xfId="6277" xr:uid="{00000000-0005-0000-0000-0000FE1D0000}"/>
    <cellStyle name="Normal 4 6 6 3 2" xfId="7604" xr:uid="{00000000-0005-0000-0000-0000FF1D0000}"/>
    <cellStyle name="Normal 4 6 6 3 2 2" xfId="16037" xr:uid="{00000000-0005-0000-0000-0000001E0000}"/>
    <cellStyle name="Normal 4 6 6 3 2 2 2" xfId="27931" xr:uid="{873F102A-ED95-448E-BCC2-269099EF4EF7}"/>
    <cellStyle name="Normal 4 6 6 3 2 2 3" xfId="22271" xr:uid="{E52A7A36-495A-4361-8554-FEC761B4A55E}"/>
    <cellStyle name="Normal 4 6 6 3 2 2 4" xfId="33311" xr:uid="{CBC1E8D4-B416-416A-A0BE-B326737A0374}"/>
    <cellStyle name="Normal 4 6 6 3 2 2 5" xfId="40202" xr:uid="{A3CC82B1-2226-4D28-8668-2649A975F7DC}"/>
    <cellStyle name="Normal 4 6 6 3 2 3" xfId="25098" xr:uid="{C43852B0-4091-4F3F-879A-747615B3737C}"/>
    <cellStyle name="Normal 4 6 6 3 2 4" xfId="19438" xr:uid="{4413CD1F-07D1-4898-ACD6-9B60F6869072}"/>
    <cellStyle name="Normal 4 6 6 3 2 5" xfId="30759" xr:uid="{74933ECD-0262-4343-9B90-CC6B7D03C1E8}"/>
    <cellStyle name="Normal 4 6 6 3 2 6" xfId="40201" xr:uid="{42ABE72B-4531-4419-AD90-050D32786968}"/>
    <cellStyle name="Normal 4 6 6 3 3" xfId="14719" xr:uid="{00000000-0005-0000-0000-0000011E0000}"/>
    <cellStyle name="Normal 4 6 6 3 3 2" xfId="26675" xr:uid="{E307A575-2C39-4983-8343-A10364A8D756}"/>
    <cellStyle name="Normal 4 6 6 3 3 3" xfId="21015" xr:uid="{721F28FC-5D91-4332-ACF4-87D418C0332F}"/>
    <cellStyle name="Normal 4 6 6 3 3 4" xfId="32055" xr:uid="{5B7B570A-5CD9-40A8-A88E-9E7A6315D03B}"/>
    <cellStyle name="Normal 4 6 6 3 3 5" xfId="40203" xr:uid="{FD8457DA-0D7A-4F0A-9E08-F2AD76C597E5}"/>
    <cellStyle name="Normal 4 6 6 3 4" xfId="23842" xr:uid="{A0A5682E-BBCA-48C8-9DE9-A76A9DAF4556}"/>
    <cellStyle name="Normal 4 6 6 3 5" xfId="18182" xr:uid="{7F6F0965-7466-4B18-A129-218A2EA7DF48}"/>
    <cellStyle name="Normal 4 6 6 3 6" xfId="29503" xr:uid="{C686DDF2-B92B-409F-B6C3-001923AEE050}"/>
    <cellStyle name="Normal 4 6 6 3 7" xfId="40200" xr:uid="{9CD108BE-4696-4387-980F-11E2998437F8}"/>
    <cellStyle name="Normal 4 6 6 4" xfId="6673" xr:uid="{00000000-0005-0000-0000-0000021E0000}"/>
    <cellStyle name="Normal 4 6 6 4 2" xfId="15106" xr:uid="{00000000-0005-0000-0000-0000031E0000}"/>
    <cellStyle name="Normal 4 6 6 4 2 2" xfId="27000" xr:uid="{8633C5CE-46A5-4315-9C3E-3A28807C4AD2}"/>
    <cellStyle name="Normal 4 6 6 4 2 3" xfId="21340" xr:uid="{4E4C34A8-90FB-44BD-873E-7B3670581D33}"/>
    <cellStyle name="Normal 4 6 6 4 2 4" xfId="32380" xr:uid="{E90C71B3-F9C5-4572-A093-B5829D50EAE6}"/>
    <cellStyle name="Normal 4 6 6 4 2 5" xfId="40205" xr:uid="{6119D363-6D7D-4FB9-ABC8-5588F3626331}"/>
    <cellStyle name="Normal 4 6 6 4 3" xfId="24167" xr:uid="{025DD9A5-255A-403F-B1FA-91095A8CC962}"/>
    <cellStyle name="Normal 4 6 6 4 4" xfId="18507" xr:uid="{2C40CBAE-DA6B-4F79-9161-A208E944CB18}"/>
    <cellStyle name="Normal 4 6 6 4 5" xfId="29828" xr:uid="{A21E781A-6FA2-412A-A568-CF6F895055F6}"/>
    <cellStyle name="Normal 4 6 6 4 6" xfId="40204" xr:uid="{2674BF08-F7B3-4A66-A0F2-4B609BBA19D5}"/>
    <cellStyle name="Normal 4 6 6 5" xfId="8048" xr:uid="{00000000-0005-0000-0000-0000041E0000}"/>
    <cellStyle name="Normal 4 6 6 5 2" xfId="25527" xr:uid="{4FB5DFE4-E9AE-4ADB-8A66-AE853F99557A}"/>
    <cellStyle name="Normal 4 6 6 5 3" xfId="19867" xr:uid="{8C4CAA85-9BD8-4D62-A72B-E5591FF878F9}"/>
    <cellStyle name="Normal 4 6 6 5 4" xfId="31188" xr:uid="{694905F0-669B-436C-AAEA-74D478DA8749}"/>
    <cellStyle name="Normal 4 6 6 5 5" xfId="40206" xr:uid="{0B37FC52-1879-4CD6-84AD-79998ABE9182}"/>
    <cellStyle name="Normal 4 6 6 6" xfId="22605" xr:uid="{59FCFA16-0DA8-4B7C-B24F-762BF24E48DF}"/>
    <cellStyle name="Normal 4 6 6 7" xfId="16945" xr:uid="{0720EAA4-746D-4D74-B11E-A1A419F2785D}"/>
    <cellStyle name="Normal 4 6 6 8" xfId="28266" xr:uid="{4DDAECEE-7D84-4B19-ADF8-A91B66FC6D52}"/>
    <cellStyle name="Normal 4 6 6 9" xfId="40195" xr:uid="{BC16C62E-A31C-4905-B9EB-56A4A21CAB8B}"/>
    <cellStyle name="Normal 4 6 7" xfId="5019" xr:uid="{00000000-0005-0000-0000-0000051E0000}"/>
    <cellStyle name="Normal 4 6 7 2" xfId="5799" xr:uid="{00000000-0005-0000-0000-0000061E0000}"/>
    <cellStyle name="Normal 4 6 7 2 2" xfId="7302" xr:uid="{00000000-0005-0000-0000-0000071E0000}"/>
    <cellStyle name="Normal 4 6 7 2 2 2" xfId="15735" xr:uid="{00000000-0005-0000-0000-0000081E0000}"/>
    <cellStyle name="Normal 4 6 7 2 2 2 2" xfId="27629" xr:uid="{304C4460-3C0F-4AAE-8FC8-49CB76E24E09}"/>
    <cellStyle name="Normal 4 6 7 2 2 2 3" xfId="21969" xr:uid="{9E182EA5-3F9B-408A-B694-A0CF43BE1A25}"/>
    <cellStyle name="Normal 4 6 7 2 2 2 4" xfId="33009" xr:uid="{0C5C306D-DC8E-46C0-8DF1-9D921A197513}"/>
    <cellStyle name="Normal 4 6 7 2 2 2 5" xfId="40210" xr:uid="{22F6A058-DD52-458B-BE92-7B3C33E050A1}"/>
    <cellStyle name="Normal 4 6 7 2 2 3" xfId="24796" xr:uid="{EABC4398-EB3A-4237-91B1-C24F48FA4F1A}"/>
    <cellStyle name="Normal 4 6 7 2 2 4" xfId="19136" xr:uid="{6B4A2970-C463-4449-BF6E-8F633BDBD5EE}"/>
    <cellStyle name="Normal 4 6 7 2 2 5" xfId="30457" xr:uid="{5A69E02E-94D0-443B-9D4C-66040C3F26DF}"/>
    <cellStyle name="Normal 4 6 7 2 2 6" xfId="40209" xr:uid="{86FB05B4-7CCC-4F76-882D-A0582FA1D4A1}"/>
    <cellStyle name="Normal 4 6 7 2 3" xfId="14379" xr:uid="{00000000-0005-0000-0000-0000091E0000}"/>
    <cellStyle name="Normal 4 6 7 2 3 2" xfId="26371" xr:uid="{817BB9C0-2980-44B7-9138-B129089FBBE9}"/>
    <cellStyle name="Normal 4 6 7 2 3 3" xfId="20711" xr:uid="{364D2284-EDB1-44FE-B61B-6C9A76A4D352}"/>
    <cellStyle name="Normal 4 6 7 2 3 4" xfId="31751" xr:uid="{B960A382-3FB3-45F5-BE13-FBD3D089B2E7}"/>
    <cellStyle name="Normal 4 6 7 2 3 5" xfId="40211" xr:uid="{07FC73B8-D68C-4D15-9B1C-378B4F77BCCB}"/>
    <cellStyle name="Normal 4 6 7 2 4" xfId="23455" xr:uid="{914F2025-6D42-4425-8096-15FB6557C4E1}"/>
    <cellStyle name="Normal 4 6 7 2 5" xfId="17795" xr:uid="{C93A07A2-09E5-4A01-8B1D-9A9EFE72297B}"/>
    <cellStyle name="Normal 4 6 7 2 6" xfId="29116" xr:uid="{DA574DED-8CA7-4D71-9AF6-FB3B72A7FE80}"/>
    <cellStyle name="Normal 4 6 7 2 7" xfId="40208" xr:uid="{C8EA55FA-A34D-49B0-85A4-865B491C4714}"/>
    <cellStyle name="Normal 4 6 7 3" xfId="6882" xr:uid="{00000000-0005-0000-0000-00000A1E0000}"/>
    <cellStyle name="Normal 4 6 7 3 2" xfId="15315" xr:uid="{00000000-0005-0000-0000-00000B1E0000}"/>
    <cellStyle name="Normal 4 6 7 3 2 2" xfId="27209" xr:uid="{04AA8062-07FB-4E11-839B-D29679EE2CF6}"/>
    <cellStyle name="Normal 4 6 7 3 2 3" xfId="21549" xr:uid="{DA968746-42F7-4AB9-9DC8-B96526CE0228}"/>
    <cellStyle name="Normal 4 6 7 3 2 4" xfId="32589" xr:uid="{2DF8D03A-03B8-414B-935B-EE0E1CC1F7AD}"/>
    <cellStyle name="Normal 4 6 7 3 2 5" xfId="40213" xr:uid="{E0043D98-619E-4DB2-800E-B6053B189129}"/>
    <cellStyle name="Normal 4 6 7 3 3" xfId="24376" xr:uid="{7FD723BA-5034-431E-A5FA-C56903866DCD}"/>
    <cellStyle name="Normal 4 6 7 3 4" xfId="18716" xr:uid="{485F5775-40BD-4F9A-91DA-6A5CB0E978B2}"/>
    <cellStyle name="Normal 4 6 7 3 5" xfId="30037" xr:uid="{FB25A2F7-0E6D-428A-83D3-4606A2DC0BF1}"/>
    <cellStyle name="Normal 4 6 7 3 6" xfId="40212" xr:uid="{C4DA8BA4-6E61-4DD2-BFF6-B0C9D39D88DD}"/>
    <cellStyle name="Normal 4 6 7 4" xfId="8049" xr:uid="{00000000-0005-0000-0000-00000C1E0000}"/>
    <cellStyle name="Normal 4 6 7 4 2" xfId="25528" xr:uid="{671CC5F5-C007-46D9-A31B-8A0F744496CC}"/>
    <cellStyle name="Normal 4 6 7 4 3" xfId="19868" xr:uid="{2FEC0078-210D-4DEE-830C-36B38EB5021E}"/>
    <cellStyle name="Normal 4 6 7 4 4" xfId="31189" xr:uid="{9CD5341F-0AC7-4B36-B9AE-02B527E47D49}"/>
    <cellStyle name="Normal 4 6 7 4 5" xfId="40214" xr:uid="{31DBD74F-D005-468D-9FF4-2C67AA1A2C5A}"/>
    <cellStyle name="Normal 4 6 7 5" xfId="22814" xr:uid="{8297C011-6AC2-439C-BC01-9C4AEB7164FB}"/>
    <cellStyle name="Normal 4 6 7 6" xfId="17154" xr:uid="{C5DD0853-E5B0-47EF-BD48-3F0E2E907087}"/>
    <cellStyle name="Normal 4 6 7 7" xfId="28475" xr:uid="{833ED052-165F-422C-8C3D-5CA22482B3A2}"/>
    <cellStyle name="Normal 4 6 7 8" xfId="40207" xr:uid="{1A76686E-0FED-4009-9BC0-B12F352C2DD0}"/>
    <cellStyle name="Normal 4 6 8" xfId="6464" xr:uid="{00000000-0005-0000-0000-00000D1E0000}"/>
    <cellStyle name="Normal 4 6 8 2" xfId="14897" xr:uid="{00000000-0005-0000-0000-00000E1E0000}"/>
    <cellStyle name="Normal 4 6 8 2 2" xfId="26791" xr:uid="{40312EEA-1E1C-47FC-BEBE-B1FC21E17BB0}"/>
    <cellStyle name="Normal 4 6 8 2 3" xfId="21131" xr:uid="{411AC6FB-A5DF-44E4-97D4-A541D971B48C}"/>
    <cellStyle name="Normal 4 6 8 2 4" xfId="32171" xr:uid="{82E940AF-383E-4D17-82EC-5E87F096DB0A}"/>
    <cellStyle name="Normal 4 6 8 2 5" xfId="40216" xr:uid="{F3912CFD-592F-4F35-BEB3-5B5A28254511}"/>
    <cellStyle name="Normal 4 6 8 3" xfId="23958" xr:uid="{9639A964-D71A-489F-877C-4023D3DDC101}"/>
    <cellStyle name="Normal 4 6 8 4" xfId="18298" xr:uid="{379BA56C-1A00-41DC-A464-AC0ADEA76123}"/>
    <cellStyle name="Normal 4 6 8 5" xfId="29619" xr:uid="{284764CF-47DA-4DAD-85DC-FB0C2D9AFB9D}"/>
    <cellStyle name="Normal 4 6 8 6" xfId="40215" xr:uid="{8286E3BE-2D55-43B2-BDD7-2727089976CB}"/>
    <cellStyle name="Normal 4 6 9" xfId="22396" xr:uid="{AE3F89F6-2D7B-4F73-B247-7C74453A9E47}"/>
    <cellStyle name="Normal 4 6 9 2" xfId="40217" xr:uid="{8BC90C25-593C-46C8-B718-2628982BEF65}"/>
    <cellStyle name="Normal 4 7" xfId="320" xr:uid="{00000000-0005-0000-0000-00000F1E0000}"/>
    <cellStyle name="Normal 4 7 10" xfId="40218" xr:uid="{A35FA4F0-1D1B-4F24-A201-F49EDF770FD1}"/>
    <cellStyle name="Normal 4 7 2" xfId="2231" xr:uid="{00000000-0005-0000-0000-0000101E0000}"/>
    <cellStyle name="Normal 4 7 2 10" xfId="40219" xr:uid="{907211D6-1111-471B-8CD4-464E8597EF31}"/>
    <cellStyle name="Normal 4 7 2 11" xfId="49822" xr:uid="{39EA9BD8-3AB4-4540-B753-DA0F771609C6}"/>
    <cellStyle name="Normal 4 7 2 2" xfId="4867" xr:uid="{00000000-0005-0000-0000-0000111E0000}"/>
    <cellStyle name="Normal 4 7 2 2 2" xfId="5286" xr:uid="{00000000-0005-0000-0000-0000121E0000}"/>
    <cellStyle name="Normal 4 7 2 2 2 2" xfId="7149" xr:uid="{00000000-0005-0000-0000-0000131E0000}"/>
    <cellStyle name="Normal 4 7 2 2 2 2 2" xfId="15582" xr:uid="{00000000-0005-0000-0000-0000141E0000}"/>
    <cellStyle name="Normal 4 7 2 2 2 2 2 2" xfId="27476" xr:uid="{A954D0AD-05D7-4CEF-B9F3-C959C911CCBE}"/>
    <cellStyle name="Normal 4 7 2 2 2 2 2 3" xfId="21816" xr:uid="{617233D8-B49C-4DA8-85F5-BFE24368436D}"/>
    <cellStyle name="Normal 4 7 2 2 2 2 2 4" xfId="32856" xr:uid="{DE5AF79F-8800-4741-8904-5AABD1C7999A}"/>
    <cellStyle name="Normal 4 7 2 2 2 2 2 5" xfId="40223" xr:uid="{E13C615E-49F3-48CB-A83A-41043B3424FA}"/>
    <cellStyle name="Normal 4 7 2 2 2 2 3" xfId="24643" xr:uid="{C939C2EA-C047-4179-BA20-2BB342984441}"/>
    <cellStyle name="Normal 4 7 2 2 2 2 4" xfId="18983" xr:uid="{DDC0E870-0221-42F6-89CE-5039C80F0D7E}"/>
    <cellStyle name="Normal 4 7 2 2 2 2 5" xfId="30304" xr:uid="{F681FC6F-04F6-4D03-82F0-96CD9C79BB37}"/>
    <cellStyle name="Normal 4 7 2 2 2 2 6" xfId="40222" xr:uid="{43CBDFE3-E409-4E85-A62C-8A2903766B12}"/>
    <cellStyle name="Normal 4 7 2 2 2 3" xfId="14172" xr:uid="{00000000-0005-0000-0000-0000151E0000}"/>
    <cellStyle name="Normal 4 7 2 2 2 3 2" xfId="26211" xr:uid="{B36A0F07-1799-4CFC-B0EC-1BBADD239E05}"/>
    <cellStyle name="Normal 4 7 2 2 2 3 3" xfId="20551" xr:uid="{2FCCC70E-2359-49A1-BEE6-30605C9ABC2E}"/>
    <cellStyle name="Normal 4 7 2 2 2 3 4" xfId="31591" xr:uid="{3F580ACB-F258-4FD3-9C45-F2028312A188}"/>
    <cellStyle name="Normal 4 7 2 2 2 3 5" xfId="40224" xr:uid="{9147D385-E88A-4356-A542-8A7734352567}"/>
    <cellStyle name="Normal 4 7 2 2 2 4" xfId="23081" xr:uid="{50A2DE02-0FF7-4919-A9EA-7B42B1E1A34B}"/>
    <cellStyle name="Normal 4 7 2 2 2 5" xfId="17421" xr:uid="{33571240-B565-4389-8E59-38B92A89B8AD}"/>
    <cellStyle name="Normal 4 7 2 2 2 6" xfId="28742" xr:uid="{0501AE1B-9607-40CB-A6E9-6D1EECC98A4D}"/>
    <cellStyle name="Normal 4 7 2 2 2 7" xfId="40221" xr:uid="{17B83601-3CB2-4A6F-AA9B-B4D126C0052F}"/>
    <cellStyle name="Normal 4 7 2 2 3" xfId="6280" xr:uid="{00000000-0005-0000-0000-0000161E0000}"/>
    <cellStyle name="Normal 4 7 2 2 3 2" xfId="7607" xr:uid="{00000000-0005-0000-0000-0000171E0000}"/>
    <cellStyle name="Normal 4 7 2 2 3 2 2" xfId="16040" xr:uid="{00000000-0005-0000-0000-0000181E0000}"/>
    <cellStyle name="Normal 4 7 2 2 3 2 2 2" xfId="27934" xr:uid="{3E16E95D-1CAA-492B-8D62-5FF707820BC5}"/>
    <cellStyle name="Normal 4 7 2 2 3 2 2 3" xfId="22274" xr:uid="{9F088D4B-D6F8-49D4-BA19-FF276D17A554}"/>
    <cellStyle name="Normal 4 7 2 2 3 2 2 4" xfId="33314" xr:uid="{ED4CECCC-E737-4EAF-8931-0C15F5CA5E0E}"/>
    <cellStyle name="Normal 4 7 2 2 3 2 2 5" xfId="40227" xr:uid="{2754F086-E9F8-4523-8748-77F47C30B7E9}"/>
    <cellStyle name="Normal 4 7 2 2 3 2 3" xfId="25101" xr:uid="{C912E315-4B86-470F-894E-2F7D6B6BC619}"/>
    <cellStyle name="Normal 4 7 2 2 3 2 4" xfId="19441" xr:uid="{98BB56D3-B306-4094-B615-0FE8837CE0F7}"/>
    <cellStyle name="Normal 4 7 2 2 3 2 5" xfId="30762" xr:uid="{BFB32B74-85E9-442C-9BB6-B0ECE071D1A8}"/>
    <cellStyle name="Normal 4 7 2 2 3 2 6" xfId="40226" xr:uid="{9276B0F2-56A0-4DD9-9764-DEE9A76FE3EB}"/>
    <cellStyle name="Normal 4 7 2 2 3 3" xfId="14722" xr:uid="{00000000-0005-0000-0000-0000191E0000}"/>
    <cellStyle name="Normal 4 7 2 2 3 3 2" xfId="26678" xr:uid="{8FB1F8E2-7EB3-42B9-9585-4A613B4F67A0}"/>
    <cellStyle name="Normal 4 7 2 2 3 3 3" xfId="21018" xr:uid="{56AED2B5-D7C0-44BC-B283-F9181DD3CF11}"/>
    <cellStyle name="Normal 4 7 2 2 3 3 4" xfId="32058" xr:uid="{A5E6F9BC-4194-4A43-AA7E-296F0D2BC3D4}"/>
    <cellStyle name="Normal 4 7 2 2 3 3 5" xfId="40228" xr:uid="{44CFBD76-2A88-43EB-A7EB-A38A1A36CE6A}"/>
    <cellStyle name="Normal 4 7 2 2 3 4" xfId="23845" xr:uid="{BC10B1E3-6A43-4E25-A036-4F11B3F2D0DD}"/>
    <cellStyle name="Normal 4 7 2 2 3 5" xfId="18185" xr:uid="{C0A0BB67-4E8E-4973-BC18-71F0F5DA061C}"/>
    <cellStyle name="Normal 4 7 2 2 3 6" xfId="29506" xr:uid="{B4E8E232-5474-4813-BC6C-1963105C43E1}"/>
    <cellStyle name="Normal 4 7 2 2 3 7" xfId="40225" xr:uid="{90ABEF56-DFF0-4315-B72C-2987140ECF83}"/>
    <cellStyle name="Normal 4 7 2 2 4" xfId="6731" xr:uid="{00000000-0005-0000-0000-00001A1E0000}"/>
    <cellStyle name="Normal 4 7 2 2 4 2" xfId="15164" xr:uid="{00000000-0005-0000-0000-00001B1E0000}"/>
    <cellStyle name="Normal 4 7 2 2 4 2 2" xfId="27058" xr:uid="{84CEA9AD-59A4-44B2-B444-F066201ECB25}"/>
    <cellStyle name="Normal 4 7 2 2 4 2 3" xfId="21398" xr:uid="{17497C71-85E4-4B9E-A0C5-660A876BFE27}"/>
    <cellStyle name="Normal 4 7 2 2 4 2 4" xfId="32438" xr:uid="{2B9B4422-46B0-4993-B86E-C485DB3AEF54}"/>
    <cellStyle name="Normal 4 7 2 2 4 2 5" xfId="40230" xr:uid="{6400C040-825F-49D1-A07C-14471CBE27F8}"/>
    <cellStyle name="Normal 4 7 2 2 4 3" xfId="24225" xr:uid="{DC543564-E0B8-4004-8CF0-7FE5E0610BF8}"/>
    <cellStyle name="Normal 4 7 2 2 4 4" xfId="18565" xr:uid="{557E8F11-5686-4975-9DE9-E050C609A5B6}"/>
    <cellStyle name="Normal 4 7 2 2 4 5" xfId="29886" xr:uid="{2D6D8FBA-BA2D-4D7A-9022-117896D91D82}"/>
    <cellStyle name="Normal 4 7 2 2 4 6" xfId="40229" xr:uid="{3DA7FE9B-80D8-4BBC-8753-9BC25DA0AB19}"/>
    <cellStyle name="Normal 4 7 2 2 5" xfId="8051" xr:uid="{00000000-0005-0000-0000-00001C1E0000}"/>
    <cellStyle name="Normal 4 7 2 2 5 2" xfId="25530" xr:uid="{23B2A9E1-086D-428E-80B6-DC3CAAA7FD3B}"/>
    <cellStyle name="Normal 4 7 2 2 5 3" xfId="19870" xr:uid="{25684672-3AAF-4F0A-8E6C-50C56053B8B5}"/>
    <cellStyle name="Normal 4 7 2 2 5 4" xfId="31191" xr:uid="{8B7B2D67-3983-47D0-B940-65692B1B97E6}"/>
    <cellStyle name="Normal 4 7 2 2 5 5" xfId="40231" xr:uid="{02DA4725-6BC2-421F-9302-3EE17DEB9C5D}"/>
    <cellStyle name="Normal 4 7 2 2 6" xfId="22663" xr:uid="{681091A9-99A0-4928-8B9A-B91C35286635}"/>
    <cellStyle name="Normal 4 7 2 2 7" xfId="17003" xr:uid="{896BBD2A-48CA-4314-99C9-6FB2FC016199}"/>
    <cellStyle name="Normal 4 7 2 2 8" xfId="28324" xr:uid="{2F07AD1F-0D73-4FDE-AAE9-378C2B9A8CC0}"/>
    <cellStyle name="Normal 4 7 2 2 9" xfId="40220" xr:uid="{1A700B9E-5B76-4369-94E0-179C0309A2ED}"/>
    <cellStyle name="Normal 4 7 2 3" xfId="5077" xr:uid="{00000000-0005-0000-0000-00001D1E0000}"/>
    <cellStyle name="Normal 4 7 2 3 2" xfId="6940" xr:uid="{00000000-0005-0000-0000-00001E1E0000}"/>
    <cellStyle name="Normal 4 7 2 3 2 2" xfId="15373" xr:uid="{00000000-0005-0000-0000-00001F1E0000}"/>
    <cellStyle name="Normal 4 7 2 3 2 2 2" xfId="27267" xr:uid="{F92BC6BA-110B-4F8D-BC22-AFE3EFF769A5}"/>
    <cellStyle name="Normal 4 7 2 3 2 2 3" xfId="21607" xr:uid="{BDA297EF-E8B6-4AA2-A944-A69F190384D6}"/>
    <cellStyle name="Normal 4 7 2 3 2 2 4" xfId="32647" xr:uid="{132DCCFB-B1C8-4948-8A5B-084D514E65BF}"/>
    <cellStyle name="Normal 4 7 2 3 2 2 5" xfId="40234" xr:uid="{1C537728-5F48-4652-98ED-176DB322508E}"/>
    <cellStyle name="Normal 4 7 2 3 2 3" xfId="24434" xr:uid="{135F4A25-F5BE-429F-8DB3-0ADADB03699D}"/>
    <cellStyle name="Normal 4 7 2 3 2 4" xfId="18774" xr:uid="{12F9FEB8-C3BC-4EA6-AF4C-AA443F1290A8}"/>
    <cellStyle name="Normal 4 7 2 3 2 5" xfId="30095" xr:uid="{54A8AAE1-1753-42CA-A24F-57A806FBE3CD}"/>
    <cellStyle name="Normal 4 7 2 3 2 6" xfId="40233" xr:uid="{9843DF77-A03E-4E34-9AE4-A754C57B8AC6}"/>
    <cellStyle name="Normal 4 7 2 3 3" xfId="13968" xr:uid="{00000000-0005-0000-0000-0000201E0000}"/>
    <cellStyle name="Normal 4 7 2 3 3 2" xfId="26009" xr:uid="{FCCB47E3-2687-4E0C-9FBC-10201123CC2D}"/>
    <cellStyle name="Normal 4 7 2 3 3 3" xfId="20349" xr:uid="{1DFE43E5-7DB9-44F3-91BD-7F2687AF9467}"/>
    <cellStyle name="Normal 4 7 2 3 3 4" xfId="31389" xr:uid="{9FB50857-4C02-480F-8FBD-E30FF3BC5725}"/>
    <cellStyle name="Normal 4 7 2 3 3 5" xfId="40235" xr:uid="{263F0F72-CF54-4F8B-80EA-66FD5B1F941F}"/>
    <cellStyle name="Normal 4 7 2 3 4" xfId="22872" xr:uid="{D6703A7A-7162-4172-AB0F-ABA6C53265A8}"/>
    <cellStyle name="Normal 4 7 2 3 5" xfId="17212" xr:uid="{492832C3-BFE7-4B31-B5C1-B2E6C20BC4C5}"/>
    <cellStyle name="Normal 4 7 2 3 6" xfId="28533" xr:uid="{0D25FB9E-95D8-42DB-AA29-F19E211F2F1F}"/>
    <cellStyle name="Normal 4 7 2 3 7" xfId="40232" xr:uid="{0457D7ED-631D-4C97-83B3-E1D9BC100EE2}"/>
    <cellStyle name="Normal 4 7 2 4" xfId="6279" xr:uid="{00000000-0005-0000-0000-0000211E0000}"/>
    <cellStyle name="Normal 4 7 2 4 2" xfId="7606" xr:uid="{00000000-0005-0000-0000-0000221E0000}"/>
    <cellStyle name="Normal 4 7 2 4 2 2" xfId="16039" xr:uid="{00000000-0005-0000-0000-0000231E0000}"/>
    <cellStyle name="Normal 4 7 2 4 2 2 2" xfId="27933" xr:uid="{71C3DD40-FD57-4F1E-A7B9-048E35CD5FB5}"/>
    <cellStyle name="Normal 4 7 2 4 2 2 3" xfId="22273" xr:uid="{942177BF-8B32-4B1F-BE15-36AC33F7E909}"/>
    <cellStyle name="Normal 4 7 2 4 2 2 4" xfId="33313" xr:uid="{CC7E426F-CF2D-4CE3-A58D-9C8522A31423}"/>
    <cellStyle name="Normal 4 7 2 4 2 2 5" xfId="40238" xr:uid="{025C6215-EC07-4E7A-989E-E3CD84ED7E7F}"/>
    <cellStyle name="Normal 4 7 2 4 2 3" xfId="25100" xr:uid="{EFE1C966-205F-4476-ABA1-145A11719F0E}"/>
    <cellStyle name="Normal 4 7 2 4 2 4" xfId="19440" xr:uid="{F57AE765-ABC0-4C38-9A90-E6F8EA403838}"/>
    <cellStyle name="Normal 4 7 2 4 2 5" xfId="30761" xr:uid="{857CB718-FD12-494F-9988-EF55ED7C9207}"/>
    <cellStyle name="Normal 4 7 2 4 2 6" xfId="40237" xr:uid="{699DB5CC-1095-4221-B9B3-4F6F501D9B47}"/>
    <cellStyle name="Normal 4 7 2 4 3" xfId="14721" xr:uid="{00000000-0005-0000-0000-0000241E0000}"/>
    <cellStyle name="Normal 4 7 2 4 3 2" xfId="26677" xr:uid="{59557616-1CBE-43D8-9023-4CD95DF8C306}"/>
    <cellStyle name="Normal 4 7 2 4 3 3" xfId="21017" xr:uid="{5F270F99-68CB-4DDB-88FB-B414B23A9592}"/>
    <cellStyle name="Normal 4 7 2 4 3 4" xfId="32057" xr:uid="{4E0CB9DE-295C-498F-8F47-6CE0ED98D6EF}"/>
    <cellStyle name="Normal 4 7 2 4 3 5" xfId="40239" xr:uid="{44199243-9A23-424A-8146-C96E64CCA3ED}"/>
    <cellStyle name="Normal 4 7 2 4 4" xfId="23844" xr:uid="{7353763C-BA4E-4A53-B33B-4C2F455D0737}"/>
    <cellStyle name="Normal 4 7 2 4 5" xfId="18184" xr:uid="{AA2B8AF2-6863-42B6-B1C8-8CD3D9500C48}"/>
    <cellStyle name="Normal 4 7 2 4 6" xfId="29505" xr:uid="{3EFA2BA5-EAEE-42A4-8953-1CEE03B1FD1F}"/>
    <cellStyle name="Normal 4 7 2 4 7" xfId="40236" xr:uid="{4B3B8376-A44E-4813-B6D5-F1AC9D098AC7}"/>
    <cellStyle name="Normal 4 7 2 5" xfId="6522" xr:uid="{00000000-0005-0000-0000-0000251E0000}"/>
    <cellStyle name="Normal 4 7 2 5 2" xfId="14955" xr:uid="{00000000-0005-0000-0000-0000261E0000}"/>
    <cellStyle name="Normal 4 7 2 5 2 2" xfId="26849" xr:uid="{C34638F3-7172-43A3-A56F-9CA14B7F03D7}"/>
    <cellStyle name="Normal 4 7 2 5 2 3" xfId="21189" xr:uid="{EB5BF464-7002-4733-998F-81302F6A5D1A}"/>
    <cellStyle name="Normal 4 7 2 5 2 4" xfId="32229" xr:uid="{448CD29C-0026-4A5D-8111-BF33B89D6F80}"/>
    <cellStyle name="Normal 4 7 2 5 2 5" xfId="40241" xr:uid="{AFA4D266-130E-477F-A4A8-C0F895650482}"/>
    <cellStyle name="Normal 4 7 2 5 3" xfId="24016" xr:uid="{D83F3C82-7F69-4B26-9092-71F813A99787}"/>
    <cellStyle name="Normal 4 7 2 5 4" xfId="18356" xr:uid="{D34C0055-5F74-40AF-BCFC-A66171F5CC22}"/>
    <cellStyle name="Normal 4 7 2 5 5" xfId="29677" xr:uid="{DBD1279A-B93C-4B63-8132-1BE090C78497}"/>
    <cellStyle name="Normal 4 7 2 5 6" xfId="40240" xr:uid="{404761A4-E9A8-451D-BA96-68D256A573F9}"/>
    <cellStyle name="Normal 4 7 2 6" xfId="8050" xr:uid="{00000000-0005-0000-0000-0000271E0000}"/>
    <cellStyle name="Normal 4 7 2 6 2" xfId="25529" xr:uid="{947F74A1-E002-4E90-A854-8C56CE126FA6}"/>
    <cellStyle name="Normal 4 7 2 6 3" xfId="19869" xr:uid="{38A71BDE-54EC-42FE-9522-336066CCF204}"/>
    <cellStyle name="Normal 4 7 2 6 4" xfId="31190" xr:uid="{15469D17-861E-44B5-9C6C-36DDC5EF1141}"/>
    <cellStyle name="Normal 4 7 2 6 5" xfId="40242" xr:uid="{55E60109-3144-4C44-BB96-C4F54235F047}"/>
    <cellStyle name="Normal 4 7 2 7" xfId="22454" xr:uid="{92DD2E57-5DFA-4E5F-A9ED-63AE544E54A8}"/>
    <cellStyle name="Normal 4 7 2 7 2" xfId="40243" xr:uid="{95A9EE9B-A1C5-448B-99F8-9F4088E7E606}"/>
    <cellStyle name="Normal 4 7 2 8" xfId="16794" xr:uid="{7D86A8DA-7651-4067-ACE3-2BEA5DD9D145}"/>
    <cellStyle name="Normal 4 7 2 9" xfId="28115" xr:uid="{413337F8-09D9-4FDB-88BF-62CBF698E28C}"/>
    <cellStyle name="Normal 4 7 3" xfId="4287" xr:uid="{00000000-0005-0000-0000-0000281E0000}"/>
    <cellStyle name="Normal 4 7 3 2" xfId="40244" xr:uid="{EE60F29D-0C14-4BE6-8E9C-8152812BC9B0}"/>
    <cellStyle name="Normal 4 7 4" xfId="4832" xr:uid="{00000000-0005-0000-0000-0000291E0000}"/>
    <cellStyle name="Normal 4 7 4 2" xfId="5253" xr:uid="{00000000-0005-0000-0000-00002A1E0000}"/>
    <cellStyle name="Normal 4 7 4 2 2" xfId="7116" xr:uid="{00000000-0005-0000-0000-00002B1E0000}"/>
    <cellStyle name="Normal 4 7 4 2 2 2" xfId="15549" xr:uid="{00000000-0005-0000-0000-00002C1E0000}"/>
    <cellStyle name="Normal 4 7 4 2 2 2 2" xfId="27443" xr:uid="{C9A988B8-EF40-4697-A158-0E9F5C1BC137}"/>
    <cellStyle name="Normal 4 7 4 2 2 2 3" xfId="21783" xr:uid="{E0B42FE9-A342-4BB5-A231-FE06CAC6AAFC}"/>
    <cellStyle name="Normal 4 7 4 2 2 2 4" xfId="32823" xr:uid="{944589B9-7E29-448D-AF05-D3A0DAFA8D11}"/>
    <cellStyle name="Normal 4 7 4 2 2 2 5" xfId="40248" xr:uid="{135A9F01-F423-47C0-ABA0-8B99EDACBA7A}"/>
    <cellStyle name="Normal 4 7 4 2 2 3" xfId="24610" xr:uid="{015CDDB7-F93E-4461-9169-552B018A9293}"/>
    <cellStyle name="Normal 4 7 4 2 2 4" xfId="18950" xr:uid="{EE391D78-35B7-447A-AD2E-20F5512142CF}"/>
    <cellStyle name="Normal 4 7 4 2 2 5" xfId="30271" xr:uid="{368DC3C2-6593-4ADF-B713-8860CA340EE5}"/>
    <cellStyle name="Normal 4 7 4 2 2 6" xfId="40247" xr:uid="{182D17CB-0120-4D22-BBAA-470BEC660F2C}"/>
    <cellStyle name="Normal 4 7 4 2 3" xfId="14139" xr:uid="{00000000-0005-0000-0000-00002D1E0000}"/>
    <cellStyle name="Normal 4 7 4 2 3 2" xfId="26178" xr:uid="{62AD6336-FFB6-47AB-AF1C-BCFF710F5D57}"/>
    <cellStyle name="Normal 4 7 4 2 3 3" xfId="20518" xr:uid="{31B3B047-0A4D-4AB8-9547-2DF09227E866}"/>
    <cellStyle name="Normal 4 7 4 2 3 4" xfId="31558" xr:uid="{B5D39BB3-1F48-4103-B674-073D36C4B4FE}"/>
    <cellStyle name="Normal 4 7 4 2 3 5" xfId="40249" xr:uid="{37DF59CB-8011-4DF6-B2C9-0A38F9902C8C}"/>
    <cellStyle name="Normal 4 7 4 2 4" xfId="23048" xr:uid="{6EA636F9-B421-4E5F-9935-1F86D9FD8DA1}"/>
    <cellStyle name="Normal 4 7 4 2 5" xfId="17388" xr:uid="{7B2B48A2-DF20-46AD-8730-8216A097D26A}"/>
    <cellStyle name="Normal 4 7 4 2 6" xfId="28709" xr:uid="{260AF34D-090E-4000-8854-B1D849C163DE}"/>
    <cellStyle name="Normal 4 7 4 2 7" xfId="40246" xr:uid="{A8CF85E1-E499-4FBC-8267-14DCCC6DDEE5}"/>
    <cellStyle name="Normal 4 7 4 3" xfId="6281" xr:uid="{00000000-0005-0000-0000-00002E1E0000}"/>
    <cellStyle name="Normal 4 7 4 3 2" xfId="7608" xr:uid="{00000000-0005-0000-0000-00002F1E0000}"/>
    <cellStyle name="Normal 4 7 4 3 2 2" xfId="16041" xr:uid="{00000000-0005-0000-0000-0000301E0000}"/>
    <cellStyle name="Normal 4 7 4 3 2 2 2" xfId="27935" xr:uid="{D084DEDC-AC60-4829-B882-FCB41DAC1B1D}"/>
    <cellStyle name="Normal 4 7 4 3 2 2 3" xfId="22275" xr:uid="{D37BF5FD-DF27-4291-97F5-B47AA97AAA81}"/>
    <cellStyle name="Normal 4 7 4 3 2 2 4" xfId="33315" xr:uid="{1D114712-4786-4E60-8638-DA132F073EFA}"/>
    <cellStyle name="Normal 4 7 4 3 2 2 5" xfId="40252" xr:uid="{9FF8F2A4-CF85-414E-AD0D-E9861E3D0FC0}"/>
    <cellStyle name="Normal 4 7 4 3 2 3" xfId="25102" xr:uid="{CC57552C-F3CC-434F-ACED-BF1BAC5D483D}"/>
    <cellStyle name="Normal 4 7 4 3 2 4" xfId="19442" xr:uid="{4A8F71D1-63E2-4E6C-AC32-068B166DA747}"/>
    <cellStyle name="Normal 4 7 4 3 2 5" xfId="30763" xr:uid="{2D70058C-9E55-4770-A73C-AEDDD04EF2D5}"/>
    <cellStyle name="Normal 4 7 4 3 2 6" xfId="40251" xr:uid="{37013C2A-DAF0-4EED-A189-8444F8FA3F78}"/>
    <cellStyle name="Normal 4 7 4 3 3" xfId="14723" xr:uid="{00000000-0005-0000-0000-0000311E0000}"/>
    <cellStyle name="Normal 4 7 4 3 3 2" xfId="26679" xr:uid="{C7B5077D-B06C-40C6-9FC9-C8EB395A4DB5}"/>
    <cellStyle name="Normal 4 7 4 3 3 3" xfId="21019" xr:uid="{3271C659-7867-416C-8678-F2C7A2BF6D51}"/>
    <cellStyle name="Normal 4 7 4 3 3 4" xfId="32059" xr:uid="{D24BA909-D5FD-4F8E-8E90-14070A996917}"/>
    <cellStyle name="Normal 4 7 4 3 3 5" xfId="40253" xr:uid="{2B6DA9ED-B89A-4D87-89DA-AEA81A09FE90}"/>
    <cellStyle name="Normal 4 7 4 3 4" xfId="23846" xr:uid="{41C50A5C-D2F1-431D-A847-3470E5E39DD8}"/>
    <cellStyle name="Normal 4 7 4 3 5" xfId="18186" xr:uid="{F7D87D6D-8203-4D4B-88E5-19CA5E2CC82E}"/>
    <cellStyle name="Normal 4 7 4 3 6" xfId="29507" xr:uid="{B4F2C609-E561-4A6B-A893-9171FD41C26F}"/>
    <cellStyle name="Normal 4 7 4 3 7" xfId="40250" xr:uid="{7A1D294C-E205-4DCF-A3F5-CF0F8F0FF752}"/>
    <cellStyle name="Normal 4 7 4 4" xfId="6698" xr:uid="{00000000-0005-0000-0000-0000321E0000}"/>
    <cellStyle name="Normal 4 7 4 4 2" xfId="15131" xr:uid="{00000000-0005-0000-0000-0000331E0000}"/>
    <cellStyle name="Normal 4 7 4 4 2 2" xfId="27025" xr:uid="{8B7116B0-37DF-4785-95B8-1AAA321C2324}"/>
    <cellStyle name="Normal 4 7 4 4 2 3" xfId="21365" xr:uid="{61CE6243-F902-4E57-A42B-A3A57F6A4780}"/>
    <cellStyle name="Normal 4 7 4 4 2 4" xfId="32405" xr:uid="{DE933383-40CB-46BD-979E-2379DAB2D615}"/>
    <cellStyle name="Normal 4 7 4 4 2 5" xfId="40255" xr:uid="{A610B251-5BD2-4690-819D-0223D0087611}"/>
    <cellStyle name="Normal 4 7 4 4 3" xfId="24192" xr:uid="{00FEAE89-EE84-4039-8FF2-A22C4351B83C}"/>
    <cellStyle name="Normal 4 7 4 4 4" xfId="18532" xr:uid="{87472D67-ED95-4476-AFA8-A06C0984CC35}"/>
    <cellStyle name="Normal 4 7 4 4 5" xfId="29853" xr:uid="{E3D5F713-57A3-45CE-8F52-35AF62FFB28F}"/>
    <cellStyle name="Normal 4 7 4 4 6" xfId="40254" xr:uid="{0C1DFE88-7E38-473E-A2ED-F2E77C2C7A2C}"/>
    <cellStyle name="Normal 4 7 4 5" xfId="8052" xr:uid="{00000000-0005-0000-0000-0000341E0000}"/>
    <cellStyle name="Normal 4 7 4 5 2" xfId="25531" xr:uid="{124F5264-A570-4300-95A1-F6C7124D83ED}"/>
    <cellStyle name="Normal 4 7 4 5 3" xfId="19871" xr:uid="{25996C46-B8C0-4A6E-8D76-07A0D0A8865F}"/>
    <cellStyle name="Normal 4 7 4 5 4" xfId="31192" xr:uid="{C4D83D17-FF9E-4D03-92E0-08ADE0B6D7E0}"/>
    <cellStyle name="Normal 4 7 4 5 5" xfId="40256" xr:uid="{55870788-096B-4DCE-BA88-4B6A7511583C}"/>
    <cellStyle name="Normal 4 7 4 6" xfId="22630" xr:uid="{B82E4B67-7387-4E28-9712-F9602F277D63}"/>
    <cellStyle name="Normal 4 7 4 7" xfId="16970" xr:uid="{CF4C7BF9-AA10-4E18-8F3C-7A81110CFDC0}"/>
    <cellStyle name="Normal 4 7 4 8" xfId="28291" xr:uid="{B7D0E59A-43CD-4A95-83FE-9507D7DB60D7}"/>
    <cellStyle name="Normal 4 7 4 9" xfId="40245" xr:uid="{814CE2CB-A3B7-4445-9D09-89944B261C8B}"/>
    <cellStyle name="Normal 4 7 5" xfId="5044" xr:uid="{00000000-0005-0000-0000-0000351E0000}"/>
    <cellStyle name="Normal 4 7 5 2" xfId="6278" xr:uid="{00000000-0005-0000-0000-0000361E0000}"/>
    <cellStyle name="Normal 4 7 5 2 2" xfId="7605" xr:uid="{00000000-0005-0000-0000-0000371E0000}"/>
    <cellStyle name="Normal 4 7 5 2 2 2" xfId="16038" xr:uid="{00000000-0005-0000-0000-0000381E0000}"/>
    <cellStyle name="Normal 4 7 5 2 2 2 2" xfId="27932" xr:uid="{A796708A-0F2B-4198-9A84-97978227370E}"/>
    <cellStyle name="Normal 4 7 5 2 2 2 3" xfId="22272" xr:uid="{0BCCD1C3-092E-42AB-B431-C407A1C825BF}"/>
    <cellStyle name="Normal 4 7 5 2 2 2 4" xfId="33312" xr:uid="{08BCCCFF-6F96-4897-BE7F-D0A3E4907B51}"/>
    <cellStyle name="Normal 4 7 5 2 2 2 5" xfId="40260" xr:uid="{C14C9CCA-C531-4128-813E-56FEA0BB767B}"/>
    <cellStyle name="Normal 4 7 5 2 2 3" xfId="25099" xr:uid="{FEF900B3-0341-4DE7-B1C3-128813771909}"/>
    <cellStyle name="Normal 4 7 5 2 2 4" xfId="19439" xr:uid="{26A7E1BE-3DF5-4092-B36C-AB151F7DADA9}"/>
    <cellStyle name="Normal 4 7 5 2 2 5" xfId="30760" xr:uid="{0296F2BB-788A-4827-AF77-6343C177F36A}"/>
    <cellStyle name="Normal 4 7 5 2 2 6" xfId="40259" xr:uid="{87E2FED6-3AC5-4DDC-8924-9179031F0DF2}"/>
    <cellStyle name="Normal 4 7 5 2 3" xfId="14720" xr:uid="{00000000-0005-0000-0000-0000391E0000}"/>
    <cellStyle name="Normal 4 7 5 2 3 2" xfId="26676" xr:uid="{3BB2F61F-2254-40B2-ACE4-5EA8D649D45C}"/>
    <cellStyle name="Normal 4 7 5 2 3 3" xfId="21016" xr:uid="{60CC8877-AD58-4398-B811-0D6C14E79474}"/>
    <cellStyle name="Normal 4 7 5 2 3 4" xfId="32056" xr:uid="{D409E227-DC09-45F5-9501-F8D38E9B28CD}"/>
    <cellStyle name="Normal 4 7 5 2 3 5" xfId="40261" xr:uid="{BBFDEE58-372B-4CA0-A161-9A497B023CD4}"/>
    <cellStyle name="Normal 4 7 5 2 4" xfId="23843" xr:uid="{4614635A-C0D1-4526-BA77-D0CB7D888355}"/>
    <cellStyle name="Normal 4 7 5 2 5" xfId="18183" xr:uid="{72A8444E-27E9-4B3C-AE44-518E4316AC8B}"/>
    <cellStyle name="Normal 4 7 5 2 6" xfId="29504" xr:uid="{13016F23-2745-4D75-9415-F8DFEEF4366B}"/>
    <cellStyle name="Normal 4 7 5 2 7" xfId="40258" xr:uid="{88D183FA-E34D-49BF-9851-A7E9CF78D491}"/>
    <cellStyle name="Normal 4 7 5 3" xfId="6907" xr:uid="{00000000-0005-0000-0000-00003A1E0000}"/>
    <cellStyle name="Normal 4 7 5 3 2" xfId="15340" xr:uid="{00000000-0005-0000-0000-00003B1E0000}"/>
    <cellStyle name="Normal 4 7 5 3 2 2" xfId="27234" xr:uid="{9B7BAAE1-5533-4F91-AD37-CC576F4C3669}"/>
    <cellStyle name="Normal 4 7 5 3 2 3" xfId="21574" xr:uid="{44CB8484-B5DA-432E-8D67-2785335A227E}"/>
    <cellStyle name="Normal 4 7 5 3 2 4" xfId="32614" xr:uid="{34FEE0FF-C64D-4A36-8080-2D55071C6831}"/>
    <cellStyle name="Normal 4 7 5 3 2 5" xfId="40263" xr:uid="{D53E27BF-17BA-44B8-99A4-7EB4EFE4C6CF}"/>
    <cellStyle name="Normal 4 7 5 3 3" xfId="24401" xr:uid="{DB542147-5ACB-46BD-844B-BFFCD7ADC928}"/>
    <cellStyle name="Normal 4 7 5 3 4" xfId="18741" xr:uid="{47D9A6C6-8E41-48C8-9492-0A1F37FFC1A7}"/>
    <cellStyle name="Normal 4 7 5 3 5" xfId="30062" xr:uid="{B651EA78-2E54-4E50-BADA-78A6FC0D6889}"/>
    <cellStyle name="Normal 4 7 5 3 6" xfId="40262" xr:uid="{2C33EAEE-2663-4845-B742-C90E80E7949E}"/>
    <cellStyle name="Normal 4 7 5 4" xfId="8053" xr:uid="{00000000-0005-0000-0000-00003C1E0000}"/>
    <cellStyle name="Normal 4 7 5 4 2" xfId="25532" xr:uid="{2AC34CD5-8270-4805-9AC3-8E0EA7EAC864}"/>
    <cellStyle name="Normal 4 7 5 4 3" xfId="19872" xr:uid="{F770BBBA-8A4F-4F51-BEFE-561B5E788B20}"/>
    <cellStyle name="Normal 4 7 5 4 4" xfId="31193" xr:uid="{FF9DF2A0-526D-40E2-A4A6-E5AC15B86D64}"/>
    <cellStyle name="Normal 4 7 5 4 5" xfId="40264" xr:uid="{67E06037-EC6B-4A4D-ADBC-3662B93D653F}"/>
    <cellStyle name="Normal 4 7 5 5" xfId="22839" xr:uid="{CC4114B5-63C3-4C89-A430-F48FE5BC6F37}"/>
    <cellStyle name="Normal 4 7 5 6" xfId="17179" xr:uid="{4CFE0D62-E0C5-48CF-9825-23811DC273A8}"/>
    <cellStyle name="Normal 4 7 5 7" xfId="28500" xr:uid="{87429AEE-A2EE-4FD6-AEA2-2752547D5642}"/>
    <cellStyle name="Normal 4 7 5 8" xfId="40257" xr:uid="{3FEF4BCF-FA12-46E2-85C6-E416CD2C4423}"/>
    <cellStyle name="Normal 4 7 6" xfId="6489" xr:uid="{00000000-0005-0000-0000-00003D1E0000}"/>
    <cellStyle name="Normal 4 7 6 2" xfId="14922" xr:uid="{00000000-0005-0000-0000-00003E1E0000}"/>
    <cellStyle name="Normal 4 7 6 2 2" xfId="26816" xr:uid="{7438C20B-198D-464C-AE10-C1FE00619EF6}"/>
    <cellStyle name="Normal 4 7 6 2 3" xfId="21156" xr:uid="{38CCA39B-C90A-4B61-9861-124034DD91DD}"/>
    <cellStyle name="Normal 4 7 6 2 4" xfId="32196" xr:uid="{465385B2-E33D-4D4E-9734-79B9F186FEA5}"/>
    <cellStyle name="Normal 4 7 6 2 5" xfId="40266" xr:uid="{B0FD3C17-2FE7-4D8A-8BB9-DFDDA31AE8E7}"/>
    <cellStyle name="Normal 4 7 6 3" xfId="23983" xr:uid="{C90630A3-6D72-42B9-B62E-0FC15E2A54AB}"/>
    <cellStyle name="Normal 4 7 6 4" xfId="18323" xr:uid="{D3BC337E-59A1-47AC-A06A-D31824374B23}"/>
    <cellStyle name="Normal 4 7 6 5" xfId="29644" xr:uid="{ADE1F5BB-F67C-40D4-842B-3625644E254D}"/>
    <cellStyle name="Normal 4 7 6 6" xfId="40265" xr:uid="{F19DE343-0ADD-4D93-A717-3F7074B9BF88}"/>
    <cellStyle name="Normal 4 7 7" xfId="22421" xr:uid="{C6533911-9587-4F0C-A46E-4F0AD459C1F7}"/>
    <cellStyle name="Normal 4 7 7 2" xfId="40267" xr:uid="{46F64332-1303-42AC-8B15-CA3081FC3551}"/>
    <cellStyle name="Normal 4 7 8" xfId="16761" xr:uid="{B9D78661-A73E-4B25-8F8C-2FA7D7233995}"/>
    <cellStyle name="Normal 4 7 9" xfId="28082" xr:uid="{967B2722-5877-4B17-8590-BDBF3362B2DA}"/>
    <cellStyle name="Normal 4 8" xfId="315" xr:uid="{00000000-0005-0000-0000-00003F1E0000}"/>
    <cellStyle name="Normal 4 8 10" xfId="40268" xr:uid="{F12329AC-B508-4760-B7D6-6F4903593317}"/>
    <cellStyle name="Normal 4 8 2" xfId="2232" xr:uid="{00000000-0005-0000-0000-0000401E0000}"/>
    <cellStyle name="Normal 4 8 2 2" xfId="40269" xr:uid="{8529BC4D-523B-4385-9099-B40D9EEB9051}"/>
    <cellStyle name="Normal 4 8 3" xfId="4288" xr:uid="{00000000-0005-0000-0000-0000411E0000}"/>
    <cellStyle name="Normal 4 8 3 2" xfId="40270" xr:uid="{1D561045-50B5-434A-97AD-4B481CFDECC5}"/>
    <cellStyle name="Normal 4 8 4" xfId="4827" xr:uid="{00000000-0005-0000-0000-0000421E0000}"/>
    <cellStyle name="Normal 4 8 4 2" xfId="5248" xr:uid="{00000000-0005-0000-0000-0000431E0000}"/>
    <cellStyle name="Normal 4 8 4 2 2" xfId="7111" xr:uid="{00000000-0005-0000-0000-0000441E0000}"/>
    <cellStyle name="Normal 4 8 4 2 2 2" xfId="15544" xr:uid="{00000000-0005-0000-0000-0000451E0000}"/>
    <cellStyle name="Normal 4 8 4 2 2 2 2" xfId="27438" xr:uid="{9C324BAE-8F17-4157-B95E-6FE87B276FF4}"/>
    <cellStyle name="Normal 4 8 4 2 2 2 3" xfId="21778" xr:uid="{12654F08-589B-4E63-84CC-6BA99FC30F3D}"/>
    <cellStyle name="Normal 4 8 4 2 2 2 4" xfId="32818" xr:uid="{041C3C88-436C-4780-B5CD-850F59B03532}"/>
    <cellStyle name="Normal 4 8 4 2 2 2 5" xfId="40274" xr:uid="{F0199384-E908-4B10-8DE1-B4E8B715FCF6}"/>
    <cellStyle name="Normal 4 8 4 2 2 3" xfId="24605" xr:uid="{AC1B6AB5-11EC-43AF-837C-E0CD687F99D0}"/>
    <cellStyle name="Normal 4 8 4 2 2 4" xfId="18945" xr:uid="{33929E8B-39AB-4784-B10C-85D734A003EA}"/>
    <cellStyle name="Normal 4 8 4 2 2 5" xfId="30266" xr:uid="{EC256168-9DAE-4EB7-86F0-800C4628034C}"/>
    <cellStyle name="Normal 4 8 4 2 2 6" xfId="40273" xr:uid="{A4346931-3303-4AD9-9BCA-F9CA847E3586}"/>
    <cellStyle name="Normal 4 8 4 2 3" xfId="14134" xr:uid="{00000000-0005-0000-0000-0000461E0000}"/>
    <cellStyle name="Normal 4 8 4 2 3 2" xfId="26173" xr:uid="{D79D4FC8-8CF0-42E0-98FC-BAE2C3DB548C}"/>
    <cellStyle name="Normal 4 8 4 2 3 3" xfId="20513" xr:uid="{0679A56C-194F-47EF-A2DD-EE85831AD680}"/>
    <cellStyle name="Normal 4 8 4 2 3 4" xfId="31553" xr:uid="{2534A353-FC7B-412B-97BC-23A3CCDE84B4}"/>
    <cellStyle name="Normal 4 8 4 2 3 5" xfId="40275" xr:uid="{CADAF799-A7C6-46F2-B835-6692255EDE5C}"/>
    <cellStyle name="Normal 4 8 4 2 4" xfId="23043" xr:uid="{9AA67D65-9326-4293-BEC4-214726D8BF25}"/>
    <cellStyle name="Normal 4 8 4 2 5" xfId="17383" xr:uid="{239099B7-C8C6-4145-BCEC-423217084F0F}"/>
    <cellStyle name="Normal 4 8 4 2 6" xfId="28704" xr:uid="{156196A6-1D77-40CE-B2E8-B6F1548967D9}"/>
    <cellStyle name="Normal 4 8 4 2 7" xfId="40272" xr:uid="{75E8B8BA-5C03-48EF-BD9A-3C5711802948}"/>
    <cellStyle name="Normal 4 8 4 3" xfId="6283" xr:uid="{00000000-0005-0000-0000-0000471E0000}"/>
    <cellStyle name="Normal 4 8 4 3 2" xfId="7610" xr:uid="{00000000-0005-0000-0000-0000481E0000}"/>
    <cellStyle name="Normal 4 8 4 3 2 2" xfId="16043" xr:uid="{00000000-0005-0000-0000-0000491E0000}"/>
    <cellStyle name="Normal 4 8 4 3 2 2 2" xfId="27937" xr:uid="{078F9EF9-ED36-412E-B9A7-DD7D525526B7}"/>
    <cellStyle name="Normal 4 8 4 3 2 2 3" xfId="22277" xr:uid="{FDCF401C-7066-4F94-B5EA-393BDE6E1C59}"/>
    <cellStyle name="Normal 4 8 4 3 2 2 4" xfId="33317" xr:uid="{B156FF61-A330-47EB-8D01-F30DD97EFAA5}"/>
    <cellStyle name="Normal 4 8 4 3 2 2 5" xfId="40278" xr:uid="{823A94AA-1F98-4D4E-A2F4-341060E0D326}"/>
    <cellStyle name="Normal 4 8 4 3 2 3" xfId="25104" xr:uid="{81CEBE6C-51F6-460A-887A-A8E4EBC9376D}"/>
    <cellStyle name="Normal 4 8 4 3 2 4" xfId="19444" xr:uid="{EE889F3F-C646-415A-B106-592BC40AF6AB}"/>
    <cellStyle name="Normal 4 8 4 3 2 5" xfId="30765" xr:uid="{BA2571AB-7AC3-45AA-9E11-C53C74507CA3}"/>
    <cellStyle name="Normal 4 8 4 3 2 6" xfId="40277" xr:uid="{C0629D1A-A26A-43AC-BE89-44600B92EFF9}"/>
    <cellStyle name="Normal 4 8 4 3 3" xfId="14725" xr:uid="{00000000-0005-0000-0000-00004A1E0000}"/>
    <cellStyle name="Normal 4 8 4 3 3 2" xfId="26681" xr:uid="{658E65A7-710D-4087-9446-B502F804FC32}"/>
    <cellStyle name="Normal 4 8 4 3 3 3" xfId="21021" xr:uid="{82FB118C-4439-4B30-9F36-88DA5F6A89B5}"/>
    <cellStyle name="Normal 4 8 4 3 3 4" xfId="32061" xr:uid="{48AFCC46-0683-4B40-AA20-860BE9D023C6}"/>
    <cellStyle name="Normal 4 8 4 3 3 5" xfId="40279" xr:uid="{21498443-B878-4773-92C9-8AE47FCA925C}"/>
    <cellStyle name="Normal 4 8 4 3 4" xfId="23848" xr:uid="{07B83D3C-115F-42C8-9634-EA3D56F6FF30}"/>
    <cellStyle name="Normal 4 8 4 3 5" xfId="18188" xr:uid="{1CC5C9F8-9D53-4469-A39B-76F4FE9C13AB}"/>
    <cellStyle name="Normal 4 8 4 3 6" xfId="29509" xr:uid="{0B55BD46-52AB-4D29-8BE9-0BA066EBA865}"/>
    <cellStyle name="Normal 4 8 4 3 7" xfId="40276" xr:uid="{975F8943-003F-48EE-80B2-38FAF80E6806}"/>
    <cellStyle name="Normal 4 8 4 4" xfId="6693" xr:uid="{00000000-0005-0000-0000-00004B1E0000}"/>
    <cellStyle name="Normal 4 8 4 4 2" xfId="15126" xr:uid="{00000000-0005-0000-0000-00004C1E0000}"/>
    <cellStyle name="Normal 4 8 4 4 2 2" xfId="27020" xr:uid="{C1CB7B04-90CA-463E-A21C-727BDEF0BE91}"/>
    <cellStyle name="Normal 4 8 4 4 2 3" xfId="21360" xr:uid="{6EBDBB0C-8579-4493-9345-E219CD12A62A}"/>
    <cellStyle name="Normal 4 8 4 4 2 4" xfId="32400" xr:uid="{567F2E02-E537-49BF-848D-C43D67B39CC0}"/>
    <cellStyle name="Normal 4 8 4 4 2 5" xfId="40281" xr:uid="{5143D576-5001-4DC8-AA57-28E1643DD817}"/>
    <cellStyle name="Normal 4 8 4 4 3" xfId="24187" xr:uid="{F45A2A04-0EE2-4036-BA30-7612D8DEFD14}"/>
    <cellStyle name="Normal 4 8 4 4 4" xfId="18527" xr:uid="{4DB7E48D-841F-4E17-94A9-77B894777D1A}"/>
    <cellStyle name="Normal 4 8 4 4 5" xfId="29848" xr:uid="{13D2D568-630C-495B-B6F1-12B9466391C2}"/>
    <cellStyle name="Normal 4 8 4 4 6" xfId="40280" xr:uid="{74B5D48A-5B0B-4CEF-BFF7-526ABE657B60}"/>
    <cellStyle name="Normal 4 8 4 5" xfId="8054" xr:uid="{00000000-0005-0000-0000-00004D1E0000}"/>
    <cellStyle name="Normal 4 8 4 5 2" xfId="25533" xr:uid="{2CC65FBF-73A4-4354-837C-F6DAD9DF36CD}"/>
    <cellStyle name="Normal 4 8 4 5 3" xfId="19873" xr:uid="{6411D2CA-C8FB-4FAD-A7AE-39226EC56A44}"/>
    <cellStyle name="Normal 4 8 4 5 4" xfId="31194" xr:uid="{7C603FCA-C804-47D8-AD55-C5DE9F6AE8CC}"/>
    <cellStyle name="Normal 4 8 4 5 5" xfId="40282" xr:uid="{84292413-8463-46CE-835D-D86D79C8A412}"/>
    <cellStyle name="Normal 4 8 4 6" xfId="22625" xr:uid="{17ABBA1A-4B3B-42D3-9120-5BA58F807D99}"/>
    <cellStyle name="Normal 4 8 4 7" xfId="16965" xr:uid="{812AD99F-6CF2-4B52-A9B1-51A0D2C4ECD7}"/>
    <cellStyle name="Normal 4 8 4 8" xfId="28286" xr:uid="{5E3E2B5D-FA10-463A-ABF6-A5074CE8366F}"/>
    <cellStyle name="Normal 4 8 4 9" xfId="40271" xr:uid="{EEE57513-01F9-4FD7-9599-400E43CBF646}"/>
    <cellStyle name="Normal 4 8 5" xfId="5039" xr:uid="{00000000-0005-0000-0000-00004E1E0000}"/>
    <cellStyle name="Normal 4 8 5 2" xfId="6282" xr:uid="{00000000-0005-0000-0000-00004F1E0000}"/>
    <cellStyle name="Normal 4 8 5 2 2" xfId="7609" xr:uid="{00000000-0005-0000-0000-0000501E0000}"/>
    <cellStyle name="Normal 4 8 5 2 2 2" xfId="16042" xr:uid="{00000000-0005-0000-0000-0000511E0000}"/>
    <cellStyle name="Normal 4 8 5 2 2 2 2" xfId="27936" xr:uid="{FC3CB041-7A62-4CC3-94F2-6D8EC6B48A52}"/>
    <cellStyle name="Normal 4 8 5 2 2 2 3" xfId="22276" xr:uid="{5BC9A089-9809-40EF-A957-775681F52E4C}"/>
    <cellStyle name="Normal 4 8 5 2 2 2 4" xfId="33316" xr:uid="{94223D29-282E-40DA-98BF-C92436A5A8EE}"/>
    <cellStyle name="Normal 4 8 5 2 2 2 5" xfId="40286" xr:uid="{45A5E269-0F1F-4BA9-8720-B786A1700B49}"/>
    <cellStyle name="Normal 4 8 5 2 2 3" xfId="25103" xr:uid="{4B35F83B-26BE-40EC-B7D4-7D13B6AF5BF1}"/>
    <cellStyle name="Normal 4 8 5 2 2 4" xfId="19443" xr:uid="{1DD1CA3F-F907-4662-AB7F-6697234732D6}"/>
    <cellStyle name="Normal 4 8 5 2 2 5" xfId="30764" xr:uid="{F7847B3B-FB9E-48F2-8900-F44FE2BFA9DF}"/>
    <cellStyle name="Normal 4 8 5 2 2 6" xfId="40285" xr:uid="{8CBA4E5F-C08E-4BBF-944B-22645AE8C450}"/>
    <cellStyle name="Normal 4 8 5 2 3" xfId="14724" xr:uid="{00000000-0005-0000-0000-0000521E0000}"/>
    <cellStyle name="Normal 4 8 5 2 3 2" xfId="26680" xr:uid="{ADD41407-90E5-43A9-B4A6-A4D163CF2340}"/>
    <cellStyle name="Normal 4 8 5 2 3 3" xfId="21020" xr:uid="{B559F594-4A00-439C-A28B-8DAC5CEDD7B5}"/>
    <cellStyle name="Normal 4 8 5 2 3 4" xfId="32060" xr:uid="{A3550C3D-7F50-4BD4-80C2-265A5E3BAF99}"/>
    <cellStyle name="Normal 4 8 5 2 3 5" xfId="40287" xr:uid="{C79A3BDD-6781-47B1-932E-4574C3E6FDCF}"/>
    <cellStyle name="Normal 4 8 5 2 4" xfId="23847" xr:uid="{679DAE4B-3D1D-436B-B1F2-FCBEEE8CB763}"/>
    <cellStyle name="Normal 4 8 5 2 5" xfId="18187" xr:uid="{78543B9C-EA2C-4F30-A703-B7306E9B890B}"/>
    <cellStyle name="Normal 4 8 5 2 6" xfId="29508" xr:uid="{C8B20894-123F-4E01-BC66-55727AC32980}"/>
    <cellStyle name="Normal 4 8 5 2 7" xfId="40284" xr:uid="{6D4718A4-837E-445D-BCCD-D085BEFE1DA0}"/>
    <cellStyle name="Normal 4 8 5 3" xfId="6902" xr:uid="{00000000-0005-0000-0000-0000531E0000}"/>
    <cellStyle name="Normal 4 8 5 3 2" xfId="15335" xr:uid="{00000000-0005-0000-0000-0000541E0000}"/>
    <cellStyle name="Normal 4 8 5 3 2 2" xfId="27229" xr:uid="{E744D22A-98A5-426F-81A4-2557CF40A118}"/>
    <cellStyle name="Normal 4 8 5 3 2 3" xfId="21569" xr:uid="{1760BF18-8799-4415-A6B6-99B266F0A4E8}"/>
    <cellStyle name="Normal 4 8 5 3 2 4" xfId="32609" xr:uid="{8FF40A5C-8569-4AEC-B695-EB1B1D8FB97D}"/>
    <cellStyle name="Normal 4 8 5 3 2 5" xfId="40289" xr:uid="{10D9AA93-7F7B-4431-8F68-0EE8A5DFBB78}"/>
    <cellStyle name="Normal 4 8 5 3 3" xfId="24396" xr:uid="{652839C8-B721-4158-88E7-4605837383F3}"/>
    <cellStyle name="Normal 4 8 5 3 4" xfId="18736" xr:uid="{8031F896-BA3B-4EA2-95EF-7B6F65460AA4}"/>
    <cellStyle name="Normal 4 8 5 3 5" xfId="30057" xr:uid="{EECFF2D0-5456-4565-B024-C23D79D07B99}"/>
    <cellStyle name="Normal 4 8 5 3 6" xfId="40288" xr:uid="{42D44308-70B9-4053-BD55-9CF93F29CA54}"/>
    <cellStyle name="Normal 4 8 5 4" xfId="8055" xr:uid="{00000000-0005-0000-0000-0000551E0000}"/>
    <cellStyle name="Normal 4 8 5 4 2" xfId="25534" xr:uid="{A4E6E524-2F90-4440-BB44-E5C461EA6D3A}"/>
    <cellStyle name="Normal 4 8 5 4 3" xfId="19874" xr:uid="{1100E242-52AF-477C-8FFE-88F35D3CB601}"/>
    <cellStyle name="Normal 4 8 5 4 4" xfId="31195" xr:uid="{8884B078-C266-4D12-B419-DA6D1080392B}"/>
    <cellStyle name="Normal 4 8 5 4 5" xfId="40290" xr:uid="{D80242CF-8546-4B9F-AD34-433EE10BD33C}"/>
    <cellStyle name="Normal 4 8 5 5" xfId="22834" xr:uid="{5085FB1D-CF1B-4688-A8B1-DEEDFE91EB6C}"/>
    <cellStyle name="Normal 4 8 5 6" xfId="17174" xr:uid="{B0935C89-E9E1-460E-A76A-317E29AFC8B1}"/>
    <cellStyle name="Normal 4 8 5 7" xfId="28495" xr:uid="{C12E5A92-3B55-4875-9C93-77778CDFCEC8}"/>
    <cellStyle name="Normal 4 8 5 8" xfId="40283" xr:uid="{022DF728-F620-4396-83BD-BBFE27B9BE20}"/>
    <cellStyle name="Normal 4 8 6" xfId="6484" xr:uid="{00000000-0005-0000-0000-0000561E0000}"/>
    <cellStyle name="Normal 4 8 6 2" xfId="14917" xr:uid="{00000000-0005-0000-0000-0000571E0000}"/>
    <cellStyle name="Normal 4 8 6 2 2" xfId="26811" xr:uid="{76E40A3F-FDD3-4996-BDD8-DABE1713F2CB}"/>
    <cellStyle name="Normal 4 8 6 2 3" xfId="21151" xr:uid="{A3B33FFF-94C9-46B7-B267-8A5EFC713912}"/>
    <cellStyle name="Normal 4 8 6 2 4" xfId="32191" xr:uid="{AC6D0547-B3EA-4BE3-A3FF-B8024E478F1F}"/>
    <cellStyle name="Normal 4 8 6 2 5" xfId="40292" xr:uid="{2D8866AC-38C8-4516-92EB-175B608ADEAB}"/>
    <cellStyle name="Normal 4 8 6 3" xfId="23978" xr:uid="{95860963-D8F5-4945-9EBC-3F7BE8B7E180}"/>
    <cellStyle name="Normal 4 8 6 4" xfId="18318" xr:uid="{5BDF2AE1-437C-4C79-92AD-05A20988E6B5}"/>
    <cellStyle name="Normal 4 8 6 5" xfId="29639" xr:uid="{276BF99D-E137-4562-A79B-DD02BC786DCC}"/>
    <cellStyle name="Normal 4 8 6 6" xfId="40291" xr:uid="{93F084A4-B1AA-4198-9290-90BE7F7ECBE2}"/>
    <cellStyle name="Normal 4 8 7" xfId="22416" xr:uid="{D87C3D45-FAEA-4ACD-955F-1F91C380CA0F}"/>
    <cellStyle name="Normal 4 8 7 2" xfId="40293" xr:uid="{8BD9128A-6530-42CF-A15C-70F0C7EC33A7}"/>
    <cellStyle name="Normal 4 8 8" xfId="16756" xr:uid="{68AC385A-0F6D-443C-B493-F39472DD0213}"/>
    <cellStyle name="Normal 4 8 9" xfId="28077" xr:uid="{F560D9C2-674E-472B-9BBB-9CCCEF8DD473}"/>
    <cellStyle name="Normal 4 9" xfId="2233" xr:uid="{00000000-0005-0000-0000-0000581E0000}"/>
    <cellStyle name="Normal 4 9 2" xfId="4289" xr:uid="{00000000-0005-0000-0000-0000591E0000}"/>
    <cellStyle name="Normal 4 9 2 2" xfId="40296" xr:uid="{7BE37B11-BF2F-4235-B7DA-AA539658DBC2}"/>
    <cellStyle name="Normal 4 9 2 3" xfId="40295" xr:uid="{212A1B99-B2FB-4297-8F3E-F5299042C14F}"/>
    <cellStyle name="Normal 4 9 3" xfId="6284" xr:uid="{00000000-0005-0000-0000-00005A1E0000}"/>
    <cellStyle name="Normal 4 9 3 2" xfId="40297" xr:uid="{BC823CC6-7A96-4279-9C9E-F35C12A918FF}"/>
    <cellStyle name="Normal 4 9 4" xfId="40298" xr:uid="{045DA633-6AA3-4DDC-B211-7091F81849F3}"/>
    <cellStyle name="Normal 4 9 5" xfId="40294" xr:uid="{078F3BAA-5500-4E13-AD34-28CA88182ACA}"/>
    <cellStyle name="Normal 4_ELC" xfId="9678" xr:uid="{00000000-0005-0000-0000-00005B1E0000}"/>
    <cellStyle name="Normal 40" xfId="2234" xr:uid="{00000000-0005-0000-0000-00005C1E0000}"/>
    <cellStyle name="Normal 40 2" xfId="40299" xr:uid="{23E971CA-A2CA-4FDB-A242-ED5EC4D124E3}"/>
    <cellStyle name="Normal 41" xfId="12382" xr:uid="{00000000-0005-0000-0000-00005D1E0000}"/>
    <cellStyle name="Normal 41 2" xfId="40300" xr:uid="{2A66C360-7189-4A86-AEBC-66889609C4E8}"/>
    <cellStyle name="Normal 42" xfId="12371" xr:uid="{00000000-0005-0000-0000-00005E1E0000}"/>
    <cellStyle name="Normal 42 2" xfId="40301" xr:uid="{A4F4E61A-7375-4CFF-A705-5CCC8C3B09B1}"/>
    <cellStyle name="Normal 43" xfId="12370" xr:uid="{00000000-0005-0000-0000-00005F1E0000}"/>
    <cellStyle name="Normal 43 2" xfId="40302" xr:uid="{D11CF4B7-2F10-42C0-9AC5-B03D385A1F63}"/>
    <cellStyle name="Normal 44" xfId="12383" xr:uid="{00000000-0005-0000-0000-0000601E0000}"/>
    <cellStyle name="Normal 44 2" xfId="40303" xr:uid="{6F6E5A2D-618B-412D-9000-36F6C0FC347D}"/>
    <cellStyle name="Normal 45" xfId="14356" xr:uid="{00000000-0005-0000-0000-0000611E0000}"/>
    <cellStyle name="Normal 45 2" xfId="40304" xr:uid="{8193EB18-E911-4AF0-9B38-56D7B2BD1AF1}"/>
    <cellStyle name="Normal 46" xfId="16663" xr:uid="{00000000-0005-0000-0000-0000621E0000}"/>
    <cellStyle name="Normal 46 2" xfId="40305" xr:uid="{9F4FBF6A-44F4-43FD-8017-5A9DAF2C0BFE}"/>
    <cellStyle name="Normal 47" xfId="12866" xr:uid="{00000000-0005-0000-0000-0000631E0000}"/>
    <cellStyle name="Normal 47 2" xfId="40306" xr:uid="{27E23412-0B98-419C-95C3-16F743A1A084}"/>
    <cellStyle name="Normal 48" xfId="7712" xr:uid="{00000000-0005-0000-0000-0000641E0000}"/>
    <cellStyle name="Normal 48 2" xfId="25206" xr:uid="{EBF24DCA-C4D8-47D8-9A0A-0E5D100F0752}"/>
    <cellStyle name="Normal 48 3" xfId="19546" xr:uid="{41CFFA5F-CF78-48A9-9983-6D8B5778F49B}"/>
    <cellStyle name="Normal 48 4" xfId="30867" xr:uid="{4FDC60FB-2939-45C2-B369-1197AC04504F}"/>
    <cellStyle name="Normal 48 5" xfId="40307" xr:uid="{51C257F3-528F-41B9-88A6-CB57F3770A0F}"/>
    <cellStyle name="Normal 49" xfId="16691" xr:uid="{00000000-0005-0000-0000-0000651E0000}"/>
    <cellStyle name="Normal 49 2" xfId="28039" xr:uid="{B46E3F9C-5902-4017-AC46-06B7F887DC38}"/>
    <cellStyle name="Normal 49 3" xfId="22379" xr:uid="{C0B1EFB1-77E0-414A-A84D-09D75094AFBA}"/>
    <cellStyle name="Normal 49 4" xfId="33419" xr:uid="{6139D064-7A1E-46CD-9BE6-F91B8FC35084}"/>
    <cellStyle name="Normal 49 5" xfId="40308" xr:uid="{23C8246E-9AD8-41D3-AB74-2FF1D45F074B}"/>
    <cellStyle name="Normal 5" xfId="171" xr:uid="{00000000-0005-0000-0000-0000661E0000}"/>
    <cellStyle name="Normal 5 10" xfId="2236" xr:uid="{00000000-0005-0000-0000-0000671E0000}"/>
    <cellStyle name="Normal 5 10 2" xfId="4290" xr:uid="{00000000-0005-0000-0000-0000681E0000}"/>
    <cellStyle name="Normal 5 10 2 2" xfId="40311" xr:uid="{4E2445E9-F6BA-41DF-8FE4-89EE048D88A1}"/>
    <cellStyle name="Normal 5 10 3" xfId="6285" xr:uid="{00000000-0005-0000-0000-0000691E0000}"/>
    <cellStyle name="Normal 5 10 3 2" xfId="40312" xr:uid="{0E8E0B05-C480-457C-8C95-D052680C6A9B}"/>
    <cellStyle name="Normal 5 10 4" xfId="40313" xr:uid="{29CD34B6-3B23-40BD-BAEC-61019A92F9EB}"/>
    <cellStyle name="Normal 5 10 5" xfId="40310" xr:uid="{D2F570AF-5CD4-4FAC-991F-6425A3E1D6D6}"/>
    <cellStyle name="Normal 5 10 6" xfId="49823" xr:uid="{D44351D2-C68F-4105-AE7C-A2BA8D52A809}"/>
    <cellStyle name="Normal 5 11" xfId="2237" xr:uid="{00000000-0005-0000-0000-00006A1E0000}"/>
    <cellStyle name="Normal 5 11 2" xfId="4291" xr:uid="{00000000-0005-0000-0000-00006B1E0000}"/>
    <cellStyle name="Normal 5 11 2 2" xfId="40316" xr:uid="{C5137787-1C38-4085-9FCD-21092F546AAD}"/>
    <cellStyle name="Normal 5 11 2 3" xfId="40315" xr:uid="{37CFFA7A-4F83-4266-9205-1711A8E67411}"/>
    <cellStyle name="Normal 5 11 3" xfId="6286" xr:uid="{00000000-0005-0000-0000-00006C1E0000}"/>
    <cellStyle name="Normal 5 11 3 2" xfId="40317" xr:uid="{75261B6B-E47B-4B2E-B001-27DABF16652F}"/>
    <cellStyle name="Normal 5 11 4" xfId="40314" xr:uid="{216E0358-CEA9-452A-9872-0FE9752F07C7}"/>
    <cellStyle name="Normal 5 12" xfId="2238" xr:uid="{00000000-0005-0000-0000-00006D1E0000}"/>
    <cellStyle name="Normal 5 12 2" xfId="4292" xr:uid="{00000000-0005-0000-0000-00006E1E0000}"/>
    <cellStyle name="Normal 5 12 2 2" xfId="40319" xr:uid="{F024F893-995E-4B90-A1E0-73F9E821F767}"/>
    <cellStyle name="Normal 5 12 3" xfId="4869" xr:uid="{00000000-0005-0000-0000-00006F1E0000}"/>
    <cellStyle name="Normal 5 12 3 2" xfId="5288" xr:uid="{00000000-0005-0000-0000-0000701E0000}"/>
    <cellStyle name="Normal 5 12 3 2 2" xfId="7151" xr:uid="{00000000-0005-0000-0000-0000711E0000}"/>
    <cellStyle name="Normal 5 12 3 2 2 2" xfId="15584" xr:uid="{00000000-0005-0000-0000-0000721E0000}"/>
    <cellStyle name="Normal 5 12 3 2 2 2 2" xfId="27478" xr:uid="{1FF0CB68-8B27-47B1-8EDE-C9EF1B124DA2}"/>
    <cellStyle name="Normal 5 12 3 2 2 2 3" xfId="21818" xr:uid="{D93D09BB-1E34-4F52-90FC-58590A699EC5}"/>
    <cellStyle name="Normal 5 12 3 2 2 2 4" xfId="32858" xr:uid="{4FA6A87B-0348-4E40-87CD-9D7125BC73C9}"/>
    <cellStyle name="Normal 5 12 3 2 2 2 5" xfId="40323" xr:uid="{043F30ED-B469-4DF0-8EBF-717968B84134}"/>
    <cellStyle name="Normal 5 12 3 2 2 3" xfId="24645" xr:uid="{09D54E8C-7E05-42CF-B596-298583FF449A}"/>
    <cellStyle name="Normal 5 12 3 2 2 4" xfId="18985" xr:uid="{AA4EEA95-2F3B-4EB8-9948-C1BB5B141D6D}"/>
    <cellStyle name="Normal 5 12 3 2 2 5" xfId="30306" xr:uid="{32CBBC69-ED26-4D1D-864F-87879D710CCC}"/>
    <cellStyle name="Normal 5 12 3 2 2 6" xfId="40322" xr:uid="{A2B31FCB-FBB9-40C9-A462-F58127EF4EAA}"/>
    <cellStyle name="Normal 5 12 3 2 3" xfId="14174" xr:uid="{00000000-0005-0000-0000-0000731E0000}"/>
    <cellStyle name="Normal 5 12 3 2 3 2" xfId="26213" xr:uid="{79F95A6F-317B-4130-BC98-10386D03A3C4}"/>
    <cellStyle name="Normal 5 12 3 2 3 3" xfId="20553" xr:uid="{CDA56ADE-32B7-427B-97BE-08A597E4ADA9}"/>
    <cellStyle name="Normal 5 12 3 2 3 4" xfId="31593" xr:uid="{477FF12C-9582-4F9A-ACD5-DA47F4587AAC}"/>
    <cellStyle name="Normal 5 12 3 2 3 5" xfId="40324" xr:uid="{6C4654A8-FEE2-47B9-90F9-9C001E41BF8D}"/>
    <cellStyle name="Normal 5 12 3 2 4" xfId="23083" xr:uid="{8A6B4A93-23A3-4467-BC0A-F0F70C9323EE}"/>
    <cellStyle name="Normal 5 12 3 2 5" xfId="17423" xr:uid="{03E1ACA3-4E5F-444F-BD20-2245BF08ADF2}"/>
    <cellStyle name="Normal 5 12 3 2 6" xfId="28744" xr:uid="{408EBCA4-BE03-49ED-80C6-DC45DD59937B}"/>
    <cellStyle name="Normal 5 12 3 2 7" xfId="40321" xr:uid="{0B965C50-C662-4B79-B861-B05563E0F739}"/>
    <cellStyle name="Normal 5 12 3 3" xfId="6288" xr:uid="{00000000-0005-0000-0000-0000741E0000}"/>
    <cellStyle name="Normal 5 12 3 3 2" xfId="7612" xr:uid="{00000000-0005-0000-0000-0000751E0000}"/>
    <cellStyle name="Normal 5 12 3 3 2 2" xfId="16045" xr:uid="{00000000-0005-0000-0000-0000761E0000}"/>
    <cellStyle name="Normal 5 12 3 3 2 2 2" xfId="27939" xr:uid="{F03FD90C-A090-493B-827F-ABB514B21708}"/>
    <cellStyle name="Normal 5 12 3 3 2 2 3" xfId="22279" xr:uid="{E8CCE19A-19C0-4A04-92DF-90688247F856}"/>
    <cellStyle name="Normal 5 12 3 3 2 2 4" xfId="33319" xr:uid="{D2E71AEA-71EF-4913-82F3-209BA58E2A74}"/>
    <cellStyle name="Normal 5 12 3 3 2 2 5" xfId="40327" xr:uid="{5F6E2E36-5924-4C4E-960C-6D7DD93280FD}"/>
    <cellStyle name="Normal 5 12 3 3 2 3" xfId="25106" xr:uid="{84870463-2714-48B9-9BF3-1C4DC04BDF14}"/>
    <cellStyle name="Normal 5 12 3 3 2 4" xfId="19446" xr:uid="{8947C161-D52A-4D99-BF0E-638171805263}"/>
    <cellStyle name="Normal 5 12 3 3 2 5" xfId="30767" xr:uid="{BF3E9615-98A9-4938-9BAE-FE2A134E48B8}"/>
    <cellStyle name="Normal 5 12 3 3 2 6" xfId="40326" xr:uid="{28466A7A-0E4C-4D80-ADB7-9A37E12FB2A5}"/>
    <cellStyle name="Normal 5 12 3 3 3" xfId="14727" xr:uid="{00000000-0005-0000-0000-0000771E0000}"/>
    <cellStyle name="Normal 5 12 3 3 3 2" xfId="26683" xr:uid="{12C6D1F5-3725-4DCF-A5FE-79BBBBDCBCC1}"/>
    <cellStyle name="Normal 5 12 3 3 3 3" xfId="21023" xr:uid="{C9E5891F-7E7C-471D-B0F5-38397F671F8F}"/>
    <cellStyle name="Normal 5 12 3 3 3 4" xfId="32063" xr:uid="{D04DFEE8-06E6-4E47-9242-887128E04014}"/>
    <cellStyle name="Normal 5 12 3 3 3 5" xfId="40328" xr:uid="{B6AADF17-FE1B-4441-8A91-CD34F7E31ECD}"/>
    <cellStyle name="Normal 5 12 3 3 4" xfId="23850" xr:uid="{31F84321-C8B7-49DE-8565-DA161BD97B89}"/>
    <cellStyle name="Normal 5 12 3 3 5" xfId="18190" xr:uid="{AE3DAD0D-6640-48ED-923F-8E169BE8B682}"/>
    <cellStyle name="Normal 5 12 3 3 6" xfId="29511" xr:uid="{16BE9C00-48F5-45F9-A876-C24AE95E0B93}"/>
    <cellStyle name="Normal 5 12 3 3 7" xfId="40325" xr:uid="{F0329223-CE8B-40AA-933E-89F19AB9FF82}"/>
    <cellStyle name="Normal 5 12 3 4" xfId="6733" xr:uid="{00000000-0005-0000-0000-0000781E0000}"/>
    <cellStyle name="Normal 5 12 3 4 2" xfId="15166" xr:uid="{00000000-0005-0000-0000-0000791E0000}"/>
    <cellStyle name="Normal 5 12 3 4 2 2" xfId="27060" xr:uid="{687864B7-5B83-4C79-9601-F75F48C4171A}"/>
    <cellStyle name="Normal 5 12 3 4 2 3" xfId="21400" xr:uid="{29BB9F7C-7067-4C1B-A10E-0448D00506E7}"/>
    <cellStyle name="Normal 5 12 3 4 2 4" xfId="32440" xr:uid="{1AF9CB85-CD8B-48CD-B679-ABF9287E3945}"/>
    <cellStyle name="Normal 5 12 3 4 2 5" xfId="40330" xr:uid="{2122DB4C-DB8E-40AD-9C3E-23CFB0652F23}"/>
    <cellStyle name="Normal 5 12 3 4 3" xfId="24227" xr:uid="{4E6B4454-0C12-4905-9E22-E631D4264DAE}"/>
    <cellStyle name="Normal 5 12 3 4 4" xfId="18567" xr:uid="{DA588686-323A-4AD9-AEC9-C793B6538CD3}"/>
    <cellStyle name="Normal 5 12 3 4 5" xfId="29888" xr:uid="{90EEA3DF-CE0B-40BD-BB53-E27EAC26A7B2}"/>
    <cellStyle name="Normal 5 12 3 4 6" xfId="40329" xr:uid="{8FD5629A-1D65-492C-B056-F1F2C07646B4}"/>
    <cellStyle name="Normal 5 12 3 5" xfId="8056" xr:uid="{00000000-0005-0000-0000-00007A1E0000}"/>
    <cellStyle name="Normal 5 12 3 5 2" xfId="25535" xr:uid="{98C728FF-7B2E-4F6E-B720-CA021F379CDE}"/>
    <cellStyle name="Normal 5 12 3 5 3" xfId="19875" xr:uid="{98D1D110-E55D-4BBC-BBCD-00025463ECAE}"/>
    <cellStyle name="Normal 5 12 3 5 4" xfId="31196" xr:uid="{0AF51DF9-2884-4145-8328-6C1778C7FE9B}"/>
    <cellStyle name="Normal 5 12 3 5 5" xfId="40331" xr:uid="{29A5A868-1AD8-43E6-B4B5-63B1599AE7D0}"/>
    <cellStyle name="Normal 5 12 3 6" xfId="22665" xr:uid="{C7CEAB8D-567E-4883-891A-ED3FC5ED6846}"/>
    <cellStyle name="Normal 5 12 3 7" xfId="17005" xr:uid="{FA088978-FBE9-4F88-89C2-255CEDBF7C76}"/>
    <cellStyle name="Normal 5 12 3 8" xfId="28326" xr:uid="{065BEE61-4B58-493A-B596-D68A06FEEE47}"/>
    <cellStyle name="Normal 5 12 3 9" xfId="40320" xr:uid="{AD6C51EE-EF49-4F5C-887D-34DDB84CFE38}"/>
    <cellStyle name="Normal 5 12 4" xfId="5079" xr:uid="{00000000-0005-0000-0000-00007B1E0000}"/>
    <cellStyle name="Normal 5 12 4 2" xfId="6287" xr:uid="{00000000-0005-0000-0000-00007C1E0000}"/>
    <cellStyle name="Normal 5 12 4 2 2" xfId="7611" xr:uid="{00000000-0005-0000-0000-00007D1E0000}"/>
    <cellStyle name="Normal 5 12 4 2 2 2" xfId="16044" xr:uid="{00000000-0005-0000-0000-00007E1E0000}"/>
    <cellStyle name="Normal 5 12 4 2 2 2 2" xfId="27938" xr:uid="{92348E1C-BE2B-4E3B-9D81-E47B32ABFDE2}"/>
    <cellStyle name="Normal 5 12 4 2 2 2 3" xfId="22278" xr:uid="{CF4B6270-6408-4C5E-9B36-D420F0105180}"/>
    <cellStyle name="Normal 5 12 4 2 2 2 4" xfId="33318" xr:uid="{4FC5DB87-92B0-49FD-A885-90317DD2A0CE}"/>
    <cellStyle name="Normal 5 12 4 2 2 2 5" xfId="40335" xr:uid="{3DBD7E89-869C-4A89-A0F0-BF338C96B6E8}"/>
    <cellStyle name="Normal 5 12 4 2 2 3" xfId="25105" xr:uid="{67AF456B-A80F-45CF-8393-B1DCDEE56572}"/>
    <cellStyle name="Normal 5 12 4 2 2 4" xfId="19445" xr:uid="{CF48DBA3-DA6E-4867-AD61-6B05C3767EF1}"/>
    <cellStyle name="Normal 5 12 4 2 2 5" xfId="30766" xr:uid="{35CBB442-6FD1-4F0F-A45D-E965EB95F174}"/>
    <cellStyle name="Normal 5 12 4 2 2 6" xfId="40334" xr:uid="{0FC7E0A7-16A1-4F11-ABD5-C541A76D9C48}"/>
    <cellStyle name="Normal 5 12 4 2 3" xfId="14726" xr:uid="{00000000-0005-0000-0000-00007F1E0000}"/>
    <cellStyle name="Normal 5 12 4 2 3 2" xfId="26682" xr:uid="{8AD0F0D5-CCBA-4790-8766-5D908794CC00}"/>
    <cellStyle name="Normal 5 12 4 2 3 3" xfId="21022" xr:uid="{CE9F9C4B-2751-41C1-A33D-D21FD46194EF}"/>
    <cellStyle name="Normal 5 12 4 2 3 4" xfId="32062" xr:uid="{05057225-3743-41CF-932E-1EC5589F120A}"/>
    <cellStyle name="Normal 5 12 4 2 3 5" xfId="40336" xr:uid="{BC1CD9B5-89BA-42D4-931B-E12189E56579}"/>
    <cellStyle name="Normal 5 12 4 2 4" xfId="23849" xr:uid="{05E81CD8-6473-4244-ADB1-849A6BD14B66}"/>
    <cellStyle name="Normal 5 12 4 2 5" xfId="18189" xr:uid="{66855024-2532-4BC5-B0EB-FB586EDF31D6}"/>
    <cellStyle name="Normal 5 12 4 2 6" xfId="29510" xr:uid="{B445D1FE-8E40-4E85-B510-039FCE923EE6}"/>
    <cellStyle name="Normal 5 12 4 2 7" xfId="40333" xr:uid="{58A98E78-4C6E-4047-A943-8B216350E496}"/>
    <cellStyle name="Normal 5 12 4 3" xfId="6942" xr:uid="{00000000-0005-0000-0000-0000801E0000}"/>
    <cellStyle name="Normal 5 12 4 3 2" xfId="15375" xr:uid="{00000000-0005-0000-0000-0000811E0000}"/>
    <cellStyle name="Normal 5 12 4 3 2 2" xfId="27269" xr:uid="{80763598-E0BE-44D7-BF90-2820C79D6AF3}"/>
    <cellStyle name="Normal 5 12 4 3 2 3" xfId="21609" xr:uid="{96FD2722-0D19-4B6F-BF09-0E12812883DC}"/>
    <cellStyle name="Normal 5 12 4 3 2 4" xfId="32649" xr:uid="{48030FE4-2FB0-495F-B106-09C66B33E33F}"/>
    <cellStyle name="Normal 5 12 4 3 2 5" xfId="40338" xr:uid="{C2698067-AE47-4ABD-AA95-0213DCFDAA41}"/>
    <cellStyle name="Normal 5 12 4 3 3" xfId="24436" xr:uid="{905CB89A-58D7-414A-A701-41FBE30F37E4}"/>
    <cellStyle name="Normal 5 12 4 3 4" xfId="18776" xr:uid="{5838DCDF-5147-4007-A5BE-7FBF41A5117A}"/>
    <cellStyle name="Normal 5 12 4 3 5" xfId="30097" xr:uid="{A667F8AA-838D-48DC-9234-37FE700C27EA}"/>
    <cellStyle name="Normal 5 12 4 3 6" xfId="40337" xr:uid="{EFD267E8-72F9-4722-94A5-BD557351C986}"/>
    <cellStyle name="Normal 5 12 4 4" xfId="8057" xr:uid="{00000000-0005-0000-0000-0000821E0000}"/>
    <cellStyle name="Normal 5 12 4 4 2" xfId="25536" xr:uid="{1FE23A50-53E2-46BD-B6B8-57619FE5C419}"/>
    <cellStyle name="Normal 5 12 4 4 3" xfId="19876" xr:uid="{CE832833-020F-477E-B7E6-360EDE1CBD09}"/>
    <cellStyle name="Normal 5 12 4 4 4" xfId="31197" xr:uid="{2B338FBE-E9F9-4226-B4DA-A092B3DD72CC}"/>
    <cellStyle name="Normal 5 12 4 4 5" xfId="40339" xr:uid="{4A8D8E10-2ACC-4E3F-9436-DE83E26C1C5A}"/>
    <cellStyle name="Normal 5 12 4 5" xfId="22874" xr:uid="{64E81ACA-FB7C-42CF-B596-38CF5DA433F6}"/>
    <cellStyle name="Normal 5 12 4 6" xfId="17214" xr:uid="{3512F889-47BB-4777-AD74-82B361922707}"/>
    <cellStyle name="Normal 5 12 4 7" xfId="28535" xr:uid="{962DFB3F-5EA4-4B6D-9C39-1F451666CE7A}"/>
    <cellStyle name="Normal 5 12 4 8" xfId="40332" xr:uid="{E3A5DF2C-969A-4759-824B-E9409A8F428F}"/>
    <cellStyle name="Normal 5 12 5" xfId="6524" xr:uid="{00000000-0005-0000-0000-0000831E0000}"/>
    <cellStyle name="Normal 5 12 5 2" xfId="14957" xr:uid="{00000000-0005-0000-0000-0000841E0000}"/>
    <cellStyle name="Normal 5 12 5 2 2" xfId="26851" xr:uid="{F3254724-E64F-4F3D-ADEB-386F442AD75F}"/>
    <cellStyle name="Normal 5 12 5 2 3" xfId="21191" xr:uid="{3430BE25-A0A4-4E0F-BF13-8194D28C2D05}"/>
    <cellStyle name="Normal 5 12 5 2 4" xfId="32231" xr:uid="{7D4A39BC-BBB0-4ACE-A0BB-BFD10BFCD9C5}"/>
    <cellStyle name="Normal 5 12 5 2 5" xfId="40341" xr:uid="{B9B71A9D-869D-40CB-B9F1-911882237EEF}"/>
    <cellStyle name="Normal 5 12 5 3" xfId="24018" xr:uid="{92CDC29E-79B8-4F26-9359-EAEABF67E759}"/>
    <cellStyle name="Normal 5 12 5 4" xfId="18358" xr:uid="{34EAC223-5CD5-4FCF-8EE1-477C62CB940D}"/>
    <cellStyle name="Normal 5 12 5 5" xfId="29679" xr:uid="{59661D90-838B-4566-87E9-CDE588F46580}"/>
    <cellStyle name="Normal 5 12 5 6" xfId="40340" xr:uid="{DA74B56D-266C-452E-9A9F-1F016ABF7332}"/>
    <cellStyle name="Normal 5 12 6" xfId="22456" xr:uid="{31B12254-6ADA-44A6-A3CD-1993FD323FC2}"/>
    <cellStyle name="Normal 5 12 7" xfId="16796" xr:uid="{2E5DDE7A-AE78-4977-93EC-32D19A606AD4}"/>
    <cellStyle name="Normal 5 12 8" xfId="28117" xr:uid="{3F8764EF-7C5E-4009-AF23-5DF52E360D53}"/>
    <cellStyle name="Normal 5 12 9" xfId="40318" xr:uid="{F4B9BA51-361B-4313-87ED-137A0F8D962C}"/>
    <cellStyle name="Normal 5 13" xfId="2235" xr:uid="{00000000-0005-0000-0000-0000851E0000}"/>
    <cellStyle name="Normal 5 13 10" xfId="40342" xr:uid="{9F87D99A-B03D-4219-8D94-9F93FD07FB3B}"/>
    <cellStyle name="Normal 5 13 2" xfId="4868" xr:uid="{00000000-0005-0000-0000-0000861E0000}"/>
    <cellStyle name="Normal 5 13 2 2" xfId="5287" xr:uid="{00000000-0005-0000-0000-0000871E0000}"/>
    <cellStyle name="Normal 5 13 2 2 2" xfId="7150" xr:uid="{00000000-0005-0000-0000-0000881E0000}"/>
    <cellStyle name="Normal 5 13 2 2 2 2" xfId="15583" xr:uid="{00000000-0005-0000-0000-0000891E0000}"/>
    <cellStyle name="Normal 5 13 2 2 2 2 2" xfId="27477" xr:uid="{FBC0F8DD-E611-43D4-8A7A-6EAFF5E48DA3}"/>
    <cellStyle name="Normal 5 13 2 2 2 2 3" xfId="21817" xr:uid="{883687C5-7CD9-4459-9660-6B1078F3724C}"/>
    <cellStyle name="Normal 5 13 2 2 2 2 4" xfId="32857" xr:uid="{DF6D8E6A-5F6B-4860-88C5-AFA9FF6B460C}"/>
    <cellStyle name="Normal 5 13 2 2 2 2 5" xfId="40346" xr:uid="{52336826-7105-4116-B079-3C52611F5C85}"/>
    <cellStyle name="Normal 5 13 2 2 2 3" xfId="24644" xr:uid="{98E374C1-328D-4E93-9BDC-C9A2B2FD6BA4}"/>
    <cellStyle name="Normal 5 13 2 2 2 4" xfId="18984" xr:uid="{6AD5F31A-B798-4C05-A40D-78DEDC41952F}"/>
    <cellStyle name="Normal 5 13 2 2 2 5" xfId="30305" xr:uid="{5AE05164-B000-432D-92AA-AE8877D5D486}"/>
    <cellStyle name="Normal 5 13 2 2 2 6" xfId="40345" xr:uid="{E49B0422-B43B-4C78-9C33-AFC8C1AF3B3F}"/>
    <cellStyle name="Normal 5 13 2 2 3" xfId="14173" xr:uid="{00000000-0005-0000-0000-00008A1E0000}"/>
    <cellStyle name="Normal 5 13 2 2 3 2" xfId="26212" xr:uid="{52E5CFB0-AACA-44BF-AC26-16D0CB14BC67}"/>
    <cellStyle name="Normal 5 13 2 2 3 3" xfId="20552" xr:uid="{E8DADEB9-4863-4551-B02E-E1A51913D017}"/>
    <cellStyle name="Normal 5 13 2 2 3 4" xfId="31592" xr:uid="{B27A5702-8E76-4959-9051-15E9C5077077}"/>
    <cellStyle name="Normal 5 13 2 2 3 5" xfId="40347" xr:uid="{3D52BEE7-C281-4C60-B24D-00536C1B89C8}"/>
    <cellStyle name="Normal 5 13 2 2 4" xfId="23082" xr:uid="{3938A593-892A-45A7-BA3A-98259BBA0707}"/>
    <cellStyle name="Normal 5 13 2 2 5" xfId="17422" xr:uid="{F1123D42-23DA-4874-A5CF-DEC103FF2C17}"/>
    <cellStyle name="Normal 5 13 2 2 6" xfId="28743" xr:uid="{92D99C3D-D2DA-45BF-AFB3-6B8C62C94BE2}"/>
    <cellStyle name="Normal 5 13 2 2 7" xfId="40344" xr:uid="{279D5796-15D3-47A1-8386-3F652F17C462}"/>
    <cellStyle name="Normal 5 13 2 3" xfId="6290" xr:uid="{00000000-0005-0000-0000-00008B1E0000}"/>
    <cellStyle name="Normal 5 13 2 3 2" xfId="7614" xr:uid="{00000000-0005-0000-0000-00008C1E0000}"/>
    <cellStyle name="Normal 5 13 2 3 2 2" xfId="16047" xr:uid="{00000000-0005-0000-0000-00008D1E0000}"/>
    <cellStyle name="Normal 5 13 2 3 2 2 2" xfId="27941" xr:uid="{6ACB7B91-26F7-4C8E-9DB3-078E3CAB68EE}"/>
    <cellStyle name="Normal 5 13 2 3 2 2 3" xfId="22281" xr:uid="{8428470C-D429-49F2-A685-E5610A18695C}"/>
    <cellStyle name="Normal 5 13 2 3 2 2 4" xfId="33321" xr:uid="{3A587C4A-1CBE-452C-A43A-4E0DEF36E883}"/>
    <cellStyle name="Normal 5 13 2 3 2 2 5" xfId="40350" xr:uid="{949C2733-1F28-47CE-8A75-9017F5357B7D}"/>
    <cellStyle name="Normal 5 13 2 3 2 3" xfId="25108" xr:uid="{1263FF57-6AB7-490E-8C63-9374E1D0D6A9}"/>
    <cellStyle name="Normal 5 13 2 3 2 4" xfId="19448" xr:uid="{15833927-2333-4ED3-9477-02C0C8876E0D}"/>
    <cellStyle name="Normal 5 13 2 3 2 5" xfId="30769" xr:uid="{A4862A8C-DB89-49CE-A12B-9D88BA2BE808}"/>
    <cellStyle name="Normal 5 13 2 3 2 6" xfId="40349" xr:uid="{39B8D564-8246-447D-950D-08A46F39111A}"/>
    <cellStyle name="Normal 5 13 2 3 3" xfId="14729" xr:uid="{00000000-0005-0000-0000-00008E1E0000}"/>
    <cellStyle name="Normal 5 13 2 3 3 2" xfId="26685" xr:uid="{FD189931-EC31-4C39-838F-CB8120253A60}"/>
    <cellStyle name="Normal 5 13 2 3 3 3" xfId="21025" xr:uid="{43DAA826-0F85-4753-B04A-FF42186B46CA}"/>
    <cellStyle name="Normal 5 13 2 3 3 4" xfId="32065" xr:uid="{D6F7C559-943C-441C-BEA7-94C5C2C87B42}"/>
    <cellStyle name="Normal 5 13 2 3 3 5" xfId="40351" xr:uid="{C9B4F8D7-4D14-434C-BB2B-5021407EA8A8}"/>
    <cellStyle name="Normal 5 13 2 3 4" xfId="23852" xr:uid="{31CFF31E-3DD6-497F-B85E-BCE05E22FBC0}"/>
    <cellStyle name="Normal 5 13 2 3 5" xfId="18192" xr:uid="{52DBD1F4-0DB9-4923-84B1-85A097B813A1}"/>
    <cellStyle name="Normal 5 13 2 3 6" xfId="29513" xr:uid="{146F12EC-47CB-4B3C-9DE7-1944F5043BA8}"/>
    <cellStyle name="Normal 5 13 2 3 7" xfId="40348" xr:uid="{D417E20F-D9A3-4ADB-9542-3C4486E51930}"/>
    <cellStyle name="Normal 5 13 2 4" xfId="6732" xr:uid="{00000000-0005-0000-0000-00008F1E0000}"/>
    <cellStyle name="Normal 5 13 2 4 2" xfId="15165" xr:uid="{00000000-0005-0000-0000-0000901E0000}"/>
    <cellStyle name="Normal 5 13 2 4 2 2" xfId="27059" xr:uid="{AFC09956-1090-4B1E-A81C-1498C3E9028F}"/>
    <cellStyle name="Normal 5 13 2 4 2 3" xfId="21399" xr:uid="{991F4730-3F6F-4997-946A-0CB405692960}"/>
    <cellStyle name="Normal 5 13 2 4 2 4" xfId="32439" xr:uid="{D81F094B-19F9-4096-9BD9-1CEE86354042}"/>
    <cellStyle name="Normal 5 13 2 4 2 5" xfId="40353" xr:uid="{6ADB9EF4-137D-469A-883F-02F3EF619844}"/>
    <cellStyle name="Normal 5 13 2 4 3" xfId="24226" xr:uid="{427C69E3-405A-4AE7-A3D4-42D484E54BCE}"/>
    <cellStyle name="Normal 5 13 2 4 4" xfId="18566" xr:uid="{66E2E9AF-2577-4DBB-B238-A4A6CD53B67D}"/>
    <cellStyle name="Normal 5 13 2 4 5" xfId="29887" xr:uid="{AD46B284-8CE3-45BB-8D44-5B1D6EC5192B}"/>
    <cellStyle name="Normal 5 13 2 4 6" xfId="40352" xr:uid="{9B881240-AF05-4475-8F73-F91CAC909024}"/>
    <cellStyle name="Normal 5 13 2 5" xfId="8059" xr:uid="{00000000-0005-0000-0000-0000911E0000}"/>
    <cellStyle name="Normal 5 13 2 5 2" xfId="25538" xr:uid="{4E28AFFD-55F1-4F6B-B3C1-B2A79BF99840}"/>
    <cellStyle name="Normal 5 13 2 5 3" xfId="19878" xr:uid="{3812272C-AD69-465E-B8E3-C419B6405B9F}"/>
    <cellStyle name="Normal 5 13 2 5 4" xfId="31199" xr:uid="{C2956F40-9E56-469D-8E8F-824464E8A6AB}"/>
    <cellStyle name="Normal 5 13 2 5 5" xfId="40354" xr:uid="{CF1BFC4A-203A-4176-9B4F-7924FDF42471}"/>
    <cellStyle name="Normal 5 13 2 6" xfId="22664" xr:uid="{063A1EF1-C9F4-4884-85E2-8DAF8D551E13}"/>
    <cellStyle name="Normal 5 13 2 7" xfId="17004" xr:uid="{32A0416D-1059-48C8-B5EB-D0BEE386A030}"/>
    <cellStyle name="Normal 5 13 2 8" xfId="28325" xr:uid="{7A54A83C-A3B6-4C8F-A6F3-C367981D9E79}"/>
    <cellStyle name="Normal 5 13 2 9" xfId="40343" xr:uid="{E0D4FD33-2040-4B35-963C-7D5AC30BD30D}"/>
    <cellStyle name="Normal 5 13 3" xfId="5078" xr:uid="{00000000-0005-0000-0000-0000921E0000}"/>
    <cellStyle name="Normal 5 13 3 2" xfId="6941" xr:uid="{00000000-0005-0000-0000-0000931E0000}"/>
    <cellStyle name="Normal 5 13 3 2 2" xfId="15374" xr:uid="{00000000-0005-0000-0000-0000941E0000}"/>
    <cellStyle name="Normal 5 13 3 2 2 2" xfId="27268" xr:uid="{2542E132-427D-4529-B701-0DB866408D4A}"/>
    <cellStyle name="Normal 5 13 3 2 2 3" xfId="21608" xr:uid="{2B93993E-67CD-456F-A301-E0E2C122A30C}"/>
    <cellStyle name="Normal 5 13 3 2 2 4" xfId="32648" xr:uid="{1D1C622C-C378-4B16-97AB-4346E6B0ABF1}"/>
    <cellStyle name="Normal 5 13 3 2 2 5" xfId="40357" xr:uid="{563F5D3C-DE95-48B4-A586-CDFE1BA3067E}"/>
    <cellStyle name="Normal 5 13 3 2 3" xfId="24435" xr:uid="{D322D8FC-C54F-4100-B2D5-479CABCE1055}"/>
    <cellStyle name="Normal 5 13 3 2 4" xfId="18775" xr:uid="{D957C1E6-FA23-43A6-82AB-33A3966FC45F}"/>
    <cellStyle name="Normal 5 13 3 2 5" xfId="30096" xr:uid="{7FEBB6CA-9F0F-430C-840E-A253B83856EE}"/>
    <cellStyle name="Normal 5 13 3 2 6" xfId="40356" xr:uid="{B28AC51E-9794-48D5-B8B3-8EA5EEB5D757}"/>
    <cellStyle name="Normal 5 13 3 3" xfId="13969" xr:uid="{00000000-0005-0000-0000-0000951E0000}"/>
    <cellStyle name="Normal 5 13 3 3 2" xfId="26010" xr:uid="{828205FC-452C-4DCC-B974-7EF3A56A3654}"/>
    <cellStyle name="Normal 5 13 3 3 3" xfId="20350" xr:uid="{B9CB2EBF-BE94-41A8-89E2-AC0358373C43}"/>
    <cellStyle name="Normal 5 13 3 3 4" xfId="31390" xr:uid="{D86CFC4D-FEB2-43D7-B52E-6E0244FB42F7}"/>
    <cellStyle name="Normal 5 13 3 3 5" xfId="40358" xr:uid="{AA7870CB-B8CE-4D81-8737-32A5F303EB41}"/>
    <cellStyle name="Normal 5 13 3 4" xfId="9679" xr:uid="{00000000-0005-0000-0000-0000961E0000}"/>
    <cellStyle name="Normal 5 13 3 4 2" xfId="40359" xr:uid="{27ED5583-415E-41FE-90F0-A92D47612967}"/>
    <cellStyle name="Normal 5 13 3 5" xfId="22873" xr:uid="{9A18768F-B726-4F28-9DDB-DC6A1EA8FF01}"/>
    <cellStyle name="Normal 5 13 3 6" xfId="17213" xr:uid="{6195279C-2948-46B4-BBE3-26F1B557901A}"/>
    <cellStyle name="Normal 5 13 3 7" xfId="28534" xr:uid="{6934BE56-AE44-47AF-B4A7-EC28FABB269A}"/>
    <cellStyle name="Normal 5 13 3 8" xfId="40355" xr:uid="{24F9FACA-C4E3-4470-9DB5-A44C39E3A96F}"/>
    <cellStyle name="Normal 5 13 4" xfId="6289" xr:uid="{00000000-0005-0000-0000-0000971E0000}"/>
    <cellStyle name="Normal 5 13 4 2" xfId="7613" xr:uid="{00000000-0005-0000-0000-0000981E0000}"/>
    <cellStyle name="Normal 5 13 4 2 2" xfId="16046" xr:uid="{00000000-0005-0000-0000-0000991E0000}"/>
    <cellStyle name="Normal 5 13 4 2 2 2" xfId="27940" xr:uid="{8549AA00-CF4A-4392-A50F-2596F01D1AFD}"/>
    <cellStyle name="Normal 5 13 4 2 2 3" xfId="22280" xr:uid="{8CD3D032-CF19-4F53-9236-695F02424A4F}"/>
    <cellStyle name="Normal 5 13 4 2 2 4" xfId="33320" xr:uid="{128DDA19-B8F9-4744-A373-2F093FF0FD9D}"/>
    <cellStyle name="Normal 5 13 4 2 2 5" xfId="40362" xr:uid="{9EC7BB52-EAA9-48C1-A2A0-2E3D223FFE4F}"/>
    <cellStyle name="Normal 5 13 4 2 3" xfId="25107" xr:uid="{CB378B1A-F969-449B-8280-5219C68D0C38}"/>
    <cellStyle name="Normal 5 13 4 2 4" xfId="19447" xr:uid="{429A0924-CB87-4EAB-9420-9CD9D384AF25}"/>
    <cellStyle name="Normal 5 13 4 2 5" xfId="30768" xr:uid="{909C11F4-6029-4C30-A2C8-E6612F86BAD7}"/>
    <cellStyle name="Normal 5 13 4 2 6" xfId="40361" xr:uid="{402C943F-42AA-4398-930E-62034333A430}"/>
    <cellStyle name="Normal 5 13 4 3" xfId="14728" xr:uid="{00000000-0005-0000-0000-00009A1E0000}"/>
    <cellStyle name="Normal 5 13 4 3 2" xfId="26684" xr:uid="{0D7B59E8-DB01-4082-8C92-BED1E9D364D3}"/>
    <cellStyle name="Normal 5 13 4 3 3" xfId="21024" xr:uid="{E5358ADA-03F1-4CEF-BFCC-92A858493E4F}"/>
    <cellStyle name="Normal 5 13 4 3 4" xfId="32064" xr:uid="{79064AC3-A2C2-4130-BF87-F969A0171F85}"/>
    <cellStyle name="Normal 5 13 4 3 5" xfId="40363" xr:uid="{3FB5959F-18FF-4F0F-9BF8-5A4C60384835}"/>
    <cellStyle name="Normal 5 13 4 4" xfId="23851" xr:uid="{9EDF59DA-4B9D-4403-A728-FA3F97D771B0}"/>
    <cellStyle name="Normal 5 13 4 5" xfId="18191" xr:uid="{BF59ECCB-012E-4D19-A83E-FE20014E3325}"/>
    <cellStyle name="Normal 5 13 4 6" xfId="29512" xr:uid="{8EADD6FB-6EAD-427E-B877-E81230EA8389}"/>
    <cellStyle name="Normal 5 13 4 7" xfId="40360" xr:uid="{F09869D7-EAFD-4CE3-BFD8-505485A3822F}"/>
    <cellStyle name="Normal 5 13 5" xfId="6523" xr:uid="{00000000-0005-0000-0000-00009B1E0000}"/>
    <cellStyle name="Normal 5 13 5 2" xfId="14956" xr:uid="{00000000-0005-0000-0000-00009C1E0000}"/>
    <cellStyle name="Normal 5 13 5 2 2" xfId="26850" xr:uid="{6EC2A191-234D-4336-8B47-E268EB5B23FE}"/>
    <cellStyle name="Normal 5 13 5 2 3" xfId="21190" xr:uid="{5E24CFA7-37ED-40DF-AED8-62DC4C902316}"/>
    <cellStyle name="Normal 5 13 5 2 4" xfId="32230" xr:uid="{FB4CD974-4B9C-4C4D-B897-3133B5CB328F}"/>
    <cellStyle name="Normal 5 13 5 2 5" xfId="40365" xr:uid="{DEDB3D98-B20B-4A69-A3DF-027106D05B9E}"/>
    <cellStyle name="Normal 5 13 5 3" xfId="24017" xr:uid="{B87F21C0-9935-457D-B80F-02162B553DD1}"/>
    <cellStyle name="Normal 5 13 5 4" xfId="18357" xr:uid="{AFD3332D-1CAA-4A1D-8240-DAE4E05762D9}"/>
    <cellStyle name="Normal 5 13 5 5" xfId="29678" xr:uid="{D59791DC-5CE1-41AC-94F1-EA9FBCDD08C3}"/>
    <cellStyle name="Normal 5 13 5 6" xfId="40364" xr:uid="{77F23F00-966C-4259-B5EE-BA0B33253F42}"/>
    <cellStyle name="Normal 5 13 6" xfId="8058" xr:uid="{00000000-0005-0000-0000-00009D1E0000}"/>
    <cellStyle name="Normal 5 13 6 2" xfId="25537" xr:uid="{F2DA6A9A-48AC-48A3-9B91-4D44A25BD764}"/>
    <cellStyle name="Normal 5 13 6 3" xfId="19877" xr:uid="{8FA94B90-5BF2-428F-8A2A-F2744B019856}"/>
    <cellStyle name="Normal 5 13 6 4" xfId="31198" xr:uid="{2539457F-BE20-41B0-ACC7-5DD94B957E5E}"/>
    <cellStyle name="Normal 5 13 6 5" xfId="40366" xr:uid="{AE6635B3-7B20-4ED6-B66B-607DCD57BAFE}"/>
    <cellStyle name="Normal 5 13 7" xfId="22455" xr:uid="{C51CA980-4039-49C9-BE4D-B51B0A9E1C04}"/>
    <cellStyle name="Normal 5 13 8" xfId="16795" xr:uid="{F81EC4EE-9A24-4015-BB69-42517E1CF83D}"/>
    <cellStyle name="Normal 5 13 9" xfId="28116" xr:uid="{77C8E690-8C84-48C4-8B0A-86B9B43F171C}"/>
    <cellStyle name="Normal 5 14" xfId="8060" xr:uid="{00000000-0005-0000-0000-00009E1E0000}"/>
    <cellStyle name="Normal 5 14 2" xfId="9680" xr:uid="{00000000-0005-0000-0000-00009F1E0000}"/>
    <cellStyle name="Normal 5 14 2 2" xfId="40368" xr:uid="{6115FD5D-E42B-4C8E-8C36-8730E307EEAF}"/>
    <cellStyle name="Normal 5 14 3" xfId="40367" xr:uid="{CD539BAB-3791-4DB8-ADB2-4390BACC8166}"/>
    <cellStyle name="Normal 5 15" xfId="40309" xr:uid="{D25A436E-A137-4B0A-BAE8-2F16DCD254D7}"/>
    <cellStyle name="Normal 5 2" xfId="172" xr:uid="{00000000-0005-0000-0000-0000A01E0000}"/>
    <cellStyle name="Normal 5 2 10" xfId="9681" xr:uid="{00000000-0005-0000-0000-0000A11E0000}"/>
    <cellStyle name="Normal 5 2 10 2" xfId="25641" xr:uid="{2EF79A8D-89FC-44BB-BDDF-7EF5F5FF9882}"/>
    <cellStyle name="Normal 5 2 10 3" xfId="19981" xr:uid="{272E8BDE-2718-4744-AA32-117C43DF216B}"/>
    <cellStyle name="Normal 5 2 10 4" xfId="31291" xr:uid="{C020FCFB-AFE9-497D-8F79-F8AA30382972}"/>
    <cellStyle name="Normal 5 2 10 5" xfId="40370" xr:uid="{3B9EB4B3-9E06-4197-8E71-6FDCB7695E7D}"/>
    <cellStyle name="Normal 5 2 11" xfId="40369" xr:uid="{09CFF4C9-6F95-4155-90E5-214265B68C77}"/>
    <cellStyle name="Normal 5 2 2" xfId="173" xr:uid="{00000000-0005-0000-0000-0000A21E0000}"/>
    <cellStyle name="Normal 5 2 2 10" xfId="4294" xr:uid="{00000000-0005-0000-0000-0000A31E0000}"/>
    <cellStyle name="Normal 5 2 2 10 10" xfId="40372" xr:uid="{E6AD34D9-C1DB-42AC-9635-716DDEB16D13}"/>
    <cellStyle name="Normal 5 2 2 10 2" xfId="4966" xr:uid="{00000000-0005-0000-0000-0000A41E0000}"/>
    <cellStyle name="Normal 5 2 2 10 2 2" xfId="5385" xr:uid="{00000000-0005-0000-0000-0000A51E0000}"/>
    <cellStyle name="Normal 5 2 2 10 2 2 2" xfId="7248" xr:uid="{00000000-0005-0000-0000-0000A61E0000}"/>
    <cellStyle name="Normal 5 2 2 10 2 2 2 2" xfId="15681" xr:uid="{00000000-0005-0000-0000-0000A71E0000}"/>
    <cellStyle name="Normal 5 2 2 10 2 2 2 2 2" xfId="27575" xr:uid="{71142BBD-78F3-419F-84FB-408EF8071784}"/>
    <cellStyle name="Normal 5 2 2 10 2 2 2 2 3" xfId="21915" xr:uid="{86EA9343-1273-4FBE-947C-948447742029}"/>
    <cellStyle name="Normal 5 2 2 10 2 2 2 2 4" xfId="32955" xr:uid="{17D72C6F-B5E3-472A-8B5A-7119E2EC6249}"/>
    <cellStyle name="Normal 5 2 2 10 2 2 2 2 5" xfId="40376" xr:uid="{807099B3-6553-4E47-BD64-5D962A5040C2}"/>
    <cellStyle name="Normal 5 2 2 10 2 2 2 3" xfId="24742" xr:uid="{239D703A-8424-4B99-A622-9A2E9CED1C13}"/>
    <cellStyle name="Normal 5 2 2 10 2 2 2 4" xfId="19082" xr:uid="{B3A59CBE-5723-4058-8146-FDBA43C3E81A}"/>
    <cellStyle name="Normal 5 2 2 10 2 2 2 5" xfId="30403" xr:uid="{19308004-D750-4F66-ACFF-DCA6D452E61D}"/>
    <cellStyle name="Normal 5 2 2 10 2 2 2 6" xfId="40375" xr:uid="{139FB0BB-6DD5-4886-BAC5-350015C0F1B4}"/>
    <cellStyle name="Normal 5 2 2 10 2 2 3" xfId="14271" xr:uid="{00000000-0005-0000-0000-0000A81E0000}"/>
    <cellStyle name="Normal 5 2 2 10 2 2 3 2" xfId="26310" xr:uid="{3C8C5F57-1699-4C1E-BBE5-EB31124EE637}"/>
    <cellStyle name="Normal 5 2 2 10 2 2 3 3" xfId="20650" xr:uid="{14AD6B2E-7E78-4520-882C-7A52E7299305}"/>
    <cellStyle name="Normal 5 2 2 10 2 2 3 4" xfId="31690" xr:uid="{49B2FB9C-6159-4780-B099-C03C4FFF9DD9}"/>
    <cellStyle name="Normal 5 2 2 10 2 2 3 5" xfId="40377" xr:uid="{E3949A1C-2B82-4F90-B1E6-FA74D7A108E6}"/>
    <cellStyle name="Normal 5 2 2 10 2 2 4" xfId="23180" xr:uid="{F959B3D3-B89A-4088-942A-93B551BBB0B5}"/>
    <cellStyle name="Normal 5 2 2 10 2 2 5" xfId="17520" xr:uid="{5FE7AE86-C29A-453F-AB2A-5FB0A0B8E245}"/>
    <cellStyle name="Normal 5 2 2 10 2 2 6" xfId="28841" xr:uid="{4D2DA9EA-9F20-44EE-82FA-5A3134E6433C}"/>
    <cellStyle name="Normal 5 2 2 10 2 2 7" xfId="40374" xr:uid="{9A19A28D-50C1-44AB-8584-0723D88CBA1F}"/>
    <cellStyle name="Normal 5 2 2 10 2 3" xfId="6292" xr:uid="{00000000-0005-0000-0000-0000A91E0000}"/>
    <cellStyle name="Normal 5 2 2 10 2 3 2" xfId="7616" xr:uid="{00000000-0005-0000-0000-0000AA1E0000}"/>
    <cellStyle name="Normal 5 2 2 10 2 3 2 2" xfId="16049" xr:uid="{00000000-0005-0000-0000-0000AB1E0000}"/>
    <cellStyle name="Normal 5 2 2 10 2 3 2 2 2" xfId="27943" xr:uid="{F21EE24A-4B7D-408F-82EB-DB2C3F78BE5F}"/>
    <cellStyle name="Normal 5 2 2 10 2 3 2 2 3" xfId="22283" xr:uid="{B52B0794-6150-49A7-9793-DC5AAFCE6A23}"/>
    <cellStyle name="Normal 5 2 2 10 2 3 2 2 4" xfId="33323" xr:uid="{CF844679-5B2D-46BA-9200-7B7A73ABAEF9}"/>
    <cellStyle name="Normal 5 2 2 10 2 3 2 2 5" xfId="40380" xr:uid="{95F15093-0409-4ED8-AC6F-BBD642B0C718}"/>
    <cellStyle name="Normal 5 2 2 10 2 3 2 3" xfId="25110" xr:uid="{E3BCB92C-9477-4971-9743-71AB5858B098}"/>
    <cellStyle name="Normal 5 2 2 10 2 3 2 4" xfId="19450" xr:uid="{1C756499-E4BB-42C6-80BD-360FD44B33B7}"/>
    <cellStyle name="Normal 5 2 2 10 2 3 2 5" xfId="30771" xr:uid="{516EB3E0-B5CB-4C69-BFC3-A6D66071A68A}"/>
    <cellStyle name="Normal 5 2 2 10 2 3 2 6" xfId="40379" xr:uid="{F568A8AC-FFB0-4B1F-B8EA-AF7382F50873}"/>
    <cellStyle name="Normal 5 2 2 10 2 3 3" xfId="14731" xr:uid="{00000000-0005-0000-0000-0000AC1E0000}"/>
    <cellStyle name="Normal 5 2 2 10 2 3 3 2" xfId="26687" xr:uid="{FF4D6CCA-5700-4C9D-A769-D26C3A7C9840}"/>
    <cellStyle name="Normal 5 2 2 10 2 3 3 3" xfId="21027" xr:uid="{0A35C227-A26E-4AF3-B0F6-8414649B062A}"/>
    <cellStyle name="Normal 5 2 2 10 2 3 3 4" xfId="32067" xr:uid="{C0B0A2EC-95AD-4A38-8F37-4E38C3703F26}"/>
    <cellStyle name="Normal 5 2 2 10 2 3 3 5" xfId="40381" xr:uid="{58E6AB8A-12D0-4F3A-956B-B82011AA6EEE}"/>
    <cellStyle name="Normal 5 2 2 10 2 3 4" xfId="23854" xr:uid="{A12C731C-D90E-4A03-81D8-95E4DE1DF28C}"/>
    <cellStyle name="Normal 5 2 2 10 2 3 5" xfId="18194" xr:uid="{8D4E4602-82F2-4DAF-BC15-775EB2778117}"/>
    <cellStyle name="Normal 5 2 2 10 2 3 6" xfId="29515" xr:uid="{36257E5A-BBA1-4DBF-9BE7-D83BC23B4F55}"/>
    <cellStyle name="Normal 5 2 2 10 2 3 7" xfId="40378" xr:uid="{97DDE30E-9E18-44FA-ABD6-86654AD02338}"/>
    <cellStyle name="Normal 5 2 2 10 2 4" xfId="6830" xr:uid="{00000000-0005-0000-0000-0000AD1E0000}"/>
    <cellStyle name="Normal 5 2 2 10 2 4 2" xfId="15263" xr:uid="{00000000-0005-0000-0000-0000AE1E0000}"/>
    <cellStyle name="Normal 5 2 2 10 2 4 2 2" xfId="27157" xr:uid="{01B4D01F-CEF4-4E3C-AD52-74D8CA1862BD}"/>
    <cellStyle name="Normal 5 2 2 10 2 4 2 3" xfId="21497" xr:uid="{E4AAEE51-DD22-4620-B2F2-AFF26FADA39D}"/>
    <cellStyle name="Normal 5 2 2 10 2 4 2 4" xfId="32537" xr:uid="{486C00FF-EAC3-4383-9B04-92247C2A79DE}"/>
    <cellStyle name="Normal 5 2 2 10 2 4 2 5" xfId="40383" xr:uid="{0211CF41-F8B6-46BB-A046-E1AB510BAB2B}"/>
    <cellStyle name="Normal 5 2 2 10 2 4 3" xfId="24324" xr:uid="{5CF5FD96-C72B-4553-80A7-B9623776F99C}"/>
    <cellStyle name="Normal 5 2 2 10 2 4 4" xfId="18664" xr:uid="{1AE7C7D6-6B1B-4800-BDCD-24E81AC2ED10}"/>
    <cellStyle name="Normal 5 2 2 10 2 4 5" xfId="29985" xr:uid="{1F4E3ECA-C38F-47C1-B3FB-E9CD11DD7089}"/>
    <cellStyle name="Normal 5 2 2 10 2 4 6" xfId="40382" xr:uid="{90A52FA7-C07B-4964-9224-AE23F2EAE8B1}"/>
    <cellStyle name="Normal 5 2 2 10 2 5" xfId="8062" xr:uid="{00000000-0005-0000-0000-0000AF1E0000}"/>
    <cellStyle name="Normal 5 2 2 10 2 5 2" xfId="25540" xr:uid="{46CF95E6-12EB-4163-A6D9-B67566F55D65}"/>
    <cellStyle name="Normal 5 2 2 10 2 5 3" xfId="19880" xr:uid="{2E438793-E1F0-4FD1-AA4B-BD1C673665DF}"/>
    <cellStyle name="Normal 5 2 2 10 2 5 4" xfId="31201" xr:uid="{5294649B-BCF3-460A-BD95-FCA41138F4A3}"/>
    <cellStyle name="Normal 5 2 2 10 2 5 5" xfId="40384" xr:uid="{8E55E635-FE21-44FC-9EE7-5A5E3E9F6100}"/>
    <cellStyle name="Normal 5 2 2 10 2 6" xfId="22762" xr:uid="{CD86C940-2BE5-4C0C-9067-7B9DC7CB3211}"/>
    <cellStyle name="Normal 5 2 2 10 2 7" xfId="17102" xr:uid="{6EA80378-DF45-44DC-8757-3CB466E9CCB4}"/>
    <cellStyle name="Normal 5 2 2 10 2 8" xfId="28423" xr:uid="{1A9D5197-3C63-4A79-989D-E3C1EC21E262}"/>
    <cellStyle name="Normal 5 2 2 10 2 9" xfId="40373" xr:uid="{F521D144-9D24-44E7-8412-D3C913C0D1D5}"/>
    <cellStyle name="Normal 5 2 2 10 3" xfId="5176" xr:uid="{00000000-0005-0000-0000-0000B01E0000}"/>
    <cellStyle name="Normal 5 2 2 10 3 2" xfId="6291" xr:uid="{00000000-0005-0000-0000-0000B11E0000}"/>
    <cellStyle name="Normal 5 2 2 10 3 2 2" xfId="7615" xr:uid="{00000000-0005-0000-0000-0000B21E0000}"/>
    <cellStyle name="Normal 5 2 2 10 3 2 2 2" xfId="16048" xr:uid="{00000000-0005-0000-0000-0000B31E0000}"/>
    <cellStyle name="Normal 5 2 2 10 3 2 2 2 2" xfId="27942" xr:uid="{281312E2-0EC1-4659-849A-161482A36D8F}"/>
    <cellStyle name="Normal 5 2 2 10 3 2 2 2 3" xfId="22282" xr:uid="{0031D0C0-BE2B-46D1-8525-3A715D6E4F59}"/>
    <cellStyle name="Normal 5 2 2 10 3 2 2 2 4" xfId="33322" xr:uid="{5F0E3C59-7B4C-4E6B-9019-6DF22B22BA39}"/>
    <cellStyle name="Normal 5 2 2 10 3 2 2 2 5" xfId="40388" xr:uid="{DA2FD087-3EA2-4A2E-AA7C-7639A508A693}"/>
    <cellStyle name="Normal 5 2 2 10 3 2 2 3" xfId="25109" xr:uid="{E3D2C0E8-20F6-4A60-B788-91C90E12E62F}"/>
    <cellStyle name="Normal 5 2 2 10 3 2 2 4" xfId="19449" xr:uid="{20080524-5E61-4C56-9F6C-EB6BF8839D6C}"/>
    <cellStyle name="Normal 5 2 2 10 3 2 2 5" xfId="30770" xr:uid="{7CAC5AA1-F28E-4968-9F38-D589B2AFF2B6}"/>
    <cellStyle name="Normal 5 2 2 10 3 2 2 6" xfId="40387" xr:uid="{CC83F8F1-2407-4D85-905F-06DB7989C92D}"/>
    <cellStyle name="Normal 5 2 2 10 3 2 3" xfId="14730" xr:uid="{00000000-0005-0000-0000-0000B41E0000}"/>
    <cellStyle name="Normal 5 2 2 10 3 2 3 2" xfId="26686" xr:uid="{D4BA0083-0BC3-4F0D-9F18-11CB4B170B63}"/>
    <cellStyle name="Normal 5 2 2 10 3 2 3 3" xfId="21026" xr:uid="{C35C48D8-4AF2-4507-A347-1AF9D5AAF28C}"/>
    <cellStyle name="Normal 5 2 2 10 3 2 3 4" xfId="32066" xr:uid="{AA1AFC1D-5FC2-4A6A-802B-1F813122C1DE}"/>
    <cellStyle name="Normal 5 2 2 10 3 2 3 5" xfId="40389" xr:uid="{49A60BEE-92EC-46C2-A06D-E2774F7391EA}"/>
    <cellStyle name="Normal 5 2 2 10 3 2 4" xfId="23853" xr:uid="{30383E56-D3DC-4FB5-A32D-4D2D21DEE4C8}"/>
    <cellStyle name="Normal 5 2 2 10 3 2 5" xfId="18193" xr:uid="{F4C4A218-6116-445D-917B-149727A2B7FF}"/>
    <cellStyle name="Normal 5 2 2 10 3 2 6" xfId="29514" xr:uid="{D3F7F2C6-2384-440C-A624-FF7A8945CDEB}"/>
    <cellStyle name="Normal 5 2 2 10 3 2 7" xfId="40386" xr:uid="{2697909C-1FAC-4DAB-BDF8-4CC2BDC48CFF}"/>
    <cellStyle name="Normal 5 2 2 10 3 3" xfId="7039" xr:uid="{00000000-0005-0000-0000-0000B51E0000}"/>
    <cellStyle name="Normal 5 2 2 10 3 3 2" xfId="15472" xr:uid="{00000000-0005-0000-0000-0000B61E0000}"/>
    <cellStyle name="Normal 5 2 2 10 3 3 2 2" xfId="27366" xr:uid="{4A325E46-45ED-4EE4-82D4-11C3BB26B79C}"/>
    <cellStyle name="Normal 5 2 2 10 3 3 2 3" xfId="21706" xr:uid="{EB079A44-C7FB-4F70-89F0-B2ED047318F9}"/>
    <cellStyle name="Normal 5 2 2 10 3 3 2 4" xfId="32746" xr:uid="{B8C5D24A-CA7D-4253-82D8-D672A39922A6}"/>
    <cellStyle name="Normal 5 2 2 10 3 3 2 5" xfId="40391" xr:uid="{F9A15A35-2555-467F-B6DD-5168ED8A56F1}"/>
    <cellStyle name="Normal 5 2 2 10 3 3 3" xfId="24533" xr:uid="{A2DC8FEC-1E7E-4CFE-807D-F7334285F1E8}"/>
    <cellStyle name="Normal 5 2 2 10 3 3 4" xfId="18873" xr:uid="{24660098-2F67-4CDB-9ADA-08E72FE74E08}"/>
    <cellStyle name="Normal 5 2 2 10 3 3 5" xfId="30194" xr:uid="{6EF8756D-9BCE-4067-AF19-72CF9F98DF68}"/>
    <cellStyle name="Normal 5 2 2 10 3 3 6" xfId="40390" xr:uid="{0E4EF915-99DF-4A72-B105-1D38CAF55C36}"/>
    <cellStyle name="Normal 5 2 2 10 3 4" xfId="14063" xr:uid="{00000000-0005-0000-0000-0000B71E0000}"/>
    <cellStyle name="Normal 5 2 2 10 3 4 2" xfId="26102" xr:uid="{A0154F12-617B-4632-A120-99DFA86B5F39}"/>
    <cellStyle name="Normal 5 2 2 10 3 4 3" xfId="20442" xr:uid="{9006B02A-C9C3-408B-BD48-0AF3ED7A43DF}"/>
    <cellStyle name="Normal 5 2 2 10 3 4 4" xfId="31482" xr:uid="{520DC57A-7613-4273-A90D-91DC38920473}"/>
    <cellStyle name="Normal 5 2 2 10 3 4 5" xfId="40392" xr:uid="{53AFB2B5-1670-4D4C-BD1A-08AA40C2A0E4}"/>
    <cellStyle name="Normal 5 2 2 10 3 5" xfId="22971" xr:uid="{C08DAB6B-527C-4A56-AD2C-25B6710B73D2}"/>
    <cellStyle name="Normal 5 2 2 10 3 6" xfId="17311" xr:uid="{1494C18D-3767-48E1-B89F-7457FDD57646}"/>
    <cellStyle name="Normal 5 2 2 10 3 7" xfId="28632" xr:uid="{BB0809CA-B2A0-4663-9B74-BAB8320FC93A}"/>
    <cellStyle name="Normal 5 2 2 10 3 8" xfId="40385" xr:uid="{52CC20D6-94E3-4081-99BF-0812E82D7CF1}"/>
    <cellStyle name="Normal 5 2 2 10 4" xfId="5695" xr:uid="{00000000-0005-0000-0000-0000B81E0000}"/>
    <cellStyle name="Normal 5 2 2 10 4 2" xfId="40393" xr:uid="{D88222F6-F93B-427D-853C-6C31AD07F560}"/>
    <cellStyle name="Normal 5 2 2 10 5" xfId="6621" xr:uid="{00000000-0005-0000-0000-0000B91E0000}"/>
    <cellStyle name="Normal 5 2 2 10 5 2" xfId="15054" xr:uid="{00000000-0005-0000-0000-0000BA1E0000}"/>
    <cellStyle name="Normal 5 2 2 10 5 2 2" xfId="26948" xr:uid="{F74037B8-85BD-4391-9462-65D647548110}"/>
    <cellStyle name="Normal 5 2 2 10 5 2 3" xfId="21288" xr:uid="{BC7B7956-E4D3-46A2-80E0-77E10D3AE783}"/>
    <cellStyle name="Normal 5 2 2 10 5 2 4" xfId="32328" xr:uid="{693D7CAB-BA12-448B-8635-64F4917BC743}"/>
    <cellStyle name="Normal 5 2 2 10 5 2 5" xfId="40395" xr:uid="{9AACE96B-0204-4B36-8C0D-76CDE9407E8F}"/>
    <cellStyle name="Normal 5 2 2 10 5 3" xfId="24115" xr:uid="{F81086A6-3AAC-4140-BE9D-6AB6C3C1DBFA}"/>
    <cellStyle name="Normal 5 2 2 10 5 4" xfId="18455" xr:uid="{961D2AC7-2A2E-4FE8-9606-B77DA3724716}"/>
    <cellStyle name="Normal 5 2 2 10 5 5" xfId="29776" xr:uid="{E51834B4-155F-4611-BD1C-A54FCAD88E19}"/>
    <cellStyle name="Normal 5 2 2 10 5 6" xfId="40394" xr:uid="{E2A104CB-5879-4FC9-842E-475022DA662B}"/>
    <cellStyle name="Normal 5 2 2 10 6" xfId="8061" xr:uid="{00000000-0005-0000-0000-0000BB1E0000}"/>
    <cellStyle name="Normal 5 2 2 10 6 2" xfId="25539" xr:uid="{43ADC80D-6024-4BE3-BC65-8FABCEA079FF}"/>
    <cellStyle name="Normal 5 2 2 10 6 3" xfId="19879" xr:uid="{AA3C9A8D-40F6-435B-8602-E27A3474E231}"/>
    <cellStyle name="Normal 5 2 2 10 6 4" xfId="31200" xr:uid="{B5C2CDA1-8E7F-4EE8-A1AB-4BFC229CF16D}"/>
    <cellStyle name="Normal 5 2 2 10 6 5" xfId="40396" xr:uid="{EB75CF62-37B1-4DAB-B9EA-66A7C90368F6}"/>
    <cellStyle name="Normal 5 2 2 10 7" xfId="22553" xr:uid="{290562F6-049B-4882-B432-C40D2E31614E}"/>
    <cellStyle name="Normal 5 2 2 10 8" xfId="16893" xr:uid="{9D0BCC3E-8FB5-45EE-A84B-2F8C0969E531}"/>
    <cellStyle name="Normal 5 2 2 10 9" xfId="28214" xr:uid="{87CB4617-390C-4772-AA71-F6DA44D050CA}"/>
    <cellStyle name="Normal 5 2 2 11" xfId="4295" xr:uid="{00000000-0005-0000-0000-0000BC1E0000}"/>
    <cellStyle name="Normal 5 2 2 11 10" xfId="40397" xr:uid="{CFCA64D3-053F-463B-B213-ABD111C81062}"/>
    <cellStyle name="Normal 5 2 2 11 2" xfId="4967" xr:uid="{00000000-0005-0000-0000-0000BD1E0000}"/>
    <cellStyle name="Normal 5 2 2 11 2 2" xfId="5386" xr:uid="{00000000-0005-0000-0000-0000BE1E0000}"/>
    <cellStyle name="Normal 5 2 2 11 2 2 2" xfId="7249" xr:uid="{00000000-0005-0000-0000-0000BF1E0000}"/>
    <cellStyle name="Normal 5 2 2 11 2 2 2 2" xfId="15682" xr:uid="{00000000-0005-0000-0000-0000C01E0000}"/>
    <cellStyle name="Normal 5 2 2 11 2 2 2 2 2" xfId="27576" xr:uid="{B15A117E-3D0B-42CC-8ECA-CFDE9AB7D8A8}"/>
    <cellStyle name="Normal 5 2 2 11 2 2 2 2 3" xfId="21916" xr:uid="{A85C1B2A-5F5A-40DC-AA48-10A8E76127DF}"/>
    <cellStyle name="Normal 5 2 2 11 2 2 2 2 4" xfId="32956" xr:uid="{9B301034-9C26-477B-986D-ABE418279CFA}"/>
    <cellStyle name="Normal 5 2 2 11 2 2 2 2 5" xfId="40401" xr:uid="{517A1579-1B40-40DF-9136-45223302ED3E}"/>
    <cellStyle name="Normal 5 2 2 11 2 2 2 3" xfId="24743" xr:uid="{B6B0A605-BA15-4771-B921-C624927BCF23}"/>
    <cellStyle name="Normal 5 2 2 11 2 2 2 4" xfId="19083" xr:uid="{2D9D84F5-430C-40E0-A56A-5DE9EA579DCD}"/>
    <cellStyle name="Normal 5 2 2 11 2 2 2 5" xfId="30404" xr:uid="{78FFF3E4-0E6D-4C0E-BDCE-632425B5B791}"/>
    <cellStyle name="Normal 5 2 2 11 2 2 2 6" xfId="40400" xr:uid="{457339AF-9BA9-44A8-B50F-70AF1DB95F8F}"/>
    <cellStyle name="Normal 5 2 2 11 2 2 3" xfId="14272" xr:uid="{00000000-0005-0000-0000-0000C11E0000}"/>
    <cellStyle name="Normal 5 2 2 11 2 2 3 2" xfId="26311" xr:uid="{0C3A7E25-C128-4C43-8F88-17F94E884636}"/>
    <cellStyle name="Normal 5 2 2 11 2 2 3 3" xfId="20651" xr:uid="{2827C536-5450-470E-A16C-B2F1E304528C}"/>
    <cellStyle name="Normal 5 2 2 11 2 2 3 4" xfId="31691" xr:uid="{61714552-994B-4682-A33C-77D0A4B8A08B}"/>
    <cellStyle name="Normal 5 2 2 11 2 2 3 5" xfId="40402" xr:uid="{02CF0D3B-677C-4CDA-BB5B-E697C854E5DB}"/>
    <cellStyle name="Normal 5 2 2 11 2 2 4" xfId="23181" xr:uid="{33113A79-52B0-4D0C-B5D7-098F91D52B9B}"/>
    <cellStyle name="Normal 5 2 2 11 2 2 5" xfId="17521" xr:uid="{87F8AE49-51F5-4B9F-8CB4-96A9760B105F}"/>
    <cellStyle name="Normal 5 2 2 11 2 2 6" xfId="28842" xr:uid="{41A90168-E9F7-4C93-A091-386B09B7CFDA}"/>
    <cellStyle name="Normal 5 2 2 11 2 2 7" xfId="40399" xr:uid="{FEDB85C4-B2FD-4D74-BF76-30CA7E473393}"/>
    <cellStyle name="Normal 5 2 2 11 2 3" xfId="6294" xr:uid="{00000000-0005-0000-0000-0000C21E0000}"/>
    <cellStyle name="Normal 5 2 2 11 2 3 2" xfId="7618" xr:uid="{00000000-0005-0000-0000-0000C31E0000}"/>
    <cellStyle name="Normal 5 2 2 11 2 3 2 2" xfId="16051" xr:uid="{00000000-0005-0000-0000-0000C41E0000}"/>
    <cellStyle name="Normal 5 2 2 11 2 3 2 2 2" xfId="27945" xr:uid="{131B9CDF-1DCB-422B-A6AA-8BE6CF337383}"/>
    <cellStyle name="Normal 5 2 2 11 2 3 2 2 3" xfId="22285" xr:uid="{EAD039F3-226C-4FAE-AF2C-20ADC9BB0FEF}"/>
    <cellStyle name="Normal 5 2 2 11 2 3 2 2 4" xfId="33325" xr:uid="{E1F4D185-A1D2-4CCA-A693-249B501C2E46}"/>
    <cellStyle name="Normal 5 2 2 11 2 3 2 2 5" xfId="40405" xr:uid="{62A49490-56A1-499D-AE80-01D8CA3B82AC}"/>
    <cellStyle name="Normal 5 2 2 11 2 3 2 3" xfId="25112" xr:uid="{D92EE1A2-875D-4948-AAC2-90B9B46F6F78}"/>
    <cellStyle name="Normal 5 2 2 11 2 3 2 4" xfId="19452" xr:uid="{95D34D9C-6B02-475B-8D41-643F1783E058}"/>
    <cellStyle name="Normal 5 2 2 11 2 3 2 5" xfId="30773" xr:uid="{0626CD1B-C6E5-4BCA-910A-3484B8CF59FD}"/>
    <cellStyle name="Normal 5 2 2 11 2 3 2 6" xfId="40404" xr:uid="{E1E73617-7D0F-41F1-813C-2CAE74DDE43C}"/>
    <cellStyle name="Normal 5 2 2 11 2 3 3" xfId="14733" xr:uid="{00000000-0005-0000-0000-0000C51E0000}"/>
    <cellStyle name="Normal 5 2 2 11 2 3 3 2" xfId="26689" xr:uid="{2D4FF8E4-FADE-4011-A97D-D9DE54DA0F10}"/>
    <cellStyle name="Normal 5 2 2 11 2 3 3 3" xfId="21029" xr:uid="{E1A1B9E8-1316-441B-9409-079406A54D0C}"/>
    <cellStyle name="Normal 5 2 2 11 2 3 3 4" xfId="32069" xr:uid="{16E96DE5-9A24-4BC0-81E4-1D657AC5B672}"/>
    <cellStyle name="Normal 5 2 2 11 2 3 3 5" xfId="40406" xr:uid="{7146CE2C-8347-4DEB-9AC6-F023A45550C5}"/>
    <cellStyle name="Normal 5 2 2 11 2 3 4" xfId="23856" xr:uid="{4613C5B9-CFA5-4B17-9252-46C4B11A03BD}"/>
    <cellStyle name="Normal 5 2 2 11 2 3 5" xfId="18196" xr:uid="{E103E57D-60B8-45CC-B406-07B7B10B5C20}"/>
    <cellStyle name="Normal 5 2 2 11 2 3 6" xfId="29517" xr:uid="{10A6CAA8-1F35-4D01-BA67-F8FC80ACDD4D}"/>
    <cellStyle name="Normal 5 2 2 11 2 3 7" xfId="40403" xr:uid="{79334910-628F-4147-AFDA-BD20041537CC}"/>
    <cellStyle name="Normal 5 2 2 11 2 4" xfId="6831" xr:uid="{00000000-0005-0000-0000-0000C61E0000}"/>
    <cellStyle name="Normal 5 2 2 11 2 4 2" xfId="15264" xr:uid="{00000000-0005-0000-0000-0000C71E0000}"/>
    <cellStyle name="Normal 5 2 2 11 2 4 2 2" xfId="27158" xr:uid="{991C2701-5BE8-45EB-9C2B-128E2BAF9970}"/>
    <cellStyle name="Normal 5 2 2 11 2 4 2 3" xfId="21498" xr:uid="{040C1EC3-F21A-440F-A49F-57999BA789DF}"/>
    <cellStyle name="Normal 5 2 2 11 2 4 2 4" xfId="32538" xr:uid="{955333FF-5BBD-48B4-B4AF-E4F6BB788DBA}"/>
    <cellStyle name="Normal 5 2 2 11 2 4 2 5" xfId="40408" xr:uid="{497C879F-F91D-4AAE-8FFB-48E69CD952AC}"/>
    <cellStyle name="Normal 5 2 2 11 2 4 3" xfId="24325" xr:uid="{69F7E8CF-522F-49DC-AE24-3CB6CEDEA3D4}"/>
    <cellStyle name="Normal 5 2 2 11 2 4 4" xfId="18665" xr:uid="{A1FDAB56-38DA-4FB5-9147-1F6084AA9275}"/>
    <cellStyle name="Normal 5 2 2 11 2 4 5" xfId="29986" xr:uid="{C324CE15-FF3F-4CBC-8C44-F0AA71D8F4D6}"/>
    <cellStyle name="Normal 5 2 2 11 2 4 6" xfId="40407" xr:uid="{BD90A9FC-408D-434E-A805-1911D2ED5E3D}"/>
    <cellStyle name="Normal 5 2 2 11 2 5" xfId="8064" xr:uid="{00000000-0005-0000-0000-0000C81E0000}"/>
    <cellStyle name="Normal 5 2 2 11 2 5 2" xfId="25542" xr:uid="{839D9899-304F-4D0F-A53F-5F864EE8E387}"/>
    <cellStyle name="Normal 5 2 2 11 2 5 3" xfId="19882" xr:uid="{FAA2B308-FF5D-4139-AEB5-CC2F46770CD1}"/>
    <cellStyle name="Normal 5 2 2 11 2 5 4" xfId="31203" xr:uid="{E27E4AA3-0FD6-451E-81D8-8E1319E42A9D}"/>
    <cellStyle name="Normal 5 2 2 11 2 5 5" xfId="40409" xr:uid="{C051BE2F-386C-4B33-A650-DDF1EB092EEB}"/>
    <cellStyle name="Normal 5 2 2 11 2 6" xfId="22763" xr:uid="{F3D76C6E-AE55-4CBB-AF00-86BC301BBAE8}"/>
    <cellStyle name="Normal 5 2 2 11 2 7" xfId="17103" xr:uid="{781EA4E2-1F0A-43EC-9C3D-0A96EE1AC0B4}"/>
    <cellStyle name="Normal 5 2 2 11 2 8" xfId="28424" xr:uid="{07E87078-51E5-4A3C-A04F-17038E84EA43}"/>
    <cellStyle name="Normal 5 2 2 11 2 9" xfId="40398" xr:uid="{5D95FF38-96DE-4180-8E5C-F94776355661}"/>
    <cellStyle name="Normal 5 2 2 11 3" xfId="5177" xr:uid="{00000000-0005-0000-0000-0000C91E0000}"/>
    <cellStyle name="Normal 5 2 2 11 3 2" xfId="6293" xr:uid="{00000000-0005-0000-0000-0000CA1E0000}"/>
    <cellStyle name="Normal 5 2 2 11 3 2 2" xfId="7617" xr:uid="{00000000-0005-0000-0000-0000CB1E0000}"/>
    <cellStyle name="Normal 5 2 2 11 3 2 2 2" xfId="16050" xr:uid="{00000000-0005-0000-0000-0000CC1E0000}"/>
    <cellStyle name="Normal 5 2 2 11 3 2 2 2 2" xfId="27944" xr:uid="{8E999E6B-B4EA-419B-9DFF-65A672F4C6F2}"/>
    <cellStyle name="Normal 5 2 2 11 3 2 2 2 3" xfId="22284" xr:uid="{CF02D92F-3807-4965-8D5F-70003023191A}"/>
    <cellStyle name="Normal 5 2 2 11 3 2 2 2 4" xfId="33324" xr:uid="{DF32F0A0-C951-458A-B6D2-116E9D5C6008}"/>
    <cellStyle name="Normal 5 2 2 11 3 2 2 2 5" xfId="40413" xr:uid="{8FB555D2-71BB-4169-BC30-BFD75C5B3625}"/>
    <cellStyle name="Normal 5 2 2 11 3 2 2 3" xfId="25111" xr:uid="{2ED985B8-5861-4FC7-BD1B-B61325F6ECA6}"/>
    <cellStyle name="Normal 5 2 2 11 3 2 2 4" xfId="19451" xr:uid="{BF979BD0-D253-4010-848D-CC7F9D05C9A2}"/>
    <cellStyle name="Normal 5 2 2 11 3 2 2 5" xfId="30772" xr:uid="{595BA154-41B5-402B-95C4-6212694E6267}"/>
    <cellStyle name="Normal 5 2 2 11 3 2 2 6" xfId="40412" xr:uid="{AA1F142A-B6E7-4C32-BCEB-03BE1A1B0AA5}"/>
    <cellStyle name="Normal 5 2 2 11 3 2 3" xfId="14732" xr:uid="{00000000-0005-0000-0000-0000CD1E0000}"/>
    <cellStyle name="Normal 5 2 2 11 3 2 3 2" xfId="26688" xr:uid="{40B561CB-824E-4806-B215-0E3794CDAA88}"/>
    <cellStyle name="Normal 5 2 2 11 3 2 3 3" xfId="21028" xr:uid="{2F2791FF-7A10-4D7F-9E94-D897C2CCAECD}"/>
    <cellStyle name="Normal 5 2 2 11 3 2 3 4" xfId="32068" xr:uid="{044DB441-81E8-4C36-AF1A-A4829D003C6E}"/>
    <cellStyle name="Normal 5 2 2 11 3 2 3 5" xfId="40414" xr:uid="{36D1ABE1-6957-44C8-B09F-9DB88DF528BA}"/>
    <cellStyle name="Normal 5 2 2 11 3 2 4" xfId="23855" xr:uid="{269BFC19-380F-4A8E-8FEA-E982DE873DA9}"/>
    <cellStyle name="Normal 5 2 2 11 3 2 5" xfId="18195" xr:uid="{37179B23-2651-402D-B937-185346BA8864}"/>
    <cellStyle name="Normal 5 2 2 11 3 2 6" xfId="29516" xr:uid="{BC133A6C-025D-4DF9-A509-2A13BC464B12}"/>
    <cellStyle name="Normal 5 2 2 11 3 2 7" xfId="40411" xr:uid="{0370FD7D-38A5-44E0-897F-7AB5B381F27D}"/>
    <cellStyle name="Normal 5 2 2 11 3 3" xfId="7040" xr:uid="{00000000-0005-0000-0000-0000CE1E0000}"/>
    <cellStyle name="Normal 5 2 2 11 3 3 2" xfId="15473" xr:uid="{00000000-0005-0000-0000-0000CF1E0000}"/>
    <cellStyle name="Normal 5 2 2 11 3 3 2 2" xfId="27367" xr:uid="{5964660B-D902-4205-B534-C64AF2433FBB}"/>
    <cellStyle name="Normal 5 2 2 11 3 3 2 3" xfId="21707" xr:uid="{37CA3D99-D7F5-4159-833F-2AAE35783243}"/>
    <cellStyle name="Normal 5 2 2 11 3 3 2 4" xfId="32747" xr:uid="{1EC37725-3E81-42DC-838C-982477098366}"/>
    <cellStyle name="Normal 5 2 2 11 3 3 2 5" xfId="40416" xr:uid="{9D3D29A9-3A14-4765-86CD-5240CE3F7A28}"/>
    <cellStyle name="Normal 5 2 2 11 3 3 3" xfId="24534" xr:uid="{FBA443D2-0A50-426F-8F38-3A588281C74B}"/>
    <cellStyle name="Normal 5 2 2 11 3 3 4" xfId="18874" xr:uid="{23EE0F63-7300-4435-968C-2B99587D5951}"/>
    <cellStyle name="Normal 5 2 2 11 3 3 5" xfId="30195" xr:uid="{71BA35F5-3697-49B8-BD2B-1DD53DF76AA3}"/>
    <cellStyle name="Normal 5 2 2 11 3 3 6" xfId="40415" xr:uid="{16686B9E-A07A-40CC-B532-E5E6232EC38A}"/>
    <cellStyle name="Normal 5 2 2 11 3 4" xfId="14064" xr:uid="{00000000-0005-0000-0000-0000D01E0000}"/>
    <cellStyle name="Normal 5 2 2 11 3 4 2" xfId="26103" xr:uid="{D35401ED-CE00-48A9-A4F6-5E9C3747D069}"/>
    <cellStyle name="Normal 5 2 2 11 3 4 3" xfId="20443" xr:uid="{EC9D6C50-EC2B-4604-927F-776142F32FCE}"/>
    <cellStyle name="Normal 5 2 2 11 3 4 4" xfId="31483" xr:uid="{4124B9EC-703D-4F77-8768-DCF5DD05CD05}"/>
    <cellStyle name="Normal 5 2 2 11 3 4 5" xfId="40417" xr:uid="{6980ADB5-FB36-418C-99A6-EAC3A5A3CE1E}"/>
    <cellStyle name="Normal 5 2 2 11 3 5" xfId="22972" xr:uid="{79C779E8-4B36-44C9-858B-F725B5334E66}"/>
    <cellStyle name="Normal 5 2 2 11 3 6" xfId="17312" xr:uid="{8F9B8D5F-DCD9-4C73-AD35-37A323BB6458}"/>
    <cellStyle name="Normal 5 2 2 11 3 7" xfId="28633" xr:uid="{8601141F-5341-41F9-BFE0-45F49F488CF9}"/>
    <cellStyle name="Normal 5 2 2 11 3 8" xfId="40410" xr:uid="{31E584D2-2443-4295-AD95-558772688F59}"/>
    <cellStyle name="Normal 5 2 2 11 4" xfId="5696" xr:uid="{00000000-0005-0000-0000-0000D11E0000}"/>
    <cellStyle name="Normal 5 2 2 11 4 2" xfId="40418" xr:uid="{5ADDE2EB-9E0C-46FE-B3DB-655AFF2798F7}"/>
    <cellStyle name="Normal 5 2 2 11 5" xfId="6622" xr:uid="{00000000-0005-0000-0000-0000D21E0000}"/>
    <cellStyle name="Normal 5 2 2 11 5 2" xfId="15055" xr:uid="{00000000-0005-0000-0000-0000D31E0000}"/>
    <cellStyle name="Normal 5 2 2 11 5 2 2" xfId="26949" xr:uid="{60430858-277F-4809-A2AA-AD2AFE775535}"/>
    <cellStyle name="Normal 5 2 2 11 5 2 3" xfId="21289" xr:uid="{80565956-EA42-4269-A91D-720F07060CE6}"/>
    <cellStyle name="Normal 5 2 2 11 5 2 4" xfId="32329" xr:uid="{15F1B210-351B-43D1-AE9D-426B2C7FA675}"/>
    <cellStyle name="Normal 5 2 2 11 5 2 5" xfId="40420" xr:uid="{290361E7-1352-4C88-89C0-6A1B91B33038}"/>
    <cellStyle name="Normal 5 2 2 11 5 3" xfId="24116" xr:uid="{5223BD0E-FBA0-4BC0-9FD1-53BAF5551A85}"/>
    <cellStyle name="Normal 5 2 2 11 5 4" xfId="18456" xr:uid="{6AE9113A-9728-428E-B9D7-4079CFE9FA2E}"/>
    <cellStyle name="Normal 5 2 2 11 5 5" xfId="29777" xr:uid="{FBAD3566-E02D-4BA3-8E1A-9B0993594523}"/>
    <cellStyle name="Normal 5 2 2 11 5 6" xfId="40419" xr:uid="{2680C7EF-B0C8-407C-AA5E-A5D2CE22CEDE}"/>
    <cellStyle name="Normal 5 2 2 11 6" xfId="8063" xr:uid="{00000000-0005-0000-0000-0000D41E0000}"/>
    <cellStyle name="Normal 5 2 2 11 6 2" xfId="25541" xr:uid="{0DE5FBA4-C92B-47C1-A124-6B0F398EF29C}"/>
    <cellStyle name="Normal 5 2 2 11 6 3" xfId="19881" xr:uid="{436631C6-98D8-46FE-8C96-264413E544F9}"/>
    <cellStyle name="Normal 5 2 2 11 6 4" xfId="31202" xr:uid="{024DD3C1-6F6D-4DE2-943B-34885989B500}"/>
    <cellStyle name="Normal 5 2 2 11 6 5" xfId="40421" xr:uid="{72C87672-FB59-41F8-B267-B05DA8267EE2}"/>
    <cellStyle name="Normal 5 2 2 11 7" xfId="22554" xr:uid="{8DD9915D-742B-461D-8CF6-68B703BD5590}"/>
    <cellStyle name="Normal 5 2 2 11 8" xfId="16894" xr:uid="{DE6BD434-3AF2-44C1-8D31-2FFC64938B81}"/>
    <cellStyle name="Normal 5 2 2 11 9" xfId="28215" xr:uid="{9C1396A5-5EF5-43D9-9C04-E6FE28F21045}"/>
    <cellStyle name="Normal 5 2 2 12" xfId="4296" xr:uid="{00000000-0005-0000-0000-0000D51E0000}"/>
    <cellStyle name="Normal 5 2 2 12 10" xfId="40422" xr:uid="{E2576E41-0425-4FDE-B05B-145A416964D7}"/>
    <cellStyle name="Normal 5 2 2 12 2" xfId="4968" xr:uid="{00000000-0005-0000-0000-0000D61E0000}"/>
    <cellStyle name="Normal 5 2 2 12 2 2" xfId="5387" xr:uid="{00000000-0005-0000-0000-0000D71E0000}"/>
    <cellStyle name="Normal 5 2 2 12 2 2 2" xfId="7250" xr:uid="{00000000-0005-0000-0000-0000D81E0000}"/>
    <cellStyle name="Normal 5 2 2 12 2 2 2 2" xfId="15683" xr:uid="{00000000-0005-0000-0000-0000D91E0000}"/>
    <cellStyle name="Normal 5 2 2 12 2 2 2 2 2" xfId="27577" xr:uid="{F4619117-99DA-4EAD-91F0-46E8AF62A560}"/>
    <cellStyle name="Normal 5 2 2 12 2 2 2 2 3" xfId="21917" xr:uid="{AC0C0E02-6DD3-4E25-BB38-A035EF8F3208}"/>
    <cellStyle name="Normal 5 2 2 12 2 2 2 2 4" xfId="32957" xr:uid="{F14BDCCF-0A4D-4FBF-9CBE-87ABF7D27974}"/>
    <cellStyle name="Normal 5 2 2 12 2 2 2 2 5" xfId="40426" xr:uid="{6E246D70-811E-41B4-92B5-72CDE7C5B51D}"/>
    <cellStyle name="Normal 5 2 2 12 2 2 2 3" xfId="24744" xr:uid="{88E99E68-9440-4519-91C2-7DC52D69D9D1}"/>
    <cellStyle name="Normal 5 2 2 12 2 2 2 4" xfId="19084" xr:uid="{3AD2A913-6C84-4017-AF80-EFD0BCA24349}"/>
    <cellStyle name="Normal 5 2 2 12 2 2 2 5" xfId="30405" xr:uid="{3B694DA7-9B13-4D0F-9B53-15060A8663C6}"/>
    <cellStyle name="Normal 5 2 2 12 2 2 2 6" xfId="40425" xr:uid="{2FFD88DD-BA61-4601-9769-55DB3DB5F5DD}"/>
    <cellStyle name="Normal 5 2 2 12 2 2 3" xfId="14273" xr:uid="{00000000-0005-0000-0000-0000DA1E0000}"/>
    <cellStyle name="Normal 5 2 2 12 2 2 3 2" xfId="26312" xr:uid="{62D14356-8872-4D1E-B0C8-BBE055DC71EC}"/>
    <cellStyle name="Normal 5 2 2 12 2 2 3 3" xfId="20652" xr:uid="{FACC314D-3B63-4E46-90E9-35C93DE4C67C}"/>
    <cellStyle name="Normal 5 2 2 12 2 2 3 4" xfId="31692" xr:uid="{4A5F7A6C-24EB-4261-BF06-4755F3144070}"/>
    <cellStyle name="Normal 5 2 2 12 2 2 3 5" xfId="40427" xr:uid="{FBF94827-8211-4A2F-B069-EA6F5E2C0756}"/>
    <cellStyle name="Normal 5 2 2 12 2 2 4" xfId="23182" xr:uid="{B50473B7-5C5C-460B-8215-54FE4B124669}"/>
    <cellStyle name="Normal 5 2 2 12 2 2 5" xfId="17522" xr:uid="{8DB22173-A0FF-4B99-8050-3C2E5A78B66D}"/>
    <cellStyle name="Normal 5 2 2 12 2 2 6" xfId="28843" xr:uid="{8AE22F2B-E94F-4A5A-8F27-193B1D3D12F7}"/>
    <cellStyle name="Normal 5 2 2 12 2 2 7" xfId="40424" xr:uid="{659AB248-5620-48D6-89E3-FEF7004B5E22}"/>
    <cellStyle name="Normal 5 2 2 12 2 3" xfId="6296" xr:uid="{00000000-0005-0000-0000-0000DB1E0000}"/>
    <cellStyle name="Normal 5 2 2 12 2 3 2" xfId="7620" xr:uid="{00000000-0005-0000-0000-0000DC1E0000}"/>
    <cellStyle name="Normal 5 2 2 12 2 3 2 2" xfId="16053" xr:uid="{00000000-0005-0000-0000-0000DD1E0000}"/>
    <cellStyle name="Normal 5 2 2 12 2 3 2 2 2" xfId="27947" xr:uid="{CA386505-A111-42E9-B280-0E5F1CF10A30}"/>
    <cellStyle name="Normal 5 2 2 12 2 3 2 2 3" xfId="22287" xr:uid="{6D222F54-8B30-492E-B397-0F4509F558A1}"/>
    <cellStyle name="Normal 5 2 2 12 2 3 2 2 4" xfId="33327" xr:uid="{CFBE46FE-CD35-4086-AA90-28573F31FF01}"/>
    <cellStyle name="Normal 5 2 2 12 2 3 2 2 5" xfId="40430" xr:uid="{8EF888B4-9083-42FB-92CE-658D454BB859}"/>
    <cellStyle name="Normal 5 2 2 12 2 3 2 3" xfId="25114" xr:uid="{0FD2D510-5441-44A8-8950-3910129481FA}"/>
    <cellStyle name="Normal 5 2 2 12 2 3 2 4" xfId="19454" xr:uid="{E5771E6F-FAC9-4089-B330-ED07E7D577AB}"/>
    <cellStyle name="Normal 5 2 2 12 2 3 2 5" xfId="30775" xr:uid="{6591C1BB-2786-48F7-9CBA-DD5E25E9642D}"/>
    <cellStyle name="Normal 5 2 2 12 2 3 2 6" xfId="40429" xr:uid="{FBB67799-306D-487B-A17D-965090B67F5A}"/>
    <cellStyle name="Normal 5 2 2 12 2 3 3" xfId="14735" xr:uid="{00000000-0005-0000-0000-0000DE1E0000}"/>
    <cellStyle name="Normal 5 2 2 12 2 3 3 2" xfId="26691" xr:uid="{3F1FA02F-B1A1-4D04-AFEB-D3B1AACCC1D1}"/>
    <cellStyle name="Normal 5 2 2 12 2 3 3 3" xfId="21031" xr:uid="{4424E955-F6C9-4044-9E24-662B541C17F0}"/>
    <cellStyle name="Normal 5 2 2 12 2 3 3 4" xfId="32071" xr:uid="{8368B625-05A3-4425-9A9B-AC8263AE64BF}"/>
    <cellStyle name="Normal 5 2 2 12 2 3 3 5" xfId="40431" xr:uid="{A6D150A3-C048-4BB8-B826-03B8E9731AD3}"/>
    <cellStyle name="Normal 5 2 2 12 2 3 4" xfId="23858" xr:uid="{F4CC7892-4F8A-4611-AF93-532C8B72FE30}"/>
    <cellStyle name="Normal 5 2 2 12 2 3 5" xfId="18198" xr:uid="{C7947C03-947B-43FD-9D47-33A2FE0BD63D}"/>
    <cellStyle name="Normal 5 2 2 12 2 3 6" xfId="29519" xr:uid="{7B806C3F-65C8-45E4-92B8-D82F3B41AD03}"/>
    <cellStyle name="Normal 5 2 2 12 2 3 7" xfId="40428" xr:uid="{A2A2B92A-2A50-45B5-BFD9-56F88C04A64C}"/>
    <cellStyle name="Normal 5 2 2 12 2 4" xfId="6832" xr:uid="{00000000-0005-0000-0000-0000DF1E0000}"/>
    <cellStyle name="Normal 5 2 2 12 2 4 2" xfId="15265" xr:uid="{00000000-0005-0000-0000-0000E01E0000}"/>
    <cellStyle name="Normal 5 2 2 12 2 4 2 2" xfId="27159" xr:uid="{6C468204-1F01-4E9D-BCDC-30D0E4963A2D}"/>
    <cellStyle name="Normal 5 2 2 12 2 4 2 3" xfId="21499" xr:uid="{F3470920-AB01-475C-BC97-9DC6F5653F8B}"/>
    <cellStyle name="Normal 5 2 2 12 2 4 2 4" xfId="32539" xr:uid="{D3CE93DE-36CB-42F4-9337-E18F28810D59}"/>
    <cellStyle name="Normal 5 2 2 12 2 4 2 5" xfId="40433" xr:uid="{D7EFA2C8-30B8-40D2-9A62-32A1E3F85079}"/>
    <cellStyle name="Normal 5 2 2 12 2 4 3" xfId="24326" xr:uid="{323DD131-6914-4851-8696-A43DDD629DB9}"/>
    <cellStyle name="Normal 5 2 2 12 2 4 4" xfId="18666" xr:uid="{513BC1FE-1F6F-464D-9A6A-8238F12C1BCB}"/>
    <cellStyle name="Normal 5 2 2 12 2 4 5" xfId="29987" xr:uid="{40CC9246-DAA0-4DF3-B9AA-A8F7E68C9AAD}"/>
    <cellStyle name="Normal 5 2 2 12 2 4 6" xfId="40432" xr:uid="{6F4E6B54-5FE0-43B0-8A75-E83C791FFCBE}"/>
    <cellStyle name="Normal 5 2 2 12 2 5" xfId="8066" xr:uid="{00000000-0005-0000-0000-0000E11E0000}"/>
    <cellStyle name="Normal 5 2 2 12 2 5 2" xfId="25544" xr:uid="{32290B6C-7AC8-4334-889B-1C9A8C6A5BA5}"/>
    <cellStyle name="Normal 5 2 2 12 2 5 3" xfId="19884" xr:uid="{6E956455-CF00-450C-9344-B9DD2C2BA28B}"/>
    <cellStyle name="Normal 5 2 2 12 2 5 4" xfId="31205" xr:uid="{A9565B9F-3EBF-4C2F-95A4-67D0E83269E1}"/>
    <cellStyle name="Normal 5 2 2 12 2 5 5" xfId="40434" xr:uid="{F9C20EF0-B2C5-485B-9996-577D83C91049}"/>
    <cellStyle name="Normal 5 2 2 12 2 6" xfId="22764" xr:uid="{66F09B53-DC26-4AE6-9CA4-9ADBA02A6D69}"/>
    <cellStyle name="Normal 5 2 2 12 2 7" xfId="17104" xr:uid="{0F8F98CD-355A-4390-B217-F4DCDD63A3C7}"/>
    <cellStyle name="Normal 5 2 2 12 2 8" xfId="28425" xr:uid="{66489898-FB50-41F6-9BEC-4F5A31F038C1}"/>
    <cellStyle name="Normal 5 2 2 12 2 9" xfId="40423" xr:uid="{24F1A84F-7A72-44CE-A61D-A9D208A7B961}"/>
    <cellStyle name="Normal 5 2 2 12 3" xfId="5178" xr:uid="{00000000-0005-0000-0000-0000E21E0000}"/>
    <cellStyle name="Normal 5 2 2 12 3 2" xfId="6295" xr:uid="{00000000-0005-0000-0000-0000E31E0000}"/>
    <cellStyle name="Normal 5 2 2 12 3 2 2" xfId="7619" xr:uid="{00000000-0005-0000-0000-0000E41E0000}"/>
    <cellStyle name="Normal 5 2 2 12 3 2 2 2" xfId="16052" xr:uid="{00000000-0005-0000-0000-0000E51E0000}"/>
    <cellStyle name="Normal 5 2 2 12 3 2 2 2 2" xfId="27946" xr:uid="{A408D39B-5F16-4F5D-B975-107169586824}"/>
    <cellStyle name="Normal 5 2 2 12 3 2 2 2 3" xfId="22286" xr:uid="{6C4CCE49-884E-49A2-9484-F041A10A872F}"/>
    <cellStyle name="Normal 5 2 2 12 3 2 2 2 4" xfId="33326" xr:uid="{F650FB4B-9D1A-4D36-AF7B-3F8D4B73599A}"/>
    <cellStyle name="Normal 5 2 2 12 3 2 2 2 5" xfId="40438" xr:uid="{CF3C9331-9A4D-490C-B6B6-CECC978B1E05}"/>
    <cellStyle name="Normal 5 2 2 12 3 2 2 3" xfId="25113" xr:uid="{8F5D379F-B4F2-42AF-AB7D-0B9524D96D6F}"/>
    <cellStyle name="Normal 5 2 2 12 3 2 2 4" xfId="19453" xr:uid="{494C8849-AACA-4E89-A0C3-DD7979D4FBCD}"/>
    <cellStyle name="Normal 5 2 2 12 3 2 2 5" xfId="30774" xr:uid="{4DA186B9-BEB3-4883-B3F5-439D24183878}"/>
    <cellStyle name="Normal 5 2 2 12 3 2 2 6" xfId="40437" xr:uid="{9641CCE5-8BAC-4AC6-8D7A-B7AE4D875970}"/>
    <cellStyle name="Normal 5 2 2 12 3 2 3" xfId="14734" xr:uid="{00000000-0005-0000-0000-0000E61E0000}"/>
    <cellStyle name="Normal 5 2 2 12 3 2 3 2" xfId="26690" xr:uid="{7ABCD3EB-F61C-4B68-B428-59A1ED479712}"/>
    <cellStyle name="Normal 5 2 2 12 3 2 3 3" xfId="21030" xr:uid="{0972DB5C-843A-47F0-AC4D-8177841F18BF}"/>
    <cellStyle name="Normal 5 2 2 12 3 2 3 4" xfId="32070" xr:uid="{49A7BCD0-F2E2-4897-AF57-52B7313C0008}"/>
    <cellStyle name="Normal 5 2 2 12 3 2 3 5" xfId="40439" xr:uid="{DE05585E-99BA-448C-AB23-76AC482C7AFE}"/>
    <cellStyle name="Normal 5 2 2 12 3 2 4" xfId="23857" xr:uid="{22229B09-51A8-4F20-8399-4E9DDA1D2F19}"/>
    <cellStyle name="Normal 5 2 2 12 3 2 5" xfId="18197" xr:uid="{53CCBF6A-0E34-4CE1-999E-266FF25DEB19}"/>
    <cellStyle name="Normal 5 2 2 12 3 2 6" xfId="29518" xr:uid="{4BD33A6C-E281-4BDF-AD64-DB2E6A0F6EDE}"/>
    <cellStyle name="Normal 5 2 2 12 3 2 7" xfId="40436" xr:uid="{6CE49AE3-B08F-4F1C-A951-51AC38152C67}"/>
    <cellStyle name="Normal 5 2 2 12 3 3" xfId="7041" xr:uid="{00000000-0005-0000-0000-0000E71E0000}"/>
    <cellStyle name="Normal 5 2 2 12 3 3 2" xfId="15474" xr:uid="{00000000-0005-0000-0000-0000E81E0000}"/>
    <cellStyle name="Normal 5 2 2 12 3 3 2 2" xfId="27368" xr:uid="{AE96D76B-B541-4CC5-891A-78A793B5318F}"/>
    <cellStyle name="Normal 5 2 2 12 3 3 2 3" xfId="21708" xr:uid="{EA05D4E5-E523-4B32-9569-CE003B820163}"/>
    <cellStyle name="Normal 5 2 2 12 3 3 2 4" xfId="32748" xr:uid="{DE400936-3E0E-4273-89F9-636F7885D643}"/>
    <cellStyle name="Normal 5 2 2 12 3 3 2 5" xfId="40441" xr:uid="{659DE461-DEEC-4B5F-8586-CFE1F8131948}"/>
    <cellStyle name="Normal 5 2 2 12 3 3 3" xfId="24535" xr:uid="{DC47A592-953B-4657-BA25-7BECC7A35FDF}"/>
    <cellStyle name="Normal 5 2 2 12 3 3 4" xfId="18875" xr:uid="{C354D81E-45C4-4FEF-B1EB-7D79BFBB2CC2}"/>
    <cellStyle name="Normal 5 2 2 12 3 3 5" xfId="30196" xr:uid="{652D960B-BA70-4278-8658-D1DE3CC07692}"/>
    <cellStyle name="Normal 5 2 2 12 3 3 6" xfId="40440" xr:uid="{4BA5C1E6-AC07-4093-BB69-65C5ABDF897C}"/>
    <cellStyle name="Normal 5 2 2 12 3 4" xfId="14065" xr:uid="{00000000-0005-0000-0000-0000E91E0000}"/>
    <cellStyle name="Normal 5 2 2 12 3 4 2" xfId="26104" xr:uid="{C501A888-CE84-4158-BC9F-4C3108A479E7}"/>
    <cellStyle name="Normal 5 2 2 12 3 4 3" xfId="20444" xr:uid="{BDB1E535-8D4F-407B-AF26-F7EF67B40706}"/>
    <cellStyle name="Normal 5 2 2 12 3 4 4" xfId="31484" xr:uid="{D6F6098F-4D0F-4270-A033-47BE07F0D5E6}"/>
    <cellStyle name="Normal 5 2 2 12 3 4 5" xfId="40442" xr:uid="{60B3454F-9537-40CB-8181-537426AD30C4}"/>
    <cellStyle name="Normal 5 2 2 12 3 5" xfId="22973" xr:uid="{A9ED39F1-F64D-4B7E-9905-2662EEF3AEB9}"/>
    <cellStyle name="Normal 5 2 2 12 3 6" xfId="17313" xr:uid="{7C7ED6DE-2E72-41E4-8F14-4063161C4859}"/>
    <cellStyle name="Normal 5 2 2 12 3 7" xfId="28634" xr:uid="{6D908E16-2563-4743-A401-937DD2F22CC1}"/>
    <cellStyle name="Normal 5 2 2 12 3 8" xfId="40435" xr:uid="{8BE7044B-F026-4187-B656-D8CCACB74BD6}"/>
    <cellStyle name="Normal 5 2 2 12 4" xfId="5697" xr:uid="{00000000-0005-0000-0000-0000EA1E0000}"/>
    <cellStyle name="Normal 5 2 2 12 4 2" xfId="40443" xr:uid="{0BC33A93-0965-4CDD-B6DC-F712DB64DF64}"/>
    <cellStyle name="Normal 5 2 2 12 5" xfId="6623" xr:uid="{00000000-0005-0000-0000-0000EB1E0000}"/>
    <cellStyle name="Normal 5 2 2 12 5 2" xfId="15056" xr:uid="{00000000-0005-0000-0000-0000EC1E0000}"/>
    <cellStyle name="Normal 5 2 2 12 5 2 2" xfId="26950" xr:uid="{1E4E29A7-ED99-4E52-938D-C0C34B495045}"/>
    <cellStyle name="Normal 5 2 2 12 5 2 3" xfId="21290" xr:uid="{A14AC7B8-4155-4236-B8CF-C0F7502E7181}"/>
    <cellStyle name="Normal 5 2 2 12 5 2 4" xfId="32330" xr:uid="{B0598233-BCCB-427F-BBAE-5AA8D4BF9526}"/>
    <cellStyle name="Normal 5 2 2 12 5 2 5" xfId="40445" xr:uid="{96EFF5A9-AC6F-4C48-BD12-0EFE940DC8AD}"/>
    <cellStyle name="Normal 5 2 2 12 5 3" xfId="24117" xr:uid="{632DCDA9-346E-46C1-ADD3-3ABDB363CF68}"/>
    <cellStyle name="Normal 5 2 2 12 5 4" xfId="18457" xr:uid="{C5951ED3-FB84-4C5F-B64F-ADF8D6F1BF66}"/>
    <cellStyle name="Normal 5 2 2 12 5 5" xfId="29778" xr:uid="{3B5D618B-D4F5-4C09-8F7C-87570AFB3C62}"/>
    <cellStyle name="Normal 5 2 2 12 5 6" xfId="40444" xr:uid="{5B0C3C21-0DE8-4601-B0DA-95BF6DB1CFC9}"/>
    <cellStyle name="Normal 5 2 2 12 6" xfId="8065" xr:uid="{00000000-0005-0000-0000-0000ED1E0000}"/>
    <cellStyle name="Normal 5 2 2 12 6 2" xfId="25543" xr:uid="{4CDF40C7-CBDB-495C-B694-EE2F24BCCD6E}"/>
    <cellStyle name="Normal 5 2 2 12 6 3" xfId="19883" xr:uid="{4F1C49DC-C072-4C2F-BCA9-3A719BC4CA6C}"/>
    <cellStyle name="Normal 5 2 2 12 6 4" xfId="31204" xr:uid="{C6BDD5DF-765E-426F-86F2-0E61FF02EB8C}"/>
    <cellStyle name="Normal 5 2 2 12 6 5" xfId="40446" xr:uid="{06084A4E-1CB0-47BC-94C5-FF7D78C56D5A}"/>
    <cellStyle name="Normal 5 2 2 12 7" xfId="22555" xr:uid="{DBB1DE8C-D787-4189-9584-0975E6F98C7F}"/>
    <cellStyle name="Normal 5 2 2 12 8" xfId="16895" xr:uid="{4DBD00CD-7BC3-416B-B3C8-C60871DEDEFB}"/>
    <cellStyle name="Normal 5 2 2 12 9" xfId="28216" xr:uid="{51D703D5-EA8D-4621-90E2-2FD996D119FF}"/>
    <cellStyle name="Normal 5 2 2 13" xfId="4297" xr:uid="{00000000-0005-0000-0000-0000EE1E0000}"/>
    <cellStyle name="Normal 5 2 2 13 10" xfId="40447" xr:uid="{35201459-EF9A-457D-BC45-338C6292528F}"/>
    <cellStyle name="Normal 5 2 2 13 2" xfId="4969" xr:uid="{00000000-0005-0000-0000-0000EF1E0000}"/>
    <cellStyle name="Normal 5 2 2 13 2 2" xfId="5388" xr:uid="{00000000-0005-0000-0000-0000F01E0000}"/>
    <cellStyle name="Normal 5 2 2 13 2 2 2" xfId="7251" xr:uid="{00000000-0005-0000-0000-0000F11E0000}"/>
    <cellStyle name="Normal 5 2 2 13 2 2 2 2" xfId="15684" xr:uid="{00000000-0005-0000-0000-0000F21E0000}"/>
    <cellStyle name="Normal 5 2 2 13 2 2 2 2 2" xfId="27578" xr:uid="{EF516537-1B76-4ED6-9B91-62F11F6A37C9}"/>
    <cellStyle name="Normal 5 2 2 13 2 2 2 2 3" xfId="21918" xr:uid="{78E72D77-494F-4A11-AE5C-7196C03C1047}"/>
    <cellStyle name="Normal 5 2 2 13 2 2 2 2 4" xfId="32958" xr:uid="{D4F20454-7662-4566-96E6-E5058AF7C797}"/>
    <cellStyle name="Normal 5 2 2 13 2 2 2 2 5" xfId="40451" xr:uid="{28644252-FA25-4143-A4C6-147939F2F374}"/>
    <cellStyle name="Normal 5 2 2 13 2 2 2 3" xfId="24745" xr:uid="{06F5C411-45A3-4E80-A8FC-9404EF552ECC}"/>
    <cellStyle name="Normal 5 2 2 13 2 2 2 4" xfId="19085" xr:uid="{E0C14073-90B6-404A-A51D-2ABE5E34AC89}"/>
    <cellStyle name="Normal 5 2 2 13 2 2 2 5" xfId="30406" xr:uid="{2F1B4A03-0DCE-4CAE-9774-49F0274E0A7C}"/>
    <cellStyle name="Normal 5 2 2 13 2 2 2 6" xfId="40450" xr:uid="{A35C4321-6B60-4C6F-93DD-B1CF4A20CFBA}"/>
    <cellStyle name="Normal 5 2 2 13 2 2 3" xfId="14274" xr:uid="{00000000-0005-0000-0000-0000F31E0000}"/>
    <cellStyle name="Normal 5 2 2 13 2 2 3 2" xfId="26313" xr:uid="{2375F00B-F16D-43E2-80ED-CD8BAA33F032}"/>
    <cellStyle name="Normal 5 2 2 13 2 2 3 3" xfId="20653" xr:uid="{965788DB-483D-4F70-A188-52AEBFA9B24A}"/>
    <cellStyle name="Normal 5 2 2 13 2 2 3 4" xfId="31693" xr:uid="{9A28468D-6845-491B-8058-451EE858293E}"/>
    <cellStyle name="Normal 5 2 2 13 2 2 3 5" xfId="40452" xr:uid="{87287D95-D0AC-4DCD-BD46-F9BFD6714AB6}"/>
    <cellStyle name="Normal 5 2 2 13 2 2 4" xfId="23183" xr:uid="{0ED4E1D8-7222-4B1D-A280-36478C6B8AC4}"/>
    <cellStyle name="Normal 5 2 2 13 2 2 5" xfId="17523" xr:uid="{410A7A1E-72AF-4E1F-9EF9-A51D11C42801}"/>
    <cellStyle name="Normal 5 2 2 13 2 2 6" xfId="28844" xr:uid="{301ABCD6-90A3-4435-B44D-91C81AC75AD6}"/>
    <cellStyle name="Normal 5 2 2 13 2 2 7" xfId="40449" xr:uid="{BA4E8952-7ABD-4471-955E-52BCD6E56A6F}"/>
    <cellStyle name="Normal 5 2 2 13 2 3" xfId="6298" xr:uid="{00000000-0005-0000-0000-0000F41E0000}"/>
    <cellStyle name="Normal 5 2 2 13 2 3 2" xfId="7622" xr:uid="{00000000-0005-0000-0000-0000F51E0000}"/>
    <cellStyle name="Normal 5 2 2 13 2 3 2 2" xfId="16055" xr:uid="{00000000-0005-0000-0000-0000F61E0000}"/>
    <cellStyle name="Normal 5 2 2 13 2 3 2 2 2" xfId="27949" xr:uid="{6861578E-5CCB-4778-A135-70465A41ABAA}"/>
    <cellStyle name="Normal 5 2 2 13 2 3 2 2 3" xfId="22289" xr:uid="{57904AC3-22E4-46DD-9CF9-3008B1AFA3DB}"/>
    <cellStyle name="Normal 5 2 2 13 2 3 2 2 4" xfId="33329" xr:uid="{23CF7E22-4C42-4910-8A69-8AC9EC8F66E7}"/>
    <cellStyle name="Normal 5 2 2 13 2 3 2 2 5" xfId="40455" xr:uid="{7413768A-DEE6-4D4D-AA2F-81F2E1F1417F}"/>
    <cellStyle name="Normal 5 2 2 13 2 3 2 3" xfId="25116" xr:uid="{52CF7EB5-5645-47AD-AF66-A72F1B64E78F}"/>
    <cellStyle name="Normal 5 2 2 13 2 3 2 4" xfId="19456" xr:uid="{8BB4DDE8-1AA3-4842-93D0-2804BFC80887}"/>
    <cellStyle name="Normal 5 2 2 13 2 3 2 5" xfId="30777" xr:uid="{E00B76AF-A10C-43E2-B883-342EB394A92A}"/>
    <cellStyle name="Normal 5 2 2 13 2 3 2 6" xfId="40454" xr:uid="{0A6B2C19-4575-460C-A27D-A8F1943A98C1}"/>
    <cellStyle name="Normal 5 2 2 13 2 3 3" xfId="14737" xr:uid="{00000000-0005-0000-0000-0000F71E0000}"/>
    <cellStyle name="Normal 5 2 2 13 2 3 3 2" xfId="26693" xr:uid="{78A501F5-4D65-4CC8-AA9E-A4F563EDD33D}"/>
    <cellStyle name="Normal 5 2 2 13 2 3 3 3" xfId="21033" xr:uid="{C6E3277F-2ED2-4DAA-8FDE-A8A094AB8639}"/>
    <cellStyle name="Normal 5 2 2 13 2 3 3 4" xfId="32073" xr:uid="{E06EDA0F-81B7-498C-8D92-5DA8BB0F804B}"/>
    <cellStyle name="Normal 5 2 2 13 2 3 3 5" xfId="40456" xr:uid="{F4DDD37D-BF8D-4D0D-BCE9-C158B94A2DE7}"/>
    <cellStyle name="Normal 5 2 2 13 2 3 4" xfId="23860" xr:uid="{8864D813-2CC1-4ED0-A4D6-21FB0E6A0E23}"/>
    <cellStyle name="Normal 5 2 2 13 2 3 5" xfId="18200" xr:uid="{A75877D4-9BF7-4061-9457-410A980D8D61}"/>
    <cellStyle name="Normal 5 2 2 13 2 3 6" xfId="29521" xr:uid="{EC74E912-F018-423C-9154-6F7A3F1C581D}"/>
    <cellStyle name="Normal 5 2 2 13 2 3 7" xfId="40453" xr:uid="{358CF985-95FD-4C4E-B143-4D0B128A937E}"/>
    <cellStyle name="Normal 5 2 2 13 2 4" xfId="6833" xr:uid="{00000000-0005-0000-0000-0000F81E0000}"/>
    <cellStyle name="Normal 5 2 2 13 2 4 2" xfId="15266" xr:uid="{00000000-0005-0000-0000-0000F91E0000}"/>
    <cellStyle name="Normal 5 2 2 13 2 4 2 2" xfId="27160" xr:uid="{5DE46474-00EE-49EA-9D85-94961EEAF66B}"/>
    <cellStyle name="Normal 5 2 2 13 2 4 2 3" xfId="21500" xr:uid="{2E82460B-543D-4B08-9619-3B5BC05F2BCE}"/>
    <cellStyle name="Normal 5 2 2 13 2 4 2 4" xfId="32540" xr:uid="{60B2E1C6-31A1-420A-B1C3-58BAD2145462}"/>
    <cellStyle name="Normal 5 2 2 13 2 4 2 5" xfId="40458" xr:uid="{C65D9C55-B74C-4B4B-8A19-1481F6219894}"/>
    <cellStyle name="Normal 5 2 2 13 2 4 3" xfId="24327" xr:uid="{20E45C84-36A7-44BA-BA2E-260DFEC67664}"/>
    <cellStyle name="Normal 5 2 2 13 2 4 4" xfId="18667" xr:uid="{F0CE1B9F-A8BA-4621-8A2E-D43C088C7FCA}"/>
    <cellStyle name="Normal 5 2 2 13 2 4 5" xfId="29988" xr:uid="{B9C78618-5280-4F07-B81C-7B439982713E}"/>
    <cellStyle name="Normal 5 2 2 13 2 4 6" xfId="40457" xr:uid="{69CF2501-576F-41F4-A34D-A629EB2362AF}"/>
    <cellStyle name="Normal 5 2 2 13 2 5" xfId="8068" xr:uid="{00000000-0005-0000-0000-0000FA1E0000}"/>
    <cellStyle name="Normal 5 2 2 13 2 5 2" xfId="25546" xr:uid="{820B9059-FDC8-474A-94D5-F5638BFAF712}"/>
    <cellStyle name="Normal 5 2 2 13 2 5 3" xfId="19886" xr:uid="{CADABD65-74AB-494C-B6D7-A31FE0A167CC}"/>
    <cellStyle name="Normal 5 2 2 13 2 5 4" xfId="31207" xr:uid="{FBC8661E-E0C1-4076-B1A3-2B8F919DFCE6}"/>
    <cellStyle name="Normal 5 2 2 13 2 5 5" xfId="40459" xr:uid="{4513E4DA-FA8E-449F-9AE2-B153E83E8595}"/>
    <cellStyle name="Normal 5 2 2 13 2 6" xfId="22765" xr:uid="{10112CD0-0A54-4C60-B27C-69EF2ED259E0}"/>
    <cellStyle name="Normal 5 2 2 13 2 7" xfId="17105" xr:uid="{4B89BEDE-F8E2-49E9-9B84-95D36CFEE933}"/>
    <cellStyle name="Normal 5 2 2 13 2 8" xfId="28426" xr:uid="{FEFF4629-C051-4730-8DA3-A122388942B0}"/>
    <cellStyle name="Normal 5 2 2 13 2 9" xfId="40448" xr:uid="{D0DA0357-6B63-49B2-9838-110CBB05450B}"/>
    <cellStyle name="Normal 5 2 2 13 3" xfId="5179" xr:uid="{00000000-0005-0000-0000-0000FB1E0000}"/>
    <cellStyle name="Normal 5 2 2 13 3 2" xfId="6297" xr:uid="{00000000-0005-0000-0000-0000FC1E0000}"/>
    <cellStyle name="Normal 5 2 2 13 3 2 2" xfId="7621" xr:uid="{00000000-0005-0000-0000-0000FD1E0000}"/>
    <cellStyle name="Normal 5 2 2 13 3 2 2 2" xfId="16054" xr:uid="{00000000-0005-0000-0000-0000FE1E0000}"/>
    <cellStyle name="Normal 5 2 2 13 3 2 2 2 2" xfId="27948" xr:uid="{03ACFD0A-FC81-4153-8B32-64D88D652A41}"/>
    <cellStyle name="Normal 5 2 2 13 3 2 2 2 3" xfId="22288" xr:uid="{40027FD0-81D5-4E0E-A2EF-A9B4BBE47818}"/>
    <cellStyle name="Normal 5 2 2 13 3 2 2 2 4" xfId="33328" xr:uid="{1BCAE6FD-573B-4954-AA36-6A6FBAAB2FDC}"/>
    <cellStyle name="Normal 5 2 2 13 3 2 2 2 5" xfId="40463" xr:uid="{3A136FE2-C681-45FE-8F64-A8AE2CB04D1B}"/>
    <cellStyle name="Normal 5 2 2 13 3 2 2 3" xfId="25115" xr:uid="{D7BDF407-3DC4-4545-A2A8-BB4D27A3A440}"/>
    <cellStyle name="Normal 5 2 2 13 3 2 2 4" xfId="19455" xr:uid="{DE086A18-0AB7-41F9-8852-BB138E41DC60}"/>
    <cellStyle name="Normal 5 2 2 13 3 2 2 5" xfId="30776" xr:uid="{D6D217D0-EA9D-459D-8766-02ECEF9B0FD1}"/>
    <cellStyle name="Normal 5 2 2 13 3 2 2 6" xfId="40462" xr:uid="{CDC4D853-32A7-455D-B35D-D969C132FF95}"/>
    <cellStyle name="Normal 5 2 2 13 3 2 3" xfId="14736" xr:uid="{00000000-0005-0000-0000-0000FF1E0000}"/>
    <cellStyle name="Normal 5 2 2 13 3 2 3 2" xfId="26692" xr:uid="{2435077B-8A8E-44B2-9D07-3AE892E1F8D5}"/>
    <cellStyle name="Normal 5 2 2 13 3 2 3 3" xfId="21032" xr:uid="{E92B50D8-8120-4A91-B1B0-B9857AE83898}"/>
    <cellStyle name="Normal 5 2 2 13 3 2 3 4" xfId="32072" xr:uid="{8F4C2B57-3B0E-4ACA-9369-58D0BD77CF1E}"/>
    <cellStyle name="Normal 5 2 2 13 3 2 3 5" xfId="40464" xr:uid="{DC7C3EBD-2AA9-4532-B907-5232D2D4DFCD}"/>
    <cellStyle name="Normal 5 2 2 13 3 2 4" xfId="23859" xr:uid="{CA7B9CB6-3B65-4293-8ACE-7F3EEAD1BB3E}"/>
    <cellStyle name="Normal 5 2 2 13 3 2 5" xfId="18199" xr:uid="{07A63A61-4C04-415B-9D99-E8B8858515F8}"/>
    <cellStyle name="Normal 5 2 2 13 3 2 6" xfId="29520" xr:uid="{50486078-17E3-4C23-9D3E-B848AEF9D863}"/>
    <cellStyle name="Normal 5 2 2 13 3 2 7" xfId="40461" xr:uid="{0ED40E4A-2AF0-4988-B8C5-78D3511FD1E3}"/>
    <cellStyle name="Normal 5 2 2 13 3 3" xfId="7042" xr:uid="{00000000-0005-0000-0000-0000001F0000}"/>
    <cellStyle name="Normal 5 2 2 13 3 3 2" xfId="15475" xr:uid="{00000000-0005-0000-0000-0000011F0000}"/>
    <cellStyle name="Normal 5 2 2 13 3 3 2 2" xfId="27369" xr:uid="{29D567E7-E195-487C-B251-30FBBE156BF9}"/>
    <cellStyle name="Normal 5 2 2 13 3 3 2 3" xfId="21709" xr:uid="{47F8A390-1685-477C-A24F-F79A1ACE9D01}"/>
    <cellStyle name="Normal 5 2 2 13 3 3 2 4" xfId="32749" xr:uid="{8F5D591B-45AE-4189-8005-860A566CC7B2}"/>
    <cellStyle name="Normal 5 2 2 13 3 3 2 5" xfId="40466" xr:uid="{0A4D3F06-12C5-4B07-82FE-4CB7F616D3FA}"/>
    <cellStyle name="Normal 5 2 2 13 3 3 3" xfId="24536" xr:uid="{4A576B99-9527-4B3C-AC46-61164AB6C5A6}"/>
    <cellStyle name="Normal 5 2 2 13 3 3 4" xfId="18876" xr:uid="{A7E86ECF-D04F-473F-BD6E-B33F4C86508E}"/>
    <cellStyle name="Normal 5 2 2 13 3 3 5" xfId="30197" xr:uid="{3B94D830-FB9D-4277-AB85-23647284BF8D}"/>
    <cellStyle name="Normal 5 2 2 13 3 3 6" xfId="40465" xr:uid="{84D30078-0679-41B3-81FC-A082B45AD401}"/>
    <cellStyle name="Normal 5 2 2 13 3 4" xfId="14066" xr:uid="{00000000-0005-0000-0000-0000021F0000}"/>
    <cellStyle name="Normal 5 2 2 13 3 4 2" xfId="26105" xr:uid="{8BC896DC-31B4-4B37-AB05-0E1FFB2F6854}"/>
    <cellStyle name="Normal 5 2 2 13 3 4 3" xfId="20445" xr:uid="{9B54E759-F3C8-4FC4-B49D-E098D8F89A91}"/>
    <cellStyle name="Normal 5 2 2 13 3 4 4" xfId="31485" xr:uid="{CC005B30-529B-4936-852D-253AA6487745}"/>
    <cellStyle name="Normal 5 2 2 13 3 4 5" xfId="40467" xr:uid="{C4F7C7CF-CE5F-4A81-AD9C-804B8A617690}"/>
    <cellStyle name="Normal 5 2 2 13 3 5" xfId="22974" xr:uid="{400A88C3-9EB6-4E51-A6E5-B856F0E07A10}"/>
    <cellStyle name="Normal 5 2 2 13 3 6" xfId="17314" xr:uid="{CF8260E1-7539-4462-8D38-F40F49625D53}"/>
    <cellStyle name="Normal 5 2 2 13 3 7" xfId="28635" xr:uid="{5F4A84E3-C85A-4FA0-A771-51DE2613EB05}"/>
    <cellStyle name="Normal 5 2 2 13 3 8" xfId="40460" xr:uid="{9E1183F8-A8BA-4E5C-9D04-12F93BB795C7}"/>
    <cellStyle name="Normal 5 2 2 13 4" xfId="5698" xr:uid="{00000000-0005-0000-0000-0000031F0000}"/>
    <cellStyle name="Normal 5 2 2 13 4 2" xfId="40468" xr:uid="{C01FD011-48D8-4D8E-B72D-08596EF856C0}"/>
    <cellStyle name="Normal 5 2 2 13 5" xfId="6624" xr:uid="{00000000-0005-0000-0000-0000041F0000}"/>
    <cellStyle name="Normal 5 2 2 13 5 2" xfId="15057" xr:uid="{00000000-0005-0000-0000-0000051F0000}"/>
    <cellStyle name="Normal 5 2 2 13 5 2 2" xfId="26951" xr:uid="{7AC8F5FC-F6D6-4C3F-8E6A-6C95EBEBF8C3}"/>
    <cellStyle name="Normal 5 2 2 13 5 2 3" xfId="21291" xr:uid="{03516650-48A4-485A-BB95-771306C0C33E}"/>
    <cellStyle name="Normal 5 2 2 13 5 2 4" xfId="32331" xr:uid="{F32E4218-04C1-4AC9-8BAD-C2646678B806}"/>
    <cellStyle name="Normal 5 2 2 13 5 2 5" xfId="40470" xr:uid="{69F91497-6239-4871-9E19-9BB85FF867F1}"/>
    <cellStyle name="Normal 5 2 2 13 5 3" xfId="24118" xr:uid="{2CD38637-B6CB-4B2C-8E0E-072213C6320D}"/>
    <cellStyle name="Normal 5 2 2 13 5 4" xfId="18458" xr:uid="{EAC524C2-35CC-416C-8116-088AC0BAC1F0}"/>
    <cellStyle name="Normal 5 2 2 13 5 5" xfId="29779" xr:uid="{F041578E-57BE-41C0-A742-785F5D10B433}"/>
    <cellStyle name="Normal 5 2 2 13 5 6" xfId="40469" xr:uid="{2D6B062B-15F3-42B6-91F2-3D7C365EA8AC}"/>
    <cellStyle name="Normal 5 2 2 13 6" xfId="8067" xr:uid="{00000000-0005-0000-0000-0000061F0000}"/>
    <cellStyle name="Normal 5 2 2 13 6 2" xfId="25545" xr:uid="{E26FFFA4-0150-47B1-B010-645C36F6D02F}"/>
    <cellStyle name="Normal 5 2 2 13 6 3" xfId="19885" xr:uid="{B1622D93-978B-4246-BB88-827C506093FE}"/>
    <cellStyle name="Normal 5 2 2 13 6 4" xfId="31206" xr:uid="{45D46C78-2E95-497B-B8C6-811884F45512}"/>
    <cellStyle name="Normal 5 2 2 13 6 5" xfId="40471" xr:uid="{D7A69C91-5D97-4062-A727-F4DE6E750321}"/>
    <cellStyle name="Normal 5 2 2 13 7" xfId="22556" xr:uid="{F045CEF9-3EFC-48AF-96C6-3D027032A71F}"/>
    <cellStyle name="Normal 5 2 2 13 8" xfId="16896" xr:uid="{C61FE9D1-08B3-497A-A0D7-F71E8135AEE3}"/>
    <cellStyle name="Normal 5 2 2 13 9" xfId="28217" xr:uid="{D1457338-A8CC-4C5E-89A6-04AC7DCAF14C}"/>
    <cellStyle name="Normal 5 2 2 14" xfId="4293" xr:uid="{00000000-0005-0000-0000-0000071F0000}"/>
    <cellStyle name="Normal 5 2 2 14 2" xfId="40472" xr:uid="{A94436A2-736A-42E4-A5BF-54F81FA54CED}"/>
    <cellStyle name="Normal 5 2 2 15" xfId="8069" xr:uid="{00000000-0005-0000-0000-0000081F0000}"/>
    <cellStyle name="Normal 5 2 2 15 2" xfId="40473" xr:uid="{B249F553-AB07-4A66-91E4-F446E4C1F9D6}"/>
    <cellStyle name="Normal 5 2 2 16" xfId="40474" xr:uid="{2EDF9789-CCE2-4794-B5AD-26B3E83C9DB4}"/>
    <cellStyle name="Normal 5 2 2 17" xfId="40371" xr:uid="{920E6220-41E3-4DF0-BB45-D129D7F88A2A}"/>
    <cellStyle name="Normal 5 2 2 2" xfId="2240" xr:uid="{00000000-0005-0000-0000-0000091F0000}"/>
    <cellStyle name="Normal 5 2 2 2 10" xfId="4299" xr:uid="{00000000-0005-0000-0000-00000A1F0000}"/>
    <cellStyle name="Normal 5 2 2 2 10 2" xfId="40476" xr:uid="{41218316-82C8-46D5-BA1F-A76AC4A739A5}"/>
    <cellStyle name="Normal 5 2 2 2 11" xfId="4300" xr:uid="{00000000-0005-0000-0000-00000B1F0000}"/>
    <cellStyle name="Normal 5 2 2 2 11 2" xfId="40477" xr:uid="{7518A632-ADFB-4BD1-8D9D-76D4575ECF10}"/>
    <cellStyle name="Normal 5 2 2 2 12" xfId="4301" xr:uid="{00000000-0005-0000-0000-00000C1F0000}"/>
    <cellStyle name="Normal 5 2 2 2 12 2" xfId="40478" xr:uid="{BFB2554D-269E-4960-9604-119BAC53EA57}"/>
    <cellStyle name="Normal 5 2 2 2 13" xfId="4302" xr:uid="{00000000-0005-0000-0000-00000D1F0000}"/>
    <cellStyle name="Normal 5 2 2 2 13 2" xfId="40479" xr:uid="{416C37E4-F95F-45EA-87AC-F91BA619FB0E}"/>
    <cellStyle name="Normal 5 2 2 2 14" xfId="4298" xr:uid="{00000000-0005-0000-0000-00000E1F0000}"/>
    <cellStyle name="Normal 5 2 2 2 14 10" xfId="40480" xr:uid="{AC60AF1E-46AC-432E-93D6-241BD5847389}"/>
    <cellStyle name="Normal 5 2 2 2 14 2" xfId="4970" xr:uid="{00000000-0005-0000-0000-00000F1F0000}"/>
    <cellStyle name="Normal 5 2 2 2 14 2 2" xfId="5389" xr:uid="{00000000-0005-0000-0000-0000101F0000}"/>
    <cellStyle name="Normal 5 2 2 2 14 2 2 2" xfId="7252" xr:uid="{00000000-0005-0000-0000-0000111F0000}"/>
    <cellStyle name="Normal 5 2 2 2 14 2 2 2 2" xfId="15685" xr:uid="{00000000-0005-0000-0000-0000121F0000}"/>
    <cellStyle name="Normal 5 2 2 2 14 2 2 2 2 2" xfId="27579" xr:uid="{234FE036-2DB2-4008-BEC2-D8DA8E76053C}"/>
    <cellStyle name="Normal 5 2 2 2 14 2 2 2 2 3" xfId="21919" xr:uid="{88019B5E-9E67-4009-8E03-8D003040BE83}"/>
    <cellStyle name="Normal 5 2 2 2 14 2 2 2 2 4" xfId="32959" xr:uid="{85E7CC8E-5867-4392-A78B-B023B2F5E19B}"/>
    <cellStyle name="Normal 5 2 2 2 14 2 2 2 2 5" xfId="40484" xr:uid="{A8DB398A-746F-4072-AAAC-93915F4CF0F4}"/>
    <cellStyle name="Normal 5 2 2 2 14 2 2 2 3" xfId="24746" xr:uid="{56291416-6307-4BE6-86F1-3DB892330BD0}"/>
    <cellStyle name="Normal 5 2 2 2 14 2 2 2 4" xfId="19086" xr:uid="{B31C419D-80AE-45DA-BBEF-2623C1329D20}"/>
    <cellStyle name="Normal 5 2 2 2 14 2 2 2 5" xfId="30407" xr:uid="{63B9AB74-7AB4-43FB-9F49-65ECE453AFDC}"/>
    <cellStyle name="Normal 5 2 2 2 14 2 2 2 6" xfId="40483" xr:uid="{4B848C86-65BC-4AC0-B5DA-1AA911B57B9C}"/>
    <cellStyle name="Normal 5 2 2 2 14 2 2 3" xfId="14275" xr:uid="{00000000-0005-0000-0000-0000131F0000}"/>
    <cellStyle name="Normal 5 2 2 2 14 2 2 3 2" xfId="26314" xr:uid="{30207B4E-C97B-46FF-B08A-B5278B524CE2}"/>
    <cellStyle name="Normal 5 2 2 2 14 2 2 3 3" xfId="20654" xr:uid="{6CC9DFC0-607C-40B4-982E-5EAE9EF03616}"/>
    <cellStyle name="Normal 5 2 2 2 14 2 2 3 4" xfId="31694" xr:uid="{339307F8-BC26-4C01-8374-294A2941C8DF}"/>
    <cellStyle name="Normal 5 2 2 2 14 2 2 3 5" xfId="40485" xr:uid="{A28DBE0F-663A-4FC3-B5CA-3D3C9E673C1E}"/>
    <cellStyle name="Normal 5 2 2 2 14 2 2 4" xfId="23184" xr:uid="{E8AE67AC-B24F-47BE-BDB4-FF907D7D218E}"/>
    <cellStyle name="Normal 5 2 2 2 14 2 2 5" xfId="17524" xr:uid="{9D20A317-0438-4FF6-A96B-733B9B27ABC7}"/>
    <cellStyle name="Normal 5 2 2 2 14 2 2 6" xfId="28845" xr:uid="{53D01F73-03F0-4A23-8618-86743FBFC39E}"/>
    <cellStyle name="Normal 5 2 2 2 14 2 2 7" xfId="40482" xr:uid="{AB851D4B-1085-453E-94BA-1F3FCD083BA2}"/>
    <cellStyle name="Normal 5 2 2 2 14 2 3" xfId="6300" xr:uid="{00000000-0005-0000-0000-0000141F0000}"/>
    <cellStyle name="Normal 5 2 2 2 14 2 3 2" xfId="7624" xr:uid="{00000000-0005-0000-0000-0000151F0000}"/>
    <cellStyle name="Normal 5 2 2 2 14 2 3 2 2" xfId="16057" xr:uid="{00000000-0005-0000-0000-0000161F0000}"/>
    <cellStyle name="Normal 5 2 2 2 14 2 3 2 2 2" xfId="27951" xr:uid="{0EC2DA25-FE7F-46E8-876C-B8A9273DCC96}"/>
    <cellStyle name="Normal 5 2 2 2 14 2 3 2 2 3" xfId="22291" xr:uid="{8D098B00-B9EE-4521-B610-22307812DFFE}"/>
    <cellStyle name="Normal 5 2 2 2 14 2 3 2 2 4" xfId="33331" xr:uid="{44FC259F-CD08-44D7-9868-E90A9739CF34}"/>
    <cellStyle name="Normal 5 2 2 2 14 2 3 2 2 5" xfId="40488" xr:uid="{DDA1641C-A1DF-4041-AC61-D1452FA005A2}"/>
    <cellStyle name="Normal 5 2 2 2 14 2 3 2 3" xfId="25118" xr:uid="{3A0C754C-76D4-4E8B-A8EB-77CECB37AA76}"/>
    <cellStyle name="Normal 5 2 2 2 14 2 3 2 4" xfId="19458" xr:uid="{FD4509D2-B4F2-4F4D-8323-FDDF5E82585F}"/>
    <cellStyle name="Normal 5 2 2 2 14 2 3 2 5" xfId="30779" xr:uid="{EEB83E66-8D34-4CF1-98D3-627EE9B6B444}"/>
    <cellStyle name="Normal 5 2 2 2 14 2 3 2 6" xfId="40487" xr:uid="{E3FF057C-F762-4417-B3EF-810AF961E432}"/>
    <cellStyle name="Normal 5 2 2 2 14 2 3 3" xfId="14739" xr:uid="{00000000-0005-0000-0000-0000171F0000}"/>
    <cellStyle name="Normal 5 2 2 2 14 2 3 3 2" xfId="26695" xr:uid="{8FE53966-CFDA-42B0-BF0A-C8C8ED58BFBF}"/>
    <cellStyle name="Normal 5 2 2 2 14 2 3 3 3" xfId="21035" xr:uid="{22ED149C-C073-47A5-9CD8-65CC7B2668B8}"/>
    <cellStyle name="Normal 5 2 2 2 14 2 3 3 4" xfId="32075" xr:uid="{FE23D004-B9A5-4C44-A352-9DE7CE73B375}"/>
    <cellStyle name="Normal 5 2 2 2 14 2 3 3 5" xfId="40489" xr:uid="{52DB8291-884E-4C68-A457-7AC8314B0BA6}"/>
    <cellStyle name="Normal 5 2 2 2 14 2 3 4" xfId="23862" xr:uid="{3AD9509B-27FA-4B5D-9E21-4FA1D826741F}"/>
    <cellStyle name="Normal 5 2 2 2 14 2 3 5" xfId="18202" xr:uid="{BEA824A4-3DDA-4889-929A-987CACE4E324}"/>
    <cellStyle name="Normal 5 2 2 2 14 2 3 6" xfId="29523" xr:uid="{3C5D8E0D-1C3D-42EC-85E3-7DFDA93363FA}"/>
    <cellStyle name="Normal 5 2 2 2 14 2 3 7" xfId="40486" xr:uid="{2E3A2521-F16C-4D15-AF50-0689B27234FD}"/>
    <cellStyle name="Normal 5 2 2 2 14 2 4" xfId="6834" xr:uid="{00000000-0005-0000-0000-0000181F0000}"/>
    <cellStyle name="Normal 5 2 2 2 14 2 4 2" xfId="15267" xr:uid="{00000000-0005-0000-0000-0000191F0000}"/>
    <cellStyle name="Normal 5 2 2 2 14 2 4 2 2" xfId="27161" xr:uid="{28A5A9C9-CD78-4192-BB14-FFEEFB2513F7}"/>
    <cellStyle name="Normal 5 2 2 2 14 2 4 2 3" xfId="21501" xr:uid="{55DC8710-2583-44F9-8935-D3C9C849469E}"/>
    <cellStyle name="Normal 5 2 2 2 14 2 4 2 4" xfId="32541" xr:uid="{49E18E22-B391-446D-AB8A-191753CBC6AF}"/>
    <cellStyle name="Normal 5 2 2 2 14 2 4 2 5" xfId="40491" xr:uid="{8D34F187-BD9A-439A-9F88-313EB5A48645}"/>
    <cellStyle name="Normal 5 2 2 2 14 2 4 3" xfId="24328" xr:uid="{F2D5179D-FD13-4506-AD90-7AE52E5761ED}"/>
    <cellStyle name="Normal 5 2 2 2 14 2 4 4" xfId="18668" xr:uid="{EC2BF5ED-66B5-447F-9F16-BE6A2B712740}"/>
    <cellStyle name="Normal 5 2 2 2 14 2 4 5" xfId="29989" xr:uid="{6D320E21-3BFD-4F65-8484-60FF68C3306C}"/>
    <cellStyle name="Normal 5 2 2 2 14 2 4 6" xfId="40490" xr:uid="{8FE030C6-4544-4771-805C-A73A4EA47A23}"/>
    <cellStyle name="Normal 5 2 2 2 14 2 5" xfId="8072" xr:uid="{00000000-0005-0000-0000-00001A1F0000}"/>
    <cellStyle name="Normal 5 2 2 2 14 2 5 2" xfId="25549" xr:uid="{ECE99A87-0855-4F42-BDBE-788064746CE9}"/>
    <cellStyle name="Normal 5 2 2 2 14 2 5 3" xfId="19889" xr:uid="{897E2FA9-7B9A-4747-B75E-388D56EAE078}"/>
    <cellStyle name="Normal 5 2 2 2 14 2 5 4" xfId="31210" xr:uid="{99247FA7-2E2B-4702-8E6B-6862CAD74FB1}"/>
    <cellStyle name="Normal 5 2 2 2 14 2 5 5" xfId="40492" xr:uid="{C9415068-4B0F-4C3D-AA46-E5F359E4EEB0}"/>
    <cellStyle name="Normal 5 2 2 2 14 2 6" xfId="22766" xr:uid="{8771427C-B624-4403-8496-FB30E025AF2A}"/>
    <cellStyle name="Normal 5 2 2 2 14 2 7" xfId="17106" xr:uid="{58E2AC19-8F6D-49D3-A7D6-8770E71F8F6A}"/>
    <cellStyle name="Normal 5 2 2 2 14 2 8" xfId="28427" xr:uid="{8B431FFA-EA76-4736-80EC-7CA00478C5F1}"/>
    <cellStyle name="Normal 5 2 2 2 14 2 9" xfId="40481" xr:uid="{D5119CF8-6AB1-4013-BE04-72223759754F}"/>
    <cellStyle name="Normal 5 2 2 2 14 3" xfId="5180" xr:uid="{00000000-0005-0000-0000-00001B1F0000}"/>
    <cellStyle name="Normal 5 2 2 2 14 3 2" xfId="7043" xr:uid="{00000000-0005-0000-0000-00001C1F0000}"/>
    <cellStyle name="Normal 5 2 2 2 14 3 2 2" xfId="15476" xr:uid="{00000000-0005-0000-0000-00001D1F0000}"/>
    <cellStyle name="Normal 5 2 2 2 14 3 2 2 2" xfId="27370" xr:uid="{7A2D4CAF-2C69-46E3-9DF3-490E2D8F8E31}"/>
    <cellStyle name="Normal 5 2 2 2 14 3 2 2 3" xfId="21710" xr:uid="{4195B940-6D4D-429D-836E-1E63116926B9}"/>
    <cellStyle name="Normal 5 2 2 2 14 3 2 2 4" xfId="32750" xr:uid="{B9E551A8-FF2A-4C55-A901-A3FD943060BA}"/>
    <cellStyle name="Normal 5 2 2 2 14 3 2 2 5" xfId="40495" xr:uid="{F335F352-4E10-45CA-8380-29B431BAA6E1}"/>
    <cellStyle name="Normal 5 2 2 2 14 3 2 3" xfId="24537" xr:uid="{905515F7-B016-4531-A1EA-2DFE54416C66}"/>
    <cellStyle name="Normal 5 2 2 2 14 3 2 4" xfId="18877" xr:uid="{1B1707D6-58B2-45DA-8EE0-7BD70DAD260A}"/>
    <cellStyle name="Normal 5 2 2 2 14 3 2 5" xfId="30198" xr:uid="{3C974071-5CFB-4DF4-BF49-7A97A1F08DB3}"/>
    <cellStyle name="Normal 5 2 2 2 14 3 2 6" xfId="40494" xr:uid="{30C65095-5476-4B4B-B6B4-AE86F94CCA8B}"/>
    <cellStyle name="Normal 5 2 2 2 14 3 3" xfId="14067" xr:uid="{00000000-0005-0000-0000-00001E1F0000}"/>
    <cellStyle name="Normal 5 2 2 2 14 3 3 2" xfId="26106" xr:uid="{CDD514EE-341C-453D-B778-FAF3BDBC1CB8}"/>
    <cellStyle name="Normal 5 2 2 2 14 3 3 3" xfId="20446" xr:uid="{A8C8A08B-3C24-4146-B3B7-F066D9BBA643}"/>
    <cellStyle name="Normal 5 2 2 2 14 3 3 4" xfId="31486" xr:uid="{5E0A3109-E6E1-4837-B7E3-61E8D530FE53}"/>
    <cellStyle name="Normal 5 2 2 2 14 3 3 5" xfId="40496" xr:uid="{FE1333C6-86A2-47DC-896C-E4311CABA94E}"/>
    <cellStyle name="Normal 5 2 2 2 14 3 4" xfId="22975" xr:uid="{2270F3AD-8559-41A5-90EE-EC3938E658DF}"/>
    <cellStyle name="Normal 5 2 2 2 14 3 5" xfId="17315" xr:uid="{B24EC33B-25AB-415A-8121-5396FFDB11E7}"/>
    <cellStyle name="Normal 5 2 2 2 14 3 6" xfId="28636" xr:uid="{88A14083-2FF8-40BA-9F97-EA1DE95876CC}"/>
    <cellStyle name="Normal 5 2 2 2 14 3 7" xfId="40493" xr:uid="{907198A0-819E-4B0A-A97A-0F9EF91E746E}"/>
    <cellStyle name="Normal 5 2 2 2 14 4" xfId="6299" xr:uid="{00000000-0005-0000-0000-00001F1F0000}"/>
    <cellStyle name="Normal 5 2 2 2 14 4 2" xfId="7623" xr:uid="{00000000-0005-0000-0000-0000201F0000}"/>
    <cellStyle name="Normal 5 2 2 2 14 4 2 2" xfId="16056" xr:uid="{00000000-0005-0000-0000-0000211F0000}"/>
    <cellStyle name="Normal 5 2 2 2 14 4 2 2 2" xfId="27950" xr:uid="{691249F1-2ACA-4CC9-BDF0-3586EDE610E1}"/>
    <cellStyle name="Normal 5 2 2 2 14 4 2 2 3" xfId="22290" xr:uid="{5FCED88B-BE9E-4824-964B-81358FB74AA5}"/>
    <cellStyle name="Normal 5 2 2 2 14 4 2 2 4" xfId="33330" xr:uid="{4FFE06E7-ABB1-484A-B278-64850EF15008}"/>
    <cellStyle name="Normal 5 2 2 2 14 4 2 2 5" xfId="40499" xr:uid="{3770B5E1-03C9-44FD-9E3A-5214DF7A5749}"/>
    <cellStyle name="Normal 5 2 2 2 14 4 2 3" xfId="25117" xr:uid="{0C7DE855-565B-4356-AD81-124C4D4D5B62}"/>
    <cellStyle name="Normal 5 2 2 2 14 4 2 4" xfId="19457" xr:uid="{07C579B3-608E-40D0-AEF8-63A7E1D43AC7}"/>
    <cellStyle name="Normal 5 2 2 2 14 4 2 5" xfId="30778" xr:uid="{13E12DB1-FACD-4A15-B75D-1DF7E6BB0FF3}"/>
    <cellStyle name="Normal 5 2 2 2 14 4 2 6" xfId="40498" xr:uid="{8A660F23-8088-4D53-B3AF-DD214F2016BB}"/>
    <cellStyle name="Normal 5 2 2 2 14 4 3" xfId="14738" xr:uid="{00000000-0005-0000-0000-0000221F0000}"/>
    <cellStyle name="Normal 5 2 2 2 14 4 3 2" xfId="26694" xr:uid="{134E1B09-F5A5-4195-A6F1-F99CD45AD0E1}"/>
    <cellStyle name="Normal 5 2 2 2 14 4 3 3" xfId="21034" xr:uid="{83E9D985-963A-42FE-B007-700F852B8C72}"/>
    <cellStyle name="Normal 5 2 2 2 14 4 3 4" xfId="32074" xr:uid="{F91260EE-4666-4288-8A4D-4DC8B18F39E0}"/>
    <cellStyle name="Normal 5 2 2 2 14 4 3 5" xfId="40500" xr:uid="{3FCEF53F-CC69-4D86-8A9B-921399F7823F}"/>
    <cellStyle name="Normal 5 2 2 2 14 4 4" xfId="23861" xr:uid="{CE18D892-EC23-46DD-A840-CF261D175C3A}"/>
    <cellStyle name="Normal 5 2 2 2 14 4 5" xfId="18201" xr:uid="{F7F0B2DA-4A35-4484-98B1-30F6D10B88A7}"/>
    <cellStyle name="Normal 5 2 2 2 14 4 6" xfId="29522" xr:uid="{A50EC017-483F-4C76-B370-EF9C628691C8}"/>
    <cellStyle name="Normal 5 2 2 2 14 4 7" xfId="40497" xr:uid="{8C664A91-A833-4678-BCCA-D8943963D1F2}"/>
    <cellStyle name="Normal 5 2 2 2 14 5" xfId="6625" xr:uid="{00000000-0005-0000-0000-0000231F0000}"/>
    <cellStyle name="Normal 5 2 2 2 14 5 2" xfId="15058" xr:uid="{00000000-0005-0000-0000-0000241F0000}"/>
    <cellStyle name="Normal 5 2 2 2 14 5 2 2" xfId="26952" xr:uid="{7998B0F6-119B-445F-BB8A-62496B58DFA3}"/>
    <cellStyle name="Normal 5 2 2 2 14 5 2 3" xfId="21292" xr:uid="{BF74A56B-EFC5-4CE8-8C08-EFCAF2050749}"/>
    <cellStyle name="Normal 5 2 2 2 14 5 2 4" xfId="32332" xr:uid="{F5DC0732-B6D1-462D-8EA5-B08B82DE3C0C}"/>
    <cellStyle name="Normal 5 2 2 2 14 5 2 5" xfId="40502" xr:uid="{E03A0B30-84AA-4DA1-AE50-1590569AA73D}"/>
    <cellStyle name="Normal 5 2 2 2 14 5 3" xfId="24119" xr:uid="{8C42EDB0-B86D-4B38-854B-B8A373C41916}"/>
    <cellStyle name="Normal 5 2 2 2 14 5 4" xfId="18459" xr:uid="{D70C9AE3-6368-4DBD-A63C-95429A90DF3C}"/>
    <cellStyle name="Normal 5 2 2 2 14 5 5" xfId="29780" xr:uid="{A01AB323-9588-43A3-B05B-13B2ED3CCE94}"/>
    <cellStyle name="Normal 5 2 2 2 14 5 6" xfId="40501" xr:uid="{23E3C2F8-5DFF-4EFA-A7F7-989F6FB6C076}"/>
    <cellStyle name="Normal 5 2 2 2 14 6" xfId="8071" xr:uid="{00000000-0005-0000-0000-0000251F0000}"/>
    <cellStyle name="Normal 5 2 2 2 14 6 2" xfId="25548" xr:uid="{7E6C4569-3942-4EF7-AE99-7D5DFDC51A4A}"/>
    <cellStyle name="Normal 5 2 2 2 14 6 3" xfId="19888" xr:uid="{902C9636-BC06-41A6-8B62-F922888A11BC}"/>
    <cellStyle name="Normal 5 2 2 2 14 6 4" xfId="31209" xr:uid="{389F019E-842E-4458-BA33-0EFAB24DBD94}"/>
    <cellStyle name="Normal 5 2 2 2 14 6 5" xfId="40503" xr:uid="{75C37CFD-E13C-4A8E-B439-D1562C28ECFF}"/>
    <cellStyle name="Normal 5 2 2 2 14 7" xfId="22557" xr:uid="{89EB7057-F349-4D99-9CD7-C2A4DD87BBD7}"/>
    <cellStyle name="Normal 5 2 2 2 14 8" xfId="16897" xr:uid="{D5C9C1BB-E5D6-4304-8A85-6F04B1E550A3}"/>
    <cellStyle name="Normal 5 2 2 2 14 9" xfId="28218" xr:uid="{699AED70-59F6-4432-B08D-1371888597A2}"/>
    <cellStyle name="Normal 5 2 2 2 15" xfId="8073" xr:uid="{00000000-0005-0000-0000-0000261F0000}"/>
    <cellStyle name="Normal 5 2 2 2 15 2" xfId="40504" xr:uid="{E6B67005-E466-4407-8503-F958BBC153EF}"/>
    <cellStyle name="Normal 5 2 2 2 16" xfId="8070" xr:uid="{00000000-0005-0000-0000-0000271F0000}"/>
    <cellStyle name="Normal 5 2 2 2 16 2" xfId="25547" xr:uid="{C7CF89E8-B759-4BA5-8211-D8347EA5469B}"/>
    <cellStyle name="Normal 5 2 2 2 16 3" xfId="19887" xr:uid="{B3A637E6-0CFF-435B-8561-2C6ECEAD55DA}"/>
    <cellStyle name="Normal 5 2 2 2 16 4" xfId="31208" xr:uid="{8D34B92A-91BC-4374-A5EE-5CA3FA51F54C}"/>
    <cellStyle name="Normal 5 2 2 2 16 5" xfId="40505" xr:uid="{15906AFE-B8FE-487C-98D1-9F5BD44E6B4D}"/>
    <cellStyle name="Normal 5 2 2 2 17" xfId="40506" xr:uid="{392E5629-1F05-430C-879D-A48E455A65CA}"/>
    <cellStyle name="Normal 5 2 2 2 18" xfId="40475" xr:uid="{5E7CDD38-8020-48F8-A21F-86FFF09FD6B4}"/>
    <cellStyle name="Normal 5 2 2 2 2" xfId="4303" xr:uid="{00000000-0005-0000-0000-0000281F0000}"/>
    <cellStyle name="Normal 5 2 2 2 2 2" xfId="40508" xr:uid="{6FE4D133-EE98-40C0-A90D-AD28DC7FC611}"/>
    <cellStyle name="Normal 5 2 2 2 2 3" xfId="40509" xr:uid="{26E12549-B0EE-4A10-9AC4-14514932776D}"/>
    <cellStyle name="Normal 5 2 2 2 2 4" xfId="40507" xr:uid="{C7FFD6B9-B269-4462-98D4-5D1EB6ED0B24}"/>
    <cellStyle name="Normal 5 2 2 2 3" xfId="4304" xr:uid="{00000000-0005-0000-0000-0000291F0000}"/>
    <cellStyle name="Normal 5 2 2 2 3 2" xfId="40511" xr:uid="{0B0E1CE0-E982-4753-A0F8-EA0C9754389D}"/>
    <cellStyle name="Normal 5 2 2 2 3 3" xfId="40510" xr:uid="{226D10C8-27B2-4A85-9752-A9441B339C42}"/>
    <cellStyle name="Normal 5 2 2 2 4" xfId="4305" xr:uid="{00000000-0005-0000-0000-00002A1F0000}"/>
    <cellStyle name="Normal 5 2 2 2 4 2" xfId="40512" xr:uid="{E5699556-3DA7-4D44-A614-505922E27405}"/>
    <cellStyle name="Normal 5 2 2 2 5" xfId="4306" xr:uid="{00000000-0005-0000-0000-00002B1F0000}"/>
    <cellStyle name="Normal 5 2 2 2 5 2" xfId="40513" xr:uid="{CEB057D5-1311-44C1-AB3B-1A89ABE4F4C0}"/>
    <cellStyle name="Normal 5 2 2 2 6" xfId="4307" xr:uid="{00000000-0005-0000-0000-00002C1F0000}"/>
    <cellStyle name="Normal 5 2 2 2 6 2" xfId="40514" xr:uid="{CFC155F1-1FF0-429F-BBFB-3C987FB62AC9}"/>
    <cellStyle name="Normal 5 2 2 2 7" xfId="4308" xr:uid="{00000000-0005-0000-0000-00002D1F0000}"/>
    <cellStyle name="Normal 5 2 2 2 7 2" xfId="40515" xr:uid="{9C1F8A62-A590-415F-B1F3-AA27930FA087}"/>
    <cellStyle name="Normal 5 2 2 2 8" xfId="4309" xr:uid="{00000000-0005-0000-0000-00002E1F0000}"/>
    <cellStyle name="Normal 5 2 2 2 8 2" xfId="40516" xr:uid="{F634CF4C-2539-4EE2-AE08-BE32BAAC7909}"/>
    <cellStyle name="Normal 5 2 2 2 9" xfId="4310" xr:uid="{00000000-0005-0000-0000-00002F1F0000}"/>
    <cellStyle name="Normal 5 2 2 2 9 2" xfId="40517" xr:uid="{0D550FBA-F1F0-4BA4-AC91-0D2D55357DAC}"/>
    <cellStyle name="Normal 5 2 2 3" xfId="2239" xr:uid="{00000000-0005-0000-0000-0000301F0000}"/>
    <cellStyle name="Normal 5 2 2 3 10" xfId="28118" xr:uid="{FC8CD69A-7875-436C-9179-C7481EA374C4}"/>
    <cellStyle name="Normal 5 2 2 3 11" xfId="40518" xr:uid="{72ED2D12-35E1-4A3B-A74C-7DC114637696}"/>
    <cellStyle name="Normal 5 2 2 3 2" xfId="4311" xr:uid="{00000000-0005-0000-0000-0000311F0000}"/>
    <cellStyle name="Normal 5 2 2 3 2 10" xfId="40519" xr:uid="{5B6C6BFB-8616-41BC-8C25-1B4E1FA0D326}"/>
    <cellStyle name="Normal 5 2 2 3 2 2" xfId="4971" xr:uid="{00000000-0005-0000-0000-0000321F0000}"/>
    <cellStyle name="Normal 5 2 2 3 2 2 2" xfId="5390" xr:uid="{00000000-0005-0000-0000-0000331F0000}"/>
    <cellStyle name="Normal 5 2 2 3 2 2 2 2" xfId="7253" xr:uid="{00000000-0005-0000-0000-0000341F0000}"/>
    <cellStyle name="Normal 5 2 2 3 2 2 2 2 2" xfId="15686" xr:uid="{00000000-0005-0000-0000-0000351F0000}"/>
    <cellStyle name="Normal 5 2 2 3 2 2 2 2 2 2" xfId="27580" xr:uid="{25C60222-E7C7-4DC7-9134-49480473ADD4}"/>
    <cellStyle name="Normal 5 2 2 3 2 2 2 2 2 3" xfId="21920" xr:uid="{C66791E1-C2CB-440A-B10A-D005CFAA316A}"/>
    <cellStyle name="Normal 5 2 2 3 2 2 2 2 2 4" xfId="32960" xr:uid="{7ACACCE5-F803-421B-A76B-81302F255B97}"/>
    <cellStyle name="Normal 5 2 2 3 2 2 2 2 2 5" xfId="40523" xr:uid="{0E8A9108-395F-4201-8D93-56190D5A4741}"/>
    <cellStyle name="Normal 5 2 2 3 2 2 2 2 3" xfId="24747" xr:uid="{757BFB88-684B-422A-8768-D6782FC4239E}"/>
    <cellStyle name="Normal 5 2 2 3 2 2 2 2 4" xfId="19087" xr:uid="{E902ECD1-16FF-4EBC-BB07-2DC7273A769F}"/>
    <cellStyle name="Normal 5 2 2 3 2 2 2 2 5" xfId="30408" xr:uid="{0BDD0E8A-C68A-4CE0-A571-F18FD3EF229F}"/>
    <cellStyle name="Normal 5 2 2 3 2 2 2 2 6" xfId="40522" xr:uid="{6AD72F3B-33D6-4D94-A2AB-64ABEA2258A4}"/>
    <cellStyle name="Normal 5 2 2 3 2 2 2 3" xfId="14276" xr:uid="{00000000-0005-0000-0000-0000361F0000}"/>
    <cellStyle name="Normal 5 2 2 3 2 2 2 3 2" xfId="26315" xr:uid="{727975B3-A088-4FBD-91EA-FCC9804D6245}"/>
    <cellStyle name="Normal 5 2 2 3 2 2 2 3 3" xfId="20655" xr:uid="{7F8703F9-76A8-4CE8-A991-6335DAEBA7CA}"/>
    <cellStyle name="Normal 5 2 2 3 2 2 2 3 4" xfId="31695" xr:uid="{29A436D8-CD7E-44B4-AE32-6767F9424CD3}"/>
    <cellStyle name="Normal 5 2 2 3 2 2 2 3 5" xfId="40524" xr:uid="{C6F33068-1C13-4102-861F-17C1F8E56BFB}"/>
    <cellStyle name="Normal 5 2 2 3 2 2 2 4" xfId="23185" xr:uid="{9DF3D88F-A82B-4B35-BF56-C4D7E1880961}"/>
    <cellStyle name="Normal 5 2 2 3 2 2 2 5" xfId="17525" xr:uid="{36EDA7E2-30BC-49C0-91BD-1B76F4F329B7}"/>
    <cellStyle name="Normal 5 2 2 3 2 2 2 6" xfId="28846" xr:uid="{3BB7CA71-5ADF-459F-A868-AACD488467CD}"/>
    <cellStyle name="Normal 5 2 2 3 2 2 2 7" xfId="40521" xr:uid="{515A77B4-AC1D-4E82-9FBE-65472521DA5D}"/>
    <cellStyle name="Normal 5 2 2 3 2 2 3" xfId="6303" xr:uid="{00000000-0005-0000-0000-0000371F0000}"/>
    <cellStyle name="Normal 5 2 2 3 2 2 3 2" xfId="7627" xr:uid="{00000000-0005-0000-0000-0000381F0000}"/>
    <cellStyle name="Normal 5 2 2 3 2 2 3 2 2" xfId="16060" xr:uid="{00000000-0005-0000-0000-0000391F0000}"/>
    <cellStyle name="Normal 5 2 2 3 2 2 3 2 2 2" xfId="27954" xr:uid="{C78A4270-A6CA-4B2F-A89F-C8133BB67E12}"/>
    <cellStyle name="Normal 5 2 2 3 2 2 3 2 2 3" xfId="22294" xr:uid="{A617E4E9-C53E-4C09-B354-F6B2E1E06CAE}"/>
    <cellStyle name="Normal 5 2 2 3 2 2 3 2 2 4" xfId="33334" xr:uid="{08973330-2A85-48E3-92F6-F09990205BEA}"/>
    <cellStyle name="Normal 5 2 2 3 2 2 3 2 2 5" xfId="40527" xr:uid="{9ED60D87-E474-4B4A-A42B-A08DB59DCEA9}"/>
    <cellStyle name="Normal 5 2 2 3 2 2 3 2 3" xfId="25121" xr:uid="{0648CCF4-FF97-4303-8DBD-E0DD99D24CC9}"/>
    <cellStyle name="Normal 5 2 2 3 2 2 3 2 4" xfId="19461" xr:uid="{218F0AA1-FD4D-4531-BF86-63414F3E751B}"/>
    <cellStyle name="Normal 5 2 2 3 2 2 3 2 5" xfId="30782" xr:uid="{70EDB3F6-7FD5-4732-8AE1-40A28D91CEE8}"/>
    <cellStyle name="Normal 5 2 2 3 2 2 3 2 6" xfId="40526" xr:uid="{C1AEA179-44EF-4407-B2F7-262498197DEF}"/>
    <cellStyle name="Normal 5 2 2 3 2 2 3 3" xfId="14742" xr:uid="{00000000-0005-0000-0000-00003A1F0000}"/>
    <cellStyle name="Normal 5 2 2 3 2 2 3 3 2" xfId="26698" xr:uid="{333ED60E-34FF-4EBD-AB85-AF7DC4960A8C}"/>
    <cellStyle name="Normal 5 2 2 3 2 2 3 3 3" xfId="21038" xr:uid="{F5CD341C-3038-40BD-BA01-9A32A549B6F9}"/>
    <cellStyle name="Normal 5 2 2 3 2 2 3 3 4" xfId="32078" xr:uid="{C24E8CC5-4B95-44AF-B401-855C6FAE6B80}"/>
    <cellStyle name="Normal 5 2 2 3 2 2 3 3 5" xfId="40528" xr:uid="{4FA09A50-8A75-4D97-B8CD-7E5483C37D4C}"/>
    <cellStyle name="Normal 5 2 2 3 2 2 3 4" xfId="23865" xr:uid="{635E121D-36A3-4D1C-ACA9-B9B6544B78D3}"/>
    <cellStyle name="Normal 5 2 2 3 2 2 3 5" xfId="18205" xr:uid="{1F1A79B3-BDA7-4F58-A6A1-F283E55450F6}"/>
    <cellStyle name="Normal 5 2 2 3 2 2 3 6" xfId="29526" xr:uid="{1FF7A557-9448-4E83-B849-624082A21773}"/>
    <cellStyle name="Normal 5 2 2 3 2 2 3 7" xfId="40525" xr:uid="{3D4C2356-BDD0-48BA-BB1B-A8CCCA0B396E}"/>
    <cellStyle name="Normal 5 2 2 3 2 2 4" xfId="6835" xr:uid="{00000000-0005-0000-0000-00003B1F0000}"/>
    <cellStyle name="Normal 5 2 2 3 2 2 4 2" xfId="15268" xr:uid="{00000000-0005-0000-0000-00003C1F0000}"/>
    <cellStyle name="Normal 5 2 2 3 2 2 4 2 2" xfId="27162" xr:uid="{3838E4C9-0175-4CAA-9219-99A6F7B3E436}"/>
    <cellStyle name="Normal 5 2 2 3 2 2 4 2 3" xfId="21502" xr:uid="{50E07862-D69C-4667-9ECE-A0FDAB3C849B}"/>
    <cellStyle name="Normal 5 2 2 3 2 2 4 2 4" xfId="32542" xr:uid="{10C986E2-CD9E-4B30-939F-6CA82BC25236}"/>
    <cellStyle name="Normal 5 2 2 3 2 2 4 2 5" xfId="40530" xr:uid="{3C2E415D-0ED4-416D-9FAA-574395BF337E}"/>
    <cellStyle name="Normal 5 2 2 3 2 2 4 3" xfId="24329" xr:uid="{3F090277-78A2-4FAA-AE40-371684F7526B}"/>
    <cellStyle name="Normal 5 2 2 3 2 2 4 4" xfId="18669" xr:uid="{D49EC84D-2311-4B1E-9E8A-8B93A8B52CC9}"/>
    <cellStyle name="Normal 5 2 2 3 2 2 4 5" xfId="29990" xr:uid="{4C30191C-C7F8-4825-BE86-46D88BBED629}"/>
    <cellStyle name="Normal 5 2 2 3 2 2 4 6" xfId="40529" xr:uid="{56524535-9CD2-47A9-BB09-A98E345CECB2}"/>
    <cellStyle name="Normal 5 2 2 3 2 2 5" xfId="8076" xr:uid="{00000000-0005-0000-0000-00003D1F0000}"/>
    <cellStyle name="Normal 5 2 2 3 2 2 5 2" xfId="25552" xr:uid="{BC1CA8B3-9684-4936-945C-07B216F10855}"/>
    <cellStyle name="Normal 5 2 2 3 2 2 5 3" xfId="19892" xr:uid="{206D8F00-FF33-4EA4-A16C-9BFEE86A1A44}"/>
    <cellStyle name="Normal 5 2 2 3 2 2 5 4" xfId="31213" xr:uid="{6202699C-8777-477D-8CBB-B6098A241D79}"/>
    <cellStyle name="Normal 5 2 2 3 2 2 5 5" xfId="40531" xr:uid="{C6DD44FA-0B9A-48AF-A795-1EBDCB057F3C}"/>
    <cellStyle name="Normal 5 2 2 3 2 2 6" xfId="22767" xr:uid="{CE4037F5-FDA2-4C8C-BD81-03334567E492}"/>
    <cellStyle name="Normal 5 2 2 3 2 2 7" xfId="17107" xr:uid="{9B97112A-C24D-43E3-8E3D-37ED34BE187A}"/>
    <cellStyle name="Normal 5 2 2 3 2 2 8" xfId="28428" xr:uid="{75BB8DEE-A897-4517-A7CC-A7848141C24F}"/>
    <cellStyle name="Normal 5 2 2 3 2 2 9" xfId="40520" xr:uid="{3F217D07-A95E-4792-80A1-5C86462DDE1C}"/>
    <cellStyle name="Normal 5 2 2 3 2 3" xfId="5181" xr:uid="{00000000-0005-0000-0000-00003E1F0000}"/>
    <cellStyle name="Normal 5 2 2 3 2 3 2" xfId="7044" xr:uid="{00000000-0005-0000-0000-00003F1F0000}"/>
    <cellStyle name="Normal 5 2 2 3 2 3 2 2" xfId="15477" xr:uid="{00000000-0005-0000-0000-0000401F0000}"/>
    <cellStyle name="Normal 5 2 2 3 2 3 2 2 2" xfId="27371" xr:uid="{5DCE57D2-C3D7-4218-AF36-1E272B86AC91}"/>
    <cellStyle name="Normal 5 2 2 3 2 3 2 2 3" xfId="21711" xr:uid="{D307694B-1C48-4014-A6AE-DE3385DB83CB}"/>
    <cellStyle name="Normal 5 2 2 3 2 3 2 2 4" xfId="32751" xr:uid="{419579F8-3152-44D7-9804-0D10D7DC5E3D}"/>
    <cellStyle name="Normal 5 2 2 3 2 3 2 2 5" xfId="40534" xr:uid="{97421829-3744-4FC3-AEA9-772EA04F6D93}"/>
    <cellStyle name="Normal 5 2 2 3 2 3 2 3" xfId="24538" xr:uid="{4492719F-8014-42F9-8942-7907C19266D0}"/>
    <cellStyle name="Normal 5 2 2 3 2 3 2 4" xfId="18878" xr:uid="{EE8F7476-EE8F-4330-9857-1C649AC8ED57}"/>
    <cellStyle name="Normal 5 2 2 3 2 3 2 5" xfId="30199" xr:uid="{AD45CFED-D505-42E5-9055-7820D7E1483E}"/>
    <cellStyle name="Normal 5 2 2 3 2 3 2 6" xfId="40533" xr:uid="{0045F26E-31D1-46D1-B50F-40174930B023}"/>
    <cellStyle name="Normal 5 2 2 3 2 3 3" xfId="14068" xr:uid="{00000000-0005-0000-0000-0000411F0000}"/>
    <cellStyle name="Normal 5 2 2 3 2 3 3 2" xfId="26107" xr:uid="{C1011700-5161-4F99-8022-7B90C6092A29}"/>
    <cellStyle name="Normal 5 2 2 3 2 3 3 3" xfId="20447" xr:uid="{B21238BC-3765-4734-8215-A791F7CB799A}"/>
    <cellStyle name="Normal 5 2 2 3 2 3 3 4" xfId="31487" xr:uid="{24804659-D6C6-4F2D-B947-79A0838FC525}"/>
    <cellStyle name="Normal 5 2 2 3 2 3 3 5" xfId="40535" xr:uid="{D8D0AD39-8FDE-4A13-A9F5-C2478F3E8E73}"/>
    <cellStyle name="Normal 5 2 2 3 2 3 4" xfId="22976" xr:uid="{842C497B-C576-496E-AE88-5C59A10A8741}"/>
    <cellStyle name="Normal 5 2 2 3 2 3 5" xfId="17316" xr:uid="{819AE36B-781A-4030-9B06-87B10AE2C2CE}"/>
    <cellStyle name="Normal 5 2 2 3 2 3 6" xfId="28637" xr:uid="{4D42C175-0DC0-4823-9DAF-E6C932DC72AF}"/>
    <cellStyle name="Normal 5 2 2 3 2 3 7" xfId="40532" xr:uid="{B1BCBB01-EC3F-4C2C-9D9D-03D027B4AA2E}"/>
    <cellStyle name="Normal 5 2 2 3 2 4" xfId="6302" xr:uid="{00000000-0005-0000-0000-0000421F0000}"/>
    <cellStyle name="Normal 5 2 2 3 2 4 2" xfId="7626" xr:uid="{00000000-0005-0000-0000-0000431F0000}"/>
    <cellStyle name="Normal 5 2 2 3 2 4 2 2" xfId="16059" xr:uid="{00000000-0005-0000-0000-0000441F0000}"/>
    <cellStyle name="Normal 5 2 2 3 2 4 2 2 2" xfId="27953" xr:uid="{EF17050E-E56C-41BA-A33E-3CECA63BAC48}"/>
    <cellStyle name="Normal 5 2 2 3 2 4 2 2 3" xfId="22293" xr:uid="{E27F621D-34F0-41FE-BAC7-EFBC1CD06C08}"/>
    <cellStyle name="Normal 5 2 2 3 2 4 2 2 4" xfId="33333" xr:uid="{B2F49263-A148-453E-9986-A294A12F55DE}"/>
    <cellStyle name="Normal 5 2 2 3 2 4 2 2 5" xfId="40538" xr:uid="{D079FDC4-FDA7-48DD-9876-9B0C815D01EF}"/>
    <cellStyle name="Normal 5 2 2 3 2 4 2 3" xfId="25120" xr:uid="{D065423B-F6E4-4161-9AE3-E30A1224D93A}"/>
    <cellStyle name="Normal 5 2 2 3 2 4 2 4" xfId="19460" xr:uid="{51C9B179-CBDE-4067-9298-B85AD152A6A9}"/>
    <cellStyle name="Normal 5 2 2 3 2 4 2 5" xfId="30781" xr:uid="{087ADC7F-9D35-4F07-BF3A-F5CD012A12E0}"/>
    <cellStyle name="Normal 5 2 2 3 2 4 2 6" xfId="40537" xr:uid="{4BBFFDD0-BFC9-4F83-ACCD-BBA1E3040B55}"/>
    <cellStyle name="Normal 5 2 2 3 2 4 3" xfId="14741" xr:uid="{00000000-0005-0000-0000-0000451F0000}"/>
    <cellStyle name="Normal 5 2 2 3 2 4 3 2" xfId="26697" xr:uid="{C8EC1A5B-C335-4B22-8DAA-B8B61B33C36B}"/>
    <cellStyle name="Normal 5 2 2 3 2 4 3 3" xfId="21037" xr:uid="{7BB957D8-CF0D-4A0A-A874-A1572C1939FB}"/>
    <cellStyle name="Normal 5 2 2 3 2 4 3 4" xfId="32077" xr:uid="{28191112-E9DA-403C-A528-F4EFBC85FA50}"/>
    <cellStyle name="Normal 5 2 2 3 2 4 3 5" xfId="40539" xr:uid="{DCDD418B-4BE0-4617-9CC9-4CABA7586F45}"/>
    <cellStyle name="Normal 5 2 2 3 2 4 4" xfId="23864" xr:uid="{24089129-D36A-42A8-8051-5806C3D6F200}"/>
    <cellStyle name="Normal 5 2 2 3 2 4 5" xfId="18204" xr:uid="{9B778A1C-6EE6-4424-A985-BBCBC8A4B49D}"/>
    <cellStyle name="Normal 5 2 2 3 2 4 6" xfId="29525" xr:uid="{AA997E92-9263-41B3-BE0D-48FCBAB07AD4}"/>
    <cellStyle name="Normal 5 2 2 3 2 4 7" xfId="40536" xr:uid="{798A3BDE-64C9-4DB5-BE8D-003B5CD216A6}"/>
    <cellStyle name="Normal 5 2 2 3 2 5" xfId="6626" xr:uid="{00000000-0005-0000-0000-0000461F0000}"/>
    <cellStyle name="Normal 5 2 2 3 2 5 2" xfId="15059" xr:uid="{00000000-0005-0000-0000-0000471F0000}"/>
    <cellStyle name="Normal 5 2 2 3 2 5 2 2" xfId="26953" xr:uid="{EC58B69A-B53A-45A5-8C7E-378C516B4179}"/>
    <cellStyle name="Normal 5 2 2 3 2 5 2 3" xfId="21293" xr:uid="{151B23CA-641E-41F0-940F-5E6BF0EDBB16}"/>
    <cellStyle name="Normal 5 2 2 3 2 5 2 4" xfId="32333" xr:uid="{0A979E1D-E5ED-4088-8196-581E8E834F61}"/>
    <cellStyle name="Normal 5 2 2 3 2 5 2 5" xfId="40541" xr:uid="{2C10314C-642A-4803-9D64-4D9BE68332D2}"/>
    <cellStyle name="Normal 5 2 2 3 2 5 3" xfId="24120" xr:uid="{686476A7-06C0-462B-AD2B-6F02B420DCD9}"/>
    <cellStyle name="Normal 5 2 2 3 2 5 4" xfId="18460" xr:uid="{19B0E2F0-4450-402C-A201-68D1E34AAB24}"/>
    <cellStyle name="Normal 5 2 2 3 2 5 5" xfId="29781" xr:uid="{6D4B6A77-F040-44A1-A647-4B0C6876E4E0}"/>
    <cellStyle name="Normal 5 2 2 3 2 5 6" xfId="40540" xr:uid="{4382A99F-01E6-4FD5-ACE0-0D8C4F1A8DAB}"/>
    <cellStyle name="Normal 5 2 2 3 2 6" xfId="8075" xr:uid="{00000000-0005-0000-0000-0000481F0000}"/>
    <cellStyle name="Normal 5 2 2 3 2 6 2" xfId="25551" xr:uid="{3F5B9956-0274-4518-AC3F-7C6624AE436B}"/>
    <cellStyle name="Normal 5 2 2 3 2 6 3" xfId="19891" xr:uid="{90EC4194-F358-4F1A-83AB-BC5E5197D976}"/>
    <cellStyle name="Normal 5 2 2 3 2 6 4" xfId="31212" xr:uid="{8985341E-1555-4C99-BD0D-D1B7A43BDBBC}"/>
    <cellStyle name="Normal 5 2 2 3 2 6 5" xfId="40542" xr:uid="{FC88EE1C-BA60-482C-BC92-486583F1547B}"/>
    <cellStyle name="Normal 5 2 2 3 2 7" xfId="22558" xr:uid="{4BEDEC90-FB00-4F6E-867C-CD73CFDB7DA7}"/>
    <cellStyle name="Normal 5 2 2 3 2 8" xfId="16898" xr:uid="{FF01598A-6328-4BFA-9FA8-BCAF8B5518C4}"/>
    <cellStyle name="Normal 5 2 2 3 2 9" xfId="28219" xr:uid="{417CD409-969F-4318-8D63-723A6EC50E44}"/>
    <cellStyle name="Normal 5 2 2 3 3" xfId="4870" xr:uid="{00000000-0005-0000-0000-0000491F0000}"/>
    <cellStyle name="Normal 5 2 2 3 3 2" xfId="5289" xr:uid="{00000000-0005-0000-0000-00004A1F0000}"/>
    <cellStyle name="Normal 5 2 2 3 3 2 2" xfId="7152" xr:uid="{00000000-0005-0000-0000-00004B1F0000}"/>
    <cellStyle name="Normal 5 2 2 3 3 2 2 2" xfId="15585" xr:uid="{00000000-0005-0000-0000-00004C1F0000}"/>
    <cellStyle name="Normal 5 2 2 3 3 2 2 2 2" xfId="27479" xr:uid="{2DBC023C-2FF7-45E6-BE09-7DCCD7D5690F}"/>
    <cellStyle name="Normal 5 2 2 3 3 2 2 2 3" xfId="21819" xr:uid="{142633BA-70AA-4273-9D6E-703A47237444}"/>
    <cellStyle name="Normal 5 2 2 3 3 2 2 2 4" xfId="32859" xr:uid="{C13A71AE-C799-43FA-94E7-AED1F3F22E66}"/>
    <cellStyle name="Normal 5 2 2 3 3 2 2 2 5" xfId="40546" xr:uid="{8E78CC98-9F4A-47DF-913C-3B0AAA860B75}"/>
    <cellStyle name="Normal 5 2 2 3 3 2 2 3" xfId="24646" xr:uid="{B3324C46-B394-4848-A57E-D8DDD94A634A}"/>
    <cellStyle name="Normal 5 2 2 3 3 2 2 4" xfId="18986" xr:uid="{4F786D8D-3C1D-48E9-AC61-215B600AC82E}"/>
    <cellStyle name="Normal 5 2 2 3 3 2 2 5" xfId="30307" xr:uid="{1F74F049-30F1-4ED0-9A14-76E970499EAF}"/>
    <cellStyle name="Normal 5 2 2 3 3 2 2 6" xfId="40545" xr:uid="{F9A51892-B5DD-4C6D-BBA8-5852CD91346C}"/>
    <cellStyle name="Normal 5 2 2 3 3 2 3" xfId="14175" xr:uid="{00000000-0005-0000-0000-00004D1F0000}"/>
    <cellStyle name="Normal 5 2 2 3 3 2 3 2" xfId="26214" xr:uid="{8DFA9686-958A-4CA5-AE85-B4B3C35CB422}"/>
    <cellStyle name="Normal 5 2 2 3 3 2 3 3" xfId="20554" xr:uid="{8656558F-43E6-4960-8162-5FF782867521}"/>
    <cellStyle name="Normal 5 2 2 3 3 2 3 4" xfId="31594" xr:uid="{91F5E791-A3A6-4106-9CB6-FF68B30ABCAB}"/>
    <cellStyle name="Normal 5 2 2 3 3 2 3 5" xfId="40547" xr:uid="{EB4EE764-D665-4550-8213-0F358D151C2C}"/>
    <cellStyle name="Normal 5 2 2 3 3 2 4" xfId="23084" xr:uid="{3CE4DB7F-73C6-4A36-8589-9BC2DE455507}"/>
    <cellStyle name="Normal 5 2 2 3 3 2 5" xfId="17424" xr:uid="{A00A82C6-B9DA-44E9-8B36-62C001A4F0DD}"/>
    <cellStyle name="Normal 5 2 2 3 3 2 6" xfId="28745" xr:uid="{15A30A8C-AAD2-4E7F-B40D-19C7B3256D2C}"/>
    <cellStyle name="Normal 5 2 2 3 3 2 7" xfId="40544" xr:uid="{D6840DB1-4B95-4CD7-9185-D93634DFF750}"/>
    <cellStyle name="Normal 5 2 2 3 3 3" xfId="6304" xr:uid="{00000000-0005-0000-0000-00004E1F0000}"/>
    <cellStyle name="Normal 5 2 2 3 3 3 2" xfId="7628" xr:uid="{00000000-0005-0000-0000-00004F1F0000}"/>
    <cellStyle name="Normal 5 2 2 3 3 3 2 2" xfId="16061" xr:uid="{00000000-0005-0000-0000-0000501F0000}"/>
    <cellStyle name="Normal 5 2 2 3 3 3 2 2 2" xfId="27955" xr:uid="{9490B118-42A9-4D80-A2F0-71A0946173D2}"/>
    <cellStyle name="Normal 5 2 2 3 3 3 2 2 3" xfId="22295" xr:uid="{DE1698C1-7129-4EA6-8151-E4736B521594}"/>
    <cellStyle name="Normal 5 2 2 3 3 3 2 2 4" xfId="33335" xr:uid="{20CD103F-AD09-46F5-BFCD-CB7EF6991920}"/>
    <cellStyle name="Normal 5 2 2 3 3 3 2 2 5" xfId="40550" xr:uid="{88F3315B-2F15-4955-B1A2-3FCE628B5966}"/>
    <cellStyle name="Normal 5 2 2 3 3 3 2 3" xfId="25122" xr:uid="{9E752D9B-B9BD-456A-A2B3-C245D4047BEF}"/>
    <cellStyle name="Normal 5 2 2 3 3 3 2 4" xfId="19462" xr:uid="{64CBD6AF-8B55-4AD9-B401-F8850DA31AF8}"/>
    <cellStyle name="Normal 5 2 2 3 3 3 2 5" xfId="30783" xr:uid="{625EB907-A839-4616-AE0E-32A46711A25C}"/>
    <cellStyle name="Normal 5 2 2 3 3 3 2 6" xfId="40549" xr:uid="{609A2671-6618-4286-BE32-B5004F5EEDBC}"/>
    <cellStyle name="Normal 5 2 2 3 3 3 3" xfId="14743" xr:uid="{00000000-0005-0000-0000-0000511F0000}"/>
    <cellStyle name="Normal 5 2 2 3 3 3 3 2" xfId="26699" xr:uid="{7F57687F-C981-436F-A163-E69EA5E94F29}"/>
    <cellStyle name="Normal 5 2 2 3 3 3 3 3" xfId="21039" xr:uid="{ED8B41F7-6FEB-42E7-8AD7-EF7D36F1A8F4}"/>
    <cellStyle name="Normal 5 2 2 3 3 3 3 4" xfId="32079" xr:uid="{18967960-83C3-46E8-9D99-1FBF4888C4BF}"/>
    <cellStyle name="Normal 5 2 2 3 3 3 3 5" xfId="40551" xr:uid="{F0D20D9E-AE34-4C3F-8C19-F52F6F45C188}"/>
    <cellStyle name="Normal 5 2 2 3 3 3 4" xfId="23866" xr:uid="{B0454CFF-F425-4B80-B174-03511407AE44}"/>
    <cellStyle name="Normal 5 2 2 3 3 3 5" xfId="18206" xr:uid="{BB0C1056-E8C0-40BC-969F-37E39EEC5F69}"/>
    <cellStyle name="Normal 5 2 2 3 3 3 6" xfId="29527" xr:uid="{678E98F0-B16D-4ACC-8A64-37F45FD4A4F2}"/>
    <cellStyle name="Normal 5 2 2 3 3 3 7" xfId="40548" xr:uid="{DC05085C-EEA8-4AC5-A855-AC6A8A323C45}"/>
    <cellStyle name="Normal 5 2 2 3 3 4" xfId="6734" xr:uid="{00000000-0005-0000-0000-0000521F0000}"/>
    <cellStyle name="Normal 5 2 2 3 3 4 2" xfId="15167" xr:uid="{00000000-0005-0000-0000-0000531F0000}"/>
    <cellStyle name="Normal 5 2 2 3 3 4 2 2" xfId="27061" xr:uid="{A7660598-CF7F-474A-900D-B079AB84423D}"/>
    <cellStyle name="Normal 5 2 2 3 3 4 2 3" xfId="21401" xr:uid="{A1C4816A-8108-4116-B8A5-EA53A9E72B41}"/>
    <cellStyle name="Normal 5 2 2 3 3 4 2 4" xfId="32441" xr:uid="{210B689B-FE30-47AD-A190-629B177C6E2E}"/>
    <cellStyle name="Normal 5 2 2 3 3 4 2 5" xfId="40553" xr:uid="{94C9C2B6-9042-4CF7-9888-ABF8A6168049}"/>
    <cellStyle name="Normal 5 2 2 3 3 4 3" xfId="24228" xr:uid="{509C79C9-8B79-485B-9893-D95C8890A5CF}"/>
    <cellStyle name="Normal 5 2 2 3 3 4 4" xfId="18568" xr:uid="{7844BD22-1421-47BC-ADE3-293C042BEE03}"/>
    <cellStyle name="Normal 5 2 2 3 3 4 5" xfId="29889" xr:uid="{9E8C7008-756D-4853-A6D4-AA756426F59B}"/>
    <cellStyle name="Normal 5 2 2 3 3 4 6" xfId="40552" xr:uid="{8A05FA9E-AA4F-43A6-8138-454B702B54B8}"/>
    <cellStyle name="Normal 5 2 2 3 3 5" xfId="8077" xr:uid="{00000000-0005-0000-0000-0000541F0000}"/>
    <cellStyle name="Normal 5 2 2 3 3 5 2" xfId="25553" xr:uid="{794B31B5-6C7B-4C63-959C-BF8AB9C2E65D}"/>
    <cellStyle name="Normal 5 2 2 3 3 5 3" xfId="19893" xr:uid="{FD13C30C-7C41-49DE-93CD-99B452A10ABD}"/>
    <cellStyle name="Normal 5 2 2 3 3 5 4" xfId="31214" xr:uid="{7F8FA653-C19E-45E8-9708-62DB0D41D01C}"/>
    <cellStyle name="Normal 5 2 2 3 3 5 5" xfId="40554" xr:uid="{55A2AEFC-7302-42FF-A5DD-AF102FB85770}"/>
    <cellStyle name="Normal 5 2 2 3 3 6" xfId="22666" xr:uid="{2B6991AA-506E-4815-9B56-FC32ABD7B1FF}"/>
    <cellStyle name="Normal 5 2 2 3 3 7" xfId="17006" xr:uid="{E53BE964-C3E5-4915-AE40-1A8ED0F841FA}"/>
    <cellStyle name="Normal 5 2 2 3 3 8" xfId="28327" xr:uid="{183F2DC3-02FB-4844-B711-BC2A55E4FD3E}"/>
    <cellStyle name="Normal 5 2 2 3 3 9" xfId="40543" xr:uid="{1558FDEC-3972-4786-A8E9-D382DC2AF405}"/>
    <cellStyle name="Normal 5 2 2 3 4" xfId="5080" xr:uid="{00000000-0005-0000-0000-0000551F0000}"/>
    <cellStyle name="Normal 5 2 2 3 4 2" xfId="6301" xr:uid="{00000000-0005-0000-0000-0000561F0000}"/>
    <cellStyle name="Normal 5 2 2 3 4 2 2" xfId="7625" xr:uid="{00000000-0005-0000-0000-0000571F0000}"/>
    <cellStyle name="Normal 5 2 2 3 4 2 2 2" xfId="16058" xr:uid="{00000000-0005-0000-0000-0000581F0000}"/>
    <cellStyle name="Normal 5 2 2 3 4 2 2 2 2" xfId="27952" xr:uid="{2AC3BF80-F3C2-4273-B9BC-FDCEFB8125AC}"/>
    <cellStyle name="Normal 5 2 2 3 4 2 2 2 3" xfId="22292" xr:uid="{9E4C0EB5-E581-4783-AB37-D6CBABE68EEC}"/>
    <cellStyle name="Normal 5 2 2 3 4 2 2 2 4" xfId="33332" xr:uid="{C13BABA6-8BFF-4DB7-82B3-30DFDBD05C0F}"/>
    <cellStyle name="Normal 5 2 2 3 4 2 2 2 5" xfId="40558" xr:uid="{9F5CD020-C825-43A9-A7B1-53AB09159227}"/>
    <cellStyle name="Normal 5 2 2 3 4 2 2 3" xfId="25119" xr:uid="{DA9EA976-8A88-45F1-995A-7EBBD3177FEB}"/>
    <cellStyle name="Normal 5 2 2 3 4 2 2 4" xfId="19459" xr:uid="{E2E8A061-EC91-485C-B84C-AFBFD61D41DB}"/>
    <cellStyle name="Normal 5 2 2 3 4 2 2 5" xfId="30780" xr:uid="{D268610A-8189-4F50-B2CA-9D8D6ABD9AB5}"/>
    <cellStyle name="Normal 5 2 2 3 4 2 2 6" xfId="40557" xr:uid="{A630373F-A46C-4481-8407-10EF43B45D99}"/>
    <cellStyle name="Normal 5 2 2 3 4 2 3" xfId="14740" xr:uid="{00000000-0005-0000-0000-0000591F0000}"/>
    <cellStyle name="Normal 5 2 2 3 4 2 3 2" xfId="26696" xr:uid="{C7640B5E-E288-419E-B446-272168FE86C5}"/>
    <cellStyle name="Normal 5 2 2 3 4 2 3 3" xfId="21036" xr:uid="{B6DF4D14-31F1-48D1-8809-A0C97A4FE3B5}"/>
    <cellStyle name="Normal 5 2 2 3 4 2 3 4" xfId="32076" xr:uid="{0A6BBB72-DBD3-429F-8A66-1DC425FEA5FF}"/>
    <cellStyle name="Normal 5 2 2 3 4 2 3 5" xfId="40559" xr:uid="{423B2F68-6578-4655-AE8F-9E4E41721675}"/>
    <cellStyle name="Normal 5 2 2 3 4 2 4" xfId="23863" xr:uid="{0DF6DB3D-FBA4-4292-8CE7-EB1B17A25CCB}"/>
    <cellStyle name="Normal 5 2 2 3 4 2 5" xfId="18203" xr:uid="{FDEA0BDF-FBD2-46D8-8CB7-00CC025E4010}"/>
    <cellStyle name="Normal 5 2 2 3 4 2 6" xfId="29524" xr:uid="{6B164DF6-D756-480D-9939-2AE4794E20E2}"/>
    <cellStyle name="Normal 5 2 2 3 4 2 7" xfId="40556" xr:uid="{68517ED2-FC7A-4FC5-9703-E7A7C566CE03}"/>
    <cellStyle name="Normal 5 2 2 3 4 3" xfId="6943" xr:uid="{00000000-0005-0000-0000-00005A1F0000}"/>
    <cellStyle name="Normal 5 2 2 3 4 3 2" xfId="15376" xr:uid="{00000000-0005-0000-0000-00005B1F0000}"/>
    <cellStyle name="Normal 5 2 2 3 4 3 2 2" xfId="27270" xr:uid="{2AF7FF00-B480-4833-ABB4-E214C6267AD4}"/>
    <cellStyle name="Normal 5 2 2 3 4 3 2 3" xfId="21610" xr:uid="{E8A5EC29-BE09-490E-BDF1-8C0688F771B3}"/>
    <cellStyle name="Normal 5 2 2 3 4 3 2 4" xfId="32650" xr:uid="{8A19BA0C-F22A-4729-B590-75F35A6438E4}"/>
    <cellStyle name="Normal 5 2 2 3 4 3 2 5" xfId="40561" xr:uid="{C16724A5-5D38-4789-B585-83B98782CA2C}"/>
    <cellStyle name="Normal 5 2 2 3 4 3 3" xfId="24437" xr:uid="{3DA1B609-2886-42E1-987E-FBAF480328C6}"/>
    <cellStyle name="Normal 5 2 2 3 4 3 4" xfId="18777" xr:uid="{8FDC85F0-4370-479A-8384-93E63A600E58}"/>
    <cellStyle name="Normal 5 2 2 3 4 3 5" xfId="30098" xr:uid="{F731ACC9-8FA2-44CC-BA0D-FC3D32061CF3}"/>
    <cellStyle name="Normal 5 2 2 3 4 3 6" xfId="40560" xr:uid="{9E20F2F2-1037-48B0-AB2B-6D64E5B914E8}"/>
    <cellStyle name="Normal 5 2 2 3 4 4" xfId="13971" xr:uid="{00000000-0005-0000-0000-00005C1F0000}"/>
    <cellStyle name="Normal 5 2 2 3 4 4 2" xfId="26011" xr:uid="{CC477D6F-0DD4-4578-9AA3-B7BFF0597E3A}"/>
    <cellStyle name="Normal 5 2 2 3 4 4 3" xfId="20351" xr:uid="{82A30573-6BAC-4A20-A5D2-1B4EFFF84574}"/>
    <cellStyle name="Normal 5 2 2 3 4 4 4" xfId="31391" xr:uid="{B0D03869-59E9-4338-90FB-46E5CB976D92}"/>
    <cellStyle name="Normal 5 2 2 3 4 4 5" xfId="40562" xr:uid="{761B0438-DBF6-4AF0-89CB-7994AEF46F2C}"/>
    <cellStyle name="Normal 5 2 2 3 4 5" xfId="22875" xr:uid="{3CBAC6F1-F574-42B3-B286-2226AE48E7E3}"/>
    <cellStyle name="Normal 5 2 2 3 4 6" xfId="17215" xr:uid="{ED11265E-7AB5-48FB-A482-DBCB937F7A68}"/>
    <cellStyle name="Normal 5 2 2 3 4 7" xfId="28536" xr:uid="{FC0B95C8-BD55-4BAD-BF76-E497D04E1437}"/>
    <cellStyle name="Normal 5 2 2 3 4 8" xfId="40555" xr:uid="{2DDF8300-0A02-475D-886B-EBA6EC665195}"/>
    <cellStyle name="Normal 5 2 2 3 5" xfId="5699" xr:uid="{00000000-0005-0000-0000-00005D1F0000}"/>
    <cellStyle name="Normal 5 2 2 3 5 2" xfId="40563" xr:uid="{272F3E2C-829F-4D15-8233-CC903AA57A91}"/>
    <cellStyle name="Normal 5 2 2 3 6" xfId="6525" xr:uid="{00000000-0005-0000-0000-00005E1F0000}"/>
    <cellStyle name="Normal 5 2 2 3 6 2" xfId="14958" xr:uid="{00000000-0005-0000-0000-00005F1F0000}"/>
    <cellStyle name="Normal 5 2 2 3 6 2 2" xfId="26852" xr:uid="{6E1958E0-7328-4AA5-87D2-FE2C3CC889A1}"/>
    <cellStyle name="Normal 5 2 2 3 6 2 3" xfId="21192" xr:uid="{481D4ACC-49E4-4E7B-8414-0A7172FD05BE}"/>
    <cellStyle name="Normal 5 2 2 3 6 2 4" xfId="32232" xr:uid="{DD756D4B-5785-4E9E-B3E2-0CFCB37FF8C3}"/>
    <cellStyle name="Normal 5 2 2 3 6 2 5" xfId="40565" xr:uid="{0BBE938A-66ED-43EC-8794-CF3BF1C03DED}"/>
    <cellStyle name="Normal 5 2 2 3 6 3" xfId="24019" xr:uid="{90C61079-4B34-407F-9BC8-ABA2CDAFD839}"/>
    <cellStyle name="Normal 5 2 2 3 6 4" xfId="18359" xr:uid="{DF264BE8-FF36-4821-8D3F-0A2E997C90BC}"/>
    <cellStyle name="Normal 5 2 2 3 6 5" xfId="29680" xr:uid="{4F39D0DC-E900-4305-A2C0-219B4CC05691}"/>
    <cellStyle name="Normal 5 2 2 3 6 6" xfId="40564" xr:uid="{9645186C-F246-40F4-BD93-796D243FB490}"/>
    <cellStyle name="Normal 5 2 2 3 7" xfId="8074" xr:uid="{00000000-0005-0000-0000-0000601F0000}"/>
    <cellStyle name="Normal 5 2 2 3 7 2" xfId="25550" xr:uid="{E73003BC-0F54-4616-9255-885DDD02BC45}"/>
    <cellStyle name="Normal 5 2 2 3 7 3" xfId="19890" xr:uid="{E29E03CE-40C7-4A77-9CC6-32E0F88009E9}"/>
    <cellStyle name="Normal 5 2 2 3 7 4" xfId="31211" xr:uid="{B2B13E12-A996-4F64-B702-E003BF453491}"/>
    <cellStyle name="Normal 5 2 2 3 7 5" xfId="40566" xr:uid="{E568E1E1-3F56-4FFE-BF59-EC2EE63747B9}"/>
    <cellStyle name="Normal 5 2 2 3 8" xfId="22457" xr:uid="{7B4E0EFD-D13D-4312-A564-A7135C9A0409}"/>
    <cellStyle name="Normal 5 2 2 3 9" xfId="16797" xr:uid="{541D97FA-8F6E-425D-8DE0-538143713DF9}"/>
    <cellStyle name="Normal 5 2 2 4" xfId="4312" xr:uid="{00000000-0005-0000-0000-0000611F0000}"/>
    <cellStyle name="Normal 5 2 2 4 10" xfId="40567" xr:uid="{06E66B5A-C55E-46E7-ACA6-4A0A6E06EF52}"/>
    <cellStyle name="Normal 5 2 2 4 2" xfId="4972" xr:uid="{00000000-0005-0000-0000-0000621F0000}"/>
    <cellStyle name="Normal 5 2 2 4 2 2" xfId="5391" xr:uid="{00000000-0005-0000-0000-0000631F0000}"/>
    <cellStyle name="Normal 5 2 2 4 2 2 2" xfId="7254" xr:uid="{00000000-0005-0000-0000-0000641F0000}"/>
    <cellStyle name="Normal 5 2 2 4 2 2 2 2" xfId="15687" xr:uid="{00000000-0005-0000-0000-0000651F0000}"/>
    <cellStyle name="Normal 5 2 2 4 2 2 2 2 2" xfId="27581" xr:uid="{A3AA76AB-6D58-49A2-A03A-E8684907C9AB}"/>
    <cellStyle name="Normal 5 2 2 4 2 2 2 2 3" xfId="21921" xr:uid="{759427B9-B453-4D33-B910-3C20EEA7DE70}"/>
    <cellStyle name="Normal 5 2 2 4 2 2 2 2 4" xfId="32961" xr:uid="{58519A81-203B-41A9-9CE0-8A017D0F4401}"/>
    <cellStyle name="Normal 5 2 2 4 2 2 2 2 5" xfId="40571" xr:uid="{FF3EDE29-E8F3-4DBD-987C-60820F2D1DE7}"/>
    <cellStyle name="Normal 5 2 2 4 2 2 2 3" xfId="24748" xr:uid="{8CC119C7-AF2D-4696-9CD5-82AB06BC07BA}"/>
    <cellStyle name="Normal 5 2 2 4 2 2 2 4" xfId="19088" xr:uid="{C7055E0B-4480-4F85-A087-8B682683B1A3}"/>
    <cellStyle name="Normal 5 2 2 4 2 2 2 5" xfId="30409" xr:uid="{DE0DD657-31D0-4F0C-B766-57A0F555BEF0}"/>
    <cellStyle name="Normal 5 2 2 4 2 2 2 6" xfId="40570" xr:uid="{AA497947-9B63-4270-991F-AB0186E82ED5}"/>
    <cellStyle name="Normal 5 2 2 4 2 2 3" xfId="14277" xr:uid="{00000000-0005-0000-0000-0000661F0000}"/>
    <cellStyle name="Normal 5 2 2 4 2 2 3 2" xfId="26316" xr:uid="{687150F0-D18B-4A59-8D8F-6073AC40DE27}"/>
    <cellStyle name="Normal 5 2 2 4 2 2 3 3" xfId="20656" xr:uid="{773841F6-A081-4E3C-8972-2191F9AF6E71}"/>
    <cellStyle name="Normal 5 2 2 4 2 2 3 4" xfId="31696" xr:uid="{F730EBA7-701A-4C96-B689-06532AB8479A}"/>
    <cellStyle name="Normal 5 2 2 4 2 2 3 5" xfId="40572" xr:uid="{CA07AEA3-B068-4D56-9327-137E575BF148}"/>
    <cellStyle name="Normal 5 2 2 4 2 2 4" xfId="23186" xr:uid="{36F95CE2-9428-42A7-B0A3-3A611EC45602}"/>
    <cellStyle name="Normal 5 2 2 4 2 2 5" xfId="17526" xr:uid="{6D7C7404-6AEE-40E4-85F9-38C3ED0E247D}"/>
    <cellStyle name="Normal 5 2 2 4 2 2 6" xfId="28847" xr:uid="{DD4A07CB-72DE-43D4-BE52-2C793CF15549}"/>
    <cellStyle name="Normal 5 2 2 4 2 2 7" xfId="40569" xr:uid="{9D9D950C-A42F-4847-AC32-4DF81B8FE219}"/>
    <cellStyle name="Normal 5 2 2 4 2 3" xfId="6306" xr:uid="{00000000-0005-0000-0000-0000671F0000}"/>
    <cellStyle name="Normal 5 2 2 4 2 3 2" xfId="7630" xr:uid="{00000000-0005-0000-0000-0000681F0000}"/>
    <cellStyle name="Normal 5 2 2 4 2 3 2 2" xfId="16063" xr:uid="{00000000-0005-0000-0000-0000691F0000}"/>
    <cellStyle name="Normal 5 2 2 4 2 3 2 2 2" xfId="27957" xr:uid="{9D598EC1-2915-4770-8FC1-CDC05A97FED8}"/>
    <cellStyle name="Normal 5 2 2 4 2 3 2 2 3" xfId="22297" xr:uid="{FC417B46-7391-41C1-BDF3-7A674E58E160}"/>
    <cellStyle name="Normal 5 2 2 4 2 3 2 2 4" xfId="33337" xr:uid="{DCC6FE8E-7B7A-45D0-8E90-AC037CD96C81}"/>
    <cellStyle name="Normal 5 2 2 4 2 3 2 2 5" xfId="40575" xr:uid="{959DFBC3-8234-49F2-AA27-6554CB7AFA4C}"/>
    <cellStyle name="Normal 5 2 2 4 2 3 2 3" xfId="25124" xr:uid="{CFA4167A-129E-46D3-9C74-D3691E15AAFF}"/>
    <cellStyle name="Normal 5 2 2 4 2 3 2 4" xfId="19464" xr:uid="{94D095C6-39C1-41F2-B4BF-B93197DECECE}"/>
    <cellStyle name="Normal 5 2 2 4 2 3 2 5" xfId="30785" xr:uid="{4F64F1AA-FEA3-4557-9904-26451482F52A}"/>
    <cellStyle name="Normal 5 2 2 4 2 3 2 6" xfId="40574" xr:uid="{FB3CAD95-CC1A-4BEF-BE11-EBE8F2B94229}"/>
    <cellStyle name="Normal 5 2 2 4 2 3 3" xfId="14745" xr:uid="{00000000-0005-0000-0000-00006A1F0000}"/>
    <cellStyle name="Normal 5 2 2 4 2 3 3 2" xfId="26701" xr:uid="{833D9E59-3FAF-48B5-B8DD-C279F8DB6ABF}"/>
    <cellStyle name="Normal 5 2 2 4 2 3 3 3" xfId="21041" xr:uid="{F4D24714-AEF9-4532-8CC1-C5703D24CC6E}"/>
    <cellStyle name="Normal 5 2 2 4 2 3 3 4" xfId="32081" xr:uid="{0B31224C-68AF-4976-A0D1-E427868FA637}"/>
    <cellStyle name="Normal 5 2 2 4 2 3 3 5" xfId="40576" xr:uid="{BE921BE5-5E4B-415B-B651-36B0B50FB0B3}"/>
    <cellStyle name="Normal 5 2 2 4 2 3 4" xfId="23868" xr:uid="{F0277F50-4810-4C3D-BBAC-F9DCE2D85DE7}"/>
    <cellStyle name="Normal 5 2 2 4 2 3 5" xfId="18208" xr:uid="{A9F0B5F9-6CAA-46DB-944B-9A9B0F797519}"/>
    <cellStyle name="Normal 5 2 2 4 2 3 6" xfId="29529" xr:uid="{08353EEC-275E-479A-89FD-C3EF5455B861}"/>
    <cellStyle name="Normal 5 2 2 4 2 3 7" xfId="40573" xr:uid="{462EA4EA-FBD6-4474-96C7-700AEB6752BC}"/>
    <cellStyle name="Normal 5 2 2 4 2 4" xfId="6836" xr:uid="{00000000-0005-0000-0000-00006B1F0000}"/>
    <cellStyle name="Normal 5 2 2 4 2 4 2" xfId="15269" xr:uid="{00000000-0005-0000-0000-00006C1F0000}"/>
    <cellStyle name="Normal 5 2 2 4 2 4 2 2" xfId="27163" xr:uid="{AB3BD16D-889F-46B0-8FEC-D94C4325703A}"/>
    <cellStyle name="Normal 5 2 2 4 2 4 2 3" xfId="21503" xr:uid="{00ECBD82-6A59-4333-B7D5-C08E6A9329DB}"/>
    <cellStyle name="Normal 5 2 2 4 2 4 2 4" xfId="32543" xr:uid="{B53DCA92-BF71-4B44-B50A-F934CEF5D21F}"/>
    <cellStyle name="Normal 5 2 2 4 2 4 2 5" xfId="40578" xr:uid="{F0501E93-1685-4CD7-9555-6B8465BC3463}"/>
    <cellStyle name="Normal 5 2 2 4 2 4 3" xfId="24330" xr:uid="{B503B229-7C7D-4E54-89A6-7B0C11377182}"/>
    <cellStyle name="Normal 5 2 2 4 2 4 4" xfId="18670" xr:uid="{08A5A428-5ECE-4B7B-9E01-BCBD96139300}"/>
    <cellStyle name="Normal 5 2 2 4 2 4 5" xfId="29991" xr:uid="{371130F9-12FC-4AA9-AAB2-5F8D273B2F64}"/>
    <cellStyle name="Normal 5 2 2 4 2 4 6" xfId="40577" xr:uid="{E241088C-9160-46F9-931C-CF81FFD05304}"/>
    <cellStyle name="Normal 5 2 2 4 2 5" xfId="8079" xr:uid="{00000000-0005-0000-0000-00006D1F0000}"/>
    <cellStyle name="Normal 5 2 2 4 2 5 2" xfId="25555" xr:uid="{D6D3CA82-3090-4CBF-A187-66E627BA81D4}"/>
    <cellStyle name="Normal 5 2 2 4 2 5 3" xfId="19895" xr:uid="{25337428-8665-41DD-BFA3-DF8951ABCCC0}"/>
    <cellStyle name="Normal 5 2 2 4 2 5 4" xfId="31216" xr:uid="{401FC88E-E33C-403E-AB85-CA0DFDF89E6C}"/>
    <cellStyle name="Normal 5 2 2 4 2 5 5" xfId="40579" xr:uid="{16AAAD47-2E1E-4D29-8D77-36C607706B80}"/>
    <cellStyle name="Normal 5 2 2 4 2 6" xfId="22768" xr:uid="{2541B634-9563-4C01-974B-E1647D9DD9D5}"/>
    <cellStyle name="Normal 5 2 2 4 2 7" xfId="17108" xr:uid="{0A884A42-B3CD-4037-BEAC-2280C4F534B5}"/>
    <cellStyle name="Normal 5 2 2 4 2 8" xfId="28429" xr:uid="{855A107E-9666-4000-A033-BAD3B3ACC059}"/>
    <cellStyle name="Normal 5 2 2 4 2 9" xfId="40568" xr:uid="{AC8831E4-0EBE-45FB-BAC2-890151366D89}"/>
    <cellStyle name="Normal 5 2 2 4 3" xfId="5182" xr:uid="{00000000-0005-0000-0000-00006E1F0000}"/>
    <cellStyle name="Normal 5 2 2 4 3 2" xfId="6305" xr:uid="{00000000-0005-0000-0000-00006F1F0000}"/>
    <cellStyle name="Normal 5 2 2 4 3 2 2" xfId="7629" xr:uid="{00000000-0005-0000-0000-0000701F0000}"/>
    <cellStyle name="Normal 5 2 2 4 3 2 2 2" xfId="16062" xr:uid="{00000000-0005-0000-0000-0000711F0000}"/>
    <cellStyle name="Normal 5 2 2 4 3 2 2 2 2" xfId="27956" xr:uid="{D27BB176-EF73-4622-82FD-80A6E6951BFA}"/>
    <cellStyle name="Normal 5 2 2 4 3 2 2 2 3" xfId="22296" xr:uid="{90D66DB4-5BC7-44FC-8E84-7034D044083A}"/>
    <cellStyle name="Normal 5 2 2 4 3 2 2 2 4" xfId="33336" xr:uid="{69932CC0-E32F-430A-8B09-1E3B599E5DD4}"/>
    <cellStyle name="Normal 5 2 2 4 3 2 2 2 5" xfId="40583" xr:uid="{AA65DE8B-6356-45A4-B895-D38D09DE102D}"/>
    <cellStyle name="Normal 5 2 2 4 3 2 2 3" xfId="25123" xr:uid="{0469E052-2394-4600-8426-FA41F9B29043}"/>
    <cellStyle name="Normal 5 2 2 4 3 2 2 4" xfId="19463" xr:uid="{841FC41B-DC0F-4743-A38F-4A760838A3FD}"/>
    <cellStyle name="Normal 5 2 2 4 3 2 2 5" xfId="30784" xr:uid="{DC41D046-7908-4B54-888D-50BE7A191E21}"/>
    <cellStyle name="Normal 5 2 2 4 3 2 2 6" xfId="40582" xr:uid="{FF265697-464E-4FA7-9177-10C49EEFFBF0}"/>
    <cellStyle name="Normal 5 2 2 4 3 2 3" xfId="14744" xr:uid="{00000000-0005-0000-0000-0000721F0000}"/>
    <cellStyle name="Normal 5 2 2 4 3 2 3 2" xfId="26700" xr:uid="{7052C955-646D-4F33-AC88-C84F56421ADA}"/>
    <cellStyle name="Normal 5 2 2 4 3 2 3 3" xfId="21040" xr:uid="{45CFDAD0-2423-40A7-8AC5-C68DDD380E00}"/>
    <cellStyle name="Normal 5 2 2 4 3 2 3 4" xfId="32080" xr:uid="{330C61CF-0DE3-452C-ABD7-00A6B0A9C3AF}"/>
    <cellStyle name="Normal 5 2 2 4 3 2 3 5" xfId="40584" xr:uid="{260E877A-BA99-47A2-862F-0DA41CFDF933}"/>
    <cellStyle name="Normal 5 2 2 4 3 2 4" xfId="23867" xr:uid="{41B39CEB-D8A7-4115-BCFE-1B74A904CE0F}"/>
    <cellStyle name="Normal 5 2 2 4 3 2 5" xfId="18207" xr:uid="{19187B69-09DE-429E-BE31-5BCA0793BF93}"/>
    <cellStyle name="Normal 5 2 2 4 3 2 6" xfId="29528" xr:uid="{E8236041-8857-496C-B73B-98F950540EDC}"/>
    <cellStyle name="Normal 5 2 2 4 3 2 7" xfId="40581" xr:uid="{CC98EE30-AC1A-4CE8-B15E-41828DCBAC47}"/>
    <cellStyle name="Normal 5 2 2 4 3 3" xfId="7045" xr:uid="{00000000-0005-0000-0000-0000731F0000}"/>
    <cellStyle name="Normal 5 2 2 4 3 3 2" xfId="15478" xr:uid="{00000000-0005-0000-0000-0000741F0000}"/>
    <cellStyle name="Normal 5 2 2 4 3 3 2 2" xfId="27372" xr:uid="{84908DB0-7502-4C15-AF1E-83A6AECB8902}"/>
    <cellStyle name="Normal 5 2 2 4 3 3 2 3" xfId="21712" xr:uid="{4C7377FD-65C8-4CE8-829D-1B21D7AC345B}"/>
    <cellStyle name="Normal 5 2 2 4 3 3 2 4" xfId="32752" xr:uid="{5D4647D6-E65D-48C7-8FDA-0CAB5D83AA89}"/>
    <cellStyle name="Normal 5 2 2 4 3 3 2 5" xfId="40586" xr:uid="{6E1C005C-4023-4DC4-9C8B-1FBAF4E44368}"/>
    <cellStyle name="Normal 5 2 2 4 3 3 3" xfId="24539" xr:uid="{951428CE-091F-4FD0-86BD-D45B50E91A28}"/>
    <cellStyle name="Normal 5 2 2 4 3 3 4" xfId="18879" xr:uid="{44A53EAE-0CA7-45D6-BB0B-808B7F841F86}"/>
    <cellStyle name="Normal 5 2 2 4 3 3 5" xfId="30200" xr:uid="{DFB0BA60-FA3B-4A08-9E01-ABFD44A7D9ED}"/>
    <cellStyle name="Normal 5 2 2 4 3 3 6" xfId="40585" xr:uid="{F9F46C0B-A11F-4937-B026-AB9F4C5CA98A}"/>
    <cellStyle name="Normal 5 2 2 4 3 4" xfId="14069" xr:uid="{00000000-0005-0000-0000-0000751F0000}"/>
    <cellStyle name="Normal 5 2 2 4 3 4 2" xfId="26108" xr:uid="{5E2CC65A-FDD1-4E0B-9E35-DDCC96C4ED1A}"/>
    <cellStyle name="Normal 5 2 2 4 3 4 3" xfId="20448" xr:uid="{A3CE0BB3-66D5-4340-90AD-C8840F2774F8}"/>
    <cellStyle name="Normal 5 2 2 4 3 4 4" xfId="31488" xr:uid="{BC8F6E22-4C18-413C-BAB6-1031354CA03F}"/>
    <cellStyle name="Normal 5 2 2 4 3 4 5" xfId="40587" xr:uid="{34BF5080-9CB8-4B93-9B3B-00E95CAAFB0D}"/>
    <cellStyle name="Normal 5 2 2 4 3 5" xfId="22977" xr:uid="{BA8BBC95-E02D-43A1-A708-37170AE3D9E0}"/>
    <cellStyle name="Normal 5 2 2 4 3 6" xfId="17317" xr:uid="{3F600CD2-2791-48B6-A10B-BF8883F8D47C}"/>
    <cellStyle name="Normal 5 2 2 4 3 7" xfId="28638" xr:uid="{4E6FD887-E7ED-42A8-B796-D4EE4E64ED45}"/>
    <cellStyle name="Normal 5 2 2 4 3 8" xfId="40580" xr:uid="{F8F5D047-A7AD-4298-AFC1-97516E739D3B}"/>
    <cellStyle name="Normal 5 2 2 4 4" xfId="5700" xr:uid="{00000000-0005-0000-0000-0000761F0000}"/>
    <cellStyle name="Normal 5 2 2 4 4 2" xfId="40588" xr:uid="{D5F08D46-3A08-427D-8B07-CCB3253EE1B0}"/>
    <cellStyle name="Normal 5 2 2 4 5" xfId="6627" xr:uid="{00000000-0005-0000-0000-0000771F0000}"/>
    <cellStyle name="Normal 5 2 2 4 5 2" xfId="15060" xr:uid="{00000000-0005-0000-0000-0000781F0000}"/>
    <cellStyle name="Normal 5 2 2 4 5 2 2" xfId="26954" xr:uid="{42DA92A4-7632-49FC-8997-5ABC5366C651}"/>
    <cellStyle name="Normal 5 2 2 4 5 2 3" xfId="21294" xr:uid="{E5B98189-C670-4FCC-A028-38B2C31FB76B}"/>
    <cellStyle name="Normal 5 2 2 4 5 2 4" xfId="32334" xr:uid="{20DEF5BB-4DE6-483E-AC69-DD9875A8007E}"/>
    <cellStyle name="Normal 5 2 2 4 5 2 5" xfId="40590" xr:uid="{53A847AB-A324-4914-A352-B4177A88DB3C}"/>
    <cellStyle name="Normal 5 2 2 4 5 3" xfId="24121" xr:uid="{52ECE016-A957-4544-89DC-9FE2884DC1D2}"/>
    <cellStyle name="Normal 5 2 2 4 5 4" xfId="18461" xr:uid="{AF25E7FB-59B9-45C1-9558-083B52C443AB}"/>
    <cellStyle name="Normal 5 2 2 4 5 5" xfId="29782" xr:uid="{D37DF117-3397-4F68-BB07-F33719972B18}"/>
    <cellStyle name="Normal 5 2 2 4 5 6" xfId="40589" xr:uid="{EFDB58F2-61EA-40F0-85D3-9FD2130B4078}"/>
    <cellStyle name="Normal 5 2 2 4 6" xfId="8078" xr:uid="{00000000-0005-0000-0000-0000791F0000}"/>
    <cellStyle name="Normal 5 2 2 4 6 2" xfId="25554" xr:uid="{F8AD0CB1-A05A-40BC-874D-DCE7FED89BC5}"/>
    <cellStyle name="Normal 5 2 2 4 6 3" xfId="19894" xr:uid="{0D9A74AD-E2EB-4B7C-A4C7-3FDCDC6B2599}"/>
    <cellStyle name="Normal 5 2 2 4 6 4" xfId="31215" xr:uid="{A61D48C1-6897-4675-8546-3455F1D78499}"/>
    <cellStyle name="Normal 5 2 2 4 6 5" xfId="40591" xr:uid="{F9DFE8A3-D18F-4E4C-A484-1E5520253AC7}"/>
    <cellStyle name="Normal 5 2 2 4 7" xfId="22559" xr:uid="{60D0437B-4968-4EB1-8D39-A62DE60E1ED9}"/>
    <cellStyle name="Normal 5 2 2 4 8" xfId="16899" xr:uid="{2F68E209-B8EA-4F20-8D8B-4C632226673E}"/>
    <cellStyle name="Normal 5 2 2 4 9" xfId="28220" xr:uid="{20E8825F-2BBD-466E-BBC6-E7E248DF95EE}"/>
    <cellStyle name="Normal 5 2 2 5" xfId="4313" xr:uid="{00000000-0005-0000-0000-00007A1F0000}"/>
    <cellStyle name="Normal 5 2 2 5 10" xfId="40592" xr:uid="{C676C714-BDFC-43B3-991E-6E91D08008F8}"/>
    <cellStyle name="Normal 5 2 2 5 2" xfId="4973" xr:uid="{00000000-0005-0000-0000-00007B1F0000}"/>
    <cellStyle name="Normal 5 2 2 5 2 2" xfId="5392" xr:uid="{00000000-0005-0000-0000-00007C1F0000}"/>
    <cellStyle name="Normal 5 2 2 5 2 2 2" xfId="7255" xr:uid="{00000000-0005-0000-0000-00007D1F0000}"/>
    <cellStyle name="Normal 5 2 2 5 2 2 2 2" xfId="15688" xr:uid="{00000000-0005-0000-0000-00007E1F0000}"/>
    <cellStyle name="Normal 5 2 2 5 2 2 2 2 2" xfId="27582" xr:uid="{25E34A28-D3D9-45F2-A5B6-41F2C5C40C38}"/>
    <cellStyle name="Normal 5 2 2 5 2 2 2 2 3" xfId="21922" xr:uid="{8C63CA06-B0AC-496F-BC25-965C5AF428EB}"/>
    <cellStyle name="Normal 5 2 2 5 2 2 2 2 4" xfId="32962" xr:uid="{99659E42-1FAB-4BDC-A908-E775451A0FA3}"/>
    <cellStyle name="Normal 5 2 2 5 2 2 2 2 5" xfId="40596" xr:uid="{A6A4049F-1C0B-441A-9AF6-D3F0DC80DF9C}"/>
    <cellStyle name="Normal 5 2 2 5 2 2 2 3" xfId="24749" xr:uid="{EC491F89-FB3B-4B3F-A5C0-FAD1DB66EA84}"/>
    <cellStyle name="Normal 5 2 2 5 2 2 2 4" xfId="19089" xr:uid="{90C85D8B-1C82-4B8A-8176-D09AA6CD39BF}"/>
    <cellStyle name="Normal 5 2 2 5 2 2 2 5" xfId="30410" xr:uid="{DDCD20A6-0286-45F9-87B3-882A7AC0EEE6}"/>
    <cellStyle name="Normal 5 2 2 5 2 2 2 6" xfId="40595" xr:uid="{9D9B1EA7-805A-4AA0-BF8F-FB3B79F07217}"/>
    <cellStyle name="Normal 5 2 2 5 2 2 3" xfId="14278" xr:uid="{00000000-0005-0000-0000-00007F1F0000}"/>
    <cellStyle name="Normal 5 2 2 5 2 2 3 2" xfId="26317" xr:uid="{B8E76194-F2CE-41C0-B150-21F7D2230D24}"/>
    <cellStyle name="Normal 5 2 2 5 2 2 3 3" xfId="20657" xr:uid="{4E123E36-9CBC-4558-9494-4AAA5D8DA968}"/>
    <cellStyle name="Normal 5 2 2 5 2 2 3 4" xfId="31697" xr:uid="{CAE70F74-3EA2-4710-8B82-8435E1245BE1}"/>
    <cellStyle name="Normal 5 2 2 5 2 2 3 5" xfId="40597" xr:uid="{4509910F-DA4D-45D7-9A0C-7624C430E6EE}"/>
    <cellStyle name="Normal 5 2 2 5 2 2 4" xfId="23187" xr:uid="{61A91285-EECC-4174-884B-55DB825E6D05}"/>
    <cellStyle name="Normal 5 2 2 5 2 2 5" xfId="17527" xr:uid="{D239BA2C-345B-4ECD-A4C4-4066C5354CA6}"/>
    <cellStyle name="Normal 5 2 2 5 2 2 6" xfId="28848" xr:uid="{2FA885DD-8CAF-46DB-833B-242B8CA8DDC2}"/>
    <cellStyle name="Normal 5 2 2 5 2 2 7" xfId="40594" xr:uid="{1B4AED9C-E93F-4573-8129-CA75D6CE2469}"/>
    <cellStyle name="Normal 5 2 2 5 2 3" xfId="6308" xr:uid="{00000000-0005-0000-0000-0000801F0000}"/>
    <cellStyle name="Normal 5 2 2 5 2 3 2" xfId="7632" xr:uid="{00000000-0005-0000-0000-0000811F0000}"/>
    <cellStyle name="Normal 5 2 2 5 2 3 2 2" xfId="16065" xr:uid="{00000000-0005-0000-0000-0000821F0000}"/>
    <cellStyle name="Normal 5 2 2 5 2 3 2 2 2" xfId="27959" xr:uid="{AB562CC6-CF76-4F87-A516-7BDC217598AE}"/>
    <cellStyle name="Normal 5 2 2 5 2 3 2 2 3" xfId="22299" xr:uid="{A3BDE55F-2610-4236-B75F-EC0DEC1D7B86}"/>
    <cellStyle name="Normal 5 2 2 5 2 3 2 2 4" xfId="33339" xr:uid="{C4839666-1CA3-4C8C-80C2-3E1415C698B0}"/>
    <cellStyle name="Normal 5 2 2 5 2 3 2 2 5" xfId="40600" xr:uid="{50BD9D6E-2DE2-4E93-94FD-EF0ADEDBC3BE}"/>
    <cellStyle name="Normal 5 2 2 5 2 3 2 3" xfId="25126" xr:uid="{6FF6528F-6AB8-42C4-B757-AE6241A8212F}"/>
    <cellStyle name="Normal 5 2 2 5 2 3 2 4" xfId="19466" xr:uid="{B92F6D76-9EF8-492E-9CA4-CE90268C62A8}"/>
    <cellStyle name="Normal 5 2 2 5 2 3 2 5" xfId="30787" xr:uid="{88C8BE29-2622-404A-8946-149E8D2EC87B}"/>
    <cellStyle name="Normal 5 2 2 5 2 3 2 6" xfId="40599" xr:uid="{898927B2-D920-4F6B-B9D7-07F86CC8CB5D}"/>
    <cellStyle name="Normal 5 2 2 5 2 3 3" xfId="14747" xr:uid="{00000000-0005-0000-0000-0000831F0000}"/>
    <cellStyle name="Normal 5 2 2 5 2 3 3 2" xfId="26703" xr:uid="{58451428-5F21-4FCA-B9E8-A7F751C3438B}"/>
    <cellStyle name="Normal 5 2 2 5 2 3 3 3" xfId="21043" xr:uid="{C902B7F1-8DB0-4958-B3CF-B33A24C95DCB}"/>
    <cellStyle name="Normal 5 2 2 5 2 3 3 4" xfId="32083" xr:uid="{97673167-DE06-44CF-98CF-A1364315F3BB}"/>
    <cellStyle name="Normal 5 2 2 5 2 3 3 5" xfId="40601" xr:uid="{F6295B04-D3B6-47F6-8347-9F7A9EC6E5C3}"/>
    <cellStyle name="Normal 5 2 2 5 2 3 4" xfId="23870" xr:uid="{46CDF57B-F8D5-4DBC-BEFC-8478C7E2EA67}"/>
    <cellStyle name="Normal 5 2 2 5 2 3 5" xfId="18210" xr:uid="{8DB2CE90-2C22-442C-A80E-0BBA87A52D4E}"/>
    <cellStyle name="Normal 5 2 2 5 2 3 6" xfId="29531" xr:uid="{3B7B1110-5059-4BCE-ABD7-2225B7015A07}"/>
    <cellStyle name="Normal 5 2 2 5 2 3 7" xfId="40598" xr:uid="{2C843B96-3533-4FA9-AB1D-B44D2E693653}"/>
    <cellStyle name="Normal 5 2 2 5 2 4" xfId="6837" xr:uid="{00000000-0005-0000-0000-0000841F0000}"/>
    <cellStyle name="Normal 5 2 2 5 2 4 2" xfId="15270" xr:uid="{00000000-0005-0000-0000-0000851F0000}"/>
    <cellStyle name="Normal 5 2 2 5 2 4 2 2" xfId="27164" xr:uid="{81D49461-BC38-4370-B5D4-363B75C9A76B}"/>
    <cellStyle name="Normal 5 2 2 5 2 4 2 3" xfId="21504" xr:uid="{17D90F5B-0A3C-44B5-8CE2-8F104CE50789}"/>
    <cellStyle name="Normal 5 2 2 5 2 4 2 4" xfId="32544" xr:uid="{330AF6F4-DC5B-463C-A329-B786EEAF5B57}"/>
    <cellStyle name="Normal 5 2 2 5 2 4 2 5" xfId="40603" xr:uid="{FCDD4B5A-5ADF-4267-BC7B-C1E2CADEFF9F}"/>
    <cellStyle name="Normal 5 2 2 5 2 4 3" xfId="24331" xr:uid="{4BCFE96B-C3A2-495E-BD2D-DEAB77AB5F45}"/>
    <cellStyle name="Normal 5 2 2 5 2 4 4" xfId="18671" xr:uid="{8DF45055-E92E-498B-B7E1-559785FACD87}"/>
    <cellStyle name="Normal 5 2 2 5 2 4 5" xfId="29992" xr:uid="{772ACEE5-3CBC-4002-8414-A07EBCA0AC13}"/>
    <cellStyle name="Normal 5 2 2 5 2 4 6" xfId="40602" xr:uid="{9E90033A-28AF-46E3-8004-054D8B5F908F}"/>
    <cellStyle name="Normal 5 2 2 5 2 5" xfId="8081" xr:uid="{00000000-0005-0000-0000-0000861F0000}"/>
    <cellStyle name="Normal 5 2 2 5 2 5 2" xfId="25557" xr:uid="{2F7DE128-CD9A-448F-B4D5-93AF8D2716E3}"/>
    <cellStyle name="Normal 5 2 2 5 2 5 3" xfId="19897" xr:uid="{0752FA3F-55BA-4F4C-AEE9-1979CE5EB191}"/>
    <cellStyle name="Normal 5 2 2 5 2 5 4" xfId="31218" xr:uid="{78448907-FF41-44B7-8739-A72CBEE0A428}"/>
    <cellStyle name="Normal 5 2 2 5 2 5 5" xfId="40604" xr:uid="{38A75A45-1F66-4BE1-8324-2F129CE6A940}"/>
    <cellStyle name="Normal 5 2 2 5 2 6" xfId="22769" xr:uid="{427CBC50-B4FB-4280-B8BF-9DF1B0F6DC1C}"/>
    <cellStyle name="Normal 5 2 2 5 2 7" xfId="17109" xr:uid="{FA7FC172-5FD3-413D-B451-754A7C35A6EC}"/>
    <cellStyle name="Normal 5 2 2 5 2 8" xfId="28430" xr:uid="{277E049A-B9A3-4E66-9E92-D9D2E411CF45}"/>
    <cellStyle name="Normal 5 2 2 5 2 9" xfId="40593" xr:uid="{179CED45-91CF-4CEE-95B3-6EE5D1457B30}"/>
    <cellStyle name="Normal 5 2 2 5 3" xfId="5183" xr:uid="{00000000-0005-0000-0000-0000871F0000}"/>
    <cellStyle name="Normal 5 2 2 5 3 2" xfId="6307" xr:uid="{00000000-0005-0000-0000-0000881F0000}"/>
    <cellStyle name="Normal 5 2 2 5 3 2 2" xfId="7631" xr:uid="{00000000-0005-0000-0000-0000891F0000}"/>
    <cellStyle name="Normal 5 2 2 5 3 2 2 2" xfId="16064" xr:uid="{00000000-0005-0000-0000-00008A1F0000}"/>
    <cellStyle name="Normal 5 2 2 5 3 2 2 2 2" xfId="27958" xr:uid="{14A65D95-29AC-4DCB-9DBB-253BDF9E7365}"/>
    <cellStyle name="Normal 5 2 2 5 3 2 2 2 3" xfId="22298" xr:uid="{C7164DC1-B2EE-4272-9947-2E1CE034CAC7}"/>
    <cellStyle name="Normal 5 2 2 5 3 2 2 2 4" xfId="33338" xr:uid="{26FABF80-1AB7-49A9-8814-4CFF18D5EAE2}"/>
    <cellStyle name="Normal 5 2 2 5 3 2 2 2 5" xfId="40608" xr:uid="{616198EE-D1DF-473D-86D3-E2A5C2B919A3}"/>
    <cellStyle name="Normal 5 2 2 5 3 2 2 3" xfId="25125" xr:uid="{8788E6B9-78F6-4658-8A20-4F13D5476D91}"/>
    <cellStyle name="Normal 5 2 2 5 3 2 2 4" xfId="19465" xr:uid="{11C0F3AC-FA7F-4492-8482-6592E61E27B8}"/>
    <cellStyle name="Normal 5 2 2 5 3 2 2 5" xfId="30786" xr:uid="{33C61992-C413-4F86-AD07-5B4E9FCAD1C8}"/>
    <cellStyle name="Normal 5 2 2 5 3 2 2 6" xfId="40607" xr:uid="{DFB72AE3-5B93-4597-A03F-194ABDC586D3}"/>
    <cellStyle name="Normal 5 2 2 5 3 2 3" xfId="14746" xr:uid="{00000000-0005-0000-0000-00008B1F0000}"/>
    <cellStyle name="Normal 5 2 2 5 3 2 3 2" xfId="26702" xr:uid="{AE93845D-037A-4F40-B620-C1C0727D4EA8}"/>
    <cellStyle name="Normal 5 2 2 5 3 2 3 3" xfId="21042" xr:uid="{B7165F9F-793B-45D1-AA08-ED61D1BE0DC2}"/>
    <cellStyle name="Normal 5 2 2 5 3 2 3 4" xfId="32082" xr:uid="{22E1DD87-EBAF-4462-A190-FBD30563AAA5}"/>
    <cellStyle name="Normal 5 2 2 5 3 2 3 5" xfId="40609" xr:uid="{09DDF052-CE86-430F-9B18-2F3724854372}"/>
    <cellStyle name="Normal 5 2 2 5 3 2 4" xfId="23869" xr:uid="{52BE6C15-25A5-4AF8-ABCF-0FFA586CC50F}"/>
    <cellStyle name="Normal 5 2 2 5 3 2 5" xfId="18209" xr:uid="{76E4ACB1-1DE3-42F4-9272-CD5E601CF991}"/>
    <cellStyle name="Normal 5 2 2 5 3 2 6" xfId="29530" xr:uid="{B1966F2A-90F5-4D07-B18C-F7619793C778}"/>
    <cellStyle name="Normal 5 2 2 5 3 2 7" xfId="40606" xr:uid="{3E96774D-6B97-4030-872B-C2FD4D331F13}"/>
    <cellStyle name="Normal 5 2 2 5 3 3" xfId="7046" xr:uid="{00000000-0005-0000-0000-00008C1F0000}"/>
    <cellStyle name="Normal 5 2 2 5 3 3 2" xfId="15479" xr:uid="{00000000-0005-0000-0000-00008D1F0000}"/>
    <cellStyle name="Normal 5 2 2 5 3 3 2 2" xfId="27373" xr:uid="{3077ECD0-95AD-4D82-9565-67AB3A321281}"/>
    <cellStyle name="Normal 5 2 2 5 3 3 2 3" xfId="21713" xr:uid="{F15258F1-964E-42C3-97F1-D26E9F639A5F}"/>
    <cellStyle name="Normal 5 2 2 5 3 3 2 4" xfId="32753" xr:uid="{F649E417-212E-4DEA-BFCE-A2DD7877ECC6}"/>
    <cellStyle name="Normal 5 2 2 5 3 3 2 5" xfId="40611" xr:uid="{19830717-81BC-4E0C-A522-048F7AB3563E}"/>
    <cellStyle name="Normal 5 2 2 5 3 3 3" xfId="24540" xr:uid="{E447DFB1-E82C-4A31-B4B4-73214B6B8034}"/>
    <cellStyle name="Normal 5 2 2 5 3 3 4" xfId="18880" xr:uid="{2378FA4E-7ABC-4E56-9BB2-D4C649282034}"/>
    <cellStyle name="Normal 5 2 2 5 3 3 5" xfId="30201" xr:uid="{6227E153-9653-4107-882B-91A09F87AC5A}"/>
    <cellStyle name="Normal 5 2 2 5 3 3 6" xfId="40610" xr:uid="{F40B20A2-A096-4E15-A951-F448F2A5C7C1}"/>
    <cellStyle name="Normal 5 2 2 5 3 4" xfId="14070" xr:uid="{00000000-0005-0000-0000-00008E1F0000}"/>
    <cellStyle name="Normal 5 2 2 5 3 4 2" xfId="26109" xr:uid="{5D1163AF-E106-4EE7-A6D0-339753309397}"/>
    <cellStyle name="Normal 5 2 2 5 3 4 3" xfId="20449" xr:uid="{A5E7BF6A-A36A-42DE-8195-D70F9ED1C86F}"/>
    <cellStyle name="Normal 5 2 2 5 3 4 4" xfId="31489" xr:uid="{5BBE0A88-7A33-4333-91A5-F93F77131D03}"/>
    <cellStyle name="Normal 5 2 2 5 3 4 5" xfId="40612" xr:uid="{93CBFE5F-88FC-46C6-8D60-A9D8D8763615}"/>
    <cellStyle name="Normal 5 2 2 5 3 5" xfId="22978" xr:uid="{49E3E899-9C29-4F19-ADFC-E1FCCBFC0863}"/>
    <cellStyle name="Normal 5 2 2 5 3 6" xfId="17318" xr:uid="{020D6070-0A8C-494C-B067-27F8EC34C508}"/>
    <cellStyle name="Normal 5 2 2 5 3 7" xfId="28639" xr:uid="{1C610B81-0DF9-469C-8099-74C9589A0710}"/>
    <cellStyle name="Normal 5 2 2 5 3 8" xfId="40605" xr:uid="{26195F06-3BCD-4234-B24E-6D9482C2FAAC}"/>
    <cellStyle name="Normal 5 2 2 5 4" xfId="5701" xr:uid="{00000000-0005-0000-0000-00008F1F0000}"/>
    <cellStyle name="Normal 5 2 2 5 4 2" xfId="40613" xr:uid="{993E11AF-F767-40FE-A373-197B40E8573B}"/>
    <cellStyle name="Normal 5 2 2 5 5" xfId="6628" xr:uid="{00000000-0005-0000-0000-0000901F0000}"/>
    <cellStyle name="Normal 5 2 2 5 5 2" xfId="15061" xr:uid="{00000000-0005-0000-0000-0000911F0000}"/>
    <cellStyle name="Normal 5 2 2 5 5 2 2" xfId="26955" xr:uid="{E6857D88-FDD3-4618-A182-882F77A5BF3F}"/>
    <cellStyle name="Normal 5 2 2 5 5 2 3" xfId="21295" xr:uid="{37C60F5C-F303-460E-A0E3-B0968FA4B3BF}"/>
    <cellStyle name="Normal 5 2 2 5 5 2 4" xfId="32335" xr:uid="{62600AF6-93CF-4A9E-9F75-FE9C413CD55D}"/>
    <cellStyle name="Normal 5 2 2 5 5 2 5" xfId="40615" xr:uid="{07446A47-1B19-4F10-A591-D19107DDA6A0}"/>
    <cellStyle name="Normal 5 2 2 5 5 3" xfId="24122" xr:uid="{BA18A04A-BE51-412E-B77B-59A266372AA2}"/>
    <cellStyle name="Normal 5 2 2 5 5 4" xfId="18462" xr:uid="{4634F0C2-6BBF-4563-B07A-B805621CDBCD}"/>
    <cellStyle name="Normal 5 2 2 5 5 5" xfId="29783" xr:uid="{32577489-C947-475F-B1B8-04B62061C7BF}"/>
    <cellStyle name="Normal 5 2 2 5 5 6" xfId="40614" xr:uid="{70B92D4E-9DB3-4348-91F8-3A5A6DF67FAA}"/>
    <cellStyle name="Normal 5 2 2 5 6" xfId="8080" xr:uid="{00000000-0005-0000-0000-0000921F0000}"/>
    <cellStyle name="Normal 5 2 2 5 6 2" xfId="25556" xr:uid="{6B1B7D57-2305-4E8A-9C80-E56D02D9F45C}"/>
    <cellStyle name="Normal 5 2 2 5 6 3" xfId="19896" xr:uid="{78948302-549E-484D-A53B-BC7A3F4F7175}"/>
    <cellStyle name="Normal 5 2 2 5 6 4" xfId="31217" xr:uid="{BF080DDF-5ADD-4961-8F5B-1130744933EA}"/>
    <cellStyle name="Normal 5 2 2 5 6 5" xfId="40616" xr:uid="{1DC810FC-3391-4329-91C2-19BCE3935D69}"/>
    <cellStyle name="Normal 5 2 2 5 7" xfId="22560" xr:uid="{8622F8B5-D20E-4345-BBEB-30562834AAFC}"/>
    <cellStyle name="Normal 5 2 2 5 8" xfId="16900" xr:uid="{E5CE6CCD-D103-4D24-9964-92FD52004F2F}"/>
    <cellStyle name="Normal 5 2 2 5 9" xfId="28221" xr:uid="{3394CB36-4922-4598-957A-70AA85C0F572}"/>
    <cellStyle name="Normal 5 2 2 6" xfId="4314" xr:uid="{00000000-0005-0000-0000-0000931F0000}"/>
    <cellStyle name="Normal 5 2 2 6 10" xfId="40617" xr:uid="{C6FD363B-5385-4ECD-8145-ECA48E48AB59}"/>
    <cellStyle name="Normal 5 2 2 6 2" xfId="4974" xr:uid="{00000000-0005-0000-0000-0000941F0000}"/>
    <cellStyle name="Normal 5 2 2 6 2 2" xfId="5393" xr:uid="{00000000-0005-0000-0000-0000951F0000}"/>
    <cellStyle name="Normal 5 2 2 6 2 2 2" xfId="7256" xr:uid="{00000000-0005-0000-0000-0000961F0000}"/>
    <cellStyle name="Normal 5 2 2 6 2 2 2 2" xfId="15689" xr:uid="{00000000-0005-0000-0000-0000971F0000}"/>
    <cellStyle name="Normal 5 2 2 6 2 2 2 2 2" xfId="27583" xr:uid="{BAC47829-2644-4B81-9821-0C0B4866348D}"/>
    <cellStyle name="Normal 5 2 2 6 2 2 2 2 3" xfId="21923" xr:uid="{8FA71194-9C4B-474F-A880-575D22A1D086}"/>
    <cellStyle name="Normal 5 2 2 6 2 2 2 2 4" xfId="32963" xr:uid="{165592AF-3A3A-4DDC-8590-222F22F4F2C3}"/>
    <cellStyle name="Normal 5 2 2 6 2 2 2 2 5" xfId="40621" xr:uid="{93B40E46-5F32-4B6A-8935-039E31CFC478}"/>
    <cellStyle name="Normal 5 2 2 6 2 2 2 3" xfId="24750" xr:uid="{3C3E8612-2B46-4B13-AE0A-C4F2A140A6E8}"/>
    <cellStyle name="Normal 5 2 2 6 2 2 2 4" xfId="19090" xr:uid="{69CF70D9-1B36-45E9-8667-AE89700D0500}"/>
    <cellStyle name="Normal 5 2 2 6 2 2 2 5" xfId="30411" xr:uid="{4279A872-CDC5-4C94-94D3-03C334543228}"/>
    <cellStyle name="Normal 5 2 2 6 2 2 2 6" xfId="40620" xr:uid="{E450D6D9-FD9E-45B3-866F-90EF7683160B}"/>
    <cellStyle name="Normal 5 2 2 6 2 2 3" xfId="14279" xr:uid="{00000000-0005-0000-0000-0000981F0000}"/>
    <cellStyle name="Normal 5 2 2 6 2 2 3 2" xfId="26318" xr:uid="{A76189CA-A596-436B-8A3D-1EFA3B2500AB}"/>
    <cellStyle name="Normal 5 2 2 6 2 2 3 3" xfId="20658" xr:uid="{E9414ECD-6F8E-496B-A4C7-7262AA82511B}"/>
    <cellStyle name="Normal 5 2 2 6 2 2 3 4" xfId="31698" xr:uid="{CAFFE849-830A-47B7-B93B-E9B11AD95D1B}"/>
    <cellStyle name="Normal 5 2 2 6 2 2 3 5" xfId="40622" xr:uid="{55B4C46B-52A3-4A68-B2B9-BF6CED06ABAE}"/>
    <cellStyle name="Normal 5 2 2 6 2 2 4" xfId="23188" xr:uid="{EFB59C4B-72FF-4769-8717-C22E7B0253A9}"/>
    <cellStyle name="Normal 5 2 2 6 2 2 5" xfId="17528" xr:uid="{7948ABBE-34A7-4719-8C49-0A2DE3983295}"/>
    <cellStyle name="Normal 5 2 2 6 2 2 6" xfId="28849" xr:uid="{47DE3070-C543-4867-94BF-86805FFCB87D}"/>
    <cellStyle name="Normal 5 2 2 6 2 2 7" xfId="40619" xr:uid="{A6E9FB1A-D7EC-499D-8F0A-CEEAE076A63C}"/>
    <cellStyle name="Normal 5 2 2 6 2 3" xfId="6310" xr:uid="{00000000-0005-0000-0000-0000991F0000}"/>
    <cellStyle name="Normal 5 2 2 6 2 3 2" xfId="7634" xr:uid="{00000000-0005-0000-0000-00009A1F0000}"/>
    <cellStyle name="Normal 5 2 2 6 2 3 2 2" xfId="16067" xr:uid="{00000000-0005-0000-0000-00009B1F0000}"/>
    <cellStyle name="Normal 5 2 2 6 2 3 2 2 2" xfId="27961" xr:uid="{BD5D0EDD-F6C3-4A5C-805D-9B0CF54B1588}"/>
    <cellStyle name="Normal 5 2 2 6 2 3 2 2 3" xfId="22301" xr:uid="{4547F61D-6CC4-4F99-8D75-4E1195B2BCF3}"/>
    <cellStyle name="Normal 5 2 2 6 2 3 2 2 4" xfId="33341" xr:uid="{644DB696-9286-45F0-8B10-13930B7BAFBC}"/>
    <cellStyle name="Normal 5 2 2 6 2 3 2 2 5" xfId="40625" xr:uid="{F7B24CDD-4635-420C-BFA1-F040E103F627}"/>
    <cellStyle name="Normal 5 2 2 6 2 3 2 3" xfId="25128" xr:uid="{ECAB8F93-23AE-4E16-A1D7-1D9B40C91D42}"/>
    <cellStyle name="Normal 5 2 2 6 2 3 2 4" xfId="19468" xr:uid="{93DE5327-76A2-477D-9F65-0E9149911DCC}"/>
    <cellStyle name="Normal 5 2 2 6 2 3 2 5" xfId="30789" xr:uid="{8AB9128E-2A4B-4BB0-8D0D-7162CCD03166}"/>
    <cellStyle name="Normal 5 2 2 6 2 3 2 6" xfId="40624" xr:uid="{7EC1E815-FB20-4777-A500-85ED2A38A9AA}"/>
    <cellStyle name="Normal 5 2 2 6 2 3 3" xfId="14749" xr:uid="{00000000-0005-0000-0000-00009C1F0000}"/>
    <cellStyle name="Normal 5 2 2 6 2 3 3 2" xfId="26705" xr:uid="{650705C7-E5A0-4DD3-A3AE-5FDA435418AA}"/>
    <cellStyle name="Normal 5 2 2 6 2 3 3 3" xfId="21045" xr:uid="{22014F62-0C80-47EA-8BC3-B8CA22827E99}"/>
    <cellStyle name="Normal 5 2 2 6 2 3 3 4" xfId="32085" xr:uid="{BDD37F83-47F3-4967-8DC9-861545F67301}"/>
    <cellStyle name="Normal 5 2 2 6 2 3 3 5" xfId="40626" xr:uid="{7B7E65A7-D3E0-4495-8BCE-3C173D069CCF}"/>
    <cellStyle name="Normal 5 2 2 6 2 3 4" xfId="23872" xr:uid="{B86175D3-321A-4277-8929-85F4A8CF28DA}"/>
    <cellStyle name="Normal 5 2 2 6 2 3 5" xfId="18212" xr:uid="{ED0388CC-452D-4F58-884D-554D3086F2F8}"/>
    <cellStyle name="Normal 5 2 2 6 2 3 6" xfId="29533" xr:uid="{4F2A4E56-C117-49D5-8532-E720E5C3872D}"/>
    <cellStyle name="Normal 5 2 2 6 2 3 7" xfId="40623" xr:uid="{7C25E135-0449-4743-BC7F-43B8BE44AAA8}"/>
    <cellStyle name="Normal 5 2 2 6 2 4" xfId="6838" xr:uid="{00000000-0005-0000-0000-00009D1F0000}"/>
    <cellStyle name="Normal 5 2 2 6 2 4 2" xfId="15271" xr:uid="{00000000-0005-0000-0000-00009E1F0000}"/>
    <cellStyle name="Normal 5 2 2 6 2 4 2 2" xfId="27165" xr:uid="{989F52E2-8B7A-4F98-BFBA-0AA14F3D374D}"/>
    <cellStyle name="Normal 5 2 2 6 2 4 2 3" xfId="21505" xr:uid="{A572A700-0BD3-4B33-892F-1733B6B5EE86}"/>
    <cellStyle name="Normal 5 2 2 6 2 4 2 4" xfId="32545" xr:uid="{90FAB3E0-21C8-4631-9ED1-1AED0F62661D}"/>
    <cellStyle name="Normal 5 2 2 6 2 4 2 5" xfId="40628" xr:uid="{E1FCD36E-EA21-4F08-8ACD-0820365FE478}"/>
    <cellStyle name="Normal 5 2 2 6 2 4 3" xfId="24332" xr:uid="{AE7E9E6A-3B8D-472D-99C8-78F74FBB34FD}"/>
    <cellStyle name="Normal 5 2 2 6 2 4 4" xfId="18672" xr:uid="{2757E58D-87DC-44C0-A0D0-4B062A49BD3A}"/>
    <cellStyle name="Normal 5 2 2 6 2 4 5" xfId="29993" xr:uid="{1951236F-AE0B-4F55-B0BC-38018CECE124}"/>
    <cellStyle name="Normal 5 2 2 6 2 4 6" xfId="40627" xr:uid="{E3ADD9BD-F283-49EE-B08B-BF5565E80119}"/>
    <cellStyle name="Normal 5 2 2 6 2 5" xfId="8083" xr:uid="{00000000-0005-0000-0000-00009F1F0000}"/>
    <cellStyle name="Normal 5 2 2 6 2 5 2" xfId="25559" xr:uid="{4F517837-363B-4391-8384-CC6C03D151E2}"/>
    <cellStyle name="Normal 5 2 2 6 2 5 3" xfId="19899" xr:uid="{6DC44778-0E72-4527-8D7C-852326144026}"/>
    <cellStyle name="Normal 5 2 2 6 2 5 4" xfId="31220" xr:uid="{36951AB7-9FCF-46E1-A0A3-4FF794C522EA}"/>
    <cellStyle name="Normal 5 2 2 6 2 5 5" xfId="40629" xr:uid="{44D1C810-6B88-43DE-86E8-B8E81204E301}"/>
    <cellStyle name="Normal 5 2 2 6 2 6" xfId="22770" xr:uid="{ED54BF94-6E05-4104-B788-697EE4C593ED}"/>
    <cellStyle name="Normal 5 2 2 6 2 7" xfId="17110" xr:uid="{EA33B020-B735-49B4-9757-BCEF5F62629C}"/>
    <cellStyle name="Normal 5 2 2 6 2 8" xfId="28431" xr:uid="{942156DD-6647-4424-89D0-231A6611AAAD}"/>
    <cellStyle name="Normal 5 2 2 6 2 9" xfId="40618" xr:uid="{FD790311-E9FB-4381-9EF9-F28B3AA3854E}"/>
    <cellStyle name="Normal 5 2 2 6 3" xfId="5184" xr:uid="{00000000-0005-0000-0000-0000A01F0000}"/>
    <cellStyle name="Normal 5 2 2 6 3 2" xfId="6309" xr:uid="{00000000-0005-0000-0000-0000A11F0000}"/>
    <cellStyle name="Normal 5 2 2 6 3 2 2" xfId="7633" xr:uid="{00000000-0005-0000-0000-0000A21F0000}"/>
    <cellStyle name="Normal 5 2 2 6 3 2 2 2" xfId="16066" xr:uid="{00000000-0005-0000-0000-0000A31F0000}"/>
    <cellStyle name="Normal 5 2 2 6 3 2 2 2 2" xfId="27960" xr:uid="{29B5FEB2-8475-4144-A25B-89C7D1EA4A4B}"/>
    <cellStyle name="Normal 5 2 2 6 3 2 2 2 3" xfId="22300" xr:uid="{D099A609-FB80-4475-884B-37863A605C18}"/>
    <cellStyle name="Normal 5 2 2 6 3 2 2 2 4" xfId="33340" xr:uid="{4C701367-0EF6-4709-81C8-736F806A6F6A}"/>
    <cellStyle name="Normal 5 2 2 6 3 2 2 2 5" xfId="40633" xr:uid="{95E33C5F-6895-4C2F-835C-E0DB3049F79B}"/>
    <cellStyle name="Normal 5 2 2 6 3 2 2 3" xfId="25127" xr:uid="{8F2D44AB-B0FA-4365-8626-808A9C4217B3}"/>
    <cellStyle name="Normal 5 2 2 6 3 2 2 4" xfId="19467" xr:uid="{2D2A6CCB-7F52-4FA4-9AAF-0796B92C9BF1}"/>
    <cellStyle name="Normal 5 2 2 6 3 2 2 5" xfId="30788" xr:uid="{869C6FF1-13BD-4741-9B27-5E3E49F99C73}"/>
    <cellStyle name="Normal 5 2 2 6 3 2 2 6" xfId="40632" xr:uid="{C424A580-C056-4738-A11A-759F3EBFD1D6}"/>
    <cellStyle name="Normal 5 2 2 6 3 2 3" xfId="14748" xr:uid="{00000000-0005-0000-0000-0000A41F0000}"/>
    <cellStyle name="Normal 5 2 2 6 3 2 3 2" xfId="26704" xr:uid="{34F7404B-0600-4094-810F-DDB93E5562A9}"/>
    <cellStyle name="Normal 5 2 2 6 3 2 3 3" xfId="21044" xr:uid="{594C643E-D430-46F1-AF85-E61F3928B974}"/>
    <cellStyle name="Normal 5 2 2 6 3 2 3 4" xfId="32084" xr:uid="{A8A83825-F343-4EC9-8539-21A399696AA0}"/>
    <cellStyle name="Normal 5 2 2 6 3 2 3 5" xfId="40634" xr:uid="{FA0F6F55-F698-494B-AA60-4083C1D24952}"/>
    <cellStyle name="Normal 5 2 2 6 3 2 4" xfId="23871" xr:uid="{A30D2DD7-7777-4D19-91BC-B81F08A587D3}"/>
    <cellStyle name="Normal 5 2 2 6 3 2 5" xfId="18211" xr:uid="{8A1E551B-8DDA-4BE8-95E0-DD6861B56848}"/>
    <cellStyle name="Normal 5 2 2 6 3 2 6" xfId="29532" xr:uid="{6B181E19-0F06-4279-B8D1-E58323EE693E}"/>
    <cellStyle name="Normal 5 2 2 6 3 2 7" xfId="40631" xr:uid="{D0D433D5-487F-4589-A31E-F2D4858F0F54}"/>
    <cellStyle name="Normal 5 2 2 6 3 3" xfId="7047" xr:uid="{00000000-0005-0000-0000-0000A51F0000}"/>
    <cellStyle name="Normal 5 2 2 6 3 3 2" xfId="15480" xr:uid="{00000000-0005-0000-0000-0000A61F0000}"/>
    <cellStyle name="Normal 5 2 2 6 3 3 2 2" xfId="27374" xr:uid="{20698899-630C-4802-9EEB-CA99E87D3EBB}"/>
    <cellStyle name="Normal 5 2 2 6 3 3 2 3" xfId="21714" xr:uid="{81EA6892-C606-40A1-BFDC-54AF5AC3D144}"/>
    <cellStyle name="Normal 5 2 2 6 3 3 2 4" xfId="32754" xr:uid="{62C91173-FE8E-4AED-AC8E-452F9CA1287F}"/>
    <cellStyle name="Normal 5 2 2 6 3 3 2 5" xfId="40636" xr:uid="{56637AC8-6EF8-4F0F-91EE-4B66591E0BCE}"/>
    <cellStyle name="Normal 5 2 2 6 3 3 3" xfId="24541" xr:uid="{4C086E7A-CC9C-4BFE-94DD-BD6CB1C7A773}"/>
    <cellStyle name="Normal 5 2 2 6 3 3 4" xfId="18881" xr:uid="{4286CC0A-7DE3-4A0F-8074-215F905E341D}"/>
    <cellStyle name="Normal 5 2 2 6 3 3 5" xfId="30202" xr:uid="{2BA1E28B-2C4B-463D-B8A7-EBEC19FCBDF2}"/>
    <cellStyle name="Normal 5 2 2 6 3 3 6" xfId="40635" xr:uid="{737CD59A-DD52-4092-92E5-865E1401E862}"/>
    <cellStyle name="Normal 5 2 2 6 3 4" xfId="14071" xr:uid="{00000000-0005-0000-0000-0000A71F0000}"/>
    <cellStyle name="Normal 5 2 2 6 3 4 2" xfId="26110" xr:uid="{DA13C41D-A621-43DE-8476-256D86408541}"/>
    <cellStyle name="Normal 5 2 2 6 3 4 3" xfId="20450" xr:uid="{983AEEF9-DE0C-4BBF-8CCD-1EF1B7B5F340}"/>
    <cellStyle name="Normal 5 2 2 6 3 4 4" xfId="31490" xr:uid="{ABD3B76A-B715-445D-BE73-BB7107F53B53}"/>
    <cellStyle name="Normal 5 2 2 6 3 4 5" xfId="40637" xr:uid="{5125A64C-EE13-4956-8712-A2A5312C710C}"/>
    <cellStyle name="Normal 5 2 2 6 3 5" xfId="22979" xr:uid="{B72B500F-48E7-4647-BF3D-35B1DF65C1DB}"/>
    <cellStyle name="Normal 5 2 2 6 3 6" xfId="17319" xr:uid="{E9E015DC-0948-4C8A-BB4B-71AF027EE14B}"/>
    <cellStyle name="Normal 5 2 2 6 3 7" xfId="28640" xr:uid="{F10C84CD-3DB6-45A6-BAC4-ED11B0A347DC}"/>
    <cellStyle name="Normal 5 2 2 6 3 8" xfId="40630" xr:uid="{44F6E125-C1AA-4E5B-B63F-4C7D8A4F466D}"/>
    <cellStyle name="Normal 5 2 2 6 4" xfId="5702" xr:uid="{00000000-0005-0000-0000-0000A81F0000}"/>
    <cellStyle name="Normal 5 2 2 6 4 2" xfId="40638" xr:uid="{8ACA6ABD-E643-4637-B37A-E1BD172F5D35}"/>
    <cellStyle name="Normal 5 2 2 6 5" xfId="6629" xr:uid="{00000000-0005-0000-0000-0000A91F0000}"/>
    <cellStyle name="Normal 5 2 2 6 5 2" xfId="15062" xr:uid="{00000000-0005-0000-0000-0000AA1F0000}"/>
    <cellStyle name="Normal 5 2 2 6 5 2 2" xfId="26956" xr:uid="{88A1E3B5-5F18-4C41-BCFD-4B397D37126A}"/>
    <cellStyle name="Normal 5 2 2 6 5 2 3" xfId="21296" xr:uid="{98CA4F69-C061-4AA0-9961-5E46DDFA1635}"/>
    <cellStyle name="Normal 5 2 2 6 5 2 4" xfId="32336" xr:uid="{3B602C31-8149-430C-BE1B-40724B61173E}"/>
    <cellStyle name="Normal 5 2 2 6 5 2 5" xfId="40640" xr:uid="{2D3BD93C-BF08-4CD9-BDFF-7475313E1197}"/>
    <cellStyle name="Normal 5 2 2 6 5 3" xfId="24123" xr:uid="{8824CE82-C46E-4179-A8C1-D625D733D3B5}"/>
    <cellStyle name="Normal 5 2 2 6 5 4" xfId="18463" xr:uid="{B05E7651-80D3-4970-AC06-52DA13D87D1D}"/>
    <cellStyle name="Normal 5 2 2 6 5 5" xfId="29784" xr:uid="{6B895FB8-AFF8-4D76-A28B-AADAC55C3616}"/>
    <cellStyle name="Normal 5 2 2 6 5 6" xfId="40639" xr:uid="{A0A5086D-D0D8-4CE7-AED1-CF2354BFF065}"/>
    <cellStyle name="Normal 5 2 2 6 6" xfId="8082" xr:uid="{00000000-0005-0000-0000-0000AB1F0000}"/>
    <cellStyle name="Normal 5 2 2 6 6 2" xfId="25558" xr:uid="{E20E2338-7308-4264-AEE7-08F03A903762}"/>
    <cellStyle name="Normal 5 2 2 6 6 3" xfId="19898" xr:uid="{96495818-651B-4E56-985B-7DABB35710FE}"/>
    <cellStyle name="Normal 5 2 2 6 6 4" xfId="31219" xr:uid="{2716188B-B392-4170-81CA-CE7772DB49DA}"/>
    <cellStyle name="Normal 5 2 2 6 6 5" xfId="40641" xr:uid="{3B6D66D9-08AE-4843-BCA7-F2193BC15416}"/>
    <cellStyle name="Normal 5 2 2 6 7" xfId="22561" xr:uid="{ECE32231-160F-419B-A112-BF428EFCF84E}"/>
    <cellStyle name="Normal 5 2 2 6 8" xfId="16901" xr:uid="{C02AA9F3-D516-48AE-9DF8-9ECDF02F6A5B}"/>
    <cellStyle name="Normal 5 2 2 6 9" xfId="28222" xr:uid="{C22377AA-D513-42C9-BA0F-2923B0C15C9C}"/>
    <cellStyle name="Normal 5 2 2 7" xfId="4315" xr:uid="{00000000-0005-0000-0000-0000AC1F0000}"/>
    <cellStyle name="Normal 5 2 2 7 10" xfId="40642" xr:uid="{877CCAE4-DABE-4DEE-9575-20E556205AA4}"/>
    <cellStyle name="Normal 5 2 2 7 2" xfId="4975" xr:uid="{00000000-0005-0000-0000-0000AD1F0000}"/>
    <cellStyle name="Normal 5 2 2 7 2 2" xfId="5394" xr:uid="{00000000-0005-0000-0000-0000AE1F0000}"/>
    <cellStyle name="Normal 5 2 2 7 2 2 2" xfId="7257" xr:uid="{00000000-0005-0000-0000-0000AF1F0000}"/>
    <cellStyle name="Normal 5 2 2 7 2 2 2 2" xfId="15690" xr:uid="{00000000-0005-0000-0000-0000B01F0000}"/>
    <cellStyle name="Normal 5 2 2 7 2 2 2 2 2" xfId="27584" xr:uid="{601B9CE1-3F4B-4AFC-A630-6520CED9365B}"/>
    <cellStyle name="Normal 5 2 2 7 2 2 2 2 3" xfId="21924" xr:uid="{E85DABC1-3DEE-410F-8FF3-431FFCB723D2}"/>
    <cellStyle name="Normal 5 2 2 7 2 2 2 2 4" xfId="32964" xr:uid="{CBD3F6E0-1D09-4C6D-BCF9-497EE7417041}"/>
    <cellStyle name="Normal 5 2 2 7 2 2 2 2 5" xfId="40646" xr:uid="{655FE6A6-7209-42B2-8AE3-6738FAA570CB}"/>
    <cellStyle name="Normal 5 2 2 7 2 2 2 3" xfId="24751" xr:uid="{D87C73BC-2FBF-485F-88AB-1E4FF8FE5249}"/>
    <cellStyle name="Normal 5 2 2 7 2 2 2 4" xfId="19091" xr:uid="{BB5001EB-C3F3-4D35-B133-5BB83DB40FCE}"/>
    <cellStyle name="Normal 5 2 2 7 2 2 2 5" xfId="30412" xr:uid="{17211F1B-E307-45E4-AE46-0A7D26D49812}"/>
    <cellStyle name="Normal 5 2 2 7 2 2 2 6" xfId="40645" xr:uid="{70047783-17AE-4B23-BF4B-63DA22CDE014}"/>
    <cellStyle name="Normal 5 2 2 7 2 2 3" xfId="14280" xr:uid="{00000000-0005-0000-0000-0000B11F0000}"/>
    <cellStyle name="Normal 5 2 2 7 2 2 3 2" xfId="26319" xr:uid="{DF0844E6-A555-4458-BB6D-F239722ECF11}"/>
    <cellStyle name="Normal 5 2 2 7 2 2 3 3" xfId="20659" xr:uid="{19F7D620-B13B-4547-8C0E-A6D55AC2EC78}"/>
    <cellStyle name="Normal 5 2 2 7 2 2 3 4" xfId="31699" xr:uid="{75DD4A67-FEE3-47E6-9976-B6C104077D64}"/>
    <cellStyle name="Normal 5 2 2 7 2 2 3 5" xfId="40647" xr:uid="{096399F1-647A-4CD7-93B3-012DF1985BFA}"/>
    <cellStyle name="Normal 5 2 2 7 2 2 4" xfId="23189" xr:uid="{D3F0554A-DB27-41D5-9025-A64BEF3D4022}"/>
    <cellStyle name="Normal 5 2 2 7 2 2 5" xfId="17529" xr:uid="{93CB17D5-77FD-4BD1-8C57-CC488B0B1A6D}"/>
    <cellStyle name="Normal 5 2 2 7 2 2 6" xfId="28850" xr:uid="{C4C7474E-2033-48FD-ADBF-FF0E28E32253}"/>
    <cellStyle name="Normal 5 2 2 7 2 2 7" xfId="40644" xr:uid="{C414077E-A43A-4369-9039-33FC6FFF8DC8}"/>
    <cellStyle name="Normal 5 2 2 7 2 3" xfId="6312" xr:uid="{00000000-0005-0000-0000-0000B21F0000}"/>
    <cellStyle name="Normal 5 2 2 7 2 3 2" xfId="7636" xr:uid="{00000000-0005-0000-0000-0000B31F0000}"/>
    <cellStyle name="Normal 5 2 2 7 2 3 2 2" xfId="16069" xr:uid="{00000000-0005-0000-0000-0000B41F0000}"/>
    <cellStyle name="Normal 5 2 2 7 2 3 2 2 2" xfId="27963" xr:uid="{1FA5B1BF-65CF-4687-A44F-37C05EEFEA9E}"/>
    <cellStyle name="Normal 5 2 2 7 2 3 2 2 3" xfId="22303" xr:uid="{C1305165-3C10-48BC-BE55-B71CC0DE59B2}"/>
    <cellStyle name="Normal 5 2 2 7 2 3 2 2 4" xfId="33343" xr:uid="{1D92B01A-AFFF-41EB-94F3-8CEB67F6C665}"/>
    <cellStyle name="Normal 5 2 2 7 2 3 2 2 5" xfId="40650" xr:uid="{421F9F0A-558F-4B97-B50B-431DFCA9F1FD}"/>
    <cellStyle name="Normal 5 2 2 7 2 3 2 3" xfId="25130" xr:uid="{A2BCDB07-8100-4269-BA03-78CDE617482E}"/>
    <cellStyle name="Normal 5 2 2 7 2 3 2 4" xfId="19470" xr:uid="{A6A7EE21-9FE7-4190-B73A-5D94D83E37C4}"/>
    <cellStyle name="Normal 5 2 2 7 2 3 2 5" xfId="30791" xr:uid="{6B19B913-1F03-489C-8453-773E43E82691}"/>
    <cellStyle name="Normal 5 2 2 7 2 3 2 6" xfId="40649" xr:uid="{03EF8691-3164-4D1E-A0D0-4D1CB0A4C43E}"/>
    <cellStyle name="Normal 5 2 2 7 2 3 3" xfId="14751" xr:uid="{00000000-0005-0000-0000-0000B51F0000}"/>
    <cellStyle name="Normal 5 2 2 7 2 3 3 2" xfId="26707" xr:uid="{0097C3CD-A578-4454-9517-69C09DCACA3D}"/>
    <cellStyle name="Normal 5 2 2 7 2 3 3 3" xfId="21047" xr:uid="{45FD40BD-CF59-414F-8F63-67A0EC29FA34}"/>
    <cellStyle name="Normal 5 2 2 7 2 3 3 4" xfId="32087" xr:uid="{D5BAC0F7-9561-4C36-BC18-8773A8F3262A}"/>
    <cellStyle name="Normal 5 2 2 7 2 3 3 5" xfId="40651" xr:uid="{4EDE2A93-0611-408C-8187-F032BC3E4A22}"/>
    <cellStyle name="Normal 5 2 2 7 2 3 4" xfId="23874" xr:uid="{D61775F1-FA0B-4489-9D23-E20278DAD984}"/>
    <cellStyle name="Normal 5 2 2 7 2 3 5" xfId="18214" xr:uid="{ADE9523C-F83B-4B9B-9F28-2F0696A9CB24}"/>
    <cellStyle name="Normal 5 2 2 7 2 3 6" xfId="29535" xr:uid="{E699182C-0333-41CE-9CF4-A7C8554277D4}"/>
    <cellStyle name="Normal 5 2 2 7 2 3 7" xfId="40648" xr:uid="{E3CD2FF9-8C35-447B-9ACA-6A3A6AD32992}"/>
    <cellStyle name="Normal 5 2 2 7 2 4" xfId="6839" xr:uid="{00000000-0005-0000-0000-0000B61F0000}"/>
    <cellStyle name="Normal 5 2 2 7 2 4 2" xfId="15272" xr:uid="{00000000-0005-0000-0000-0000B71F0000}"/>
    <cellStyle name="Normal 5 2 2 7 2 4 2 2" xfId="27166" xr:uid="{E0AA96FC-2366-42B2-A90D-B7385EBEA3E6}"/>
    <cellStyle name="Normal 5 2 2 7 2 4 2 3" xfId="21506" xr:uid="{F6A5940B-E969-4B01-B3D1-6802A09C7D59}"/>
    <cellStyle name="Normal 5 2 2 7 2 4 2 4" xfId="32546" xr:uid="{6D717F42-02C3-411A-B0FA-54E7B4434B3A}"/>
    <cellStyle name="Normal 5 2 2 7 2 4 2 5" xfId="40653" xr:uid="{72C8E9B6-DA4D-4CB7-B8EC-765F7F4BB7A6}"/>
    <cellStyle name="Normal 5 2 2 7 2 4 3" xfId="24333" xr:uid="{848C6F6D-25F5-44DD-9C27-BFD6132BFB7B}"/>
    <cellStyle name="Normal 5 2 2 7 2 4 4" xfId="18673" xr:uid="{CFCD7AC3-EB7D-4E0E-93AA-6316D6C9CB5D}"/>
    <cellStyle name="Normal 5 2 2 7 2 4 5" xfId="29994" xr:uid="{D9390281-1300-47A0-8179-99F9EC43BD63}"/>
    <cellStyle name="Normal 5 2 2 7 2 4 6" xfId="40652" xr:uid="{5B831BDF-F4CA-4F16-B9D3-27EF8F9DEF6F}"/>
    <cellStyle name="Normal 5 2 2 7 2 5" xfId="8085" xr:uid="{00000000-0005-0000-0000-0000B81F0000}"/>
    <cellStyle name="Normal 5 2 2 7 2 5 2" xfId="25561" xr:uid="{9FA8CF07-7730-4DE6-A378-E87EDF235728}"/>
    <cellStyle name="Normal 5 2 2 7 2 5 3" xfId="19901" xr:uid="{81950417-FDC3-472C-8388-FE4645EDAAF8}"/>
    <cellStyle name="Normal 5 2 2 7 2 5 4" xfId="31222" xr:uid="{F3E9BCFC-289D-4D8E-B22F-086B01DDF03A}"/>
    <cellStyle name="Normal 5 2 2 7 2 5 5" xfId="40654" xr:uid="{B23E03D4-0205-4E6E-86D7-BC779D93B2DD}"/>
    <cellStyle name="Normal 5 2 2 7 2 6" xfId="22771" xr:uid="{5189501A-DFF6-4394-84AD-DA322C7C5B90}"/>
    <cellStyle name="Normal 5 2 2 7 2 7" xfId="17111" xr:uid="{CD515EF0-9B13-46DA-9D37-BD7C2C7E643F}"/>
    <cellStyle name="Normal 5 2 2 7 2 8" xfId="28432" xr:uid="{E70178E0-1DE3-4CB0-8982-11233F1F2C25}"/>
    <cellStyle name="Normal 5 2 2 7 2 9" xfId="40643" xr:uid="{00000EF5-3045-4DF3-8325-EBAF8C13C349}"/>
    <cellStyle name="Normal 5 2 2 7 3" xfId="5185" xr:uid="{00000000-0005-0000-0000-0000B91F0000}"/>
    <cellStyle name="Normal 5 2 2 7 3 2" xfId="6311" xr:uid="{00000000-0005-0000-0000-0000BA1F0000}"/>
    <cellStyle name="Normal 5 2 2 7 3 2 2" xfId="7635" xr:uid="{00000000-0005-0000-0000-0000BB1F0000}"/>
    <cellStyle name="Normal 5 2 2 7 3 2 2 2" xfId="16068" xr:uid="{00000000-0005-0000-0000-0000BC1F0000}"/>
    <cellStyle name="Normal 5 2 2 7 3 2 2 2 2" xfId="27962" xr:uid="{F91C530B-33F3-477A-9F7A-809C881AFA7B}"/>
    <cellStyle name="Normal 5 2 2 7 3 2 2 2 3" xfId="22302" xr:uid="{D717E231-9E22-40B8-964A-489FFDEFC786}"/>
    <cellStyle name="Normal 5 2 2 7 3 2 2 2 4" xfId="33342" xr:uid="{C6D43CE0-D8E3-4D5F-91CE-CD528DC28174}"/>
    <cellStyle name="Normal 5 2 2 7 3 2 2 2 5" xfId="40658" xr:uid="{0BCAC9F2-1B6A-4167-B402-F3D3DA0F63AD}"/>
    <cellStyle name="Normal 5 2 2 7 3 2 2 3" xfId="25129" xr:uid="{2863474F-F302-4C2E-A350-5C5068DCA3EF}"/>
    <cellStyle name="Normal 5 2 2 7 3 2 2 4" xfId="19469" xr:uid="{13B9D000-25DB-45B0-9A18-60774B80EFFF}"/>
    <cellStyle name="Normal 5 2 2 7 3 2 2 5" xfId="30790" xr:uid="{141F0420-7242-497C-A3B1-6D878908EAE6}"/>
    <cellStyle name="Normal 5 2 2 7 3 2 2 6" xfId="40657" xr:uid="{B880D452-F095-4609-9522-2DCF07B44D9A}"/>
    <cellStyle name="Normal 5 2 2 7 3 2 3" xfId="14750" xr:uid="{00000000-0005-0000-0000-0000BD1F0000}"/>
    <cellStyle name="Normal 5 2 2 7 3 2 3 2" xfId="26706" xr:uid="{CA3E0AAD-FEA7-408E-965D-9FB2FCADEC33}"/>
    <cellStyle name="Normal 5 2 2 7 3 2 3 3" xfId="21046" xr:uid="{C0A3A514-ADC3-46DB-889A-3905E4519B19}"/>
    <cellStyle name="Normal 5 2 2 7 3 2 3 4" xfId="32086" xr:uid="{CD9031A3-5859-4633-9951-8D701B681C79}"/>
    <cellStyle name="Normal 5 2 2 7 3 2 3 5" xfId="40659" xr:uid="{893B563C-D8A5-457B-BCCF-9043238AAF78}"/>
    <cellStyle name="Normal 5 2 2 7 3 2 4" xfId="23873" xr:uid="{51B943FA-6C51-4455-A210-60031AC0B5D5}"/>
    <cellStyle name="Normal 5 2 2 7 3 2 5" xfId="18213" xr:uid="{7B84333A-85AA-4021-9033-29E81D9AED54}"/>
    <cellStyle name="Normal 5 2 2 7 3 2 6" xfId="29534" xr:uid="{0B1337D0-A827-4D00-AA8F-C99EF8E87A06}"/>
    <cellStyle name="Normal 5 2 2 7 3 2 7" xfId="40656" xr:uid="{019B6621-4926-4538-B2A8-8E6A08FD5BB0}"/>
    <cellStyle name="Normal 5 2 2 7 3 3" xfId="7048" xr:uid="{00000000-0005-0000-0000-0000BE1F0000}"/>
    <cellStyle name="Normal 5 2 2 7 3 3 2" xfId="15481" xr:uid="{00000000-0005-0000-0000-0000BF1F0000}"/>
    <cellStyle name="Normal 5 2 2 7 3 3 2 2" xfId="27375" xr:uid="{1F52A080-0C7B-4975-B454-0CCBA2331F38}"/>
    <cellStyle name="Normal 5 2 2 7 3 3 2 3" xfId="21715" xr:uid="{4A0D97BA-1722-4C60-80AF-F6CC51491C0C}"/>
    <cellStyle name="Normal 5 2 2 7 3 3 2 4" xfId="32755" xr:uid="{4494E3DD-29F9-467E-94A2-CACDF7F08B79}"/>
    <cellStyle name="Normal 5 2 2 7 3 3 2 5" xfId="40661" xr:uid="{1FFA514D-4384-48F5-BE2A-EB62C6C0863E}"/>
    <cellStyle name="Normal 5 2 2 7 3 3 3" xfId="24542" xr:uid="{597851B8-6BA6-4973-BDF1-85BF327B2A66}"/>
    <cellStyle name="Normal 5 2 2 7 3 3 4" xfId="18882" xr:uid="{E88B4318-6B24-4B78-8FE9-ED8F4D0DD4BD}"/>
    <cellStyle name="Normal 5 2 2 7 3 3 5" xfId="30203" xr:uid="{E5555C99-2A02-4AED-8F83-0A573B727F6F}"/>
    <cellStyle name="Normal 5 2 2 7 3 3 6" xfId="40660" xr:uid="{A63B9702-D420-480F-A841-ABC6D9F8E45E}"/>
    <cellStyle name="Normal 5 2 2 7 3 4" xfId="14072" xr:uid="{00000000-0005-0000-0000-0000C01F0000}"/>
    <cellStyle name="Normal 5 2 2 7 3 4 2" xfId="26111" xr:uid="{FE02F2D6-90FD-4930-BD98-5CA49BEB88F0}"/>
    <cellStyle name="Normal 5 2 2 7 3 4 3" xfId="20451" xr:uid="{19C729CE-DF98-40D7-B260-803A0497820B}"/>
    <cellStyle name="Normal 5 2 2 7 3 4 4" xfId="31491" xr:uid="{C136CC8D-F615-4CB2-972C-35C2D57B2ECB}"/>
    <cellStyle name="Normal 5 2 2 7 3 4 5" xfId="40662" xr:uid="{67507D06-3BAF-42B2-8B9B-CCC39E0C8F72}"/>
    <cellStyle name="Normal 5 2 2 7 3 5" xfId="22980" xr:uid="{1E77723A-DE3C-4AA4-8EBE-F2DE97FA2F7B}"/>
    <cellStyle name="Normal 5 2 2 7 3 6" xfId="17320" xr:uid="{9E1A65D5-C854-4022-9B7B-439E99CC1C0F}"/>
    <cellStyle name="Normal 5 2 2 7 3 7" xfId="28641" xr:uid="{7B78AE7C-2890-49DB-A404-1C48DF166E7E}"/>
    <cellStyle name="Normal 5 2 2 7 3 8" xfId="40655" xr:uid="{6E796103-EC99-4360-87C0-A17D0C19855D}"/>
    <cellStyle name="Normal 5 2 2 7 4" xfId="5703" xr:uid="{00000000-0005-0000-0000-0000C11F0000}"/>
    <cellStyle name="Normal 5 2 2 7 4 2" xfId="40663" xr:uid="{1D5295EF-F7C2-4C0A-B4C5-8FF8BA5522E1}"/>
    <cellStyle name="Normal 5 2 2 7 5" xfId="6630" xr:uid="{00000000-0005-0000-0000-0000C21F0000}"/>
    <cellStyle name="Normal 5 2 2 7 5 2" xfId="15063" xr:uid="{00000000-0005-0000-0000-0000C31F0000}"/>
    <cellStyle name="Normal 5 2 2 7 5 2 2" xfId="26957" xr:uid="{F9A367E3-CEC9-4E12-BEA6-E8C51A3F5045}"/>
    <cellStyle name="Normal 5 2 2 7 5 2 3" xfId="21297" xr:uid="{48FB1D7A-DD0D-4DCD-BD91-F42B06EF8B48}"/>
    <cellStyle name="Normal 5 2 2 7 5 2 4" xfId="32337" xr:uid="{A6161ADA-6038-4C45-BE08-72D515651D41}"/>
    <cellStyle name="Normal 5 2 2 7 5 2 5" xfId="40665" xr:uid="{11CE3014-8556-4E9B-9796-215C389A4BA2}"/>
    <cellStyle name="Normal 5 2 2 7 5 3" xfId="24124" xr:uid="{A790BF0E-030E-4D4C-B6EF-5D260FF7D9AB}"/>
    <cellStyle name="Normal 5 2 2 7 5 4" xfId="18464" xr:uid="{AF29A822-2754-4F4C-921C-6A29195BA08A}"/>
    <cellStyle name="Normal 5 2 2 7 5 5" xfId="29785" xr:uid="{E3913911-8BCD-4D60-B10D-245D822F57DB}"/>
    <cellStyle name="Normal 5 2 2 7 5 6" xfId="40664" xr:uid="{A2BCEEF9-1143-4A50-885D-47F6A74BEEBE}"/>
    <cellStyle name="Normal 5 2 2 7 6" xfId="8084" xr:uid="{00000000-0005-0000-0000-0000C41F0000}"/>
    <cellStyle name="Normal 5 2 2 7 6 2" xfId="25560" xr:uid="{EECC0754-DCC5-4182-B24A-37BCBFBEB9B9}"/>
    <cellStyle name="Normal 5 2 2 7 6 3" xfId="19900" xr:uid="{D153A20F-C2DF-4FDF-95AB-42765B446E17}"/>
    <cellStyle name="Normal 5 2 2 7 6 4" xfId="31221" xr:uid="{CCF570BB-038A-4C29-BB86-C059045B5E80}"/>
    <cellStyle name="Normal 5 2 2 7 6 5" xfId="40666" xr:uid="{697BBE6B-C58D-49EC-B436-7833171A66F0}"/>
    <cellStyle name="Normal 5 2 2 7 7" xfId="22562" xr:uid="{DF4D6D93-2FF6-4E64-B65D-22962DD068D8}"/>
    <cellStyle name="Normal 5 2 2 7 8" xfId="16902" xr:uid="{6388CCFB-0993-4478-8EBD-8B46A383B429}"/>
    <cellStyle name="Normal 5 2 2 7 9" xfId="28223" xr:uid="{A939714E-C9A0-4D9B-8907-927B403CB68E}"/>
    <cellStyle name="Normal 5 2 2 8" xfId="4316" xr:uid="{00000000-0005-0000-0000-0000C51F0000}"/>
    <cellStyle name="Normal 5 2 2 8 10" xfId="40667" xr:uid="{BDB9BA4B-4D30-4ACD-B7EB-CA6D34B79E17}"/>
    <cellStyle name="Normal 5 2 2 8 2" xfId="4976" xr:uid="{00000000-0005-0000-0000-0000C61F0000}"/>
    <cellStyle name="Normal 5 2 2 8 2 2" xfId="5395" xr:uid="{00000000-0005-0000-0000-0000C71F0000}"/>
    <cellStyle name="Normal 5 2 2 8 2 2 2" xfId="7258" xr:uid="{00000000-0005-0000-0000-0000C81F0000}"/>
    <cellStyle name="Normal 5 2 2 8 2 2 2 2" xfId="15691" xr:uid="{00000000-0005-0000-0000-0000C91F0000}"/>
    <cellStyle name="Normal 5 2 2 8 2 2 2 2 2" xfId="27585" xr:uid="{6BE46730-988E-47BC-ADD0-1AB9CE67C4FD}"/>
    <cellStyle name="Normal 5 2 2 8 2 2 2 2 3" xfId="21925" xr:uid="{EA4C9575-74ED-4626-A303-A78D9A35C9F4}"/>
    <cellStyle name="Normal 5 2 2 8 2 2 2 2 4" xfId="32965" xr:uid="{89089A00-8866-4D9F-860C-562FC4A4FEE1}"/>
    <cellStyle name="Normal 5 2 2 8 2 2 2 2 5" xfId="40671" xr:uid="{44C3B767-7D18-4F46-870A-B2DA22B16C43}"/>
    <cellStyle name="Normal 5 2 2 8 2 2 2 3" xfId="24752" xr:uid="{1E528BA3-0694-412A-830E-7F5925AEAE71}"/>
    <cellStyle name="Normal 5 2 2 8 2 2 2 4" xfId="19092" xr:uid="{F4B2CAF0-2B51-4B2D-BA56-65AB17321ADC}"/>
    <cellStyle name="Normal 5 2 2 8 2 2 2 5" xfId="30413" xr:uid="{58282531-CAA6-465B-8AD9-E5754D91867C}"/>
    <cellStyle name="Normal 5 2 2 8 2 2 2 6" xfId="40670" xr:uid="{27FF1BA4-6EFD-4832-926C-126868C9C13B}"/>
    <cellStyle name="Normal 5 2 2 8 2 2 3" xfId="14281" xr:uid="{00000000-0005-0000-0000-0000CA1F0000}"/>
    <cellStyle name="Normal 5 2 2 8 2 2 3 2" xfId="26320" xr:uid="{FC5821C5-9067-4F67-B6CF-1ED90ECA360C}"/>
    <cellStyle name="Normal 5 2 2 8 2 2 3 3" xfId="20660" xr:uid="{28C94412-C36B-4F45-B840-0D4B4D8FB887}"/>
    <cellStyle name="Normal 5 2 2 8 2 2 3 4" xfId="31700" xr:uid="{DC25E8D0-FD63-45D5-A281-A7E8310BE2F0}"/>
    <cellStyle name="Normal 5 2 2 8 2 2 3 5" xfId="40672" xr:uid="{95AA7974-7A7E-4027-A2B0-C2A167683057}"/>
    <cellStyle name="Normal 5 2 2 8 2 2 4" xfId="23190" xr:uid="{6CE0C843-A6E5-4B2F-B648-310624669B19}"/>
    <cellStyle name="Normal 5 2 2 8 2 2 5" xfId="17530" xr:uid="{3278B772-3D62-43E4-9FEF-5F167D6DA4A7}"/>
    <cellStyle name="Normal 5 2 2 8 2 2 6" xfId="28851" xr:uid="{938E09D5-F7E4-4DE6-B250-17E72D6C2201}"/>
    <cellStyle name="Normal 5 2 2 8 2 2 7" xfId="40669" xr:uid="{ED0D54F1-3EBE-43D3-96B3-D64C8CBB6031}"/>
    <cellStyle name="Normal 5 2 2 8 2 3" xfId="6314" xr:uid="{00000000-0005-0000-0000-0000CB1F0000}"/>
    <cellStyle name="Normal 5 2 2 8 2 3 2" xfId="7638" xr:uid="{00000000-0005-0000-0000-0000CC1F0000}"/>
    <cellStyle name="Normal 5 2 2 8 2 3 2 2" xfId="16071" xr:uid="{00000000-0005-0000-0000-0000CD1F0000}"/>
    <cellStyle name="Normal 5 2 2 8 2 3 2 2 2" xfId="27965" xr:uid="{DD0B6714-30C1-4394-B04E-72D42FE42976}"/>
    <cellStyle name="Normal 5 2 2 8 2 3 2 2 3" xfId="22305" xr:uid="{78B102DF-2974-43C3-B406-272B7EF2A1C2}"/>
    <cellStyle name="Normal 5 2 2 8 2 3 2 2 4" xfId="33345" xr:uid="{2A966B97-B406-453B-89DB-853E78A8CDF1}"/>
    <cellStyle name="Normal 5 2 2 8 2 3 2 2 5" xfId="40675" xr:uid="{161297C5-86DD-4371-99EF-74DD65330244}"/>
    <cellStyle name="Normal 5 2 2 8 2 3 2 3" xfId="25132" xr:uid="{091D1CAD-DFF2-46ED-A119-E0BF86B0C734}"/>
    <cellStyle name="Normal 5 2 2 8 2 3 2 4" xfId="19472" xr:uid="{BD285A82-5269-4EF9-9697-7344723CE2BC}"/>
    <cellStyle name="Normal 5 2 2 8 2 3 2 5" xfId="30793" xr:uid="{8DC36466-452D-4738-A98B-6E36D5CC6E52}"/>
    <cellStyle name="Normal 5 2 2 8 2 3 2 6" xfId="40674" xr:uid="{F8F08828-6FDE-4D9C-B1C3-5BE9162D12C6}"/>
    <cellStyle name="Normal 5 2 2 8 2 3 3" xfId="14753" xr:uid="{00000000-0005-0000-0000-0000CE1F0000}"/>
    <cellStyle name="Normal 5 2 2 8 2 3 3 2" xfId="26709" xr:uid="{685BA91E-B835-46CB-966B-AFEE978B97BF}"/>
    <cellStyle name="Normal 5 2 2 8 2 3 3 3" xfId="21049" xr:uid="{D551B6E8-48BE-468A-B177-0298D358F086}"/>
    <cellStyle name="Normal 5 2 2 8 2 3 3 4" xfId="32089" xr:uid="{29AC36FF-3274-4A8C-9535-F1A34EE8EDF4}"/>
    <cellStyle name="Normal 5 2 2 8 2 3 3 5" xfId="40676" xr:uid="{43FD7AE4-309E-4A66-BB80-C33D035112EB}"/>
    <cellStyle name="Normal 5 2 2 8 2 3 4" xfId="23876" xr:uid="{B13B322A-7CC9-45B7-AD01-2CA6649BA4D5}"/>
    <cellStyle name="Normal 5 2 2 8 2 3 5" xfId="18216" xr:uid="{B71536FF-1D0F-49EE-81EF-CF126D86C2C1}"/>
    <cellStyle name="Normal 5 2 2 8 2 3 6" xfId="29537" xr:uid="{5D2FE196-6A09-4460-911D-BD33F0715D9D}"/>
    <cellStyle name="Normal 5 2 2 8 2 3 7" xfId="40673" xr:uid="{9ED77E9E-0E0E-4F72-80F9-EF6A6297014D}"/>
    <cellStyle name="Normal 5 2 2 8 2 4" xfId="6840" xr:uid="{00000000-0005-0000-0000-0000CF1F0000}"/>
    <cellStyle name="Normal 5 2 2 8 2 4 2" xfId="15273" xr:uid="{00000000-0005-0000-0000-0000D01F0000}"/>
    <cellStyle name="Normal 5 2 2 8 2 4 2 2" xfId="27167" xr:uid="{A52277C0-B830-42A2-B89D-E64550CE30E2}"/>
    <cellStyle name="Normal 5 2 2 8 2 4 2 3" xfId="21507" xr:uid="{A5085031-5DB1-43FD-96DC-E25627C154DA}"/>
    <cellStyle name="Normal 5 2 2 8 2 4 2 4" xfId="32547" xr:uid="{1AF433E9-B58C-4D3A-8073-F5FF7D1276D8}"/>
    <cellStyle name="Normal 5 2 2 8 2 4 2 5" xfId="40678" xr:uid="{49B1FA51-B356-4A3B-93D6-ABFB67BA62D8}"/>
    <cellStyle name="Normal 5 2 2 8 2 4 3" xfId="24334" xr:uid="{E9799C94-2269-41D6-B7F8-FF1A838781B3}"/>
    <cellStyle name="Normal 5 2 2 8 2 4 4" xfId="18674" xr:uid="{125D5CB7-7206-40EF-A078-926ACE38924D}"/>
    <cellStyle name="Normal 5 2 2 8 2 4 5" xfId="29995" xr:uid="{724B8F55-4978-4E2E-ABC3-58F0547D2AFE}"/>
    <cellStyle name="Normal 5 2 2 8 2 4 6" xfId="40677" xr:uid="{C2D690C5-4153-4CFB-A179-E21C31297581}"/>
    <cellStyle name="Normal 5 2 2 8 2 5" xfId="8087" xr:uid="{00000000-0005-0000-0000-0000D11F0000}"/>
    <cellStyle name="Normal 5 2 2 8 2 5 2" xfId="25563" xr:uid="{B446E581-E2F2-46B3-8674-18FAA09BAAE6}"/>
    <cellStyle name="Normal 5 2 2 8 2 5 3" xfId="19903" xr:uid="{075F7AB2-9AD7-4FF2-834C-B63AE73B38C8}"/>
    <cellStyle name="Normal 5 2 2 8 2 5 4" xfId="31224" xr:uid="{976D0E68-4BB7-48CA-BD2C-545CB4D0DFA8}"/>
    <cellStyle name="Normal 5 2 2 8 2 5 5" xfId="40679" xr:uid="{66C1C2DA-B287-4CCD-9303-A3BF9B642C52}"/>
    <cellStyle name="Normal 5 2 2 8 2 6" xfId="22772" xr:uid="{E280D060-07C1-4A35-9A70-4E1C4B323A06}"/>
    <cellStyle name="Normal 5 2 2 8 2 7" xfId="17112" xr:uid="{960E1BC0-B778-42C9-8C1C-B55C2120D2CE}"/>
    <cellStyle name="Normal 5 2 2 8 2 8" xfId="28433" xr:uid="{CFDDDE18-C9D7-4144-A265-24904A863A4B}"/>
    <cellStyle name="Normal 5 2 2 8 2 9" xfId="40668" xr:uid="{89518742-2331-4F52-9DD7-EECF63552F13}"/>
    <cellStyle name="Normal 5 2 2 8 3" xfId="5186" xr:uid="{00000000-0005-0000-0000-0000D21F0000}"/>
    <cellStyle name="Normal 5 2 2 8 3 2" xfId="6313" xr:uid="{00000000-0005-0000-0000-0000D31F0000}"/>
    <cellStyle name="Normal 5 2 2 8 3 2 2" xfId="7637" xr:uid="{00000000-0005-0000-0000-0000D41F0000}"/>
    <cellStyle name="Normal 5 2 2 8 3 2 2 2" xfId="16070" xr:uid="{00000000-0005-0000-0000-0000D51F0000}"/>
    <cellStyle name="Normal 5 2 2 8 3 2 2 2 2" xfId="27964" xr:uid="{27E5231E-0CAF-4047-8045-D6FAA677BEF6}"/>
    <cellStyle name="Normal 5 2 2 8 3 2 2 2 3" xfId="22304" xr:uid="{3C51CA58-47D2-4A98-A018-9AB7F405CB80}"/>
    <cellStyle name="Normal 5 2 2 8 3 2 2 2 4" xfId="33344" xr:uid="{9877F838-05E8-4E54-BD58-D5E0EC6905B5}"/>
    <cellStyle name="Normal 5 2 2 8 3 2 2 2 5" xfId="40683" xr:uid="{6DD4221F-7C8F-415B-80B9-25DE4AE4FB41}"/>
    <cellStyle name="Normal 5 2 2 8 3 2 2 3" xfId="25131" xr:uid="{359462A2-CFBE-4D5B-891F-D55EF8679DD5}"/>
    <cellStyle name="Normal 5 2 2 8 3 2 2 4" xfId="19471" xr:uid="{A9067504-F1BD-48E8-B9EC-68BEE72D29EE}"/>
    <cellStyle name="Normal 5 2 2 8 3 2 2 5" xfId="30792" xr:uid="{3DEB113A-F043-497A-96E0-1369BFB058E0}"/>
    <cellStyle name="Normal 5 2 2 8 3 2 2 6" xfId="40682" xr:uid="{90732C50-C62F-4326-AB8C-A5BF4FFBA158}"/>
    <cellStyle name="Normal 5 2 2 8 3 2 3" xfId="14752" xr:uid="{00000000-0005-0000-0000-0000D61F0000}"/>
    <cellStyle name="Normal 5 2 2 8 3 2 3 2" xfId="26708" xr:uid="{0D20585D-4DCF-440F-9EA8-AE9585092FDD}"/>
    <cellStyle name="Normal 5 2 2 8 3 2 3 3" xfId="21048" xr:uid="{CDDCB2B5-2C46-44E3-B2B9-FCABF99C72C5}"/>
    <cellStyle name="Normal 5 2 2 8 3 2 3 4" xfId="32088" xr:uid="{9364208B-82F1-4099-BDCB-F1AD769BE9A1}"/>
    <cellStyle name="Normal 5 2 2 8 3 2 3 5" xfId="40684" xr:uid="{5362AC90-AB66-4E69-B5D4-6009656B6F30}"/>
    <cellStyle name="Normal 5 2 2 8 3 2 4" xfId="23875" xr:uid="{C9B68A6E-C67E-4D9E-8990-46D6B5F6B647}"/>
    <cellStyle name="Normal 5 2 2 8 3 2 5" xfId="18215" xr:uid="{F7DE93EF-219B-4744-9F19-20AB04293E74}"/>
    <cellStyle name="Normal 5 2 2 8 3 2 6" xfId="29536" xr:uid="{859B6CFD-C7E8-4D1C-9CD3-1D0479A905BE}"/>
    <cellStyle name="Normal 5 2 2 8 3 2 7" xfId="40681" xr:uid="{7BC97D20-C5D8-44A1-9B85-64E939D5AAA7}"/>
    <cellStyle name="Normal 5 2 2 8 3 3" xfId="7049" xr:uid="{00000000-0005-0000-0000-0000D71F0000}"/>
    <cellStyle name="Normal 5 2 2 8 3 3 2" xfId="15482" xr:uid="{00000000-0005-0000-0000-0000D81F0000}"/>
    <cellStyle name="Normal 5 2 2 8 3 3 2 2" xfId="27376" xr:uid="{36346FE2-650F-46D1-B60C-0F0702471FF8}"/>
    <cellStyle name="Normal 5 2 2 8 3 3 2 3" xfId="21716" xr:uid="{B88EA824-2FBC-4761-9B52-648EF704C4C3}"/>
    <cellStyle name="Normal 5 2 2 8 3 3 2 4" xfId="32756" xr:uid="{ABB98773-912C-4128-AF68-0E3E25E1035A}"/>
    <cellStyle name="Normal 5 2 2 8 3 3 2 5" xfId="40686" xr:uid="{8CB47F3D-5F9B-4B40-91D8-02E771B3EE79}"/>
    <cellStyle name="Normal 5 2 2 8 3 3 3" xfId="24543" xr:uid="{F714D68E-CA71-49F8-B704-36765AA4F660}"/>
    <cellStyle name="Normal 5 2 2 8 3 3 4" xfId="18883" xr:uid="{0E86E46C-A244-4E57-81AC-B766E9BCBDCF}"/>
    <cellStyle name="Normal 5 2 2 8 3 3 5" xfId="30204" xr:uid="{83F6EAE6-C468-4893-84FD-3947E0AC8865}"/>
    <cellStyle name="Normal 5 2 2 8 3 3 6" xfId="40685" xr:uid="{09049CAB-6C92-4D7F-A996-86849A238D5A}"/>
    <cellStyle name="Normal 5 2 2 8 3 4" xfId="14073" xr:uid="{00000000-0005-0000-0000-0000D91F0000}"/>
    <cellStyle name="Normal 5 2 2 8 3 4 2" xfId="26112" xr:uid="{51FEB0C6-1962-4C1B-8E5B-197CCAAAC117}"/>
    <cellStyle name="Normal 5 2 2 8 3 4 3" xfId="20452" xr:uid="{6143A08B-7EDD-481D-8643-95894D51952F}"/>
    <cellStyle name="Normal 5 2 2 8 3 4 4" xfId="31492" xr:uid="{63DE1D47-2640-4840-A516-976853B2081F}"/>
    <cellStyle name="Normal 5 2 2 8 3 4 5" xfId="40687" xr:uid="{36F264C3-BDA3-4FC0-BFC3-4AF495C696F0}"/>
    <cellStyle name="Normal 5 2 2 8 3 5" xfId="22981" xr:uid="{EEF49C19-F70A-4E88-B859-CA1CE80F955F}"/>
    <cellStyle name="Normal 5 2 2 8 3 6" xfId="17321" xr:uid="{5F0B9FC7-6BB5-4B1A-952F-1195E3D8B58C}"/>
    <cellStyle name="Normal 5 2 2 8 3 7" xfId="28642" xr:uid="{FCC5D20A-C8E6-4B21-A947-12CBDBF1912B}"/>
    <cellStyle name="Normal 5 2 2 8 3 8" xfId="40680" xr:uid="{7594A237-FD6E-4271-B87E-38D5B7A8B1FA}"/>
    <cellStyle name="Normal 5 2 2 8 4" xfId="5704" xr:uid="{00000000-0005-0000-0000-0000DA1F0000}"/>
    <cellStyle name="Normal 5 2 2 8 4 2" xfId="40688" xr:uid="{57A089C8-CCB2-48A3-954D-445333314EF8}"/>
    <cellStyle name="Normal 5 2 2 8 5" xfId="6631" xr:uid="{00000000-0005-0000-0000-0000DB1F0000}"/>
    <cellStyle name="Normal 5 2 2 8 5 2" xfId="15064" xr:uid="{00000000-0005-0000-0000-0000DC1F0000}"/>
    <cellStyle name="Normal 5 2 2 8 5 2 2" xfId="26958" xr:uid="{A1FA4282-B18F-4680-AF10-40C27740B94C}"/>
    <cellStyle name="Normal 5 2 2 8 5 2 3" xfId="21298" xr:uid="{920D6E0F-91D1-4EA2-832F-0E706BC76367}"/>
    <cellStyle name="Normal 5 2 2 8 5 2 4" xfId="32338" xr:uid="{BDE05899-42E2-425C-8818-12DEA18594E3}"/>
    <cellStyle name="Normal 5 2 2 8 5 2 5" xfId="40690" xr:uid="{7429EED5-109C-44D4-AF38-AC37924FCB88}"/>
    <cellStyle name="Normal 5 2 2 8 5 3" xfId="24125" xr:uid="{E06DCAEE-9B47-420E-93D8-F9B740320FAC}"/>
    <cellStyle name="Normal 5 2 2 8 5 4" xfId="18465" xr:uid="{0DB4EAE5-F729-44CF-98FC-C4C68BC9F095}"/>
    <cellStyle name="Normal 5 2 2 8 5 5" xfId="29786" xr:uid="{5A0FD419-FE82-4264-9BB2-E8E346389E52}"/>
    <cellStyle name="Normal 5 2 2 8 5 6" xfId="40689" xr:uid="{402575F6-4039-4506-96B2-91C2E35189E4}"/>
    <cellStyle name="Normal 5 2 2 8 6" xfId="8086" xr:uid="{00000000-0005-0000-0000-0000DD1F0000}"/>
    <cellStyle name="Normal 5 2 2 8 6 2" xfId="25562" xr:uid="{F11BAFFB-BBFC-4168-8136-317C4805CA58}"/>
    <cellStyle name="Normal 5 2 2 8 6 3" xfId="19902" xr:uid="{3066599C-270F-4121-8B9D-9FC6B6660E2B}"/>
    <cellStyle name="Normal 5 2 2 8 6 4" xfId="31223" xr:uid="{6E4FC5E0-6097-48DD-A308-8532104ABA4E}"/>
    <cellStyle name="Normal 5 2 2 8 6 5" xfId="40691" xr:uid="{E9685464-D967-4620-BEA9-04CE430DBF00}"/>
    <cellStyle name="Normal 5 2 2 8 7" xfId="22563" xr:uid="{E2811C05-8847-470A-A146-78EF30F425EE}"/>
    <cellStyle name="Normal 5 2 2 8 8" xfId="16903" xr:uid="{B25A4619-F646-4461-BE9E-2F63F6F74F6E}"/>
    <cellStyle name="Normal 5 2 2 8 9" xfId="28224" xr:uid="{91512A10-46AB-4D47-9149-40AF90021FBD}"/>
    <cellStyle name="Normal 5 2 2 9" xfId="4317" xr:uid="{00000000-0005-0000-0000-0000DE1F0000}"/>
    <cellStyle name="Normal 5 2 2 9 10" xfId="40692" xr:uid="{A2E16DCC-04AB-4CE6-8813-B17F1E49EFAF}"/>
    <cellStyle name="Normal 5 2 2 9 2" xfId="4977" xr:uid="{00000000-0005-0000-0000-0000DF1F0000}"/>
    <cellStyle name="Normal 5 2 2 9 2 2" xfId="5396" xr:uid="{00000000-0005-0000-0000-0000E01F0000}"/>
    <cellStyle name="Normal 5 2 2 9 2 2 2" xfId="7259" xr:uid="{00000000-0005-0000-0000-0000E11F0000}"/>
    <cellStyle name="Normal 5 2 2 9 2 2 2 2" xfId="15692" xr:uid="{00000000-0005-0000-0000-0000E21F0000}"/>
    <cellStyle name="Normal 5 2 2 9 2 2 2 2 2" xfId="27586" xr:uid="{0C8F8E6A-DADD-41B1-B3DA-D4EDAF93924B}"/>
    <cellStyle name="Normal 5 2 2 9 2 2 2 2 3" xfId="21926" xr:uid="{00CE1D12-2BEB-49C8-B344-D3031DDF073D}"/>
    <cellStyle name="Normal 5 2 2 9 2 2 2 2 4" xfId="32966" xr:uid="{93F76CC4-9E3A-445A-9F4E-BD9A708F199C}"/>
    <cellStyle name="Normal 5 2 2 9 2 2 2 2 5" xfId="40696" xr:uid="{A7719EB2-D861-4116-9F5C-77DAF107F78E}"/>
    <cellStyle name="Normal 5 2 2 9 2 2 2 3" xfId="24753" xr:uid="{FBF1C76C-2F57-4392-8027-090C39739549}"/>
    <cellStyle name="Normal 5 2 2 9 2 2 2 4" xfId="19093" xr:uid="{CE0F03CD-9E84-43A4-AD99-ECC05D7C0AAF}"/>
    <cellStyle name="Normal 5 2 2 9 2 2 2 5" xfId="30414" xr:uid="{2F4CDFA9-991C-4FC2-870E-299045B57B13}"/>
    <cellStyle name="Normal 5 2 2 9 2 2 2 6" xfId="40695" xr:uid="{E3981959-3D7B-4F6C-89C5-DE363BE4E1A3}"/>
    <cellStyle name="Normal 5 2 2 9 2 2 3" xfId="14282" xr:uid="{00000000-0005-0000-0000-0000E31F0000}"/>
    <cellStyle name="Normal 5 2 2 9 2 2 3 2" xfId="26321" xr:uid="{F163811A-BB3B-42EA-9B3D-910D90575453}"/>
    <cellStyle name="Normal 5 2 2 9 2 2 3 3" xfId="20661" xr:uid="{0054C639-E79A-4A91-8239-17B2FCA1EA62}"/>
    <cellStyle name="Normal 5 2 2 9 2 2 3 4" xfId="31701" xr:uid="{08D339BE-DA61-4AEE-A233-6F2921F2C03F}"/>
    <cellStyle name="Normal 5 2 2 9 2 2 3 5" xfId="40697" xr:uid="{84EAB865-AC76-4027-A4FA-C9B448600B4D}"/>
    <cellStyle name="Normal 5 2 2 9 2 2 4" xfId="23191" xr:uid="{5A050EF4-7DBD-4059-B053-6BC474F12BDA}"/>
    <cellStyle name="Normal 5 2 2 9 2 2 5" xfId="17531" xr:uid="{72D9B7F5-27D8-4673-9D13-D6927A528996}"/>
    <cellStyle name="Normal 5 2 2 9 2 2 6" xfId="28852" xr:uid="{531771DB-9417-4DC7-A6F2-9E67AC63AC6C}"/>
    <cellStyle name="Normal 5 2 2 9 2 2 7" xfId="40694" xr:uid="{4EEC4631-B71A-4AEB-87FC-0FF91A54EC31}"/>
    <cellStyle name="Normal 5 2 2 9 2 3" xfId="6316" xr:uid="{00000000-0005-0000-0000-0000E41F0000}"/>
    <cellStyle name="Normal 5 2 2 9 2 3 2" xfId="7640" xr:uid="{00000000-0005-0000-0000-0000E51F0000}"/>
    <cellStyle name="Normal 5 2 2 9 2 3 2 2" xfId="16073" xr:uid="{00000000-0005-0000-0000-0000E61F0000}"/>
    <cellStyle name="Normal 5 2 2 9 2 3 2 2 2" xfId="27967" xr:uid="{676549FC-2BC3-4382-8473-D56A9AC1A606}"/>
    <cellStyle name="Normal 5 2 2 9 2 3 2 2 3" xfId="22307" xr:uid="{83A268B4-D5CE-460C-847A-96AADCFE2CF8}"/>
    <cellStyle name="Normal 5 2 2 9 2 3 2 2 4" xfId="33347" xr:uid="{B2F74CA9-B673-429A-9CEE-A1BD51245DE8}"/>
    <cellStyle name="Normal 5 2 2 9 2 3 2 2 5" xfId="40700" xr:uid="{0711B549-FC7A-4AEA-A0E4-30BBECF46B19}"/>
    <cellStyle name="Normal 5 2 2 9 2 3 2 3" xfId="25134" xr:uid="{0E7AFF31-8518-40CF-90D9-86D4A9F92D3B}"/>
    <cellStyle name="Normal 5 2 2 9 2 3 2 4" xfId="19474" xr:uid="{2F679AB7-C1F0-476A-8376-AB1CAFA0845A}"/>
    <cellStyle name="Normal 5 2 2 9 2 3 2 5" xfId="30795" xr:uid="{58E54F80-E33E-4931-A54E-19F0CB5DF94B}"/>
    <cellStyle name="Normal 5 2 2 9 2 3 2 6" xfId="40699" xr:uid="{91631F48-E513-4B4A-86B8-D4B335015AF7}"/>
    <cellStyle name="Normal 5 2 2 9 2 3 3" xfId="14755" xr:uid="{00000000-0005-0000-0000-0000E71F0000}"/>
    <cellStyle name="Normal 5 2 2 9 2 3 3 2" xfId="26711" xr:uid="{29793EA4-7521-4FFC-89FE-B42839C568B7}"/>
    <cellStyle name="Normal 5 2 2 9 2 3 3 3" xfId="21051" xr:uid="{D7ED8AD5-568E-413D-AF8B-254BE6C07F8E}"/>
    <cellStyle name="Normal 5 2 2 9 2 3 3 4" xfId="32091" xr:uid="{648DEDD5-CA63-48C9-985E-C081D8ECA8C9}"/>
    <cellStyle name="Normal 5 2 2 9 2 3 3 5" xfId="40701" xr:uid="{170A591C-EADF-47F6-9288-07A3ABB3CD8B}"/>
    <cellStyle name="Normal 5 2 2 9 2 3 4" xfId="23878" xr:uid="{8DE34C6B-F2E4-43F1-8705-2C499770F037}"/>
    <cellStyle name="Normal 5 2 2 9 2 3 5" xfId="18218" xr:uid="{E22AA1E2-8BF0-4C53-8DC7-7C16347D5710}"/>
    <cellStyle name="Normal 5 2 2 9 2 3 6" xfId="29539" xr:uid="{FEEB759A-DF53-402B-95A1-E5329AB7F31E}"/>
    <cellStyle name="Normal 5 2 2 9 2 3 7" xfId="40698" xr:uid="{46237E6F-E433-4652-BB3E-87F8DE3E7F23}"/>
    <cellStyle name="Normal 5 2 2 9 2 4" xfId="6841" xr:uid="{00000000-0005-0000-0000-0000E81F0000}"/>
    <cellStyle name="Normal 5 2 2 9 2 4 2" xfId="15274" xr:uid="{00000000-0005-0000-0000-0000E91F0000}"/>
    <cellStyle name="Normal 5 2 2 9 2 4 2 2" xfId="27168" xr:uid="{93C2D352-1800-4783-A3EE-0E29699A9350}"/>
    <cellStyle name="Normal 5 2 2 9 2 4 2 3" xfId="21508" xr:uid="{71222E98-3AAB-4F9D-8DE9-17446FFA1314}"/>
    <cellStyle name="Normal 5 2 2 9 2 4 2 4" xfId="32548" xr:uid="{0AC01A68-0F8B-47CD-9734-AD511BA19CB9}"/>
    <cellStyle name="Normal 5 2 2 9 2 4 2 5" xfId="40703" xr:uid="{13E68787-9CA5-47E9-B4F2-8322F0C68E5A}"/>
    <cellStyle name="Normal 5 2 2 9 2 4 3" xfId="24335" xr:uid="{64FB2057-5E45-49B0-9BB4-36807E9890E6}"/>
    <cellStyle name="Normal 5 2 2 9 2 4 4" xfId="18675" xr:uid="{EA3835AB-BDFE-458B-9F76-00D96895001C}"/>
    <cellStyle name="Normal 5 2 2 9 2 4 5" xfId="29996" xr:uid="{6886FC33-BA85-49D4-A03B-91662B593BB0}"/>
    <cellStyle name="Normal 5 2 2 9 2 4 6" xfId="40702" xr:uid="{F955791C-5AC8-4F05-A7A5-B05A257CFF40}"/>
    <cellStyle name="Normal 5 2 2 9 2 5" xfId="8089" xr:uid="{00000000-0005-0000-0000-0000EA1F0000}"/>
    <cellStyle name="Normal 5 2 2 9 2 5 2" xfId="25565" xr:uid="{B6B9319A-1D25-4D8E-9D6B-E1824D2CE32E}"/>
    <cellStyle name="Normal 5 2 2 9 2 5 3" xfId="19905" xr:uid="{465DBFA0-8096-4ACA-93DF-B5F8D4DD46D5}"/>
    <cellStyle name="Normal 5 2 2 9 2 5 4" xfId="31226" xr:uid="{5044965C-CBC0-47BD-AB01-477F11F06A63}"/>
    <cellStyle name="Normal 5 2 2 9 2 5 5" xfId="40704" xr:uid="{1AE50351-5E0E-4037-9AAE-65E123E2529D}"/>
    <cellStyle name="Normal 5 2 2 9 2 6" xfId="22773" xr:uid="{A52AFF6A-4B21-4FF0-8CBC-3DC2AA39E8DC}"/>
    <cellStyle name="Normal 5 2 2 9 2 7" xfId="17113" xr:uid="{2D1BA75E-C4CD-4B7C-9BB6-1CCBD1246F48}"/>
    <cellStyle name="Normal 5 2 2 9 2 8" xfId="28434" xr:uid="{D986675F-8ABB-43DB-AAA3-E95A0FF5B307}"/>
    <cellStyle name="Normal 5 2 2 9 2 9" xfId="40693" xr:uid="{9DAE3058-DF5F-4359-9224-4CE7A8BFBD5A}"/>
    <cellStyle name="Normal 5 2 2 9 3" xfId="5187" xr:uid="{00000000-0005-0000-0000-0000EB1F0000}"/>
    <cellStyle name="Normal 5 2 2 9 3 2" xfId="6315" xr:uid="{00000000-0005-0000-0000-0000EC1F0000}"/>
    <cellStyle name="Normal 5 2 2 9 3 2 2" xfId="7639" xr:uid="{00000000-0005-0000-0000-0000ED1F0000}"/>
    <cellStyle name="Normal 5 2 2 9 3 2 2 2" xfId="16072" xr:uid="{00000000-0005-0000-0000-0000EE1F0000}"/>
    <cellStyle name="Normal 5 2 2 9 3 2 2 2 2" xfId="27966" xr:uid="{8DAFB14D-E34E-4D76-9397-CB00A53FE278}"/>
    <cellStyle name="Normal 5 2 2 9 3 2 2 2 3" xfId="22306" xr:uid="{9ABE37AC-07C5-444F-955A-DB3278349C31}"/>
    <cellStyle name="Normal 5 2 2 9 3 2 2 2 4" xfId="33346" xr:uid="{4533A8F6-0B12-4DC5-B59E-2CEC55786F76}"/>
    <cellStyle name="Normal 5 2 2 9 3 2 2 2 5" xfId="40708" xr:uid="{7240DD03-14B6-4064-90C9-5E029018BB8E}"/>
    <cellStyle name="Normal 5 2 2 9 3 2 2 3" xfId="25133" xr:uid="{9CA82385-F8E0-475B-8BC8-A049688ACCD9}"/>
    <cellStyle name="Normal 5 2 2 9 3 2 2 4" xfId="19473" xr:uid="{CA3DDD42-BFBF-4E7A-9E14-EA8B2F7F2471}"/>
    <cellStyle name="Normal 5 2 2 9 3 2 2 5" xfId="30794" xr:uid="{4DE28633-CED5-4541-ABB6-B7E947126003}"/>
    <cellStyle name="Normal 5 2 2 9 3 2 2 6" xfId="40707" xr:uid="{7C561210-12A9-400B-8740-F08C61847593}"/>
    <cellStyle name="Normal 5 2 2 9 3 2 3" xfId="14754" xr:uid="{00000000-0005-0000-0000-0000EF1F0000}"/>
    <cellStyle name="Normal 5 2 2 9 3 2 3 2" xfId="26710" xr:uid="{1D025681-1269-4FEF-94C3-D96B503F97F2}"/>
    <cellStyle name="Normal 5 2 2 9 3 2 3 3" xfId="21050" xr:uid="{1582A67B-FC86-441A-9995-C33843693E67}"/>
    <cellStyle name="Normal 5 2 2 9 3 2 3 4" xfId="32090" xr:uid="{D3549F68-B16A-42F9-ACEA-124802006917}"/>
    <cellStyle name="Normal 5 2 2 9 3 2 3 5" xfId="40709" xr:uid="{53F21844-1641-46FF-8B98-0B059E745A3C}"/>
    <cellStyle name="Normal 5 2 2 9 3 2 4" xfId="23877" xr:uid="{D0FB8CAF-5E91-4437-936C-1FB298EDCC6F}"/>
    <cellStyle name="Normal 5 2 2 9 3 2 5" xfId="18217" xr:uid="{0D0480B6-453F-4CE6-817D-FEEEE087ADE8}"/>
    <cellStyle name="Normal 5 2 2 9 3 2 6" xfId="29538" xr:uid="{A51ECD42-74A7-465B-B9B0-7583B44194F9}"/>
    <cellStyle name="Normal 5 2 2 9 3 2 7" xfId="40706" xr:uid="{D8BD061F-2F18-42EB-97C8-C1A24840170F}"/>
    <cellStyle name="Normal 5 2 2 9 3 3" xfId="7050" xr:uid="{00000000-0005-0000-0000-0000F01F0000}"/>
    <cellStyle name="Normal 5 2 2 9 3 3 2" xfId="15483" xr:uid="{00000000-0005-0000-0000-0000F11F0000}"/>
    <cellStyle name="Normal 5 2 2 9 3 3 2 2" xfId="27377" xr:uid="{96881D16-2DFD-465B-BF0E-12165368BD7B}"/>
    <cellStyle name="Normal 5 2 2 9 3 3 2 3" xfId="21717" xr:uid="{DF41CD24-00D8-42C2-82C6-A92D87F935A4}"/>
    <cellStyle name="Normal 5 2 2 9 3 3 2 4" xfId="32757" xr:uid="{6A5D3F24-C74A-4858-BA4B-BE010FD86F39}"/>
    <cellStyle name="Normal 5 2 2 9 3 3 2 5" xfId="40711" xr:uid="{23DA9AE9-3048-43E9-859D-FC52E911E0E6}"/>
    <cellStyle name="Normal 5 2 2 9 3 3 3" xfId="24544" xr:uid="{564DE6EF-48A0-4ECA-A2E2-D45ED9DF81F0}"/>
    <cellStyle name="Normal 5 2 2 9 3 3 4" xfId="18884" xr:uid="{C412C328-F912-4B16-B127-8C14A8BCB930}"/>
    <cellStyle name="Normal 5 2 2 9 3 3 5" xfId="30205" xr:uid="{CAE69A01-AFD5-4FE0-BFA9-F8679810ABB6}"/>
    <cellStyle name="Normal 5 2 2 9 3 3 6" xfId="40710" xr:uid="{5D684D44-232A-417B-B27D-18EA4A32BA5E}"/>
    <cellStyle name="Normal 5 2 2 9 3 4" xfId="14074" xr:uid="{00000000-0005-0000-0000-0000F21F0000}"/>
    <cellStyle name="Normal 5 2 2 9 3 4 2" xfId="26113" xr:uid="{424A0683-6238-4D92-8DD2-422F1BEF9C84}"/>
    <cellStyle name="Normal 5 2 2 9 3 4 3" xfId="20453" xr:uid="{4A9204CC-0ABE-4120-A17E-0B91654C074B}"/>
    <cellStyle name="Normal 5 2 2 9 3 4 4" xfId="31493" xr:uid="{4C658E62-DD12-416D-8920-6938F39C55CC}"/>
    <cellStyle name="Normal 5 2 2 9 3 4 5" xfId="40712" xr:uid="{301B05DD-C941-4B66-A771-3DF050786047}"/>
    <cellStyle name="Normal 5 2 2 9 3 5" xfId="22982" xr:uid="{33C43B9B-0AB4-4F53-91B7-C161C87E2969}"/>
    <cellStyle name="Normal 5 2 2 9 3 6" xfId="17322" xr:uid="{F7D20C0A-1EF1-4613-BCDD-65A82BF15572}"/>
    <cellStyle name="Normal 5 2 2 9 3 7" xfId="28643" xr:uid="{A7FAAEE3-ADED-4EBD-A640-A294D7B15EB6}"/>
    <cellStyle name="Normal 5 2 2 9 3 8" xfId="40705" xr:uid="{E6AD1C01-3314-4D50-8CB5-0D802CC81D14}"/>
    <cellStyle name="Normal 5 2 2 9 4" xfId="5705" xr:uid="{00000000-0005-0000-0000-0000F31F0000}"/>
    <cellStyle name="Normal 5 2 2 9 4 2" xfId="40713" xr:uid="{14165B06-2966-48EB-8132-EED7687A886B}"/>
    <cellStyle name="Normal 5 2 2 9 5" xfId="6632" xr:uid="{00000000-0005-0000-0000-0000F41F0000}"/>
    <cellStyle name="Normal 5 2 2 9 5 2" xfId="15065" xr:uid="{00000000-0005-0000-0000-0000F51F0000}"/>
    <cellStyle name="Normal 5 2 2 9 5 2 2" xfId="26959" xr:uid="{8A5989C0-D9C7-47C1-B993-D4215D1D8F2F}"/>
    <cellStyle name="Normal 5 2 2 9 5 2 3" xfId="21299" xr:uid="{99941D2E-6565-4084-A774-87059782B958}"/>
    <cellStyle name="Normal 5 2 2 9 5 2 4" xfId="32339" xr:uid="{B7E00DC3-2FCA-4290-AD3F-C9F3F723006D}"/>
    <cellStyle name="Normal 5 2 2 9 5 2 5" xfId="40715" xr:uid="{60177FDF-FA24-49F6-990D-B11E2962174D}"/>
    <cellStyle name="Normal 5 2 2 9 5 3" xfId="24126" xr:uid="{35E6AB94-5C92-4F0F-B190-A8B89F3356D8}"/>
    <cellStyle name="Normal 5 2 2 9 5 4" xfId="18466" xr:uid="{DC0A6AED-DFB4-4AAF-BA36-65CC4ADCD1EF}"/>
    <cellStyle name="Normal 5 2 2 9 5 5" xfId="29787" xr:uid="{8A522CCB-F67D-4DB4-B3C1-3F6BE5476060}"/>
    <cellStyle name="Normal 5 2 2 9 5 6" xfId="40714" xr:uid="{B7E40AF7-23F9-4A6A-A489-7DE1774A4B02}"/>
    <cellStyle name="Normal 5 2 2 9 6" xfId="8088" xr:uid="{00000000-0005-0000-0000-0000F61F0000}"/>
    <cellStyle name="Normal 5 2 2 9 6 2" xfId="25564" xr:uid="{C14F0BE7-3F6E-4D61-A7DF-2A93F7372F6B}"/>
    <cellStyle name="Normal 5 2 2 9 6 3" xfId="19904" xr:uid="{CB91C5F5-2685-4C2F-AF4E-858537AC19AE}"/>
    <cellStyle name="Normal 5 2 2 9 6 4" xfId="31225" xr:uid="{380BDE0F-3AAF-486B-A7C4-625650BC6597}"/>
    <cellStyle name="Normal 5 2 2 9 6 5" xfId="40716" xr:uid="{81E06B5E-64B5-49DA-B1CE-2F8733DD63DF}"/>
    <cellStyle name="Normal 5 2 2 9 7" xfId="22564" xr:uid="{59D5B5EC-6661-4837-AD65-5BC6E10E0EAB}"/>
    <cellStyle name="Normal 5 2 2 9 8" xfId="16904" xr:uid="{E5E980B0-BCC4-4070-A1D7-87FFC1BBF361}"/>
    <cellStyle name="Normal 5 2 2 9 9" xfId="28225" xr:uid="{8F7BEE53-8068-4795-A37B-62DFCB099415}"/>
    <cellStyle name="Normal 5 2 3" xfId="2241" xr:uid="{00000000-0005-0000-0000-0000F71F0000}"/>
    <cellStyle name="Normal 5 2 3 2" xfId="4318" xr:uid="{00000000-0005-0000-0000-0000F81F0000}"/>
    <cellStyle name="Normal 5 2 3 2 2" xfId="40719" xr:uid="{8FED3CA9-DC60-4C39-8E38-E787D1354A4D}"/>
    <cellStyle name="Normal 5 2 3 2 3" xfId="40720" xr:uid="{42CB4C58-967E-4CF3-AA58-4D715F69F9C7}"/>
    <cellStyle name="Normal 5 2 3 2 4" xfId="40718" xr:uid="{2537A200-C929-431D-B98F-8556344EC508}"/>
    <cellStyle name="Normal 5 2 3 3" xfId="4871" xr:uid="{00000000-0005-0000-0000-0000F91F0000}"/>
    <cellStyle name="Normal 5 2 3 3 2" xfId="5290" xr:uid="{00000000-0005-0000-0000-0000FA1F0000}"/>
    <cellStyle name="Normal 5 2 3 3 2 2" xfId="7153" xr:uid="{00000000-0005-0000-0000-0000FB1F0000}"/>
    <cellStyle name="Normal 5 2 3 3 2 2 2" xfId="15586" xr:uid="{00000000-0005-0000-0000-0000FC1F0000}"/>
    <cellStyle name="Normal 5 2 3 3 2 2 2 2" xfId="27480" xr:uid="{522E3D57-8853-4114-AF9B-E2B107750A45}"/>
    <cellStyle name="Normal 5 2 3 3 2 2 2 3" xfId="21820" xr:uid="{EB970A38-D98F-4FDC-B6AF-DF95AB2FBB4C}"/>
    <cellStyle name="Normal 5 2 3 3 2 2 2 4" xfId="32860" xr:uid="{CD5295AF-9845-433E-B678-60EA52422ED9}"/>
    <cellStyle name="Normal 5 2 3 3 2 2 2 5" xfId="40724" xr:uid="{741B1162-2BAC-423F-8701-0E85BA2D01DD}"/>
    <cellStyle name="Normal 5 2 3 3 2 2 3" xfId="24647" xr:uid="{212BF2F9-C55C-4A01-BFC9-14FE8B2B159C}"/>
    <cellStyle name="Normal 5 2 3 3 2 2 4" xfId="18987" xr:uid="{DA71A698-25E1-4542-A812-3C1EBCDF3115}"/>
    <cellStyle name="Normal 5 2 3 3 2 2 5" xfId="30308" xr:uid="{1BB500F8-B548-4BE0-BC6B-97D815F67C45}"/>
    <cellStyle name="Normal 5 2 3 3 2 2 6" xfId="40723" xr:uid="{0ADCA5C5-F326-443E-ADB8-503527BBC389}"/>
    <cellStyle name="Normal 5 2 3 3 2 3" xfId="14176" xr:uid="{00000000-0005-0000-0000-0000FD1F0000}"/>
    <cellStyle name="Normal 5 2 3 3 2 3 2" xfId="26215" xr:uid="{01106AB2-FF20-4DC5-AA71-4C83BBA4A910}"/>
    <cellStyle name="Normal 5 2 3 3 2 3 3" xfId="20555" xr:uid="{4B73C307-F031-4F97-A4D6-ED8E30BCE601}"/>
    <cellStyle name="Normal 5 2 3 3 2 3 4" xfId="31595" xr:uid="{E1E871E3-4DCF-48FD-9585-1AB4CEA56100}"/>
    <cellStyle name="Normal 5 2 3 3 2 3 5" xfId="40725" xr:uid="{ABEAC5FC-62C8-47E2-970C-0CD00F211D7E}"/>
    <cellStyle name="Normal 5 2 3 3 2 4" xfId="23085" xr:uid="{D8976A2E-66CF-47FA-90DA-7ED24D93BA8C}"/>
    <cellStyle name="Normal 5 2 3 3 2 5" xfId="17425" xr:uid="{759573B8-852B-480E-9C22-7E712F6925F3}"/>
    <cellStyle name="Normal 5 2 3 3 2 6" xfId="28746" xr:uid="{96AE7D70-5E24-4CE3-AF6A-9E46748A8863}"/>
    <cellStyle name="Normal 5 2 3 3 2 7" xfId="40722" xr:uid="{EA8A0333-DC37-4D04-B71A-B1BE13221804}"/>
    <cellStyle name="Normal 5 2 3 3 3" xfId="6318" xr:uid="{00000000-0005-0000-0000-0000FE1F0000}"/>
    <cellStyle name="Normal 5 2 3 3 3 2" xfId="7642" xr:uid="{00000000-0005-0000-0000-0000FF1F0000}"/>
    <cellStyle name="Normal 5 2 3 3 3 2 2" xfId="16075" xr:uid="{00000000-0005-0000-0000-000000200000}"/>
    <cellStyle name="Normal 5 2 3 3 3 2 2 2" xfId="27969" xr:uid="{FBE22180-D374-449D-B9CD-BFBF46264059}"/>
    <cellStyle name="Normal 5 2 3 3 3 2 2 3" xfId="22309" xr:uid="{F36BE7A3-A42E-41C6-917D-29133FA8148A}"/>
    <cellStyle name="Normal 5 2 3 3 3 2 2 4" xfId="33349" xr:uid="{596D4674-F421-4559-98D2-73AAEC714C3D}"/>
    <cellStyle name="Normal 5 2 3 3 3 2 2 5" xfId="40728" xr:uid="{6734131A-7C71-4BEF-B92B-3B6A71EACAA3}"/>
    <cellStyle name="Normal 5 2 3 3 3 2 3" xfId="25136" xr:uid="{AA500D39-84B7-4155-8A1F-68D272EF24F8}"/>
    <cellStyle name="Normal 5 2 3 3 3 2 4" xfId="19476" xr:uid="{1E09BCF4-8A88-4EF9-99E1-B35D78CCC2B4}"/>
    <cellStyle name="Normal 5 2 3 3 3 2 5" xfId="30797" xr:uid="{ADCFC834-A807-4A87-91B9-411BCA50B7E6}"/>
    <cellStyle name="Normal 5 2 3 3 3 2 6" xfId="40727" xr:uid="{340BB99D-425F-4E0E-AAD8-755586A74158}"/>
    <cellStyle name="Normal 5 2 3 3 3 3" xfId="14757" xr:uid="{00000000-0005-0000-0000-000001200000}"/>
    <cellStyle name="Normal 5 2 3 3 3 3 2" xfId="26713" xr:uid="{F299EB3D-48BF-4AE6-BE49-060967BD663F}"/>
    <cellStyle name="Normal 5 2 3 3 3 3 3" xfId="21053" xr:uid="{9EBC8873-F131-4751-B46B-524FC3154255}"/>
    <cellStyle name="Normal 5 2 3 3 3 3 4" xfId="32093" xr:uid="{B6661111-2F84-4592-A417-514A662D67F2}"/>
    <cellStyle name="Normal 5 2 3 3 3 3 5" xfId="40729" xr:uid="{E831FA3E-4B2D-415A-A478-5FB1FB2D1ED5}"/>
    <cellStyle name="Normal 5 2 3 3 3 4" xfId="23880" xr:uid="{1D9C0A2F-8A86-45FF-ACC2-55226AA4F1C4}"/>
    <cellStyle name="Normal 5 2 3 3 3 5" xfId="18220" xr:uid="{3AA9FDF0-3169-4E64-BA4B-A9541A3CEBE6}"/>
    <cellStyle name="Normal 5 2 3 3 3 6" xfId="29541" xr:uid="{2D42AD64-5A72-4427-9AA0-6B09314DAB28}"/>
    <cellStyle name="Normal 5 2 3 3 3 7" xfId="40726" xr:uid="{83D963FA-3712-4EAD-B976-B8A7DAABFC9E}"/>
    <cellStyle name="Normal 5 2 3 3 4" xfId="6735" xr:uid="{00000000-0005-0000-0000-000002200000}"/>
    <cellStyle name="Normal 5 2 3 3 4 2" xfId="15168" xr:uid="{00000000-0005-0000-0000-000003200000}"/>
    <cellStyle name="Normal 5 2 3 3 4 2 2" xfId="27062" xr:uid="{47891440-DD08-4CF6-A5AD-4999BD6FC8C2}"/>
    <cellStyle name="Normal 5 2 3 3 4 2 3" xfId="21402" xr:uid="{3A77A7FA-1A64-49C7-8C9E-D16547140AB4}"/>
    <cellStyle name="Normal 5 2 3 3 4 2 4" xfId="32442" xr:uid="{C7E19281-856C-44D3-8C1E-DAC61E9DFE45}"/>
    <cellStyle name="Normal 5 2 3 3 4 2 5" xfId="40731" xr:uid="{892402B4-D183-4534-BBFF-2F0011492E3F}"/>
    <cellStyle name="Normal 5 2 3 3 4 3" xfId="24229" xr:uid="{21D86693-258D-42FC-9664-4CE3E60C2E40}"/>
    <cellStyle name="Normal 5 2 3 3 4 4" xfId="18569" xr:uid="{34C1B8D4-DE2B-47F5-BD05-905FC2B49F50}"/>
    <cellStyle name="Normal 5 2 3 3 4 5" xfId="29890" xr:uid="{026E5910-9F53-41AB-B7C7-251A065FEA9F}"/>
    <cellStyle name="Normal 5 2 3 3 4 6" xfId="40730" xr:uid="{E21F618D-2400-4B26-8768-DBD950D00854}"/>
    <cellStyle name="Normal 5 2 3 3 5" xfId="8090" xr:uid="{00000000-0005-0000-0000-000004200000}"/>
    <cellStyle name="Normal 5 2 3 3 5 2" xfId="25566" xr:uid="{87A6A995-F82D-4E88-85E3-AC1B26C35B67}"/>
    <cellStyle name="Normal 5 2 3 3 5 3" xfId="19906" xr:uid="{0841F0C4-7C54-4B3B-B9D6-E9C3D87DA4E2}"/>
    <cellStyle name="Normal 5 2 3 3 5 4" xfId="31227" xr:uid="{8AAF104B-7A79-4CE7-925D-9CAF03358A74}"/>
    <cellStyle name="Normal 5 2 3 3 5 5" xfId="40732" xr:uid="{18AB6AB4-0E90-40E0-BEF1-45F4C49C94A4}"/>
    <cellStyle name="Normal 5 2 3 3 6" xfId="22667" xr:uid="{F44693E4-3854-4A1C-8125-3EC024E8627D}"/>
    <cellStyle name="Normal 5 2 3 3 7" xfId="17007" xr:uid="{411DFC6D-A523-42F2-B70D-D661CCC29176}"/>
    <cellStyle name="Normal 5 2 3 3 8" xfId="28328" xr:uid="{83FBBD2F-8F2E-460C-AF86-39C1CCBF3C86}"/>
    <cellStyle name="Normal 5 2 3 3 9" xfId="40721" xr:uid="{37693D29-A421-46E3-8736-ED0CA15FD2F0}"/>
    <cellStyle name="Normal 5 2 3 4" xfId="5081" xr:uid="{00000000-0005-0000-0000-000005200000}"/>
    <cellStyle name="Normal 5 2 3 4 2" xfId="6317" xr:uid="{00000000-0005-0000-0000-000006200000}"/>
    <cellStyle name="Normal 5 2 3 4 2 2" xfId="7641" xr:uid="{00000000-0005-0000-0000-000007200000}"/>
    <cellStyle name="Normal 5 2 3 4 2 2 2" xfId="16074" xr:uid="{00000000-0005-0000-0000-000008200000}"/>
    <cellStyle name="Normal 5 2 3 4 2 2 2 2" xfId="27968" xr:uid="{2911D5A7-2CE4-48B2-B1C7-5D59BF32C0A0}"/>
    <cellStyle name="Normal 5 2 3 4 2 2 2 3" xfId="22308" xr:uid="{E875D61A-B7BE-4F0B-863E-6EA202B6F363}"/>
    <cellStyle name="Normal 5 2 3 4 2 2 2 4" xfId="33348" xr:uid="{F1E1B90A-BBA5-46A7-91C5-146621B72702}"/>
    <cellStyle name="Normal 5 2 3 4 2 2 2 5" xfId="40736" xr:uid="{7EE67CC7-8CA8-49B1-A3ED-E928EBFAA064}"/>
    <cellStyle name="Normal 5 2 3 4 2 2 3" xfId="25135" xr:uid="{944231E8-294A-461B-93CA-06F13600195B}"/>
    <cellStyle name="Normal 5 2 3 4 2 2 4" xfId="19475" xr:uid="{01711CB8-C62F-4FF3-9660-5AC5A7F13C11}"/>
    <cellStyle name="Normal 5 2 3 4 2 2 5" xfId="30796" xr:uid="{8C1D474C-649B-40CD-A0AE-3BEDA93ED85B}"/>
    <cellStyle name="Normal 5 2 3 4 2 2 6" xfId="40735" xr:uid="{336B989E-5538-4A04-9D0F-77E270315202}"/>
    <cellStyle name="Normal 5 2 3 4 2 3" xfId="14756" xr:uid="{00000000-0005-0000-0000-000009200000}"/>
    <cellStyle name="Normal 5 2 3 4 2 3 2" xfId="26712" xr:uid="{A088E690-7A68-4724-87A6-189096BAFC48}"/>
    <cellStyle name="Normal 5 2 3 4 2 3 3" xfId="21052" xr:uid="{AD26186A-79E1-45E5-8398-FADFC12B3751}"/>
    <cellStyle name="Normal 5 2 3 4 2 3 4" xfId="32092" xr:uid="{4B288B0F-5CC8-43A4-ACB2-4F8207ECEF0F}"/>
    <cellStyle name="Normal 5 2 3 4 2 3 5" xfId="40737" xr:uid="{067138E5-D129-419B-9DD8-1643B2D9C817}"/>
    <cellStyle name="Normal 5 2 3 4 2 4" xfId="23879" xr:uid="{F1EF2B12-17CF-4EE5-8C53-A7BF5A81EF52}"/>
    <cellStyle name="Normal 5 2 3 4 2 5" xfId="18219" xr:uid="{79C071EB-8B66-4326-AFB4-A4C2CCB3650A}"/>
    <cellStyle name="Normal 5 2 3 4 2 6" xfId="29540" xr:uid="{6CA9FCD2-01F6-4FEF-93D2-DEB13894D932}"/>
    <cellStyle name="Normal 5 2 3 4 2 7" xfId="40734" xr:uid="{E6AFC45D-4AAE-462B-B98A-67EEBB94F905}"/>
    <cellStyle name="Normal 5 2 3 4 3" xfId="6944" xr:uid="{00000000-0005-0000-0000-00000A200000}"/>
    <cellStyle name="Normal 5 2 3 4 3 2" xfId="15377" xr:uid="{00000000-0005-0000-0000-00000B200000}"/>
    <cellStyle name="Normal 5 2 3 4 3 2 2" xfId="27271" xr:uid="{DD54B085-45FA-427D-B7CA-C894226D5676}"/>
    <cellStyle name="Normal 5 2 3 4 3 2 3" xfId="21611" xr:uid="{DEB1BBB8-7B45-4AC4-86C3-5D87F198EBFC}"/>
    <cellStyle name="Normal 5 2 3 4 3 2 4" xfId="32651" xr:uid="{69DB3552-8C79-4B10-A909-CB30A9F15435}"/>
    <cellStyle name="Normal 5 2 3 4 3 2 5" xfId="40739" xr:uid="{7E60B325-A100-47D2-B459-035C4529844A}"/>
    <cellStyle name="Normal 5 2 3 4 3 3" xfId="24438" xr:uid="{22BD290F-B689-4135-BB71-D0CE534234DC}"/>
    <cellStyle name="Normal 5 2 3 4 3 4" xfId="18778" xr:uid="{0EB26741-55A4-438F-B3D6-9C79A2F63591}"/>
    <cellStyle name="Normal 5 2 3 4 3 5" xfId="30099" xr:uid="{969A1961-71A9-4B94-8F58-3BDCFC59A5EE}"/>
    <cellStyle name="Normal 5 2 3 4 3 6" xfId="40738" xr:uid="{B50D34A4-5B53-441A-A723-790C8FA529B2}"/>
    <cellStyle name="Normal 5 2 3 4 4" xfId="8091" xr:uid="{00000000-0005-0000-0000-00000C200000}"/>
    <cellStyle name="Normal 5 2 3 4 4 2" xfId="25567" xr:uid="{5F9BE5EC-55A7-47A1-9CD1-10D7B7486E80}"/>
    <cellStyle name="Normal 5 2 3 4 4 3" xfId="19907" xr:uid="{871F07FF-C5A7-4767-BE49-6E5B649D8869}"/>
    <cellStyle name="Normal 5 2 3 4 4 4" xfId="31228" xr:uid="{3CBBBAD0-291D-4AF8-80F3-24C4BD8D1093}"/>
    <cellStyle name="Normal 5 2 3 4 4 5" xfId="40740" xr:uid="{F22A4CCB-2ED1-44E0-9953-A9FCE32C6528}"/>
    <cellStyle name="Normal 5 2 3 4 5" xfId="22876" xr:uid="{B4DA8C24-1131-4D2B-ADD1-472F22BCCE95}"/>
    <cellStyle name="Normal 5 2 3 4 6" xfId="17216" xr:uid="{7DB69313-8D72-491A-94CA-1A13EBEE9640}"/>
    <cellStyle name="Normal 5 2 3 4 7" xfId="28537" xr:uid="{681E44B9-29AE-4B09-8CBF-31BE769EB029}"/>
    <cellStyle name="Normal 5 2 3 4 8" xfId="40733" xr:uid="{4549496A-0F55-494B-87E2-29BB33EEBCB9}"/>
    <cellStyle name="Normal 5 2 3 5" xfId="6526" xr:uid="{00000000-0005-0000-0000-00000D200000}"/>
    <cellStyle name="Normal 5 2 3 5 2" xfId="14959" xr:uid="{00000000-0005-0000-0000-00000E200000}"/>
    <cellStyle name="Normal 5 2 3 5 2 2" xfId="26853" xr:uid="{2E45C269-8728-4984-97C1-B9338D0E81D4}"/>
    <cellStyle name="Normal 5 2 3 5 2 3" xfId="21193" xr:uid="{45FE33D3-71F1-40F5-93A7-C1EB7E05646F}"/>
    <cellStyle name="Normal 5 2 3 5 2 4" xfId="32233" xr:uid="{40DD1A7E-6BA2-41AA-84F8-C7EE507F83D5}"/>
    <cellStyle name="Normal 5 2 3 5 2 5" xfId="40742" xr:uid="{CB803CB2-A700-4DDE-8981-656827677CDB}"/>
    <cellStyle name="Normal 5 2 3 5 3" xfId="24020" xr:uid="{8AA7659D-BD96-49FF-8532-8F6840D9572C}"/>
    <cellStyle name="Normal 5 2 3 5 4" xfId="18360" xr:uid="{4348A669-C5EC-4864-8484-C784430B419F}"/>
    <cellStyle name="Normal 5 2 3 5 5" xfId="29681" xr:uid="{D0B67E17-F7FD-4F22-BABE-9BDFC31336C7}"/>
    <cellStyle name="Normal 5 2 3 5 6" xfId="40741" xr:uid="{05AA0985-3C92-43D7-9909-334313CCCF0E}"/>
    <cellStyle name="Normal 5 2 3 6" xfId="22458" xr:uid="{FC1779C1-D3B9-4B7B-B0D4-69868A098646}"/>
    <cellStyle name="Normal 5 2 3 7" xfId="16798" xr:uid="{5B256637-DCDE-4D09-9668-0ED104823829}"/>
    <cellStyle name="Normal 5 2 3 8" xfId="28119" xr:uid="{F72BFF14-48FC-4B23-9A28-D74F1C2A185C}"/>
    <cellStyle name="Normal 5 2 3 9" xfId="40717" xr:uid="{515F467A-104C-42F7-AAED-F0E4B32B688D}"/>
    <cellStyle name="Normal 5 2 4" xfId="4319" xr:uid="{00000000-0005-0000-0000-00000F200000}"/>
    <cellStyle name="Normal 5 2 4 2" xfId="40744" xr:uid="{C0C02E60-6701-40C3-ABDA-CC94E5F3E4E1}"/>
    <cellStyle name="Normal 5 2 4 3" xfId="40745" xr:uid="{0640CE95-4050-4647-B2A0-B901BC051614}"/>
    <cellStyle name="Normal 5 2 4 4" xfId="40743" xr:uid="{4111F034-CA5E-4935-85C6-F66D1DDAB169}"/>
    <cellStyle name="Normal 5 2 5" xfId="4320" xr:uid="{00000000-0005-0000-0000-000010200000}"/>
    <cellStyle name="Normal 5 2 5 2" xfId="40747" xr:uid="{E8DFE1C3-EAD0-456C-BE22-380581BF7A6A}"/>
    <cellStyle name="Normal 5 2 5 3" xfId="40748" xr:uid="{EC1B630A-454B-4ABA-9477-ADB6DCBA1D11}"/>
    <cellStyle name="Normal 5 2 5 4" xfId="40746" xr:uid="{9A58016B-9C1E-412D-9C79-2EC9458B5442}"/>
    <cellStyle name="Normal 5 2 6" xfId="4321" xr:uid="{00000000-0005-0000-0000-000011200000}"/>
    <cellStyle name="Normal 5 2 6 2" xfId="40750" xr:uid="{0BBA0DB8-8DC9-45D2-85F9-35F14E4757C5}"/>
    <cellStyle name="Normal 5 2 6 3" xfId="40749" xr:uid="{61435AD9-C5C9-4DF5-BC21-58913AAFCBF7}"/>
    <cellStyle name="Normal 5 2 7" xfId="4322" xr:uid="{00000000-0005-0000-0000-000012200000}"/>
    <cellStyle name="Normal 5 2 7 2" xfId="40751" xr:uid="{3112488F-3D91-4BBF-A041-E8E89EE3FAC9}"/>
    <cellStyle name="Normal 5 2 8" xfId="4323" xr:uid="{00000000-0005-0000-0000-000013200000}"/>
    <cellStyle name="Normal 5 2 8 2" xfId="40752" xr:uid="{39E5EBE3-660C-4B34-AD5C-B34C8241E0F0}"/>
    <cellStyle name="Normal 5 2 9" xfId="9682" xr:uid="{00000000-0005-0000-0000-000014200000}"/>
    <cellStyle name="Normal 5 2 9 2" xfId="40753" xr:uid="{10C2122B-297D-4C38-B032-E0F3CC7285F1}"/>
    <cellStyle name="Normal 5 3" xfId="174" xr:uid="{00000000-0005-0000-0000-000015200000}"/>
    <cellStyle name="Normal 5 3 10" xfId="5800" xr:uid="{00000000-0005-0000-0000-000016200000}"/>
    <cellStyle name="Normal 5 3 10 2" xfId="9683" xr:uid="{00000000-0005-0000-0000-000017200000}"/>
    <cellStyle name="Normal 5 3 10 2 2" xfId="25642" xr:uid="{90AC09B9-F13C-4510-8FD5-8B16F609414C}"/>
    <cellStyle name="Normal 5 3 10 2 3" xfId="19982" xr:uid="{6A1C984B-8673-49B1-8A79-B4125081EC36}"/>
    <cellStyle name="Normal 5 3 10 2 4" xfId="31292" xr:uid="{3D760F2E-C174-47D9-88B5-FB7DE6EE1AB5}"/>
    <cellStyle name="Normal 5 3 10 2 5" xfId="40756" xr:uid="{EFCA9E1C-BEB0-4593-B3E4-DD8FAB9AB41C}"/>
    <cellStyle name="Normal 5 3 10 3" xfId="40755" xr:uid="{FCC6B245-322C-41B7-8FDD-55F861F0DD3E}"/>
    <cellStyle name="Normal 5 3 11" xfId="40754" xr:uid="{720D85C6-C88E-4568-998D-AF5E9B76055A}"/>
    <cellStyle name="Normal 5 3 2" xfId="2242" xr:uid="{00000000-0005-0000-0000-000018200000}"/>
    <cellStyle name="Normal 5 3 2 2" xfId="4325" xr:uid="{00000000-0005-0000-0000-000019200000}"/>
    <cellStyle name="Normal 5 3 2 2 2" xfId="40759" xr:uid="{43F78187-C36C-4E9C-A186-BEB873BB5970}"/>
    <cellStyle name="Normal 5 3 2 2 3" xfId="40760" xr:uid="{4B4B488E-DB8E-45EF-B675-DE82B657EB7A}"/>
    <cellStyle name="Normal 5 3 2 2 4" xfId="40761" xr:uid="{181B4DBC-DAB1-4BFE-9639-DFAD4EE1B77A}"/>
    <cellStyle name="Normal 5 3 2 2 5" xfId="40758" xr:uid="{64500BE4-D4DE-4684-AAA1-4974D160FB0D}"/>
    <cellStyle name="Normal 5 3 2 3" xfId="6319" xr:uid="{00000000-0005-0000-0000-00001A200000}"/>
    <cellStyle name="Normal 5 3 2 3 2" xfId="40763" xr:uid="{7F0B9F52-61BB-44D3-A722-F0C6E188D16C}"/>
    <cellStyle name="Normal 5 3 2 3 3" xfId="40762" xr:uid="{71D45D07-5E14-4B09-962D-B828F83DE66B}"/>
    <cellStyle name="Normal 5 3 2 4" xfId="40764" xr:uid="{ABAA7E7C-2AF2-41B6-B270-57CE8606E047}"/>
    <cellStyle name="Normal 5 3 2 5" xfId="40757" xr:uid="{AC05C772-21F6-4B7B-AAAD-D8F7C81E22A6}"/>
    <cellStyle name="Normal 5 3 3" xfId="2243" xr:uid="{00000000-0005-0000-0000-00001B200000}"/>
    <cellStyle name="Normal 5 3 3 2" xfId="4326" xr:uid="{00000000-0005-0000-0000-00001C200000}"/>
    <cellStyle name="Normal 5 3 3 2 2" xfId="40767" xr:uid="{1B4B5760-33B8-4F69-9DB8-186DA6E6A76C}"/>
    <cellStyle name="Normal 5 3 3 2 3" xfId="40766" xr:uid="{3569FE41-B205-4425-9DB7-4C19CA6609D0}"/>
    <cellStyle name="Normal 5 3 3 3" xfId="4872" xr:uid="{00000000-0005-0000-0000-00001D200000}"/>
    <cellStyle name="Normal 5 3 3 3 2" xfId="5291" xr:uid="{00000000-0005-0000-0000-00001E200000}"/>
    <cellStyle name="Normal 5 3 3 3 2 2" xfId="7154" xr:uid="{00000000-0005-0000-0000-00001F200000}"/>
    <cellStyle name="Normal 5 3 3 3 2 2 2" xfId="15587" xr:uid="{00000000-0005-0000-0000-000020200000}"/>
    <cellStyle name="Normal 5 3 3 3 2 2 2 2" xfId="27481" xr:uid="{D60ED89E-A5F7-4E8C-A486-A455A7D5D6B8}"/>
    <cellStyle name="Normal 5 3 3 3 2 2 2 3" xfId="21821" xr:uid="{F8F98DFE-C85A-4D95-9883-951C4A9F8E54}"/>
    <cellStyle name="Normal 5 3 3 3 2 2 2 4" xfId="32861" xr:uid="{3116F3CF-CF0D-46F1-B9E0-3355A35CBC8A}"/>
    <cellStyle name="Normal 5 3 3 3 2 2 2 5" xfId="40771" xr:uid="{C1F996CB-F0FA-49B2-848A-A1A22726E97B}"/>
    <cellStyle name="Normal 5 3 3 3 2 2 3" xfId="24648" xr:uid="{03435B39-798B-45C9-B4D0-36F8E4DF8024}"/>
    <cellStyle name="Normal 5 3 3 3 2 2 4" xfId="18988" xr:uid="{FAD87EF2-7031-4A26-918D-5286D89F0999}"/>
    <cellStyle name="Normal 5 3 3 3 2 2 5" xfId="30309" xr:uid="{BF281453-52A0-4ECC-8E51-C6E2888914DB}"/>
    <cellStyle name="Normal 5 3 3 3 2 2 6" xfId="40770" xr:uid="{0BC5E86F-6A6D-4C82-B055-A9A6B7805D21}"/>
    <cellStyle name="Normal 5 3 3 3 2 3" xfId="14177" xr:uid="{00000000-0005-0000-0000-000021200000}"/>
    <cellStyle name="Normal 5 3 3 3 2 3 2" xfId="26216" xr:uid="{329F7F35-19F3-428A-8837-BDDB9CADBAC6}"/>
    <cellStyle name="Normal 5 3 3 3 2 3 3" xfId="20556" xr:uid="{4A3C0D64-3BAD-49AF-9B51-3FFBD6B81C41}"/>
    <cellStyle name="Normal 5 3 3 3 2 3 4" xfId="31596" xr:uid="{98B83ABC-B3CC-4467-941B-8797F43BCA99}"/>
    <cellStyle name="Normal 5 3 3 3 2 3 5" xfId="40772" xr:uid="{3E1B3B73-EFD7-4AC5-9277-455DE76D26A5}"/>
    <cellStyle name="Normal 5 3 3 3 2 4" xfId="23086" xr:uid="{95B33533-48E2-4E71-8F42-67871F70E7B3}"/>
    <cellStyle name="Normal 5 3 3 3 2 5" xfId="17426" xr:uid="{2501ED9E-7B0F-415F-8148-DF8E5F17D6A4}"/>
    <cellStyle name="Normal 5 3 3 3 2 6" xfId="28747" xr:uid="{F4DCA3DB-A974-4413-885D-A27BFE19E5A5}"/>
    <cellStyle name="Normal 5 3 3 3 2 7" xfId="40769" xr:uid="{FAA9A45D-77BB-428C-ABC8-76E2B37B78A3}"/>
    <cellStyle name="Normal 5 3 3 3 3" xfId="6321" xr:uid="{00000000-0005-0000-0000-000022200000}"/>
    <cellStyle name="Normal 5 3 3 3 3 2" xfId="7644" xr:uid="{00000000-0005-0000-0000-000023200000}"/>
    <cellStyle name="Normal 5 3 3 3 3 2 2" xfId="16077" xr:uid="{00000000-0005-0000-0000-000024200000}"/>
    <cellStyle name="Normal 5 3 3 3 3 2 2 2" xfId="27971" xr:uid="{82CB67F4-C868-4610-A346-9F69DF6C6B59}"/>
    <cellStyle name="Normal 5 3 3 3 3 2 2 3" xfId="22311" xr:uid="{569DC877-2CC5-4163-B6BF-DC0D607B5202}"/>
    <cellStyle name="Normal 5 3 3 3 3 2 2 4" xfId="33351" xr:uid="{356701B1-7BF4-44FD-802E-CF942DD368A9}"/>
    <cellStyle name="Normal 5 3 3 3 3 2 2 5" xfId="40775" xr:uid="{86A6B355-FCF0-45B3-8B8F-763D34912AEE}"/>
    <cellStyle name="Normal 5 3 3 3 3 2 3" xfId="25138" xr:uid="{DEF03275-0F1A-4A21-9BD3-18773D6AB79C}"/>
    <cellStyle name="Normal 5 3 3 3 3 2 4" xfId="19478" xr:uid="{34B3C57C-54AF-4CB3-81AA-6EC98A7E4D65}"/>
    <cellStyle name="Normal 5 3 3 3 3 2 5" xfId="30799" xr:uid="{03E0B2F3-5EA4-4992-BF7E-96803D25448A}"/>
    <cellStyle name="Normal 5 3 3 3 3 2 6" xfId="40774" xr:uid="{E035C0D6-9508-4366-989F-4D79AF628935}"/>
    <cellStyle name="Normal 5 3 3 3 3 3" xfId="14759" xr:uid="{00000000-0005-0000-0000-000025200000}"/>
    <cellStyle name="Normal 5 3 3 3 3 3 2" xfId="26715" xr:uid="{12E2F0A3-2D0B-4C4D-ADC3-DFD15F46CBD4}"/>
    <cellStyle name="Normal 5 3 3 3 3 3 3" xfId="21055" xr:uid="{BAE3A79F-F4E7-4FAE-A199-2F96223D993C}"/>
    <cellStyle name="Normal 5 3 3 3 3 3 4" xfId="32095" xr:uid="{8E15129A-1146-499E-B519-7D593BB67C5A}"/>
    <cellStyle name="Normal 5 3 3 3 3 3 5" xfId="40776" xr:uid="{F00B24FA-D792-4D7C-BF33-C9F9BEAE1BDE}"/>
    <cellStyle name="Normal 5 3 3 3 3 4" xfId="23882" xr:uid="{5257CBB5-59E5-4185-8FF3-BC03698C5DDA}"/>
    <cellStyle name="Normal 5 3 3 3 3 5" xfId="18222" xr:uid="{0223B2F8-9063-4A4D-A1EB-8B80DEEE2BA5}"/>
    <cellStyle name="Normal 5 3 3 3 3 6" xfId="29543" xr:uid="{CA7B69AF-4379-4994-9189-484F9C894A50}"/>
    <cellStyle name="Normal 5 3 3 3 3 7" xfId="40773" xr:uid="{C54F718C-EEA5-4FB1-9555-D738B3033D46}"/>
    <cellStyle name="Normal 5 3 3 3 4" xfId="6736" xr:uid="{00000000-0005-0000-0000-000026200000}"/>
    <cellStyle name="Normal 5 3 3 3 4 2" xfId="15169" xr:uid="{00000000-0005-0000-0000-000027200000}"/>
    <cellStyle name="Normal 5 3 3 3 4 2 2" xfId="27063" xr:uid="{89936F25-E6A0-4BF6-AA33-D90FA87721BB}"/>
    <cellStyle name="Normal 5 3 3 3 4 2 3" xfId="21403" xr:uid="{67DE83FF-3DC4-4119-A474-091FA83E40A6}"/>
    <cellStyle name="Normal 5 3 3 3 4 2 4" xfId="32443" xr:uid="{5485B439-D6AF-404C-8F45-69D496AAC619}"/>
    <cellStyle name="Normal 5 3 3 3 4 2 5" xfId="40778" xr:uid="{33BFD62E-AB04-4EB6-8898-B829BEF4A396}"/>
    <cellStyle name="Normal 5 3 3 3 4 3" xfId="24230" xr:uid="{9462CC98-2EF2-4DBE-8055-5B669CC7BB53}"/>
    <cellStyle name="Normal 5 3 3 3 4 4" xfId="18570" xr:uid="{E92BD50B-3189-416C-9F93-21C4867BA39F}"/>
    <cellStyle name="Normal 5 3 3 3 4 5" xfId="29891" xr:uid="{4B1CE0AE-3644-41AA-8AC6-5E38CAD3FDDE}"/>
    <cellStyle name="Normal 5 3 3 3 4 6" xfId="40777" xr:uid="{E6F904EA-B64C-486F-9513-4C67DC3820C7}"/>
    <cellStyle name="Normal 5 3 3 3 5" xfId="8092" xr:uid="{00000000-0005-0000-0000-000028200000}"/>
    <cellStyle name="Normal 5 3 3 3 5 2" xfId="25568" xr:uid="{A1BB6526-E99A-4551-BDD0-6D52C382428E}"/>
    <cellStyle name="Normal 5 3 3 3 5 3" xfId="19908" xr:uid="{C9EA2FAC-9F8D-4070-8D99-DC4DD7724721}"/>
    <cellStyle name="Normal 5 3 3 3 5 4" xfId="31229" xr:uid="{80F46196-4C46-44FF-B8BE-9F8A0A25123A}"/>
    <cellStyle name="Normal 5 3 3 3 5 5" xfId="40779" xr:uid="{90CE3BA6-8631-4778-BBAF-A791150E8023}"/>
    <cellStyle name="Normal 5 3 3 3 6" xfId="22668" xr:uid="{EEC74259-B91B-40F0-A1B1-8121B50FB2B1}"/>
    <cellStyle name="Normal 5 3 3 3 7" xfId="17008" xr:uid="{361EBCE4-DF5A-4832-A559-4A025E269067}"/>
    <cellStyle name="Normal 5 3 3 3 8" xfId="28329" xr:uid="{16A89DE9-79F5-49B1-A52A-69F49996F727}"/>
    <cellStyle name="Normal 5 3 3 3 9" xfId="40768" xr:uid="{44E7DFE1-ED34-4FCD-A819-0A5ADC109095}"/>
    <cellStyle name="Normal 5 3 3 4" xfId="5082" xr:uid="{00000000-0005-0000-0000-000029200000}"/>
    <cellStyle name="Normal 5 3 3 4 2" xfId="6320" xr:uid="{00000000-0005-0000-0000-00002A200000}"/>
    <cellStyle name="Normal 5 3 3 4 2 2" xfId="7643" xr:uid="{00000000-0005-0000-0000-00002B200000}"/>
    <cellStyle name="Normal 5 3 3 4 2 2 2" xfId="16076" xr:uid="{00000000-0005-0000-0000-00002C200000}"/>
    <cellStyle name="Normal 5 3 3 4 2 2 2 2" xfId="27970" xr:uid="{E60EED07-B73E-4554-88C1-60788CC164CD}"/>
    <cellStyle name="Normal 5 3 3 4 2 2 2 3" xfId="22310" xr:uid="{6DFA48F6-A90F-4626-BFBA-3292A95C82F6}"/>
    <cellStyle name="Normal 5 3 3 4 2 2 2 4" xfId="33350" xr:uid="{50D6381C-5F96-4C3C-97C4-CA2D36C02612}"/>
    <cellStyle name="Normal 5 3 3 4 2 2 2 5" xfId="40783" xr:uid="{987AB57F-905C-4E26-BEC2-42A2F36C1038}"/>
    <cellStyle name="Normal 5 3 3 4 2 2 3" xfId="25137" xr:uid="{305DA94A-815A-4F41-87A2-349D61EC52FE}"/>
    <cellStyle name="Normal 5 3 3 4 2 2 4" xfId="19477" xr:uid="{27D244D4-620D-49B6-A19C-846A7BFF713B}"/>
    <cellStyle name="Normal 5 3 3 4 2 2 5" xfId="30798" xr:uid="{B09B52D7-524F-4728-AF7E-07CFCB7B92BB}"/>
    <cellStyle name="Normal 5 3 3 4 2 2 6" xfId="40782" xr:uid="{6E4B1C5A-673A-489F-B68F-A5B31D07F79B}"/>
    <cellStyle name="Normal 5 3 3 4 2 3" xfId="14758" xr:uid="{00000000-0005-0000-0000-00002D200000}"/>
    <cellStyle name="Normal 5 3 3 4 2 3 2" xfId="26714" xr:uid="{B22DED65-EA2C-4CDD-BD46-506B3C6E424B}"/>
    <cellStyle name="Normal 5 3 3 4 2 3 3" xfId="21054" xr:uid="{D545B2CE-7B46-47F9-9418-B237CCD4072B}"/>
    <cellStyle name="Normal 5 3 3 4 2 3 4" xfId="32094" xr:uid="{915F590F-1BDB-4501-AE33-3D22B890A980}"/>
    <cellStyle name="Normal 5 3 3 4 2 3 5" xfId="40784" xr:uid="{DF4BE419-2408-444D-BD55-1E0A635D47E4}"/>
    <cellStyle name="Normal 5 3 3 4 2 4" xfId="23881" xr:uid="{43CDD2CA-AC09-434E-8ECB-9DA795FCC8DA}"/>
    <cellStyle name="Normal 5 3 3 4 2 5" xfId="18221" xr:uid="{7A379EFB-B468-47F7-A688-8DDFA3CAA483}"/>
    <cellStyle name="Normal 5 3 3 4 2 6" xfId="29542" xr:uid="{30DF3ECF-A8E8-491F-9584-95FEBF4D44BB}"/>
    <cellStyle name="Normal 5 3 3 4 2 7" xfId="40781" xr:uid="{B7EF293B-9210-49BB-A30A-5AF4FAA41622}"/>
    <cellStyle name="Normal 5 3 3 4 3" xfId="6945" xr:uid="{00000000-0005-0000-0000-00002E200000}"/>
    <cellStyle name="Normal 5 3 3 4 3 2" xfId="15378" xr:uid="{00000000-0005-0000-0000-00002F200000}"/>
    <cellStyle name="Normal 5 3 3 4 3 2 2" xfId="27272" xr:uid="{C0DA913A-F1A4-4C9F-90C9-37C9EC7D5F82}"/>
    <cellStyle name="Normal 5 3 3 4 3 2 3" xfId="21612" xr:uid="{34E4DDD2-506D-4842-A16C-581746B043FB}"/>
    <cellStyle name="Normal 5 3 3 4 3 2 4" xfId="32652" xr:uid="{909F3503-95E1-47D8-A3A6-D31A055E45D6}"/>
    <cellStyle name="Normal 5 3 3 4 3 2 5" xfId="40786" xr:uid="{2D9BF8ED-7B09-42D5-8303-CC1E363567E5}"/>
    <cellStyle name="Normal 5 3 3 4 3 3" xfId="24439" xr:uid="{5F961E78-46EB-4CE1-86D3-4DE2BB9262D9}"/>
    <cellStyle name="Normal 5 3 3 4 3 4" xfId="18779" xr:uid="{BBDAF43A-F37F-4CBD-BB8B-D6C3EC0324F3}"/>
    <cellStyle name="Normal 5 3 3 4 3 5" xfId="30100" xr:uid="{77ECE651-EB50-41B1-AA99-D9C73B225462}"/>
    <cellStyle name="Normal 5 3 3 4 3 6" xfId="40785" xr:uid="{728A0E08-35D5-41AD-8CAD-C49B91401A90}"/>
    <cellStyle name="Normal 5 3 3 4 4" xfId="8093" xr:uid="{00000000-0005-0000-0000-000030200000}"/>
    <cellStyle name="Normal 5 3 3 4 4 2" xfId="25569" xr:uid="{F0FDEE39-DA36-4836-AAC9-E28BE0AB362E}"/>
    <cellStyle name="Normal 5 3 3 4 4 3" xfId="19909" xr:uid="{7FE69AC3-2FDE-4F37-967F-C73D5D42F332}"/>
    <cellStyle name="Normal 5 3 3 4 4 4" xfId="31230" xr:uid="{A208753C-9A0B-427B-B88B-3B6F4F7D4D17}"/>
    <cellStyle name="Normal 5 3 3 4 4 5" xfId="40787" xr:uid="{DA348A5F-8B85-45A1-8706-E1511792092E}"/>
    <cellStyle name="Normal 5 3 3 4 5" xfId="22877" xr:uid="{E0CDD140-30CC-4596-8A27-745499C637AC}"/>
    <cellStyle name="Normal 5 3 3 4 6" xfId="17217" xr:uid="{40F67A0D-2A0C-4B65-8FC9-04DAD7B08108}"/>
    <cellStyle name="Normal 5 3 3 4 7" xfId="28538" xr:uid="{0B69ABC4-2CB5-431E-B613-860C874CF6DB}"/>
    <cellStyle name="Normal 5 3 3 4 8" xfId="40780" xr:uid="{544027B3-6C6E-499D-AC46-A37202BA8781}"/>
    <cellStyle name="Normal 5 3 3 5" xfId="6527" xr:uid="{00000000-0005-0000-0000-000031200000}"/>
    <cellStyle name="Normal 5 3 3 5 2" xfId="14960" xr:uid="{00000000-0005-0000-0000-000032200000}"/>
    <cellStyle name="Normal 5 3 3 5 2 2" xfId="26854" xr:uid="{DD2568A8-3179-4BC2-9AA7-F2E10A43398E}"/>
    <cellStyle name="Normal 5 3 3 5 2 3" xfId="21194" xr:uid="{FA38D3AE-A6A0-48D3-99CA-3B59121B2663}"/>
    <cellStyle name="Normal 5 3 3 5 2 4" xfId="32234" xr:uid="{349F651A-AE88-474D-971D-A108C78B2315}"/>
    <cellStyle name="Normal 5 3 3 5 2 5" xfId="40789" xr:uid="{D17E98B6-7967-4B20-8354-17FAEA35392E}"/>
    <cellStyle name="Normal 5 3 3 5 3" xfId="24021" xr:uid="{8AD856AE-206F-4DD4-AA2C-5CA44ADAE5F4}"/>
    <cellStyle name="Normal 5 3 3 5 4" xfId="18361" xr:uid="{AB21A7AA-FAF6-4EA8-9B7F-571062917728}"/>
    <cellStyle name="Normal 5 3 3 5 5" xfId="29682" xr:uid="{60B9F9D0-FF75-4C1B-BB19-C55292707801}"/>
    <cellStyle name="Normal 5 3 3 5 6" xfId="40788" xr:uid="{D3F29D4C-184E-4AED-A0E6-240F479EE5D0}"/>
    <cellStyle name="Normal 5 3 3 6" xfId="22459" xr:uid="{A75FF548-8A0B-4E79-9A68-5020ACE7D1D2}"/>
    <cellStyle name="Normal 5 3 3 7" xfId="16799" xr:uid="{00BAFA06-3AD2-4FBD-B250-05B0988F5041}"/>
    <cellStyle name="Normal 5 3 3 8" xfId="28120" xr:uid="{A3FF52A1-DBEF-4819-9C3A-FDF414F7F9EE}"/>
    <cellStyle name="Normal 5 3 3 9" xfId="40765" xr:uid="{8C33F974-2AC8-4C25-8323-B1C010D4950F}"/>
    <cellStyle name="Normal 5 3 4" xfId="4327" xr:uid="{00000000-0005-0000-0000-000033200000}"/>
    <cellStyle name="Normal 5 3 4 2" xfId="40791" xr:uid="{C320F30D-A222-4302-87B7-53ECC8E9B2CC}"/>
    <cellStyle name="Normal 5 3 4 3" xfId="40790" xr:uid="{77F5B4A8-86D5-464C-9F7E-22E57540F076}"/>
    <cellStyle name="Normal 5 3 5" xfId="4328" xr:uid="{00000000-0005-0000-0000-000034200000}"/>
    <cellStyle name="Normal 5 3 5 2" xfId="40792" xr:uid="{205FB3F4-7A73-4249-B464-0111B4BFC508}"/>
    <cellStyle name="Normal 5 3 6" xfId="4329" xr:uid="{00000000-0005-0000-0000-000035200000}"/>
    <cellStyle name="Normal 5 3 6 2" xfId="40793" xr:uid="{CFDE3A08-9477-4CFE-A215-856DB832FC6B}"/>
    <cellStyle name="Normal 5 3 7" xfId="4330" xr:uid="{00000000-0005-0000-0000-000036200000}"/>
    <cellStyle name="Normal 5 3 7 2" xfId="40794" xr:uid="{BE1F9398-2A9C-4D74-8965-A7CC361AEAED}"/>
    <cellStyle name="Normal 5 3 8" xfId="4331" xr:uid="{00000000-0005-0000-0000-000037200000}"/>
    <cellStyle name="Normal 5 3 8 2" xfId="40795" xr:uid="{99C31437-AE2C-4602-B1E9-94F1BE8014D6}"/>
    <cellStyle name="Normal 5 3 9" xfId="4324" xr:uid="{00000000-0005-0000-0000-000038200000}"/>
    <cellStyle name="Normal 5 3 9 2" xfId="40796" xr:uid="{4C0FA1E5-B249-4355-B0F2-EC7768FC3926}"/>
    <cellStyle name="Normal 5 4" xfId="175" xr:uid="{00000000-0005-0000-0000-000039200000}"/>
    <cellStyle name="Normal 5 4 2" xfId="4332" xr:uid="{00000000-0005-0000-0000-00003A200000}"/>
    <cellStyle name="Normal 5 4 2 2" xfId="40799" xr:uid="{05D6AF3B-CA17-44BC-879B-389042BF028B}"/>
    <cellStyle name="Normal 5 4 2 3" xfId="40800" xr:uid="{7DB3CD8D-65B7-4A6D-A9B0-5FEA4006F989}"/>
    <cellStyle name="Normal 5 4 2 4" xfId="40798" xr:uid="{B95A6841-CA9F-420B-B16D-B06A7CF8CC2A}"/>
    <cellStyle name="Normal 5 4 3" xfId="4333" xr:uid="{00000000-0005-0000-0000-00003B200000}"/>
    <cellStyle name="Normal 5 4 3 2" xfId="40802" xr:uid="{E3F20910-2734-4811-B7EF-CB630AD0263E}"/>
    <cellStyle name="Normal 5 4 3 3" xfId="40801" xr:uid="{EE283814-7445-4AA3-9986-5A40ED19269A}"/>
    <cellStyle name="Normal 5 4 4" xfId="4334" xr:uid="{00000000-0005-0000-0000-00003C200000}"/>
    <cellStyle name="Normal 5 4 4 2" xfId="40803" xr:uid="{27743774-4158-41E1-B09C-F88DE22A509B}"/>
    <cellStyle name="Normal 5 4 5" xfId="4335" xr:uid="{00000000-0005-0000-0000-00003D200000}"/>
    <cellStyle name="Normal 5 4 5 2" xfId="40804" xr:uid="{573B2E90-E673-4019-B686-45FAD571235C}"/>
    <cellStyle name="Normal 5 4 6" xfId="4336" xr:uid="{00000000-0005-0000-0000-00003E200000}"/>
    <cellStyle name="Normal 5 4 6 2" xfId="40805" xr:uid="{92F9AA9C-3609-41E8-B049-3C98E2415FAD}"/>
    <cellStyle name="Normal 5 4 7" xfId="4337" xr:uid="{00000000-0005-0000-0000-00003F200000}"/>
    <cellStyle name="Normal 5 4 7 2" xfId="40806" xr:uid="{3535D73C-EFB2-4F06-924C-CE0E0382324E}"/>
    <cellStyle name="Normal 5 4 8" xfId="4338" xr:uid="{00000000-0005-0000-0000-000040200000}"/>
    <cellStyle name="Normal 5 4 8 2" xfId="40807" xr:uid="{678F7529-A766-41B4-9C86-A12270525BE9}"/>
    <cellStyle name="Normal 5 4 9" xfId="40797" xr:uid="{21CC7D7F-8D1E-41C9-B247-EE5C8F17D7DC}"/>
    <cellStyle name="Normal 5 5" xfId="176" xr:uid="{00000000-0005-0000-0000-000041200000}"/>
    <cellStyle name="Normal 5 5 10" xfId="4807" xr:uid="{00000000-0005-0000-0000-000042200000}"/>
    <cellStyle name="Normal 5 5 10 2" xfId="5229" xr:uid="{00000000-0005-0000-0000-000043200000}"/>
    <cellStyle name="Normal 5 5 10 2 2" xfId="7092" xr:uid="{00000000-0005-0000-0000-000044200000}"/>
    <cellStyle name="Normal 5 5 10 2 2 2" xfId="15525" xr:uid="{00000000-0005-0000-0000-000045200000}"/>
    <cellStyle name="Normal 5 5 10 2 2 2 2" xfId="27419" xr:uid="{0F3A67D6-5C6B-4CD1-AD2F-583D5BAF7765}"/>
    <cellStyle name="Normal 5 5 10 2 2 2 3" xfId="21759" xr:uid="{63C823BA-C0E0-42D8-BFC8-BCE57B64E576}"/>
    <cellStyle name="Normal 5 5 10 2 2 2 4" xfId="32799" xr:uid="{290810CB-5F6B-4B19-8D10-2E23E59BA656}"/>
    <cellStyle name="Normal 5 5 10 2 2 2 5" xfId="40812" xr:uid="{F9332005-85B4-464A-B1C6-1D223478DAA7}"/>
    <cellStyle name="Normal 5 5 10 2 2 3" xfId="24586" xr:uid="{82DC49F7-6452-4EA4-A18F-5A20F7B0BA2D}"/>
    <cellStyle name="Normal 5 5 10 2 2 4" xfId="18926" xr:uid="{6D9C5D6B-F28C-4343-812F-7CB23F418146}"/>
    <cellStyle name="Normal 5 5 10 2 2 5" xfId="30247" xr:uid="{61B07637-AE2A-4FE2-9B59-FAD2D3D1B9C9}"/>
    <cellStyle name="Normal 5 5 10 2 2 6" xfId="40811" xr:uid="{4218EDAE-34D4-4AF3-9055-C0A9E397F98D}"/>
    <cellStyle name="Normal 5 5 10 2 3" xfId="14115" xr:uid="{00000000-0005-0000-0000-000046200000}"/>
    <cellStyle name="Normal 5 5 10 2 3 2" xfId="26154" xr:uid="{2BC314CE-6CC2-4398-84A5-FF359B570D60}"/>
    <cellStyle name="Normal 5 5 10 2 3 3" xfId="20494" xr:uid="{C6F774DB-4727-40BC-83A8-CED67FB2BBC2}"/>
    <cellStyle name="Normal 5 5 10 2 3 4" xfId="31534" xr:uid="{BA8AF47D-CC07-484E-A85C-4BDEFBBB70F6}"/>
    <cellStyle name="Normal 5 5 10 2 3 5" xfId="40813" xr:uid="{9782A7F4-D415-475A-A89D-E80E50FEE2F8}"/>
    <cellStyle name="Normal 5 5 10 2 4" xfId="23024" xr:uid="{7418005D-37B9-457A-BD2B-9E2390576D8D}"/>
    <cellStyle name="Normal 5 5 10 2 5" xfId="17364" xr:uid="{DD147A42-E557-4E30-9C91-1F034EF49556}"/>
    <cellStyle name="Normal 5 5 10 2 6" xfId="28685" xr:uid="{19B0DEEA-D0A5-477C-A612-846F38B9A4C0}"/>
    <cellStyle name="Normal 5 5 10 2 7" xfId="40810" xr:uid="{668F2E8F-D3D0-4456-BB51-9D4DC47979FC}"/>
    <cellStyle name="Normal 5 5 10 3" xfId="6322" xr:uid="{00000000-0005-0000-0000-000047200000}"/>
    <cellStyle name="Normal 5 5 10 3 2" xfId="7645" xr:uid="{00000000-0005-0000-0000-000048200000}"/>
    <cellStyle name="Normal 5 5 10 3 2 2" xfId="16078" xr:uid="{00000000-0005-0000-0000-000049200000}"/>
    <cellStyle name="Normal 5 5 10 3 2 2 2" xfId="27972" xr:uid="{19161183-9BE3-4DD4-9F46-DEFAEA199B7B}"/>
    <cellStyle name="Normal 5 5 10 3 2 2 3" xfId="22312" xr:uid="{492D6389-AE3D-461C-BAAE-2F1972B0C520}"/>
    <cellStyle name="Normal 5 5 10 3 2 2 4" xfId="33352" xr:uid="{E728E904-5A87-465D-A0C8-ECACA412FE16}"/>
    <cellStyle name="Normal 5 5 10 3 2 2 5" xfId="40816" xr:uid="{50AB4463-9916-4804-BBA0-0362EF7FDDB2}"/>
    <cellStyle name="Normal 5 5 10 3 2 3" xfId="25139" xr:uid="{D7F390A1-AA9B-46F6-9AFB-925AD8620B78}"/>
    <cellStyle name="Normal 5 5 10 3 2 4" xfId="19479" xr:uid="{C46F828B-A3E6-4771-985C-597AB11F0C3C}"/>
    <cellStyle name="Normal 5 5 10 3 2 5" xfId="30800" xr:uid="{16F7FF0E-8A39-438F-A4F5-89DCBFE45AD9}"/>
    <cellStyle name="Normal 5 5 10 3 2 6" xfId="40815" xr:uid="{AEB888C6-1833-418B-9ED9-4DA17A0C4F67}"/>
    <cellStyle name="Normal 5 5 10 3 3" xfId="14760" xr:uid="{00000000-0005-0000-0000-00004A200000}"/>
    <cellStyle name="Normal 5 5 10 3 3 2" xfId="26716" xr:uid="{748BCF96-4F98-49AC-99FF-2537FFBCDBC9}"/>
    <cellStyle name="Normal 5 5 10 3 3 3" xfId="21056" xr:uid="{7FC88348-EF55-453C-8921-4E6BA405BDC1}"/>
    <cellStyle name="Normal 5 5 10 3 3 4" xfId="32096" xr:uid="{151767AD-6AFC-410A-AEF8-A3600949DA39}"/>
    <cellStyle name="Normal 5 5 10 3 3 5" xfId="40817" xr:uid="{8AA14ECE-E552-4C57-BE01-E6A8EC88D784}"/>
    <cellStyle name="Normal 5 5 10 3 4" xfId="23883" xr:uid="{C841454C-22C8-47F4-BB8E-7549D8A3411E}"/>
    <cellStyle name="Normal 5 5 10 3 5" xfId="18223" xr:uid="{D75DBBDA-A08D-42D1-8404-2229E54F1177}"/>
    <cellStyle name="Normal 5 5 10 3 6" xfId="29544" xr:uid="{AF69863D-0C47-4E17-835B-A534BBA2380A}"/>
    <cellStyle name="Normal 5 5 10 3 7" xfId="40814" xr:uid="{46A8287B-EDF5-416E-8053-1BD1DDA9AA88}"/>
    <cellStyle name="Normal 5 5 10 4" xfId="6674" xr:uid="{00000000-0005-0000-0000-00004B200000}"/>
    <cellStyle name="Normal 5 5 10 4 2" xfId="15107" xr:uid="{00000000-0005-0000-0000-00004C200000}"/>
    <cellStyle name="Normal 5 5 10 4 2 2" xfId="27001" xr:uid="{5E1BFFDE-B3B8-4445-B36D-9B011B2CD096}"/>
    <cellStyle name="Normal 5 5 10 4 2 3" xfId="21341" xr:uid="{E149972B-44D6-4AF7-B15B-0C8A76C0CE7F}"/>
    <cellStyle name="Normal 5 5 10 4 2 4" xfId="32381" xr:uid="{EC1CEB08-071D-412F-87A7-0AD55BE9EFDC}"/>
    <cellStyle name="Normal 5 5 10 4 2 5" xfId="40819" xr:uid="{C634B1F6-931F-4D77-84B3-15E9BE1E1326}"/>
    <cellStyle name="Normal 5 5 10 4 3" xfId="24168" xr:uid="{A0235F65-7EF2-4FB5-A708-E59EA8037B2B}"/>
    <cellStyle name="Normal 5 5 10 4 4" xfId="18508" xr:uid="{756FDAFC-F554-4296-BD18-4DA386A9EFAD}"/>
    <cellStyle name="Normal 5 5 10 4 5" xfId="29829" xr:uid="{5218D104-21B1-45F0-A775-8583ECA932C4}"/>
    <cellStyle name="Normal 5 5 10 4 6" xfId="40818" xr:uid="{9FEB9641-8A8D-4E0C-B249-09E374E251F4}"/>
    <cellStyle name="Normal 5 5 10 5" xfId="8094" xr:uid="{00000000-0005-0000-0000-00004D200000}"/>
    <cellStyle name="Normal 5 5 10 5 2" xfId="25570" xr:uid="{D846F3E8-BC16-4CC5-B9D9-5580E5C98B88}"/>
    <cellStyle name="Normal 5 5 10 5 3" xfId="19910" xr:uid="{98F2CE85-F08D-46D6-99DB-5BED413570B2}"/>
    <cellStyle name="Normal 5 5 10 5 4" xfId="31231" xr:uid="{1CD33E75-08C0-4098-B73F-6066CF84F01A}"/>
    <cellStyle name="Normal 5 5 10 5 5" xfId="40820" xr:uid="{7338B5C3-4869-4DE4-AF01-D180DB7295AA}"/>
    <cellStyle name="Normal 5 5 10 6" xfId="22606" xr:uid="{34EC3701-712E-4864-81E2-142D91E395B6}"/>
    <cellStyle name="Normal 5 5 10 7" xfId="16946" xr:uid="{C7EF52D0-5934-4DE4-8677-6DB4CE7EF17D}"/>
    <cellStyle name="Normal 5 5 10 8" xfId="28267" xr:uid="{C7A0295B-0CED-4F4D-BDB6-527BDB6FAB2B}"/>
    <cellStyle name="Normal 5 5 10 9" xfId="40809" xr:uid="{E37F1F8B-8208-438F-A043-F42673C98F5C}"/>
    <cellStyle name="Normal 5 5 11" xfId="5020" xr:uid="{00000000-0005-0000-0000-00004E200000}"/>
    <cellStyle name="Normal 5 5 11 2" xfId="5801" xr:uid="{00000000-0005-0000-0000-00004F200000}"/>
    <cellStyle name="Normal 5 5 11 2 2" xfId="7303" xr:uid="{00000000-0005-0000-0000-000050200000}"/>
    <cellStyle name="Normal 5 5 11 2 2 2" xfId="15736" xr:uid="{00000000-0005-0000-0000-000051200000}"/>
    <cellStyle name="Normal 5 5 11 2 2 2 2" xfId="27630" xr:uid="{A2B36B6C-684A-4D0C-AA1A-11CECF496942}"/>
    <cellStyle name="Normal 5 5 11 2 2 2 3" xfId="21970" xr:uid="{499BA5E8-4051-4A9C-8860-3BB2B4A84745}"/>
    <cellStyle name="Normal 5 5 11 2 2 2 4" xfId="33010" xr:uid="{AF364538-EE35-4CD1-A541-72878A88C37A}"/>
    <cellStyle name="Normal 5 5 11 2 2 2 5" xfId="40824" xr:uid="{DCFD1CD9-A95C-499D-A898-D4041DACAEB2}"/>
    <cellStyle name="Normal 5 5 11 2 2 3" xfId="24797" xr:uid="{A1917C0C-14AF-4CF9-A8FF-CEA21368C261}"/>
    <cellStyle name="Normal 5 5 11 2 2 4" xfId="19137" xr:uid="{4579CFB7-F613-45C0-AC98-DB64788CEEE9}"/>
    <cellStyle name="Normal 5 5 11 2 2 5" xfId="30458" xr:uid="{8788DC07-3074-4236-8937-E9E616CE9744}"/>
    <cellStyle name="Normal 5 5 11 2 2 6" xfId="40823" xr:uid="{E05BDB09-74C9-4FF3-B672-D79D24E7457F}"/>
    <cellStyle name="Normal 5 5 11 2 3" xfId="14380" xr:uid="{00000000-0005-0000-0000-000052200000}"/>
    <cellStyle name="Normal 5 5 11 2 3 2" xfId="26372" xr:uid="{E6400DB3-3C21-4C04-BA9A-7F6164A4588A}"/>
    <cellStyle name="Normal 5 5 11 2 3 3" xfId="20712" xr:uid="{B7C2E673-CBCB-4C24-9A72-391AEF4633CE}"/>
    <cellStyle name="Normal 5 5 11 2 3 4" xfId="31752" xr:uid="{8230F464-3F94-4DA8-A191-C9FEAEDC16A4}"/>
    <cellStyle name="Normal 5 5 11 2 3 5" xfId="40825" xr:uid="{5A0E70AF-0DD1-4DCF-8619-B2B03DD816D3}"/>
    <cellStyle name="Normal 5 5 11 2 4" xfId="23456" xr:uid="{4161A74E-31EE-4E42-AEA3-1CE95781ABE0}"/>
    <cellStyle name="Normal 5 5 11 2 5" xfId="17796" xr:uid="{CEEB8B5B-B798-4FDB-9BCF-33AA31F97EE1}"/>
    <cellStyle name="Normal 5 5 11 2 6" xfId="29117" xr:uid="{90D9CC7C-A4AA-4180-AA43-DD74611B50CC}"/>
    <cellStyle name="Normal 5 5 11 2 7" xfId="40822" xr:uid="{3814B2D1-AA57-4B1C-93C9-E6F1EC0ACCC7}"/>
    <cellStyle name="Normal 5 5 11 3" xfId="6883" xr:uid="{00000000-0005-0000-0000-000053200000}"/>
    <cellStyle name="Normal 5 5 11 3 2" xfId="15316" xr:uid="{00000000-0005-0000-0000-000054200000}"/>
    <cellStyle name="Normal 5 5 11 3 2 2" xfId="27210" xr:uid="{9F2BC9FF-7773-4E17-BBB9-3574C84E4F94}"/>
    <cellStyle name="Normal 5 5 11 3 2 3" xfId="21550" xr:uid="{4709EC76-82C8-4A4B-8716-5A8000C750FE}"/>
    <cellStyle name="Normal 5 5 11 3 2 4" xfId="32590" xr:uid="{3BB30703-DB69-4509-AF09-89144BD13AD5}"/>
    <cellStyle name="Normal 5 5 11 3 2 5" xfId="40827" xr:uid="{A22D2841-7634-47F9-82E9-D0CC201B408F}"/>
    <cellStyle name="Normal 5 5 11 3 3" xfId="24377" xr:uid="{CD9C0CF0-C4A8-4774-A738-FEFB64731BA1}"/>
    <cellStyle name="Normal 5 5 11 3 4" xfId="18717" xr:uid="{F1F78935-B472-4A80-9AE1-7942CFD5C122}"/>
    <cellStyle name="Normal 5 5 11 3 5" xfId="30038" xr:uid="{F7F3FCE7-5475-4225-9BD3-6745A5A28006}"/>
    <cellStyle name="Normal 5 5 11 3 6" xfId="40826" xr:uid="{03635E43-C7FD-47B7-A14A-1B016C5AE71F}"/>
    <cellStyle name="Normal 5 5 11 4" xfId="8095" xr:uid="{00000000-0005-0000-0000-000055200000}"/>
    <cellStyle name="Normal 5 5 11 4 2" xfId="25571" xr:uid="{E0BF00C8-38D4-4B6B-B035-5BCC1B98744B}"/>
    <cellStyle name="Normal 5 5 11 4 3" xfId="19911" xr:uid="{38A95C50-2C2E-436D-98B5-3D289AF7A6D7}"/>
    <cellStyle name="Normal 5 5 11 4 4" xfId="31232" xr:uid="{BC7EDFF0-4ADC-428F-8D17-308C283A92E4}"/>
    <cellStyle name="Normal 5 5 11 4 5" xfId="40828" xr:uid="{AE13E90F-8313-4078-ADE3-5894FA30CECA}"/>
    <cellStyle name="Normal 5 5 11 5" xfId="22815" xr:uid="{866C698D-B87C-43AB-8ED7-078C6930AC0B}"/>
    <cellStyle name="Normal 5 5 11 6" xfId="17155" xr:uid="{656267D2-DB02-49B4-B36A-85C4600B0009}"/>
    <cellStyle name="Normal 5 5 11 7" xfId="28476" xr:uid="{43D067A1-BB44-432E-86C5-37BDF6106692}"/>
    <cellStyle name="Normal 5 5 11 8" xfId="40821" xr:uid="{233B7748-3663-4893-AC8E-4CA7C12166C9}"/>
    <cellStyle name="Normal 5 5 12" xfId="6465" xr:uid="{00000000-0005-0000-0000-000056200000}"/>
    <cellStyle name="Normal 5 5 12 2" xfId="14898" xr:uid="{00000000-0005-0000-0000-000057200000}"/>
    <cellStyle name="Normal 5 5 12 2 2" xfId="26792" xr:uid="{75CED470-EC49-430C-BC4D-C6055E15FBF9}"/>
    <cellStyle name="Normal 5 5 12 2 3" xfId="21132" xr:uid="{B6726429-6815-494E-8196-2C37B7BA018B}"/>
    <cellStyle name="Normal 5 5 12 2 4" xfId="32172" xr:uid="{396826F2-D366-49D4-A7FA-EE35350102CF}"/>
    <cellStyle name="Normal 5 5 12 2 5" xfId="40830" xr:uid="{0C7C0AF9-D909-48F1-A493-26749EE474E9}"/>
    <cellStyle name="Normal 5 5 12 3" xfId="23959" xr:uid="{3B49C9F8-CC2C-453E-823F-2CF76807A049}"/>
    <cellStyle name="Normal 5 5 12 4" xfId="18299" xr:uid="{4828C9C2-F5DB-4131-BAB4-FC6B3FABA766}"/>
    <cellStyle name="Normal 5 5 12 5" xfId="29620" xr:uid="{B58E7862-DEF7-4DAB-BBF7-C397F91CD440}"/>
    <cellStyle name="Normal 5 5 12 6" xfId="40829" xr:uid="{1D5E1DBD-1BC5-4AAA-94E1-3586826E8714}"/>
    <cellStyle name="Normal 5 5 13" xfId="22397" xr:uid="{7656259C-C693-405E-A6A1-07786C62D122}"/>
    <cellStyle name="Normal 5 5 14" xfId="16737" xr:uid="{4E43E316-934C-400A-9E78-EC68BD304E1B}"/>
    <cellStyle name="Normal 5 5 15" xfId="28058" xr:uid="{57FB8E6B-42A2-482C-8003-139CB84584BD}"/>
    <cellStyle name="Normal 5 5 16" xfId="40808" xr:uid="{6E31E2FE-5D91-4927-B4AF-579A20364C32}"/>
    <cellStyle name="Normal 5 5 2" xfId="322" xr:uid="{00000000-0005-0000-0000-000058200000}"/>
    <cellStyle name="Normal 5 5 2 10" xfId="40831" xr:uid="{D2A546DE-43B5-4054-BE27-231F3FD451D9}"/>
    <cellStyle name="Normal 5 5 2 2" xfId="2245" xr:uid="{00000000-0005-0000-0000-000059200000}"/>
    <cellStyle name="Normal 5 5 2 2 10" xfId="40832" xr:uid="{93B514A7-FDC4-4000-A98D-D86D754B0519}"/>
    <cellStyle name="Normal 5 5 2 2 2" xfId="4874" xr:uid="{00000000-0005-0000-0000-00005A200000}"/>
    <cellStyle name="Normal 5 5 2 2 2 2" xfId="5293" xr:uid="{00000000-0005-0000-0000-00005B200000}"/>
    <cellStyle name="Normal 5 5 2 2 2 2 2" xfId="7156" xr:uid="{00000000-0005-0000-0000-00005C200000}"/>
    <cellStyle name="Normal 5 5 2 2 2 2 2 2" xfId="15589" xr:uid="{00000000-0005-0000-0000-00005D200000}"/>
    <cellStyle name="Normal 5 5 2 2 2 2 2 2 2" xfId="27483" xr:uid="{B554A559-E027-443B-BFBB-028734D5A730}"/>
    <cellStyle name="Normal 5 5 2 2 2 2 2 2 3" xfId="21823" xr:uid="{61E63071-D587-4356-A8FF-41A3B18DC242}"/>
    <cellStyle name="Normal 5 5 2 2 2 2 2 2 4" xfId="32863" xr:uid="{FAFFAD83-4E85-4A73-B5D1-E5DC4CE1F799}"/>
    <cellStyle name="Normal 5 5 2 2 2 2 2 2 5" xfId="40836" xr:uid="{C278EF31-243C-4E39-BB24-DC91BC24D431}"/>
    <cellStyle name="Normal 5 5 2 2 2 2 2 3" xfId="24650" xr:uid="{BD32DCBE-5779-473C-8C2D-6401A4A7EADA}"/>
    <cellStyle name="Normal 5 5 2 2 2 2 2 4" xfId="18990" xr:uid="{E2050FF1-7B4B-499A-8BBF-FBC27BFD8D30}"/>
    <cellStyle name="Normal 5 5 2 2 2 2 2 5" xfId="30311" xr:uid="{771B16F1-7289-45DD-9E20-53DC500EBA5E}"/>
    <cellStyle name="Normal 5 5 2 2 2 2 2 6" xfId="40835" xr:uid="{5CB3B334-A76E-4E31-8C98-04E456B1E2B2}"/>
    <cellStyle name="Normal 5 5 2 2 2 2 3" xfId="14179" xr:uid="{00000000-0005-0000-0000-00005E200000}"/>
    <cellStyle name="Normal 5 5 2 2 2 2 3 2" xfId="26218" xr:uid="{59EC24BE-644C-4DBF-BA8B-F9268E32D18B}"/>
    <cellStyle name="Normal 5 5 2 2 2 2 3 3" xfId="20558" xr:uid="{6EEF4070-5E60-45F7-BFFC-F0DA978ACDDE}"/>
    <cellStyle name="Normal 5 5 2 2 2 2 3 4" xfId="31598" xr:uid="{D45E64CC-DCFA-4637-BC7A-D35CE94D2A0A}"/>
    <cellStyle name="Normal 5 5 2 2 2 2 3 5" xfId="40837" xr:uid="{AF658153-1B19-466B-B505-B75F941F3510}"/>
    <cellStyle name="Normal 5 5 2 2 2 2 4" xfId="23088" xr:uid="{F93DECD3-8474-492D-ABB2-976B0121F87C}"/>
    <cellStyle name="Normal 5 5 2 2 2 2 5" xfId="17428" xr:uid="{D4A40BAD-0A40-4082-A4CA-A0B29C3A1901}"/>
    <cellStyle name="Normal 5 5 2 2 2 2 6" xfId="28749" xr:uid="{D471250D-C185-42AF-8DB1-96F7F12D4D74}"/>
    <cellStyle name="Normal 5 5 2 2 2 2 7" xfId="40834" xr:uid="{10488237-5DCF-4190-9D47-4C088FECAB1E}"/>
    <cellStyle name="Normal 5 5 2 2 2 3" xfId="6325" xr:uid="{00000000-0005-0000-0000-00005F200000}"/>
    <cellStyle name="Normal 5 5 2 2 2 3 2" xfId="7648" xr:uid="{00000000-0005-0000-0000-000060200000}"/>
    <cellStyle name="Normal 5 5 2 2 2 3 2 2" xfId="16081" xr:uid="{00000000-0005-0000-0000-000061200000}"/>
    <cellStyle name="Normal 5 5 2 2 2 3 2 2 2" xfId="27975" xr:uid="{6D5C0B9E-11C5-444F-BA6A-4BF0FADE4D2A}"/>
    <cellStyle name="Normal 5 5 2 2 2 3 2 2 3" xfId="22315" xr:uid="{DE4433E5-08A4-4A94-8D22-1F1AB1CAC8D5}"/>
    <cellStyle name="Normal 5 5 2 2 2 3 2 2 4" xfId="33355" xr:uid="{4F82BC23-8660-4F05-ADE9-F49956F67047}"/>
    <cellStyle name="Normal 5 5 2 2 2 3 2 2 5" xfId="40840" xr:uid="{B6E4386E-1BC8-4D9C-AD34-8D55463B3CB1}"/>
    <cellStyle name="Normal 5 5 2 2 2 3 2 3" xfId="25142" xr:uid="{36E7914C-276A-4FB7-97D0-012E2FAB5BF2}"/>
    <cellStyle name="Normal 5 5 2 2 2 3 2 4" xfId="19482" xr:uid="{3E2C7AC7-CE0E-4DEB-8F57-19D29A55D3F8}"/>
    <cellStyle name="Normal 5 5 2 2 2 3 2 5" xfId="30803" xr:uid="{A4B21DCB-EC85-40A4-A5BC-9B628F0778BC}"/>
    <cellStyle name="Normal 5 5 2 2 2 3 2 6" xfId="40839" xr:uid="{62960B5D-5222-4586-B854-1D7D5C0CD936}"/>
    <cellStyle name="Normal 5 5 2 2 2 3 3" xfId="14763" xr:uid="{00000000-0005-0000-0000-000062200000}"/>
    <cellStyle name="Normal 5 5 2 2 2 3 3 2" xfId="26719" xr:uid="{9E137160-061D-4EB7-8FE4-11F8789570CA}"/>
    <cellStyle name="Normal 5 5 2 2 2 3 3 3" xfId="21059" xr:uid="{BC6B3FDB-C8A2-49E9-BF2D-D8B45270ED7F}"/>
    <cellStyle name="Normal 5 5 2 2 2 3 3 4" xfId="32099" xr:uid="{C332279C-BDD3-4141-BA94-569411DECE8D}"/>
    <cellStyle name="Normal 5 5 2 2 2 3 3 5" xfId="40841" xr:uid="{3FF6F718-D97F-4CFF-9A62-4DBC0CAB9ABC}"/>
    <cellStyle name="Normal 5 5 2 2 2 3 4" xfId="23886" xr:uid="{5537EC2F-1AF2-4948-BA66-FEC9F55C6CEF}"/>
    <cellStyle name="Normal 5 5 2 2 2 3 5" xfId="18226" xr:uid="{5EBFB1E9-3C9B-415F-B0E6-E612E74E5651}"/>
    <cellStyle name="Normal 5 5 2 2 2 3 6" xfId="29547" xr:uid="{BC02E4E4-30C1-438F-B744-D4EA993504EE}"/>
    <cellStyle name="Normal 5 5 2 2 2 3 7" xfId="40838" xr:uid="{2566970E-74AF-4C2B-9967-33F57807ABEE}"/>
    <cellStyle name="Normal 5 5 2 2 2 4" xfId="6738" xr:uid="{00000000-0005-0000-0000-000063200000}"/>
    <cellStyle name="Normal 5 5 2 2 2 4 2" xfId="15171" xr:uid="{00000000-0005-0000-0000-000064200000}"/>
    <cellStyle name="Normal 5 5 2 2 2 4 2 2" xfId="27065" xr:uid="{22FFB285-008B-4475-9B26-23AF75C83AA2}"/>
    <cellStyle name="Normal 5 5 2 2 2 4 2 3" xfId="21405" xr:uid="{60BE4388-E675-4623-921F-7A61864C173E}"/>
    <cellStyle name="Normal 5 5 2 2 2 4 2 4" xfId="32445" xr:uid="{C65F722C-FDD5-4600-A33C-464DA909FB1F}"/>
    <cellStyle name="Normal 5 5 2 2 2 4 2 5" xfId="40843" xr:uid="{D58669DC-0074-4547-96AA-3F65C787872F}"/>
    <cellStyle name="Normal 5 5 2 2 2 4 3" xfId="24232" xr:uid="{11F29BCE-3B23-4473-971B-5715518075CD}"/>
    <cellStyle name="Normal 5 5 2 2 2 4 4" xfId="18572" xr:uid="{7A4D4413-5076-482C-A11A-F7145432E94C}"/>
    <cellStyle name="Normal 5 5 2 2 2 4 5" xfId="29893" xr:uid="{9A922330-F38F-4F63-AAD0-088CD1B375F6}"/>
    <cellStyle name="Normal 5 5 2 2 2 4 6" xfId="40842" xr:uid="{480122AE-F67D-4557-9827-60A47D65F205}"/>
    <cellStyle name="Normal 5 5 2 2 2 5" xfId="8097" xr:uid="{00000000-0005-0000-0000-000065200000}"/>
    <cellStyle name="Normal 5 5 2 2 2 5 2" xfId="25573" xr:uid="{75678071-E1F7-4FA3-B8CF-D195F9EFB96E}"/>
    <cellStyle name="Normal 5 5 2 2 2 5 3" xfId="19913" xr:uid="{3C69C354-9C8C-4297-A60D-DAF2B5504A6A}"/>
    <cellStyle name="Normal 5 5 2 2 2 5 4" xfId="31234" xr:uid="{217AB7F3-0346-4C9A-8D83-FA050CC0C489}"/>
    <cellStyle name="Normal 5 5 2 2 2 5 5" xfId="40844" xr:uid="{34AE20EF-4A8C-477A-AD5B-E3F20844087A}"/>
    <cellStyle name="Normal 5 5 2 2 2 6" xfId="22670" xr:uid="{845827AD-2CA7-4377-B022-9530784B4456}"/>
    <cellStyle name="Normal 5 5 2 2 2 7" xfId="17010" xr:uid="{8EDA2C62-B028-4CEF-A4D3-150062787C6C}"/>
    <cellStyle name="Normal 5 5 2 2 2 8" xfId="28331" xr:uid="{4082F59A-93F2-45ED-B5B1-6764D996B891}"/>
    <cellStyle name="Normal 5 5 2 2 2 9" xfId="40833" xr:uid="{3FFBD9E0-1436-47B4-9633-9833E048F294}"/>
    <cellStyle name="Normal 5 5 2 2 3" xfId="5084" xr:uid="{00000000-0005-0000-0000-000066200000}"/>
    <cellStyle name="Normal 5 5 2 2 3 2" xfId="6947" xr:uid="{00000000-0005-0000-0000-000067200000}"/>
    <cellStyle name="Normal 5 5 2 2 3 2 2" xfId="15380" xr:uid="{00000000-0005-0000-0000-000068200000}"/>
    <cellStyle name="Normal 5 5 2 2 3 2 2 2" xfId="27274" xr:uid="{8C21A3F2-9CCF-426A-AAE9-DD7D727277F9}"/>
    <cellStyle name="Normal 5 5 2 2 3 2 2 3" xfId="21614" xr:uid="{A357E645-4B8A-41C4-9CC6-D4A6B59E42F2}"/>
    <cellStyle name="Normal 5 5 2 2 3 2 2 4" xfId="32654" xr:uid="{DD45F737-4CDA-4C68-8C93-92628675E0CB}"/>
    <cellStyle name="Normal 5 5 2 2 3 2 2 5" xfId="40847" xr:uid="{AE557A41-C0B1-4CA5-9D11-E4FCB0EF4433}"/>
    <cellStyle name="Normal 5 5 2 2 3 2 3" xfId="24441" xr:uid="{C327E278-493E-41D7-97A2-FA60B8AECA64}"/>
    <cellStyle name="Normal 5 5 2 2 3 2 4" xfId="18781" xr:uid="{ED2A7DD0-4834-48EE-99D1-09E71DCE4E83}"/>
    <cellStyle name="Normal 5 5 2 2 3 2 5" xfId="30102" xr:uid="{4C5F27A6-9693-4150-AAE8-409901B61E6B}"/>
    <cellStyle name="Normal 5 5 2 2 3 2 6" xfId="40846" xr:uid="{62BB47BC-9E84-42F8-8A89-94167F95D43D}"/>
    <cellStyle name="Normal 5 5 2 2 3 3" xfId="13972" xr:uid="{00000000-0005-0000-0000-000069200000}"/>
    <cellStyle name="Normal 5 5 2 2 3 3 2" xfId="26012" xr:uid="{B899CDC7-FDDB-4F0C-B00E-27EA125D51E3}"/>
    <cellStyle name="Normal 5 5 2 2 3 3 3" xfId="20352" xr:uid="{A6B0154A-B479-49B0-B035-B0C3B05E8009}"/>
    <cellStyle name="Normal 5 5 2 2 3 3 4" xfId="31392" xr:uid="{6731C5EA-CDB5-42C7-A372-6EEFE9F214A8}"/>
    <cellStyle name="Normal 5 5 2 2 3 3 5" xfId="40848" xr:uid="{7824B6C0-22C5-4291-B4E6-D38F4A532076}"/>
    <cellStyle name="Normal 5 5 2 2 3 4" xfId="22879" xr:uid="{D332329C-B3CC-4A93-AC20-1D21BAB18042}"/>
    <cellStyle name="Normal 5 5 2 2 3 5" xfId="17219" xr:uid="{F1728FB2-7640-4B7C-B041-3EDE7D4EBA9F}"/>
    <cellStyle name="Normal 5 5 2 2 3 6" xfId="28540" xr:uid="{76259876-F8D9-4A48-921F-B41C18F3FAA0}"/>
    <cellStyle name="Normal 5 5 2 2 3 7" xfId="40845" xr:uid="{1533D2E4-47D1-477B-941C-3E3E54D58F0E}"/>
    <cellStyle name="Normal 5 5 2 2 4" xfId="6324" xr:uid="{00000000-0005-0000-0000-00006A200000}"/>
    <cellStyle name="Normal 5 5 2 2 4 2" xfId="7647" xr:uid="{00000000-0005-0000-0000-00006B200000}"/>
    <cellStyle name="Normal 5 5 2 2 4 2 2" xfId="16080" xr:uid="{00000000-0005-0000-0000-00006C200000}"/>
    <cellStyle name="Normal 5 5 2 2 4 2 2 2" xfId="27974" xr:uid="{035305B0-C0F9-4863-9722-A0A452D31FAD}"/>
    <cellStyle name="Normal 5 5 2 2 4 2 2 3" xfId="22314" xr:uid="{FB330EF8-0871-4BCB-AC9C-EC8BE16FEF17}"/>
    <cellStyle name="Normal 5 5 2 2 4 2 2 4" xfId="33354" xr:uid="{89590BF2-1413-49CA-B657-08C7547D8D0F}"/>
    <cellStyle name="Normal 5 5 2 2 4 2 2 5" xfId="40851" xr:uid="{AFDD1CAF-874B-43D7-9792-40D92F55FA30}"/>
    <cellStyle name="Normal 5 5 2 2 4 2 3" xfId="25141" xr:uid="{2F4EA040-F99A-4C26-9B5E-22698C26E7EF}"/>
    <cellStyle name="Normal 5 5 2 2 4 2 4" xfId="19481" xr:uid="{B7A10F63-9A72-4CE4-BBCD-DEB98F09E4C8}"/>
    <cellStyle name="Normal 5 5 2 2 4 2 5" xfId="30802" xr:uid="{7D7D6E2E-7E8F-4AAF-9080-FF8881DE4785}"/>
    <cellStyle name="Normal 5 5 2 2 4 2 6" xfId="40850" xr:uid="{62110104-676E-43E9-8389-78BCCFF11D45}"/>
    <cellStyle name="Normal 5 5 2 2 4 3" xfId="14762" xr:uid="{00000000-0005-0000-0000-00006D200000}"/>
    <cellStyle name="Normal 5 5 2 2 4 3 2" xfId="26718" xr:uid="{AAA423B6-3D51-4251-AA24-E4B4ACA63B30}"/>
    <cellStyle name="Normal 5 5 2 2 4 3 3" xfId="21058" xr:uid="{71D9866E-CCCB-44B7-93F1-B817EF02D5A0}"/>
    <cellStyle name="Normal 5 5 2 2 4 3 4" xfId="32098" xr:uid="{8442D014-A48B-4D46-B52A-01B114244221}"/>
    <cellStyle name="Normal 5 5 2 2 4 3 5" xfId="40852" xr:uid="{039C9416-D891-4773-B06A-FBF8EA591F7D}"/>
    <cellStyle name="Normal 5 5 2 2 4 4" xfId="23885" xr:uid="{DF69115D-2E33-4B2E-ADED-4A9BD837A49F}"/>
    <cellStyle name="Normal 5 5 2 2 4 5" xfId="18225" xr:uid="{C2A73F66-B4B9-4593-A6CF-1305C8ACC7FB}"/>
    <cellStyle name="Normal 5 5 2 2 4 6" xfId="29546" xr:uid="{02000E95-2F31-4C05-9235-91EE2144BE04}"/>
    <cellStyle name="Normal 5 5 2 2 4 7" xfId="40849" xr:uid="{EBB5960A-F72C-490F-9E37-DF98554620B8}"/>
    <cellStyle name="Normal 5 5 2 2 5" xfId="6529" xr:uid="{00000000-0005-0000-0000-00006E200000}"/>
    <cellStyle name="Normal 5 5 2 2 5 2" xfId="14962" xr:uid="{00000000-0005-0000-0000-00006F200000}"/>
    <cellStyle name="Normal 5 5 2 2 5 2 2" xfId="26856" xr:uid="{8884FF7A-2806-4B5A-973F-14F768976129}"/>
    <cellStyle name="Normal 5 5 2 2 5 2 3" xfId="21196" xr:uid="{6BC74FE7-0286-4B30-AE3C-679206C30426}"/>
    <cellStyle name="Normal 5 5 2 2 5 2 4" xfId="32236" xr:uid="{9333392E-B761-4485-B3A6-0DBB4C473177}"/>
    <cellStyle name="Normal 5 5 2 2 5 2 5" xfId="40854" xr:uid="{3570FE70-4191-43C9-9CD5-0A8606511B16}"/>
    <cellStyle name="Normal 5 5 2 2 5 3" xfId="24023" xr:uid="{C3BDDB21-0E32-47A8-B7F2-7B80F872F9D5}"/>
    <cellStyle name="Normal 5 5 2 2 5 4" xfId="18363" xr:uid="{BF556EC0-8901-4FF1-B450-77CEECF644AB}"/>
    <cellStyle name="Normal 5 5 2 2 5 5" xfId="29684" xr:uid="{917E3F51-1409-4465-A061-AE54756AEFCF}"/>
    <cellStyle name="Normal 5 5 2 2 5 6" xfId="40853" xr:uid="{0B4C97A8-F97E-4B98-9C15-CA6982202E62}"/>
    <cellStyle name="Normal 5 5 2 2 6" xfId="8096" xr:uid="{00000000-0005-0000-0000-000070200000}"/>
    <cellStyle name="Normal 5 5 2 2 6 2" xfId="25572" xr:uid="{07473D62-BC41-4570-81BB-1727803E1B6E}"/>
    <cellStyle name="Normal 5 5 2 2 6 3" xfId="19912" xr:uid="{D320A0A9-F9D2-48B4-ACAC-8FA2B6751E43}"/>
    <cellStyle name="Normal 5 5 2 2 6 4" xfId="31233" xr:uid="{E0884317-6AD0-4180-89B9-EC2D94A4FF47}"/>
    <cellStyle name="Normal 5 5 2 2 6 5" xfId="40855" xr:uid="{F0367700-A376-4156-9EA5-C3C977EAFBEC}"/>
    <cellStyle name="Normal 5 5 2 2 7" xfId="22461" xr:uid="{D6F595A8-E465-4489-BC65-C5A7F4C41C65}"/>
    <cellStyle name="Normal 5 5 2 2 8" xfId="16801" xr:uid="{5268AB50-2214-4A41-B1FB-C8FFEBF6E524}"/>
    <cellStyle name="Normal 5 5 2 2 9" xfId="28122" xr:uid="{BE47F5D9-A94F-45FC-AB3E-1567AC108D91}"/>
    <cellStyle name="Normal 5 5 2 3" xfId="4339" xr:uid="{00000000-0005-0000-0000-000071200000}"/>
    <cellStyle name="Normal 5 5 2 3 2" xfId="40856" xr:uid="{D7B0974A-7E38-47FC-A69E-4A43B5FC5F21}"/>
    <cellStyle name="Normal 5 5 2 4" xfId="4834" xr:uid="{00000000-0005-0000-0000-000072200000}"/>
    <cellStyle name="Normal 5 5 2 4 2" xfId="5255" xr:uid="{00000000-0005-0000-0000-000073200000}"/>
    <cellStyle name="Normal 5 5 2 4 2 2" xfId="7118" xr:uid="{00000000-0005-0000-0000-000074200000}"/>
    <cellStyle name="Normal 5 5 2 4 2 2 2" xfId="15551" xr:uid="{00000000-0005-0000-0000-000075200000}"/>
    <cellStyle name="Normal 5 5 2 4 2 2 2 2" xfId="27445" xr:uid="{55CE7AB7-69EA-46E4-8A1C-EA204F382E8E}"/>
    <cellStyle name="Normal 5 5 2 4 2 2 2 3" xfId="21785" xr:uid="{F85CDF65-C66B-4178-8CAE-F70E97685B56}"/>
    <cellStyle name="Normal 5 5 2 4 2 2 2 4" xfId="32825" xr:uid="{B8161D43-4351-473F-AEC0-B738184A6274}"/>
    <cellStyle name="Normal 5 5 2 4 2 2 2 5" xfId="40860" xr:uid="{5FBDD8A7-584E-4151-A10B-B72A4F05F41C}"/>
    <cellStyle name="Normal 5 5 2 4 2 2 3" xfId="24612" xr:uid="{DF93B8A7-6BA0-496E-8078-C1E0D6AA2F2F}"/>
    <cellStyle name="Normal 5 5 2 4 2 2 4" xfId="18952" xr:uid="{44B6B21A-F2D7-46F7-89F9-A9962B75B5E2}"/>
    <cellStyle name="Normal 5 5 2 4 2 2 5" xfId="30273" xr:uid="{25510262-BCB0-45A5-9BBC-58BC494A1C0F}"/>
    <cellStyle name="Normal 5 5 2 4 2 2 6" xfId="40859" xr:uid="{DA7CB8C4-C553-4F8F-84ED-A9BAA71A8678}"/>
    <cellStyle name="Normal 5 5 2 4 2 3" xfId="14141" xr:uid="{00000000-0005-0000-0000-000076200000}"/>
    <cellStyle name="Normal 5 5 2 4 2 3 2" xfId="26180" xr:uid="{AA85F9B1-B0BD-499D-9984-D76C5DB3EC18}"/>
    <cellStyle name="Normal 5 5 2 4 2 3 3" xfId="20520" xr:uid="{17D513D1-6DA9-4561-A617-F2D62C6B0077}"/>
    <cellStyle name="Normal 5 5 2 4 2 3 4" xfId="31560" xr:uid="{F301E8C1-EB19-4497-ACA8-D83FEF5B4859}"/>
    <cellStyle name="Normal 5 5 2 4 2 3 5" xfId="40861" xr:uid="{20971394-B668-4BD5-8288-444094379419}"/>
    <cellStyle name="Normal 5 5 2 4 2 4" xfId="23050" xr:uid="{FF6CA164-A786-499F-B658-E38B18A95D82}"/>
    <cellStyle name="Normal 5 5 2 4 2 5" xfId="17390" xr:uid="{8ACD29B8-590A-4F86-AA31-3C216B23F925}"/>
    <cellStyle name="Normal 5 5 2 4 2 6" xfId="28711" xr:uid="{71092AD2-3BB9-4AA9-972D-51EF4921E3F9}"/>
    <cellStyle name="Normal 5 5 2 4 2 7" xfId="40858" xr:uid="{FDECBA32-255B-4D61-B573-79DC27555EDB}"/>
    <cellStyle name="Normal 5 5 2 4 3" xfId="6326" xr:uid="{00000000-0005-0000-0000-000077200000}"/>
    <cellStyle name="Normal 5 5 2 4 3 2" xfId="7649" xr:uid="{00000000-0005-0000-0000-000078200000}"/>
    <cellStyle name="Normal 5 5 2 4 3 2 2" xfId="16082" xr:uid="{00000000-0005-0000-0000-000079200000}"/>
    <cellStyle name="Normal 5 5 2 4 3 2 2 2" xfId="27976" xr:uid="{53C30D09-1BE8-43DF-A381-991BA97E1EF7}"/>
    <cellStyle name="Normal 5 5 2 4 3 2 2 3" xfId="22316" xr:uid="{10BB827F-9BE9-4F48-8A3E-7B57A97C0E6A}"/>
    <cellStyle name="Normal 5 5 2 4 3 2 2 4" xfId="33356" xr:uid="{38CACD79-79F3-4366-93A7-1602A9F05F08}"/>
    <cellStyle name="Normal 5 5 2 4 3 2 2 5" xfId="40864" xr:uid="{4257203B-7C05-4E4F-B24C-F2BA48499022}"/>
    <cellStyle name="Normal 5 5 2 4 3 2 3" xfId="25143" xr:uid="{62338B9B-FB93-44DF-BBB0-D3B267268DD4}"/>
    <cellStyle name="Normal 5 5 2 4 3 2 4" xfId="19483" xr:uid="{9045CEB5-ACA6-4B1C-BE7E-900B63AF67F1}"/>
    <cellStyle name="Normal 5 5 2 4 3 2 5" xfId="30804" xr:uid="{CC5A0B3C-E306-4F74-9866-224F5C2B39D4}"/>
    <cellStyle name="Normal 5 5 2 4 3 2 6" xfId="40863" xr:uid="{E225DA9F-3E5B-4CE7-B17B-20DD9460DD52}"/>
    <cellStyle name="Normal 5 5 2 4 3 3" xfId="14764" xr:uid="{00000000-0005-0000-0000-00007A200000}"/>
    <cellStyle name="Normal 5 5 2 4 3 3 2" xfId="26720" xr:uid="{C91EADA5-082E-4E1F-AA68-77C328771189}"/>
    <cellStyle name="Normal 5 5 2 4 3 3 3" xfId="21060" xr:uid="{4E8CB863-EEA4-4DCB-B36A-29D32386FCA1}"/>
    <cellStyle name="Normal 5 5 2 4 3 3 4" xfId="32100" xr:uid="{D0A79F5F-8C27-4E62-B781-91972C488A7D}"/>
    <cellStyle name="Normal 5 5 2 4 3 3 5" xfId="40865" xr:uid="{A3F97DEB-FA2E-41EA-8E36-9FE366EBF323}"/>
    <cellStyle name="Normal 5 5 2 4 3 4" xfId="23887" xr:uid="{60A68B40-FD1A-4805-83DC-43DA9A59DF51}"/>
    <cellStyle name="Normal 5 5 2 4 3 5" xfId="18227" xr:uid="{605DB470-F6AD-4A78-A0F2-F5B13B1CB11B}"/>
    <cellStyle name="Normal 5 5 2 4 3 6" xfId="29548" xr:uid="{6DB830C7-3490-42A4-85F9-0DB3E37E2ECB}"/>
    <cellStyle name="Normal 5 5 2 4 3 7" xfId="40862" xr:uid="{1ED88317-FDF4-49EB-A9DF-23AC3D4189E7}"/>
    <cellStyle name="Normal 5 5 2 4 4" xfId="6700" xr:uid="{00000000-0005-0000-0000-00007B200000}"/>
    <cellStyle name="Normal 5 5 2 4 4 2" xfId="15133" xr:uid="{00000000-0005-0000-0000-00007C200000}"/>
    <cellStyle name="Normal 5 5 2 4 4 2 2" xfId="27027" xr:uid="{463301B0-B633-4D00-AB32-CB598949A0D7}"/>
    <cellStyle name="Normal 5 5 2 4 4 2 3" xfId="21367" xr:uid="{89369BD8-3388-4379-AE2F-E140EA35D44B}"/>
    <cellStyle name="Normal 5 5 2 4 4 2 4" xfId="32407" xr:uid="{79976BB4-DAC0-452D-9CD5-DA1B2812ED1C}"/>
    <cellStyle name="Normal 5 5 2 4 4 2 5" xfId="40867" xr:uid="{37211CDE-A70F-4E64-9D4E-4EF92FCB8BB9}"/>
    <cellStyle name="Normal 5 5 2 4 4 3" xfId="24194" xr:uid="{82B3E156-1E87-4135-97BD-CBEF896E687A}"/>
    <cellStyle name="Normal 5 5 2 4 4 4" xfId="18534" xr:uid="{5A0BA1C7-3006-42E7-AC3F-D8ACB45A5AF7}"/>
    <cellStyle name="Normal 5 5 2 4 4 5" xfId="29855" xr:uid="{95BD93AB-B73D-4161-988C-3B80066C05A9}"/>
    <cellStyle name="Normal 5 5 2 4 4 6" xfId="40866" xr:uid="{0BFD037E-1DBD-4547-A37A-7873B00D3C40}"/>
    <cellStyle name="Normal 5 5 2 4 5" xfId="8098" xr:uid="{00000000-0005-0000-0000-00007D200000}"/>
    <cellStyle name="Normal 5 5 2 4 5 2" xfId="25574" xr:uid="{2554F762-6408-45C7-B1FA-B37583D40B88}"/>
    <cellStyle name="Normal 5 5 2 4 5 3" xfId="19914" xr:uid="{DDD0D283-5248-45BD-A90C-DF46B7A86A71}"/>
    <cellStyle name="Normal 5 5 2 4 5 4" xfId="31235" xr:uid="{28ECE500-DFE6-492D-8342-B79DDD4A2D30}"/>
    <cellStyle name="Normal 5 5 2 4 5 5" xfId="40868" xr:uid="{A5F1B945-DCDA-45CD-B173-321C7B430C5B}"/>
    <cellStyle name="Normal 5 5 2 4 6" xfId="22632" xr:uid="{092A318B-BCAE-4EEE-AB08-AB2EBD94CC01}"/>
    <cellStyle name="Normal 5 5 2 4 7" xfId="16972" xr:uid="{64A226D1-306A-46E6-83EB-D595953D2959}"/>
    <cellStyle name="Normal 5 5 2 4 8" xfId="28293" xr:uid="{7B24CB2C-C0A4-4A3C-A166-196F8C0B2654}"/>
    <cellStyle name="Normal 5 5 2 4 9" xfId="40857" xr:uid="{D06A91A3-FAA9-4662-87D8-0001A034A32D}"/>
    <cellStyle name="Normal 5 5 2 5" xfId="5046" xr:uid="{00000000-0005-0000-0000-00007E200000}"/>
    <cellStyle name="Normal 5 5 2 5 2" xfId="6323" xr:uid="{00000000-0005-0000-0000-00007F200000}"/>
    <cellStyle name="Normal 5 5 2 5 2 2" xfId="7646" xr:uid="{00000000-0005-0000-0000-000080200000}"/>
    <cellStyle name="Normal 5 5 2 5 2 2 2" xfId="16079" xr:uid="{00000000-0005-0000-0000-000081200000}"/>
    <cellStyle name="Normal 5 5 2 5 2 2 2 2" xfId="27973" xr:uid="{D0A43F76-CD68-4272-BC68-BE0E917E76A0}"/>
    <cellStyle name="Normal 5 5 2 5 2 2 2 3" xfId="22313" xr:uid="{79F30EE0-A19E-4508-9793-8D61D951883F}"/>
    <cellStyle name="Normal 5 5 2 5 2 2 2 4" xfId="33353" xr:uid="{09127C81-D2BF-4254-9E00-586EEFA1D27D}"/>
    <cellStyle name="Normal 5 5 2 5 2 2 2 5" xfId="40872" xr:uid="{C20B2E57-664B-43A0-A9EF-1D8D0DF3105C}"/>
    <cellStyle name="Normal 5 5 2 5 2 2 3" xfId="25140" xr:uid="{FD0F7A42-2EE7-4C29-A2D5-5822BB8B6A55}"/>
    <cellStyle name="Normal 5 5 2 5 2 2 4" xfId="19480" xr:uid="{2A269130-8151-473C-B176-EFE456A6FE8C}"/>
    <cellStyle name="Normal 5 5 2 5 2 2 5" xfId="30801" xr:uid="{A78D26FC-F1E4-4862-B965-223FB9B342BE}"/>
    <cellStyle name="Normal 5 5 2 5 2 2 6" xfId="40871" xr:uid="{83456B71-C1A2-43D8-A03A-D0FF61548F99}"/>
    <cellStyle name="Normal 5 5 2 5 2 3" xfId="14761" xr:uid="{00000000-0005-0000-0000-000082200000}"/>
    <cellStyle name="Normal 5 5 2 5 2 3 2" xfId="26717" xr:uid="{4E9CF469-116A-4949-8F37-F8AEA553FFB1}"/>
    <cellStyle name="Normal 5 5 2 5 2 3 3" xfId="21057" xr:uid="{545EF026-6E1C-4E6C-B76E-713DC0EFC844}"/>
    <cellStyle name="Normal 5 5 2 5 2 3 4" xfId="32097" xr:uid="{2D129584-11F4-4203-B9D7-62DDEAA02AE6}"/>
    <cellStyle name="Normal 5 5 2 5 2 3 5" xfId="40873" xr:uid="{C73A34C4-F653-440D-A5C8-DB5C5D1C4B16}"/>
    <cellStyle name="Normal 5 5 2 5 2 4" xfId="23884" xr:uid="{3DA98A92-1C06-4E76-B762-9F4639A65FA0}"/>
    <cellStyle name="Normal 5 5 2 5 2 5" xfId="18224" xr:uid="{B3E142FA-41A2-44C2-BD22-8C8A59E5C401}"/>
    <cellStyle name="Normal 5 5 2 5 2 6" xfId="29545" xr:uid="{10EF3919-93B3-4427-BE3C-163A4DD9FEC8}"/>
    <cellStyle name="Normal 5 5 2 5 2 7" xfId="40870" xr:uid="{21F0A780-F1DE-44B8-98FE-7D400159F557}"/>
    <cellStyle name="Normal 5 5 2 5 3" xfId="6909" xr:uid="{00000000-0005-0000-0000-000083200000}"/>
    <cellStyle name="Normal 5 5 2 5 3 2" xfId="15342" xr:uid="{00000000-0005-0000-0000-000084200000}"/>
    <cellStyle name="Normal 5 5 2 5 3 2 2" xfId="27236" xr:uid="{F01C5AC0-66D6-4F4C-AF1C-0BD13C5CDB2A}"/>
    <cellStyle name="Normal 5 5 2 5 3 2 3" xfId="21576" xr:uid="{A16F8CE6-D7D5-4609-B13A-D672C36FAD5B}"/>
    <cellStyle name="Normal 5 5 2 5 3 2 4" xfId="32616" xr:uid="{26F4A4B6-3370-4B2A-A9A3-273DBF912D92}"/>
    <cellStyle name="Normal 5 5 2 5 3 2 5" xfId="40875" xr:uid="{B8AB6ADF-AE04-46A4-AEA3-2293E99A2752}"/>
    <cellStyle name="Normal 5 5 2 5 3 3" xfId="24403" xr:uid="{0746F52C-CCD1-45B6-91FD-BD896C835236}"/>
    <cellStyle name="Normal 5 5 2 5 3 4" xfId="18743" xr:uid="{C43F46AC-0401-491E-A387-F06DD6B2860A}"/>
    <cellStyle name="Normal 5 5 2 5 3 5" xfId="30064" xr:uid="{965F5DD9-1A4F-4B3B-8AC7-384323BF0060}"/>
    <cellStyle name="Normal 5 5 2 5 3 6" xfId="40874" xr:uid="{D3BBC566-1C93-4299-A76E-1A64500BC2CB}"/>
    <cellStyle name="Normal 5 5 2 5 4" xfId="8099" xr:uid="{00000000-0005-0000-0000-000085200000}"/>
    <cellStyle name="Normal 5 5 2 5 4 2" xfId="25575" xr:uid="{39D87146-BF56-4E01-9745-34ED2C7B8439}"/>
    <cellStyle name="Normal 5 5 2 5 4 3" xfId="19915" xr:uid="{91CA3701-AF98-4358-A5E4-E21C1111C048}"/>
    <cellStyle name="Normal 5 5 2 5 4 4" xfId="31236" xr:uid="{F5BC7198-E753-4C2B-A6A8-F6F532DF94AA}"/>
    <cellStyle name="Normal 5 5 2 5 4 5" xfId="40876" xr:uid="{81478E9B-869C-408D-A757-CF928643EA4F}"/>
    <cellStyle name="Normal 5 5 2 5 5" xfId="22841" xr:uid="{5AB73038-5A77-4525-94CE-B305CF60A51E}"/>
    <cellStyle name="Normal 5 5 2 5 6" xfId="17181" xr:uid="{24A1819D-381E-4EA0-95E4-8CDDD9AB8D8E}"/>
    <cellStyle name="Normal 5 5 2 5 7" xfId="28502" xr:uid="{3C28EA43-078B-41FF-AB67-E38568EA402A}"/>
    <cellStyle name="Normal 5 5 2 5 8" xfId="40869" xr:uid="{DBB488D8-45F8-4311-92B3-F26378DF5D51}"/>
    <cellStyle name="Normal 5 5 2 6" xfId="6491" xr:uid="{00000000-0005-0000-0000-000086200000}"/>
    <cellStyle name="Normal 5 5 2 6 2" xfId="14924" xr:uid="{00000000-0005-0000-0000-000087200000}"/>
    <cellStyle name="Normal 5 5 2 6 2 2" xfId="26818" xr:uid="{9A0F82CC-7D50-4BDD-B703-D0807FC144CA}"/>
    <cellStyle name="Normal 5 5 2 6 2 3" xfId="21158" xr:uid="{3A83357A-A52F-456C-9364-B28FB41F79D3}"/>
    <cellStyle name="Normal 5 5 2 6 2 4" xfId="32198" xr:uid="{A748207F-910B-400F-ACC2-2F40DE9A59B6}"/>
    <cellStyle name="Normal 5 5 2 6 2 5" xfId="40878" xr:uid="{7DFB0797-B6E6-4F62-96EB-7444F8B62F86}"/>
    <cellStyle name="Normal 5 5 2 6 3" xfId="23985" xr:uid="{10B84DA8-CFF1-4DCA-BBE5-847F8206E059}"/>
    <cellStyle name="Normal 5 5 2 6 4" xfId="18325" xr:uid="{1FE48F24-BCD0-4142-B9FD-116C4AD31E33}"/>
    <cellStyle name="Normal 5 5 2 6 5" xfId="29646" xr:uid="{4EB20D9F-F711-408C-BB0D-DAD3D418733B}"/>
    <cellStyle name="Normal 5 5 2 6 6" xfId="40877" xr:uid="{1B978454-2159-4E43-8BDF-C001A211A758}"/>
    <cellStyle name="Normal 5 5 2 7" xfId="22423" xr:uid="{760D5E55-C652-4232-8E7B-515C82AADAC2}"/>
    <cellStyle name="Normal 5 5 2 8" xfId="16763" xr:uid="{5CBBE2FD-76B8-4825-9C7F-C3DE00E72D38}"/>
    <cellStyle name="Normal 5 5 2 9" xfId="28084" xr:uid="{F1252596-3C98-44E2-AF67-558522DB8F9B}"/>
    <cellStyle name="Normal 5 5 3" xfId="321" xr:uid="{00000000-0005-0000-0000-000088200000}"/>
    <cellStyle name="Normal 5 5 3 2" xfId="2246" xr:uid="{00000000-0005-0000-0000-000089200000}"/>
    <cellStyle name="Normal 5 5 3 2 2" xfId="40880" xr:uid="{6694A3A9-A079-4034-A6D7-86489CFC4624}"/>
    <cellStyle name="Normal 5 5 3 3" xfId="4833" xr:uid="{00000000-0005-0000-0000-00008A200000}"/>
    <cellStyle name="Normal 5 5 3 3 2" xfId="5254" xr:uid="{00000000-0005-0000-0000-00008B200000}"/>
    <cellStyle name="Normal 5 5 3 3 2 2" xfId="7117" xr:uid="{00000000-0005-0000-0000-00008C200000}"/>
    <cellStyle name="Normal 5 5 3 3 2 2 2" xfId="15550" xr:uid="{00000000-0005-0000-0000-00008D200000}"/>
    <cellStyle name="Normal 5 5 3 3 2 2 2 2" xfId="27444" xr:uid="{70E9B97F-4C81-4CF6-9F0F-91B723AE18C2}"/>
    <cellStyle name="Normal 5 5 3 3 2 2 2 3" xfId="21784" xr:uid="{CE38FF40-CFAE-4488-A051-F5EF9870AC37}"/>
    <cellStyle name="Normal 5 5 3 3 2 2 2 4" xfId="32824" xr:uid="{2D9734B5-53D2-431C-B668-7758EAF0B740}"/>
    <cellStyle name="Normal 5 5 3 3 2 2 2 5" xfId="40884" xr:uid="{89EE4CD8-BD4D-4E99-B126-D6F441254533}"/>
    <cellStyle name="Normal 5 5 3 3 2 2 3" xfId="24611" xr:uid="{B2BA8626-ABF3-4F50-AFCA-A808334AB240}"/>
    <cellStyle name="Normal 5 5 3 3 2 2 4" xfId="18951" xr:uid="{AD8FBA62-0013-4225-86FD-9E38C4E7E368}"/>
    <cellStyle name="Normal 5 5 3 3 2 2 5" xfId="30272" xr:uid="{4465105B-0F66-4A59-814F-0CF9970054FB}"/>
    <cellStyle name="Normal 5 5 3 3 2 2 6" xfId="40883" xr:uid="{05337F6E-4BAD-4EE6-9D55-0012A0CC2533}"/>
    <cellStyle name="Normal 5 5 3 3 2 3" xfId="14140" xr:uid="{00000000-0005-0000-0000-00008E200000}"/>
    <cellStyle name="Normal 5 5 3 3 2 3 2" xfId="26179" xr:uid="{A203B0CD-E6FC-4574-80F1-8D965C745973}"/>
    <cellStyle name="Normal 5 5 3 3 2 3 3" xfId="20519" xr:uid="{7D9E6E16-D8D4-43D8-B1A1-08EEBA855DB6}"/>
    <cellStyle name="Normal 5 5 3 3 2 3 4" xfId="31559" xr:uid="{458D1425-607F-4E8C-A077-5480129D9B24}"/>
    <cellStyle name="Normal 5 5 3 3 2 3 5" xfId="40885" xr:uid="{BA4C003D-38D4-420C-9F15-07B13A7975EA}"/>
    <cellStyle name="Normal 5 5 3 3 2 4" xfId="23049" xr:uid="{F3739325-1DE4-4A92-8595-CD4317EDB945}"/>
    <cellStyle name="Normal 5 5 3 3 2 5" xfId="17389" xr:uid="{8B892B2A-8322-42CD-8969-428F07204566}"/>
    <cellStyle name="Normal 5 5 3 3 2 6" xfId="28710" xr:uid="{AFE33ABC-43C1-48B8-B978-A3B2D5097E36}"/>
    <cellStyle name="Normal 5 5 3 3 2 7" xfId="40882" xr:uid="{36F61B3A-9BF3-49A8-8FE4-6E93897A56F2}"/>
    <cellStyle name="Normal 5 5 3 3 3" xfId="6328" xr:uid="{00000000-0005-0000-0000-00008F200000}"/>
    <cellStyle name="Normal 5 5 3 3 3 2" xfId="7651" xr:uid="{00000000-0005-0000-0000-000090200000}"/>
    <cellStyle name="Normal 5 5 3 3 3 2 2" xfId="16084" xr:uid="{00000000-0005-0000-0000-000091200000}"/>
    <cellStyle name="Normal 5 5 3 3 3 2 2 2" xfId="27978" xr:uid="{5D5471FF-930D-4F05-848E-F86BFD7A8FE9}"/>
    <cellStyle name="Normal 5 5 3 3 3 2 2 3" xfId="22318" xr:uid="{8912DB15-4667-4A6B-A2AF-2A2DFC0F30DD}"/>
    <cellStyle name="Normal 5 5 3 3 3 2 2 4" xfId="33358" xr:uid="{910084CD-B14A-4751-AEB0-859474A9A611}"/>
    <cellStyle name="Normal 5 5 3 3 3 2 2 5" xfId="40888" xr:uid="{95E6AB9E-535C-4141-A82A-6750048D1064}"/>
    <cellStyle name="Normal 5 5 3 3 3 2 3" xfId="25145" xr:uid="{A53A8047-1682-4708-84B0-882E7B82CE85}"/>
    <cellStyle name="Normal 5 5 3 3 3 2 4" xfId="19485" xr:uid="{9B535FF4-F3C1-4094-81DF-F354C6B53070}"/>
    <cellStyle name="Normal 5 5 3 3 3 2 5" xfId="30806" xr:uid="{ADF88779-90AB-4DD9-AC79-46C579FD485F}"/>
    <cellStyle name="Normal 5 5 3 3 3 2 6" xfId="40887" xr:uid="{27D857DA-22A4-470C-AAF7-A896E6AD0B1A}"/>
    <cellStyle name="Normal 5 5 3 3 3 3" xfId="14766" xr:uid="{00000000-0005-0000-0000-000092200000}"/>
    <cellStyle name="Normal 5 5 3 3 3 3 2" xfId="26722" xr:uid="{22936D06-7618-4553-888E-B5AC1AB42CC3}"/>
    <cellStyle name="Normal 5 5 3 3 3 3 3" xfId="21062" xr:uid="{14BC9DCF-B9DA-436F-A60F-7BBB49E9E357}"/>
    <cellStyle name="Normal 5 5 3 3 3 3 4" xfId="32102" xr:uid="{EC0A0467-E60B-4707-83EE-46F0BB5EDFA1}"/>
    <cellStyle name="Normal 5 5 3 3 3 3 5" xfId="40889" xr:uid="{70AED995-E75D-45F0-A1CD-A1B4E26D0794}"/>
    <cellStyle name="Normal 5 5 3 3 3 4" xfId="23889" xr:uid="{46F94B12-8D0A-41E3-9EF0-DC4D1CFF570E}"/>
    <cellStyle name="Normal 5 5 3 3 3 5" xfId="18229" xr:uid="{592F3E4B-03DB-4812-87F0-5A22CC275DE8}"/>
    <cellStyle name="Normal 5 5 3 3 3 6" xfId="29550" xr:uid="{A0B3010F-73F9-40F0-ABD7-C04F4B96401A}"/>
    <cellStyle name="Normal 5 5 3 3 3 7" xfId="40886" xr:uid="{ACD49174-EDB4-4F68-A511-CAC52DEBE377}"/>
    <cellStyle name="Normal 5 5 3 3 4" xfId="6699" xr:uid="{00000000-0005-0000-0000-000093200000}"/>
    <cellStyle name="Normal 5 5 3 3 4 2" xfId="15132" xr:uid="{00000000-0005-0000-0000-000094200000}"/>
    <cellStyle name="Normal 5 5 3 3 4 2 2" xfId="27026" xr:uid="{199AC3AD-3285-40E9-BBD0-37F19C62F5F6}"/>
    <cellStyle name="Normal 5 5 3 3 4 2 3" xfId="21366" xr:uid="{89DE1E7D-2492-4CB3-B98B-09AFB6D50DBD}"/>
    <cellStyle name="Normal 5 5 3 3 4 2 4" xfId="32406" xr:uid="{E41805CD-9EC4-4991-8474-CFAB5FAAB920}"/>
    <cellStyle name="Normal 5 5 3 3 4 2 5" xfId="40891" xr:uid="{2D931E56-44D6-4AA0-9999-B74641EB73E8}"/>
    <cellStyle name="Normal 5 5 3 3 4 3" xfId="24193" xr:uid="{7F35FCB5-E79E-455E-B5F0-D974506D3974}"/>
    <cellStyle name="Normal 5 5 3 3 4 4" xfId="18533" xr:uid="{52139E33-727E-44DB-870D-82CFCC22D7F4}"/>
    <cellStyle name="Normal 5 5 3 3 4 5" xfId="29854" xr:uid="{180BB229-DD2B-42AF-89A3-D789A4EF9975}"/>
    <cellStyle name="Normal 5 5 3 3 4 6" xfId="40890" xr:uid="{2F43BEF9-5FAA-40F9-A00B-0D2C207727F3}"/>
    <cellStyle name="Normal 5 5 3 3 5" xfId="8100" xr:uid="{00000000-0005-0000-0000-000095200000}"/>
    <cellStyle name="Normal 5 5 3 3 5 2" xfId="25576" xr:uid="{54AAE0ED-7DF8-4B98-94B7-10E6B245A386}"/>
    <cellStyle name="Normal 5 5 3 3 5 3" xfId="19916" xr:uid="{E8D4AC70-C0E3-4938-A9A6-44B85AEECA5D}"/>
    <cellStyle name="Normal 5 5 3 3 5 4" xfId="31237" xr:uid="{4B160B4C-8A78-4BE6-B885-FC5295345573}"/>
    <cellStyle name="Normal 5 5 3 3 5 5" xfId="40892" xr:uid="{B5CCA6B8-7C26-4D9E-96BF-F56170CAF18A}"/>
    <cellStyle name="Normal 5 5 3 3 6" xfId="22631" xr:uid="{F59FFBBB-4C8A-4009-A7FE-F5A9FE15E10B}"/>
    <cellStyle name="Normal 5 5 3 3 7" xfId="16971" xr:uid="{A1CF603E-FD20-4497-97E5-0BA0C5B700E5}"/>
    <cellStyle name="Normal 5 5 3 3 8" xfId="28292" xr:uid="{6AD8D6DF-4882-489F-81E5-F6589761138B}"/>
    <cellStyle name="Normal 5 5 3 3 9" xfId="40881" xr:uid="{9BF5AD18-EEC4-44ED-A3C3-BD447F52DBD5}"/>
    <cellStyle name="Normal 5 5 3 4" xfId="5045" xr:uid="{00000000-0005-0000-0000-000096200000}"/>
    <cellStyle name="Normal 5 5 3 4 2" xfId="6327" xr:uid="{00000000-0005-0000-0000-000097200000}"/>
    <cellStyle name="Normal 5 5 3 4 2 2" xfId="7650" xr:uid="{00000000-0005-0000-0000-000098200000}"/>
    <cellStyle name="Normal 5 5 3 4 2 2 2" xfId="16083" xr:uid="{00000000-0005-0000-0000-000099200000}"/>
    <cellStyle name="Normal 5 5 3 4 2 2 2 2" xfId="27977" xr:uid="{E020794A-9ECC-40BB-8642-32C62AB491A6}"/>
    <cellStyle name="Normal 5 5 3 4 2 2 2 3" xfId="22317" xr:uid="{FCB6902C-CED2-4528-903B-FC66BDA02F0D}"/>
    <cellStyle name="Normal 5 5 3 4 2 2 2 4" xfId="33357" xr:uid="{86F8FC08-CE9E-4411-B2DF-DFE9614CA067}"/>
    <cellStyle name="Normal 5 5 3 4 2 2 2 5" xfId="40896" xr:uid="{320DFBC8-D5E0-43EA-951B-49338C8A4A2E}"/>
    <cellStyle name="Normal 5 5 3 4 2 2 3" xfId="25144" xr:uid="{DEB9B73F-C142-4194-9064-98D76D0803DB}"/>
    <cellStyle name="Normal 5 5 3 4 2 2 4" xfId="19484" xr:uid="{B0D550F6-53E6-4003-98E6-271DFA53FF1F}"/>
    <cellStyle name="Normal 5 5 3 4 2 2 5" xfId="30805" xr:uid="{372F71DD-48A6-42B6-ABCE-6F771B4C78E0}"/>
    <cellStyle name="Normal 5 5 3 4 2 2 6" xfId="40895" xr:uid="{DB0ECA99-C8C9-4721-B8A6-0C5EF4C8E09D}"/>
    <cellStyle name="Normal 5 5 3 4 2 3" xfId="14765" xr:uid="{00000000-0005-0000-0000-00009A200000}"/>
    <cellStyle name="Normal 5 5 3 4 2 3 2" xfId="26721" xr:uid="{E8769872-6475-4506-B611-DEC3946283FA}"/>
    <cellStyle name="Normal 5 5 3 4 2 3 3" xfId="21061" xr:uid="{F9E4BB31-DAFD-44EC-B000-C5FBCDB80406}"/>
    <cellStyle name="Normal 5 5 3 4 2 3 4" xfId="32101" xr:uid="{0DE23E57-C71D-4A7B-A076-943165AFF81D}"/>
    <cellStyle name="Normal 5 5 3 4 2 3 5" xfId="40897" xr:uid="{C8D2DD1B-95AF-491D-9D6C-B1D21A27FD7E}"/>
    <cellStyle name="Normal 5 5 3 4 2 4" xfId="23888" xr:uid="{EF94C4F5-E5A7-4304-A54E-008A25A2BDF0}"/>
    <cellStyle name="Normal 5 5 3 4 2 5" xfId="18228" xr:uid="{6509BCD9-4037-435C-BF61-72D01B8F8F72}"/>
    <cellStyle name="Normal 5 5 3 4 2 6" xfId="29549" xr:uid="{533B2868-E38D-470F-9D92-0BA157F9A1B5}"/>
    <cellStyle name="Normal 5 5 3 4 2 7" xfId="40894" xr:uid="{DFD3C21A-4EBF-4AC9-9999-64E1DDD1D99F}"/>
    <cellStyle name="Normal 5 5 3 4 3" xfId="6908" xr:uid="{00000000-0005-0000-0000-00009B200000}"/>
    <cellStyle name="Normal 5 5 3 4 3 2" xfId="15341" xr:uid="{00000000-0005-0000-0000-00009C200000}"/>
    <cellStyle name="Normal 5 5 3 4 3 2 2" xfId="27235" xr:uid="{0F257BE1-AE22-4B05-BF79-08C818B8E4D6}"/>
    <cellStyle name="Normal 5 5 3 4 3 2 3" xfId="21575" xr:uid="{4EBDABE9-8341-4321-9CE2-D957795D3185}"/>
    <cellStyle name="Normal 5 5 3 4 3 2 4" xfId="32615" xr:uid="{C7CB9BBD-73B9-4B21-86E0-689B236EC518}"/>
    <cellStyle name="Normal 5 5 3 4 3 2 5" xfId="40899" xr:uid="{4E5A7830-BAE4-4047-A572-61FAD441A7AD}"/>
    <cellStyle name="Normal 5 5 3 4 3 3" xfId="24402" xr:uid="{2170AB70-E6A2-4B9F-8A32-6C2ED9E899EC}"/>
    <cellStyle name="Normal 5 5 3 4 3 4" xfId="18742" xr:uid="{1CA45B91-1AD0-4A7C-BB55-0CB0C9AE0D3F}"/>
    <cellStyle name="Normal 5 5 3 4 3 5" xfId="30063" xr:uid="{B848F833-62F8-4A13-A54D-1179B9BC237C}"/>
    <cellStyle name="Normal 5 5 3 4 3 6" xfId="40898" xr:uid="{BD102C70-C591-44B0-B2F3-2F7668FA4BF1}"/>
    <cellStyle name="Normal 5 5 3 4 4" xfId="8101" xr:uid="{00000000-0005-0000-0000-00009D200000}"/>
    <cellStyle name="Normal 5 5 3 4 4 2" xfId="25577" xr:uid="{6761BC11-1247-4815-96E9-226C15BC0FA9}"/>
    <cellStyle name="Normal 5 5 3 4 4 3" xfId="19917" xr:uid="{142FD8FE-062E-49C5-A5EE-F3FC61462057}"/>
    <cellStyle name="Normal 5 5 3 4 4 4" xfId="31238" xr:uid="{3FB139FB-D5AD-4F05-8DE9-053A87C6A61F}"/>
    <cellStyle name="Normal 5 5 3 4 4 5" xfId="40900" xr:uid="{CB981A5F-9E80-46AF-97A8-FEA514E8B2E6}"/>
    <cellStyle name="Normal 5 5 3 4 5" xfId="22840" xr:uid="{918F039D-E7FE-43E3-876E-1DE1B3542CF4}"/>
    <cellStyle name="Normal 5 5 3 4 6" xfId="17180" xr:uid="{1FC21E33-3C18-4CCD-BA43-387EB304F2C1}"/>
    <cellStyle name="Normal 5 5 3 4 7" xfId="28501" xr:uid="{280D6446-F549-4311-A98B-128CFA11BDE0}"/>
    <cellStyle name="Normal 5 5 3 4 8" xfId="40893" xr:uid="{B348CBDD-4B7C-47E1-A3FA-8046D37C4DAC}"/>
    <cellStyle name="Normal 5 5 3 5" xfId="6490" xr:uid="{00000000-0005-0000-0000-00009E200000}"/>
    <cellStyle name="Normal 5 5 3 5 2" xfId="14923" xr:uid="{00000000-0005-0000-0000-00009F200000}"/>
    <cellStyle name="Normal 5 5 3 5 2 2" xfId="26817" xr:uid="{A580C89A-58F7-4F69-A8E9-BC46528C9A43}"/>
    <cellStyle name="Normal 5 5 3 5 2 3" xfId="21157" xr:uid="{A9AD7232-C772-4D1C-9726-0F78BD8C9F9A}"/>
    <cellStyle name="Normal 5 5 3 5 2 4" xfId="32197" xr:uid="{BE6DFAEE-28FB-4CB8-A95C-E50BF8CB6E5D}"/>
    <cellStyle name="Normal 5 5 3 5 2 5" xfId="40902" xr:uid="{0F84C6F4-6A99-4F5C-ABFC-47E47C77255D}"/>
    <cellStyle name="Normal 5 5 3 5 3" xfId="23984" xr:uid="{0AA98B25-480C-43CB-9981-422361A6EA7A}"/>
    <cellStyle name="Normal 5 5 3 5 4" xfId="18324" xr:uid="{069D9D1E-8F90-412B-A741-9A7646D7251B}"/>
    <cellStyle name="Normal 5 5 3 5 5" xfId="29645" xr:uid="{2BE5616E-42D6-4649-90D5-8030178AA2A2}"/>
    <cellStyle name="Normal 5 5 3 5 6" xfId="40901" xr:uid="{C5B796BB-DFE1-40B1-B72A-029014581525}"/>
    <cellStyle name="Normal 5 5 3 6" xfId="22422" xr:uid="{063E80D0-22FD-43DF-AB4D-9BA5076739EC}"/>
    <cellStyle name="Normal 5 5 3 6 2" xfId="40903" xr:uid="{886BEE29-BE16-426A-A47B-FD6ED76268C9}"/>
    <cellStyle name="Normal 5 5 3 7" xfId="16762" xr:uid="{28A9B52D-504B-4C91-AE57-5EB8F08400B0}"/>
    <cellStyle name="Normal 5 5 3 8" xfId="28083" xr:uid="{E5D35831-5434-41BD-8F56-A3E4D11B88C5}"/>
    <cellStyle name="Normal 5 5 3 9" xfId="40879" xr:uid="{56EBEB67-C069-42B1-BB58-917C65D13872}"/>
    <cellStyle name="Normal 5 5 4" xfId="2244" xr:uid="{00000000-0005-0000-0000-0000A0200000}"/>
    <cellStyle name="Normal 5 5 4 2" xfId="4340" xr:uid="{00000000-0005-0000-0000-0000A1200000}"/>
    <cellStyle name="Normal 5 5 4 2 2" xfId="40905" xr:uid="{A1E442D7-CCBB-4E57-A1A1-3E074E512AC7}"/>
    <cellStyle name="Normal 5 5 4 3" xfId="4873" xr:uid="{00000000-0005-0000-0000-0000A2200000}"/>
    <cellStyle name="Normal 5 5 4 3 2" xfId="5292" xr:uid="{00000000-0005-0000-0000-0000A3200000}"/>
    <cellStyle name="Normal 5 5 4 3 2 2" xfId="7155" xr:uid="{00000000-0005-0000-0000-0000A4200000}"/>
    <cellStyle name="Normal 5 5 4 3 2 2 2" xfId="15588" xr:uid="{00000000-0005-0000-0000-0000A5200000}"/>
    <cellStyle name="Normal 5 5 4 3 2 2 2 2" xfId="27482" xr:uid="{9EE2C1D5-F0CC-4C48-87F9-9C52D3C795AD}"/>
    <cellStyle name="Normal 5 5 4 3 2 2 2 3" xfId="21822" xr:uid="{4090B3FA-CA13-45BF-8AA1-40646E66BAA9}"/>
    <cellStyle name="Normal 5 5 4 3 2 2 2 4" xfId="32862" xr:uid="{DB045E13-8CBD-4747-9E8E-0A1B403EF0A0}"/>
    <cellStyle name="Normal 5 5 4 3 2 2 2 5" xfId="40909" xr:uid="{F7E78475-7844-4705-B88C-7B5F3D5AAC42}"/>
    <cellStyle name="Normal 5 5 4 3 2 2 3" xfId="24649" xr:uid="{7190BB22-B794-48A4-9279-9FBDB675D81F}"/>
    <cellStyle name="Normal 5 5 4 3 2 2 4" xfId="18989" xr:uid="{FE079FEC-D002-41AC-B9F0-A38333CEEDA3}"/>
    <cellStyle name="Normal 5 5 4 3 2 2 5" xfId="30310" xr:uid="{CBFD8781-2119-43D9-ABB3-126A8F5ED156}"/>
    <cellStyle name="Normal 5 5 4 3 2 2 6" xfId="40908" xr:uid="{50CA998D-B074-4348-B10C-D0646251620B}"/>
    <cellStyle name="Normal 5 5 4 3 2 3" xfId="14178" xr:uid="{00000000-0005-0000-0000-0000A6200000}"/>
    <cellStyle name="Normal 5 5 4 3 2 3 2" xfId="26217" xr:uid="{C462C205-2104-4916-8EDF-57C996747DE3}"/>
    <cellStyle name="Normal 5 5 4 3 2 3 3" xfId="20557" xr:uid="{6060C704-552F-41C7-B969-E3715B9079D0}"/>
    <cellStyle name="Normal 5 5 4 3 2 3 4" xfId="31597" xr:uid="{AF9ECFB8-B3B5-4D74-BA5B-C4F3DFFABEA1}"/>
    <cellStyle name="Normal 5 5 4 3 2 3 5" xfId="40910" xr:uid="{13FF835C-C5E0-4681-B7A6-394A160F77E9}"/>
    <cellStyle name="Normal 5 5 4 3 2 4" xfId="23087" xr:uid="{2526A9DC-F6E9-470D-B698-2283E90BB318}"/>
    <cellStyle name="Normal 5 5 4 3 2 5" xfId="17427" xr:uid="{D17CE2DF-FD21-41C1-95BE-D52F833A4AEE}"/>
    <cellStyle name="Normal 5 5 4 3 2 6" xfId="28748" xr:uid="{E91065DD-CE00-4622-A2EB-DD088C011F80}"/>
    <cellStyle name="Normal 5 5 4 3 2 7" xfId="40907" xr:uid="{2F60936C-E33C-47FB-8899-B0E779E505D2}"/>
    <cellStyle name="Normal 5 5 4 3 3" xfId="6330" xr:uid="{00000000-0005-0000-0000-0000A7200000}"/>
    <cellStyle name="Normal 5 5 4 3 3 2" xfId="7653" xr:uid="{00000000-0005-0000-0000-0000A8200000}"/>
    <cellStyle name="Normal 5 5 4 3 3 2 2" xfId="16086" xr:uid="{00000000-0005-0000-0000-0000A9200000}"/>
    <cellStyle name="Normal 5 5 4 3 3 2 2 2" xfId="27980" xr:uid="{FAD3F91A-C1DB-458F-932B-1480BC8F74AF}"/>
    <cellStyle name="Normal 5 5 4 3 3 2 2 3" xfId="22320" xr:uid="{E6DF7A89-6D69-4C2B-AF7A-98ED49940097}"/>
    <cellStyle name="Normal 5 5 4 3 3 2 2 4" xfId="33360" xr:uid="{CFABB62B-24E6-446A-B9D0-C1FB63B4E775}"/>
    <cellStyle name="Normal 5 5 4 3 3 2 2 5" xfId="40913" xr:uid="{3F494B2F-4BDB-480D-B64A-D95B60088E82}"/>
    <cellStyle name="Normal 5 5 4 3 3 2 3" xfId="25147" xr:uid="{DD3FE211-A55D-4DA1-9A5B-0E3229940886}"/>
    <cellStyle name="Normal 5 5 4 3 3 2 4" xfId="19487" xr:uid="{25E92849-E0AA-427F-8C24-205CE2EB1535}"/>
    <cellStyle name="Normal 5 5 4 3 3 2 5" xfId="30808" xr:uid="{CF985612-AF08-4C11-AC3B-C6812A84F34E}"/>
    <cellStyle name="Normal 5 5 4 3 3 2 6" xfId="40912" xr:uid="{7A9EE4CE-EC78-404A-B1E3-69E3A1B917B9}"/>
    <cellStyle name="Normal 5 5 4 3 3 3" xfId="14768" xr:uid="{00000000-0005-0000-0000-0000AA200000}"/>
    <cellStyle name="Normal 5 5 4 3 3 3 2" xfId="26724" xr:uid="{DC1CC231-3B48-4A7C-9C22-FEF4D657EC5A}"/>
    <cellStyle name="Normal 5 5 4 3 3 3 3" xfId="21064" xr:uid="{3835FFF8-AB53-482B-A299-7FD9E5C82552}"/>
    <cellStyle name="Normal 5 5 4 3 3 3 4" xfId="32104" xr:uid="{650DC585-BE5F-4DF8-969F-0EC02B5EBC87}"/>
    <cellStyle name="Normal 5 5 4 3 3 3 5" xfId="40914" xr:uid="{4FD8539A-9122-49B4-899D-0E7828D82BA0}"/>
    <cellStyle name="Normal 5 5 4 3 3 4" xfId="23891" xr:uid="{FFDA0B51-D12C-4A6C-A4DD-C358B417AB7C}"/>
    <cellStyle name="Normal 5 5 4 3 3 5" xfId="18231" xr:uid="{67920BD4-BE62-4DFA-B825-6E2CCBC868B4}"/>
    <cellStyle name="Normal 5 5 4 3 3 6" xfId="29552" xr:uid="{07AFB98E-DEA3-49F5-9E50-6E765A4D12C5}"/>
    <cellStyle name="Normal 5 5 4 3 3 7" xfId="40911" xr:uid="{193E169F-D030-4180-AC22-FC7782190695}"/>
    <cellStyle name="Normal 5 5 4 3 4" xfId="6737" xr:uid="{00000000-0005-0000-0000-0000AB200000}"/>
    <cellStyle name="Normal 5 5 4 3 4 2" xfId="15170" xr:uid="{00000000-0005-0000-0000-0000AC200000}"/>
    <cellStyle name="Normal 5 5 4 3 4 2 2" xfId="27064" xr:uid="{ECA8A191-3098-4633-A177-AEEE3201A155}"/>
    <cellStyle name="Normal 5 5 4 3 4 2 3" xfId="21404" xr:uid="{26A7BE1A-7563-4017-8EC5-EE9B107A2554}"/>
    <cellStyle name="Normal 5 5 4 3 4 2 4" xfId="32444" xr:uid="{269E6482-49EC-4896-AAC4-EC76EEC8660C}"/>
    <cellStyle name="Normal 5 5 4 3 4 2 5" xfId="40916" xr:uid="{447705DC-BA9F-4F22-86DE-43579DDD4621}"/>
    <cellStyle name="Normal 5 5 4 3 4 3" xfId="24231" xr:uid="{407C0BA2-4E88-4D5C-A87D-7331FD0589C9}"/>
    <cellStyle name="Normal 5 5 4 3 4 4" xfId="18571" xr:uid="{DD9078A5-A9AE-4AE2-88B7-CAD6B999D292}"/>
    <cellStyle name="Normal 5 5 4 3 4 5" xfId="29892" xr:uid="{D9775CE0-8A52-4AC0-BA5E-0C8AEFCDBFE8}"/>
    <cellStyle name="Normal 5 5 4 3 4 6" xfId="40915" xr:uid="{3C950960-96DF-4C77-B22E-1606CA90E7B2}"/>
    <cellStyle name="Normal 5 5 4 3 5" xfId="8102" xr:uid="{00000000-0005-0000-0000-0000AD200000}"/>
    <cellStyle name="Normal 5 5 4 3 5 2" xfId="25578" xr:uid="{9CC83A32-A252-4186-B448-31EA29AC1B36}"/>
    <cellStyle name="Normal 5 5 4 3 5 3" xfId="19918" xr:uid="{A2C109D3-B873-4279-A698-50A5E1D64A48}"/>
    <cellStyle name="Normal 5 5 4 3 5 4" xfId="31239" xr:uid="{EF11ED60-ED7C-46D2-A2D8-201703B1C8A2}"/>
    <cellStyle name="Normal 5 5 4 3 5 5" xfId="40917" xr:uid="{07917D75-343B-4265-B707-0966753EB7E0}"/>
    <cellStyle name="Normal 5 5 4 3 6" xfId="22669" xr:uid="{7A6D6562-1130-4823-B2E6-106AB4D20CD9}"/>
    <cellStyle name="Normal 5 5 4 3 7" xfId="17009" xr:uid="{25CE6914-3518-4949-B9F5-B6AC7EDBCEDF}"/>
    <cellStyle name="Normal 5 5 4 3 8" xfId="28330" xr:uid="{140D9AD1-D549-494D-AD87-02539849348A}"/>
    <cellStyle name="Normal 5 5 4 3 9" xfId="40906" xr:uid="{FF56B521-402A-49C4-AC61-3FE58D7F4111}"/>
    <cellStyle name="Normal 5 5 4 4" xfId="5083" xr:uid="{00000000-0005-0000-0000-0000AE200000}"/>
    <cellStyle name="Normal 5 5 4 4 2" xfId="6329" xr:uid="{00000000-0005-0000-0000-0000AF200000}"/>
    <cellStyle name="Normal 5 5 4 4 2 2" xfId="7652" xr:uid="{00000000-0005-0000-0000-0000B0200000}"/>
    <cellStyle name="Normal 5 5 4 4 2 2 2" xfId="16085" xr:uid="{00000000-0005-0000-0000-0000B1200000}"/>
    <cellStyle name="Normal 5 5 4 4 2 2 2 2" xfId="27979" xr:uid="{7245572E-9C36-474B-89C9-A4BBF54AB55E}"/>
    <cellStyle name="Normal 5 5 4 4 2 2 2 3" xfId="22319" xr:uid="{FA91EEE2-BFFB-4A96-90AB-DAED1D58079F}"/>
    <cellStyle name="Normal 5 5 4 4 2 2 2 4" xfId="33359" xr:uid="{41B7DAA8-061D-4B41-A2AD-1DB25101B929}"/>
    <cellStyle name="Normal 5 5 4 4 2 2 2 5" xfId="40921" xr:uid="{76017AD3-7392-49D2-8F8B-BE85A45CE08E}"/>
    <cellStyle name="Normal 5 5 4 4 2 2 3" xfId="25146" xr:uid="{1A6B25BA-C21B-4540-A16E-FB3BF0284AA7}"/>
    <cellStyle name="Normal 5 5 4 4 2 2 4" xfId="19486" xr:uid="{CB5EF5D5-038E-451A-9D9F-5A8582EEE565}"/>
    <cellStyle name="Normal 5 5 4 4 2 2 5" xfId="30807" xr:uid="{61B9C7C5-3916-422D-9E0F-0D66FB00A14B}"/>
    <cellStyle name="Normal 5 5 4 4 2 2 6" xfId="40920" xr:uid="{4BD8E87E-1557-426F-B519-2A6F9BD4BB0E}"/>
    <cellStyle name="Normal 5 5 4 4 2 3" xfId="14767" xr:uid="{00000000-0005-0000-0000-0000B2200000}"/>
    <cellStyle name="Normal 5 5 4 4 2 3 2" xfId="26723" xr:uid="{7341FA31-8645-4126-9231-DA0E33E557CF}"/>
    <cellStyle name="Normal 5 5 4 4 2 3 3" xfId="21063" xr:uid="{DC4B087D-7D0F-4839-A507-51AF36ED5C69}"/>
    <cellStyle name="Normal 5 5 4 4 2 3 4" xfId="32103" xr:uid="{ABEDBCD7-A81B-4B0E-B255-A0D1808F0309}"/>
    <cellStyle name="Normal 5 5 4 4 2 3 5" xfId="40922" xr:uid="{F2C6BF90-AF0F-4702-968C-769ECAE514C6}"/>
    <cellStyle name="Normal 5 5 4 4 2 4" xfId="23890" xr:uid="{B58013FA-36DC-418E-BBA4-332168ADF96A}"/>
    <cellStyle name="Normal 5 5 4 4 2 5" xfId="18230" xr:uid="{859FC670-6AB4-4307-954C-B62625667B3A}"/>
    <cellStyle name="Normal 5 5 4 4 2 6" xfId="29551" xr:uid="{19FC8422-5900-4E12-87C8-F4A956D2E840}"/>
    <cellStyle name="Normal 5 5 4 4 2 7" xfId="40919" xr:uid="{ACA43774-1E6D-4B3D-BAFA-257F3E64ABE8}"/>
    <cellStyle name="Normal 5 5 4 4 3" xfId="6946" xr:uid="{00000000-0005-0000-0000-0000B3200000}"/>
    <cellStyle name="Normal 5 5 4 4 3 2" xfId="15379" xr:uid="{00000000-0005-0000-0000-0000B4200000}"/>
    <cellStyle name="Normal 5 5 4 4 3 2 2" xfId="27273" xr:uid="{0235B4F7-2FEE-4DAB-B3BD-7DAB5F47ACB1}"/>
    <cellStyle name="Normal 5 5 4 4 3 2 3" xfId="21613" xr:uid="{F09ACAC4-7486-422F-9042-68A95469060E}"/>
    <cellStyle name="Normal 5 5 4 4 3 2 4" xfId="32653" xr:uid="{E4381AC7-DB15-4088-A2A3-F78832A3ABD9}"/>
    <cellStyle name="Normal 5 5 4 4 3 2 5" xfId="40924" xr:uid="{2F562AAF-8972-4BE3-A08F-15A9B9B54FC5}"/>
    <cellStyle name="Normal 5 5 4 4 3 3" xfId="24440" xr:uid="{59E2823A-3483-4733-9C76-17D62C17AEBD}"/>
    <cellStyle name="Normal 5 5 4 4 3 4" xfId="18780" xr:uid="{176954F2-C67D-48D3-AEC1-FF1FC5D50963}"/>
    <cellStyle name="Normal 5 5 4 4 3 5" xfId="30101" xr:uid="{F55B9FC1-8822-4038-A9B6-0F9F1E878E6D}"/>
    <cellStyle name="Normal 5 5 4 4 3 6" xfId="40923" xr:uid="{7E52D187-AE40-497B-AA21-19283EBFADC9}"/>
    <cellStyle name="Normal 5 5 4 4 4" xfId="8103" xr:uid="{00000000-0005-0000-0000-0000B5200000}"/>
    <cellStyle name="Normal 5 5 4 4 4 2" xfId="25579" xr:uid="{8FC25ED3-3465-4C4D-A8DF-09A57EABAE21}"/>
    <cellStyle name="Normal 5 5 4 4 4 3" xfId="19919" xr:uid="{31EDB376-E9BF-46E3-AD42-17ADEE0A4C56}"/>
    <cellStyle name="Normal 5 5 4 4 4 4" xfId="31240" xr:uid="{6B259BAD-4A99-4918-B636-1D5D6C0DF6DA}"/>
    <cellStyle name="Normal 5 5 4 4 4 5" xfId="40925" xr:uid="{17418565-4E71-444B-BAF8-A0CE0417A8B1}"/>
    <cellStyle name="Normal 5 5 4 4 5" xfId="22878" xr:uid="{A976A329-8C5F-452A-8FA0-AAE2137C4EF1}"/>
    <cellStyle name="Normal 5 5 4 4 6" xfId="17218" xr:uid="{9D9F43EE-89BE-4F07-8AB1-F1CBC4919926}"/>
    <cellStyle name="Normal 5 5 4 4 7" xfId="28539" xr:uid="{F5E32BDE-F9BC-486E-B26F-D35CA0C17E58}"/>
    <cellStyle name="Normal 5 5 4 4 8" xfId="40918" xr:uid="{F3E00E88-7B71-47BC-86BD-F9866623E736}"/>
    <cellStyle name="Normal 5 5 4 5" xfId="6528" xr:uid="{00000000-0005-0000-0000-0000B6200000}"/>
    <cellStyle name="Normal 5 5 4 5 2" xfId="14961" xr:uid="{00000000-0005-0000-0000-0000B7200000}"/>
    <cellStyle name="Normal 5 5 4 5 2 2" xfId="26855" xr:uid="{84A03065-CC08-45FA-BFF7-C4DF30DC5426}"/>
    <cellStyle name="Normal 5 5 4 5 2 3" xfId="21195" xr:uid="{9C2E9052-1D08-407E-BD81-42C1FF7050AE}"/>
    <cellStyle name="Normal 5 5 4 5 2 4" xfId="32235" xr:uid="{95FCAED9-B377-436D-B4FF-AF75549058EA}"/>
    <cellStyle name="Normal 5 5 4 5 2 5" xfId="40927" xr:uid="{AF750456-C316-4D00-9ADB-BA6F6CB6BC0D}"/>
    <cellStyle name="Normal 5 5 4 5 3" xfId="24022" xr:uid="{DB4E2D7C-0DD7-4D8C-A104-9E0E11432EB1}"/>
    <cellStyle name="Normal 5 5 4 5 4" xfId="18362" xr:uid="{33AEF708-F4B9-43A5-990D-35FD8FF7D78F}"/>
    <cellStyle name="Normal 5 5 4 5 5" xfId="29683" xr:uid="{43F7284B-7CB4-43B4-9FCA-CC61357D02BA}"/>
    <cellStyle name="Normal 5 5 4 5 6" xfId="40926" xr:uid="{37F3A450-A001-4937-A8DB-8D4D6192C06D}"/>
    <cellStyle name="Normal 5 5 4 6" xfId="22460" xr:uid="{830338B9-7F1D-423E-AD35-61EB189DCC73}"/>
    <cellStyle name="Normal 5 5 4 7" xfId="16800" xr:uid="{63CD5ED5-C866-4BB4-B46E-B22A974FE5AD}"/>
    <cellStyle name="Normal 5 5 4 8" xfId="28121" xr:uid="{01362AC8-C22E-48F5-A716-58B88F1281F8}"/>
    <cellStyle name="Normal 5 5 4 9" xfId="40904" xr:uid="{30E35440-D85E-4D99-A266-51756DA7DBE3}"/>
    <cellStyle name="Normal 5 5 5" xfId="4341" xr:uid="{00000000-0005-0000-0000-0000B8200000}"/>
    <cellStyle name="Normal 5 5 5 2" xfId="40928" xr:uid="{E8141D8E-F208-469D-A4E7-F9D9750EE5DB}"/>
    <cellStyle name="Normal 5 5 6" xfId="4342" xr:uid="{00000000-0005-0000-0000-0000B9200000}"/>
    <cellStyle name="Normal 5 5 6 2" xfId="40929" xr:uid="{AAC980EC-AFC2-4ABA-903C-D19685E3E2CA}"/>
    <cellStyle name="Normal 5 5 7" xfId="4343" xr:uid="{00000000-0005-0000-0000-0000BA200000}"/>
    <cellStyle name="Normal 5 5 7 2" xfId="40930" xr:uid="{62B54EF8-8969-40C8-A62B-76B0BC61B254}"/>
    <cellStyle name="Normal 5 5 8" xfId="4344" xr:uid="{00000000-0005-0000-0000-0000BB200000}"/>
    <cellStyle name="Normal 5 5 8 2" xfId="40931" xr:uid="{E0DBC9B9-0B6B-4D81-B726-FB532C660307}"/>
    <cellStyle name="Normal 5 5 9" xfId="4790" xr:uid="{00000000-0005-0000-0000-0000BC200000}"/>
    <cellStyle name="Normal 5 5 9 10" xfId="40932" xr:uid="{AEB53642-3C8D-4BDD-B458-CFE3E5758A29}"/>
    <cellStyle name="Normal 5 5 9 2" xfId="5004" xr:uid="{00000000-0005-0000-0000-0000BD200000}"/>
    <cellStyle name="Normal 5 5 9 2 2" xfId="5422" xr:uid="{00000000-0005-0000-0000-0000BE200000}"/>
    <cellStyle name="Normal 5 5 9 2 2 2" xfId="7285" xr:uid="{00000000-0005-0000-0000-0000BF200000}"/>
    <cellStyle name="Normal 5 5 9 2 2 2 2" xfId="15718" xr:uid="{00000000-0005-0000-0000-0000C0200000}"/>
    <cellStyle name="Normal 5 5 9 2 2 2 2 2" xfId="27612" xr:uid="{FAC5ED4A-5AF8-4E86-902F-9E00E384F1CD}"/>
    <cellStyle name="Normal 5 5 9 2 2 2 2 3" xfId="21952" xr:uid="{A460CF64-CE8A-480A-A4F9-18308CF1AD19}"/>
    <cellStyle name="Normal 5 5 9 2 2 2 2 4" xfId="32992" xr:uid="{48EF16BF-0025-42D8-BF29-2F7D789CF7A3}"/>
    <cellStyle name="Normal 5 5 9 2 2 2 2 5" xfId="40936" xr:uid="{DD2B11B8-6E12-4792-9E08-9A3291966D7F}"/>
    <cellStyle name="Normal 5 5 9 2 2 2 3" xfId="24779" xr:uid="{B9993101-310B-4DB7-A35A-C85CFD9FE74B}"/>
    <cellStyle name="Normal 5 5 9 2 2 2 4" xfId="19119" xr:uid="{8CD67D0E-4C56-4777-88FE-B5A581884900}"/>
    <cellStyle name="Normal 5 5 9 2 2 2 5" xfId="30440" xr:uid="{0575930B-3CC6-43E0-8D21-28EE4070417D}"/>
    <cellStyle name="Normal 5 5 9 2 2 2 6" xfId="40935" xr:uid="{BD4B25EB-5234-43DF-939E-C75EA3956EFB}"/>
    <cellStyle name="Normal 5 5 9 2 2 3" xfId="14308" xr:uid="{00000000-0005-0000-0000-0000C1200000}"/>
    <cellStyle name="Normal 5 5 9 2 2 3 2" xfId="26347" xr:uid="{25332943-1DE1-4943-943B-8F94AAB89715}"/>
    <cellStyle name="Normal 5 5 9 2 2 3 3" xfId="20687" xr:uid="{FC411C54-59AB-46A4-A652-07F13B875DF6}"/>
    <cellStyle name="Normal 5 5 9 2 2 3 4" xfId="31727" xr:uid="{DE85E611-9BC6-49BE-A730-6FA33ABB37F6}"/>
    <cellStyle name="Normal 5 5 9 2 2 3 5" xfId="40937" xr:uid="{A6E61095-6752-4CEE-BD57-A39AF2DF22A9}"/>
    <cellStyle name="Normal 5 5 9 2 2 4" xfId="23217" xr:uid="{49EDD76C-0287-4D6C-9942-D5D67D3415DB}"/>
    <cellStyle name="Normal 5 5 9 2 2 5" xfId="17557" xr:uid="{73AF83B5-882B-4C6F-BB15-5D17E513B712}"/>
    <cellStyle name="Normal 5 5 9 2 2 6" xfId="28878" xr:uid="{2E7A040E-9510-4CC0-BF2A-6E56DAD7C7E4}"/>
    <cellStyle name="Normal 5 5 9 2 2 7" xfId="40934" xr:uid="{05DCD790-B539-4450-A985-EA2221E23868}"/>
    <cellStyle name="Normal 5 5 9 2 3" xfId="6332" xr:uid="{00000000-0005-0000-0000-0000C2200000}"/>
    <cellStyle name="Normal 5 5 9 2 3 2" xfId="7655" xr:uid="{00000000-0005-0000-0000-0000C3200000}"/>
    <cellStyle name="Normal 5 5 9 2 3 2 2" xfId="16088" xr:uid="{00000000-0005-0000-0000-0000C4200000}"/>
    <cellStyle name="Normal 5 5 9 2 3 2 2 2" xfId="27982" xr:uid="{17D5B1E8-BC3A-4F9A-9374-7F0AC82E2FFE}"/>
    <cellStyle name="Normal 5 5 9 2 3 2 2 3" xfId="22322" xr:uid="{D6ABF972-6063-4544-BCC7-635BB24C1467}"/>
    <cellStyle name="Normal 5 5 9 2 3 2 2 4" xfId="33362" xr:uid="{31B90BAA-6469-4BAE-ADB5-862D20B6877F}"/>
    <cellStyle name="Normal 5 5 9 2 3 2 2 5" xfId="40940" xr:uid="{5FB105EF-D683-4F84-92D9-2C9AAD58AC16}"/>
    <cellStyle name="Normal 5 5 9 2 3 2 3" xfId="25149" xr:uid="{788315FA-A708-4B4D-98B7-EDDA3719BD48}"/>
    <cellStyle name="Normal 5 5 9 2 3 2 4" xfId="19489" xr:uid="{5C3E0312-D641-4477-9D33-31DC61FF76C1}"/>
    <cellStyle name="Normal 5 5 9 2 3 2 5" xfId="30810" xr:uid="{5C0937BC-4C0E-4456-86CD-78B0EB9F0CC9}"/>
    <cellStyle name="Normal 5 5 9 2 3 2 6" xfId="40939" xr:uid="{1647A6C1-808D-4AAE-9AD7-E7D49D6B870A}"/>
    <cellStyle name="Normal 5 5 9 2 3 3" xfId="14770" xr:uid="{00000000-0005-0000-0000-0000C5200000}"/>
    <cellStyle name="Normal 5 5 9 2 3 3 2" xfId="26726" xr:uid="{9D9A09D9-83BD-4879-9A11-06738546AF18}"/>
    <cellStyle name="Normal 5 5 9 2 3 3 3" xfId="21066" xr:uid="{FB2F7674-AB3B-4643-B09C-6DECF66E48FD}"/>
    <cellStyle name="Normal 5 5 9 2 3 3 4" xfId="32106" xr:uid="{7154872F-4D5E-47EF-A25D-C1177A2D2822}"/>
    <cellStyle name="Normal 5 5 9 2 3 3 5" xfId="40941" xr:uid="{CCF4646B-64E8-45B6-878E-E3B905DACA96}"/>
    <cellStyle name="Normal 5 5 9 2 3 4" xfId="23893" xr:uid="{3B2CE1F6-7307-4BE4-81C8-A270D1061EDB}"/>
    <cellStyle name="Normal 5 5 9 2 3 5" xfId="18233" xr:uid="{B28453F9-6A9F-43BD-B57F-FE07E6757955}"/>
    <cellStyle name="Normal 5 5 9 2 3 6" xfId="29554" xr:uid="{B300B026-B28C-4E8F-A201-470554670E9D}"/>
    <cellStyle name="Normal 5 5 9 2 3 7" xfId="40938" xr:uid="{7ABAB563-94C1-413F-890F-036C8633E399}"/>
    <cellStyle name="Normal 5 5 9 2 4" xfId="6867" xr:uid="{00000000-0005-0000-0000-0000C6200000}"/>
    <cellStyle name="Normal 5 5 9 2 4 2" xfId="15300" xr:uid="{00000000-0005-0000-0000-0000C7200000}"/>
    <cellStyle name="Normal 5 5 9 2 4 2 2" xfId="27194" xr:uid="{E756AB1E-C88A-47CA-85B1-E77289D9A9F1}"/>
    <cellStyle name="Normal 5 5 9 2 4 2 3" xfId="21534" xr:uid="{AA605F6D-34B8-4732-90C8-D0CE2E5032A4}"/>
    <cellStyle name="Normal 5 5 9 2 4 2 4" xfId="32574" xr:uid="{D9116147-0948-4DE6-B568-8B3269A1AB6A}"/>
    <cellStyle name="Normal 5 5 9 2 4 2 5" xfId="40943" xr:uid="{63C1B1CA-6CA2-40D5-A1BF-36CC14586226}"/>
    <cellStyle name="Normal 5 5 9 2 4 3" xfId="24361" xr:uid="{6B6A20AF-999B-4209-A202-78AB112A7306}"/>
    <cellStyle name="Normal 5 5 9 2 4 4" xfId="18701" xr:uid="{B70CD0CD-1E6D-4438-965F-508A18A53BBA}"/>
    <cellStyle name="Normal 5 5 9 2 4 5" xfId="30022" xr:uid="{AC6F187D-430D-4F42-9CCF-5F9FDD4817F7}"/>
    <cellStyle name="Normal 5 5 9 2 4 6" xfId="40942" xr:uid="{9DF473FB-FD2F-4342-BEF0-69F5C37A34E8}"/>
    <cellStyle name="Normal 5 5 9 2 5" xfId="8105" xr:uid="{00000000-0005-0000-0000-0000C8200000}"/>
    <cellStyle name="Normal 5 5 9 2 5 2" xfId="25581" xr:uid="{BCBDEE0C-1506-4530-8F28-93042AA11F51}"/>
    <cellStyle name="Normal 5 5 9 2 5 3" xfId="19921" xr:uid="{508E8240-C7B9-4731-8FE6-DD343F12ADA5}"/>
    <cellStyle name="Normal 5 5 9 2 5 4" xfId="31242" xr:uid="{7F158AA0-C393-462D-B7C4-515A312C2556}"/>
    <cellStyle name="Normal 5 5 9 2 5 5" xfId="40944" xr:uid="{4E36AB40-B64F-4956-AE7D-519919D590F1}"/>
    <cellStyle name="Normal 5 5 9 2 6" xfId="22799" xr:uid="{D69E4CB9-BF73-40DD-B21B-D836DFF59DA2}"/>
    <cellStyle name="Normal 5 5 9 2 7" xfId="17139" xr:uid="{AF012EA1-F321-4BBD-AD79-8B34C376EB17}"/>
    <cellStyle name="Normal 5 5 9 2 8" xfId="28460" xr:uid="{41C71B6C-D33D-44BE-9A61-A126EFFF045D}"/>
    <cellStyle name="Normal 5 5 9 2 9" xfId="40933" xr:uid="{8494ACBC-0A74-4E30-803A-89203A5EBFF4}"/>
    <cellStyle name="Normal 5 5 9 3" xfId="5213" xr:uid="{00000000-0005-0000-0000-0000C9200000}"/>
    <cellStyle name="Normal 5 5 9 3 2" xfId="7076" xr:uid="{00000000-0005-0000-0000-0000CA200000}"/>
    <cellStyle name="Normal 5 5 9 3 2 2" xfId="15509" xr:uid="{00000000-0005-0000-0000-0000CB200000}"/>
    <cellStyle name="Normal 5 5 9 3 2 2 2" xfId="27403" xr:uid="{2254CD8B-E2C3-4FE5-9617-1D3D7728DBE7}"/>
    <cellStyle name="Normal 5 5 9 3 2 2 3" xfId="21743" xr:uid="{F27BF35E-396B-47CE-B186-CF6F1D883401}"/>
    <cellStyle name="Normal 5 5 9 3 2 2 4" xfId="32783" xr:uid="{E6303B51-5BB8-4D59-9C6E-4A98F16A7038}"/>
    <cellStyle name="Normal 5 5 9 3 2 2 5" xfId="40947" xr:uid="{0738EB2A-3C6E-4B93-9E3C-29161A80B244}"/>
    <cellStyle name="Normal 5 5 9 3 2 3" xfId="24570" xr:uid="{E440C9E7-976D-423A-8ABA-F6AE23F56EA0}"/>
    <cellStyle name="Normal 5 5 9 3 2 4" xfId="18910" xr:uid="{A6354191-3360-43C0-9B35-68FC9CE7D247}"/>
    <cellStyle name="Normal 5 5 9 3 2 5" xfId="30231" xr:uid="{D2DD25FC-64D5-4FCA-9369-823CECA064EC}"/>
    <cellStyle name="Normal 5 5 9 3 2 6" xfId="40946" xr:uid="{0284FE48-B329-436C-89F5-311B5E1E49AE}"/>
    <cellStyle name="Normal 5 5 9 3 3" xfId="14099" xr:uid="{00000000-0005-0000-0000-0000CC200000}"/>
    <cellStyle name="Normal 5 5 9 3 3 2" xfId="26138" xr:uid="{D3B88E4E-90CA-4135-8A67-677CC158BE2E}"/>
    <cellStyle name="Normal 5 5 9 3 3 3" xfId="20478" xr:uid="{9D71A2E4-5F59-41B5-9E32-ABD7B1E04C93}"/>
    <cellStyle name="Normal 5 5 9 3 3 4" xfId="31518" xr:uid="{2BD3B127-4800-421C-B6D9-2D98C8F9E88B}"/>
    <cellStyle name="Normal 5 5 9 3 3 5" xfId="40948" xr:uid="{25AAC6C6-3847-45A4-B888-1BB36D93DA8A}"/>
    <cellStyle name="Normal 5 5 9 3 4" xfId="23008" xr:uid="{3D8C302B-CACE-4B47-9897-579BA45B698D}"/>
    <cellStyle name="Normal 5 5 9 3 5" xfId="17348" xr:uid="{91CD5741-5C7B-4E7E-9F34-FEF815996A90}"/>
    <cellStyle name="Normal 5 5 9 3 6" xfId="28669" xr:uid="{E02C2B74-DB4F-446A-827F-64443F6BA2C0}"/>
    <cellStyle name="Normal 5 5 9 3 7" xfId="40945" xr:uid="{1F15E5D8-1BBF-43B8-A4E3-9995D10F0A53}"/>
    <cellStyle name="Normal 5 5 9 4" xfId="6331" xr:uid="{00000000-0005-0000-0000-0000CD200000}"/>
    <cellStyle name="Normal 5 5 9 4 2" xfId="7654" xr:uid="{00000000-0005-0000-0000-0000CE200000}"/>
    <cellStyle name="Normal 5 5 9 4 2 2" xfId="16087" xr:uid="{00000000-0005-0000-0000-0000CF200000}"/>
    <cellStyle name="Normal 5 5 9 4 2 2 2" xfId="27981" xr:uid="{888334F1-434A-41BC-A922-1C5894AED83B}"/>
    <cellStyle name="Normal 5 5 9 4 2 2 3" xfId="22321" xr:uid="{21E09E2A-EB41-4DCA-9AF7-CE5B344100A1}"/>
    <cellStyle name="Normal 5 5 9 4 2 2 4" xfId="33361" xr:uid="{E3D0E6A7-3008-4DB1-8AF9-5F2DE10A5D56}"/>
    <cellStyle name="Normal 5 5 9 4 2 2 5" xfId="40951" xr:uid="{BB6F34F8-3FDA-4A4B-9572-F73BC546D349}"/>
    <cellStyle name="Normal 5 5 9 4 2 3" xfId="25148" xr:uid="{5E79E01C-63E1-4AFE-ACFA-1B92F0DEAE6D}"/>
    <cellStyle name="Normal 5 5 9 4 2 4" xfId="19488" xr:uid="{2CA5CE35-40C3-47D3-8156-2E3FE3498074}"/>
    <cellStyle name="Normal 5 5 9 4 2 5" xfId="30809" xr:uid="{E9F1296B-2DB0-4DD2-9FC0-8CE1F01E0A95}"/>
    <cellStyle name="Normal 5 5 9 4 2 6" xfId="40950" xr:uid="{EC7CDBC7-0622-4961-9270-C85E1A11032C}"/>
    <cellStyle name="Normal 5 5 9 4 3" xfId="14769" xr:uid="{00000000-0005-0000-0000-0000D0200000}"/>
    <cellStyle name="Normal 5 5 9 4 3 2" xfId="26725" xr:uid="{CD14FC42-837C-40F2-8702-69EC418A0E20}"/>
    <cellStyle name="Normal 5 5 9 4 3 3" xfId="21065" xr:uid="{129DC910-36B1-4908-9B79-DB01C9402D81}"/>
    <cellStyle name="Normal 5 5 9 4 3 4" xfId="32105" xr:uid="{13A8372D-960D-426A-98EA-81296BA12F05}"/>
    <cellStyle name="Normal 5 5 9 4 3 5" xfId="40952" xr:uid="{27333543-941A-452F-A8E1-5B57F0D94372}"/>
    <cellStyle name="Normal 5 5 9 4 4" xfId="23892" xr:uid="{23ACE4EC-48F1-4816-9051-B8F06D347D4B}"/>
    <cellStyle name="Normal 5 5 9 4 5" xfId="18232" xr:uid="{0C448580-D74E-47A0-A276-347E1DD21E57}"/>
    <cellStyle name="Normal 5 5 9 4 6" xfId="29553" xr:uid="{5236B510-4088-41A5-B077-0C8FE96EA96F}"/>
    <cellStyle name="Normal 5 5 9 4 7" xfId="40949" xr:uid="{E6E7D86B-2E9B-4460-A82C-F1EA8652B318}"/>
    <cellStyle name="Normal 5 5 9 5" xfId="6658" xr:uid="{00000000-0005-0000-0000-0000D1200000}"/>
    <cellStyle name="Normal 5 5 9 5 2" xfId="15091" xr:uid="{00000000-0005-0000-0000-0000D2200000}"/>
    <cellStyle name="Normal 5 5 9 5 2 2" xfId="26985" xr:uid="{11ED85FF-0F8A-4A3A-A52A-FD9952812A61}"/>
    <cellStyle name="Normal 5 5 9 5 2 3" xfId="21325" xr:uid="{0C9A8D60-FE89-4DB6-B790-AC459F91A712}"/>
    <cellStyle name="Normal 5 5 9 5 2 4" xfId="32365" xr:uid="{DEA3FCD5-CBAB-4B01-95DC-093FDDF7C5B7}"/>
    <cellStyle name="Normal 5 5 9 5 2 5" xfId="40954" xr:uid="{117C8F96-8FF5-48AC-9B56-639D231C72F7}"/>
    <cellStyle name="Normal 5 5 9 5 3" xfId="24152" xr:uid="{36158386-AECD-4B07-9459-8495DBEA43C8}"/>
    <cellStyle name="Normal 5 5 9 5 4" xfId="18492" xr:uid="{AE39EAFC-BE81-448B-8B00-2A09F70021A6}"/>
    <cellStyle name="Normal 5 5 9 5 5" xfId="29813" xr:uid="{14048F51-8A33-4642-A931-DAE2E97882D6}"/>
    <cellStyle name="Normal 5 5 9 5 6" xfId="40953" xr:uid="{8684948C-620C-4B08-A27F-4B2A0035C692}"/>
    <cellStyle name="Normal 5 5 9 6" xfId="8104" xr:uid="{00000000-0005-0000-0000-0000D3200000}"/>
    <cellStyle name="Normal 5 5 9 6 2" xfId="25580" xr:uid="{0703B16F-4EE7-47D4-B386-CF5B7CC16E19}"/>
    <cellStyle name="Normal 5 5 9 6 3" xfId="19920" xr:uid="{5FDAD7C7-C9BB-4618-8766-693B4E23E68E}"/>
    <cellStyle name="Normal 5 5 9 6 4" xfId="31241" xr:uid="{27F2FB50-E831-4579-AB0B-C40633734BAE}"/>
    <cellStyle name="Normal 5 5 9 6 5" xfId="40955" xr:uid="{6666FA18-A769-4723-8EE0-3AA2B7A26A59}"/>
    <cellStyle name="Normal 5 5 9 7" xfId="22590" xr:uid="{74F00B79-5D92-4741-A2E3-48F8C731D6B2}"/>
    <cellStyle name="Normal 5 5 9 8" xfId="16930" xr:uid="{075CED0D-04BF-407A-A941-B14A84BAE5E5}"/>
    <cellStyle name="Normal 5 5 9 9" xfId="28251" xr:uid="{780EAA2F-C566-41BB-8E66-BA10E8E41544}"/>
    <cellStyle name="Normal 5 6" xfId="177" xr:uid="{00000000-0005-0000-0000-0000D4200000}"/>
    <cellStyle name="Normal 5 6 2" xfId="2247" xr:uid="{00000000-0005-0000-0000-0000D5200000}"/>
    <cellStyle name="Normal 5 6 2 2" xfId="40957" xr:uid="{382DDB84-0154-4BFC-A3A1-13056CD882B7}"/>
    <cellStyle name="Normal 5 6 3" xfId="5802" xr:uid="{00000000-0005-0000-0000-0000D6200000}"/>
    <cellStyle name="Normal 5 6 3 2" xfId="40958" xr:uid="{E361C8BA-E0BC-4F9C-A283-2DEC491D58D7}"/>
    <cellStyle name="Normal 5 6 4" xfId="40959" xr:uid="{55D6BEB3-CCA9-4FEE-B34A-8D83AF13C1C3}"/>
    <cellStyle name="Normal 5 6 5" xfId="40956" xr:uid="{E9BE75C0-814D-4E05-B9B5-B178C442E129}"/>
    <cellStyle name="Normal 5 7" xfId="178" xr:uid="{00000000-0005-0000-0000-0000D7200000}"/>
    <cellStyle name="Normal 5 7 2" xfId="40961" xr:uid="{229F0DE5-C1ED-46DB-9CEE-8E6FA8F87C17}"/>
    <cellStyle name="Normal 5 7 3" xfId="40960" xr:uid="{9A5F98A6-072E-4B89-898A-544828DEE6C7}"/>
    <cellStyle name="Normal 5 8" xfId="2248" xr:uid="{00000000-0005-0000-0000-0000D8200000}"/>
    <cellStyle name="Normal 5 8 2" xfId="40963" xr:uid="{36EDC242-D7D3-47C9-A977-DA5BDF52D907}"/>
    <cellStyle name="Normal 5 8 3" xfId="40962" xr:uid="{795A2A84-2825-421E-B0F7-FCD54408D6C5}"/>
    <cellStyle name="Normal 5 9" xfId="2249" xr:uid="{00000000-0005-0000-0000-0000D9200000}"/>
    <cellStyle name="Normal 5 9 2" xfId="40964" xr:uid="{A9EE998D-9986-48B0-A31D-11DA3DE7A5B2}"/>
    <cellStyle name="Normal 5_ELC" xfId="9684" xr:uid="{00000000-0005-0000-0000-0000DA200000}"/>
    <cellStyle name="Normal 50" xfId="2250" xr:uid="{00000000-0005-0000-0000-0000DB200000}"/>
    <cellStyle name="Normal 50 2" xfId="40965" xr:uid="{164695BB-F3F9-423A-B87C-DD1B6D3DDC9E}"/>
    <cellStyle name="Normal 51" xfId="2251" xr:uid="{00000000-0005-0000-0000-0000DC200000}"/>
    <cellStyle name="Normal 51 2" xfId="40966" xr:uid="{0818DA38-DC70-4084-915A-A9465D39DE8E}"/>
    <cellStyle name="Normal 52" xfId="2252" xr:uid="{00000000-0005-0000-0000-0000DD200000}"/>
    <cellStyle name="Normal 52 2" xfId="40967" xr:uid="{5A4A263B-B91C-4FC5-ABCF-0E3BE32A9B75}"/>
    <cellStyle name="Normal 53" xfId="2253" xr:uid="{00000000-0005-0000-0000-0000DE200000}"/>
    <cellStyle name="Normal 53 2" xfId="40968" xr:uid="{2F5E50E1-02A5-4966-9C8E-A86386AA11A5}"/>
    <cellStyle name="Normal 54" xfId="2254" xr:uid="{00000000-0005-0000-0000-0000DF200000}"/>
    <cellStyle name="Normal 54 2" xfId="40969" xr:uid="{D6613619-0A3D-4F7C-9D99-E07C1EE63FFE}"/>
    <cellStyle name="Normal 55" xfId="2255" xr:uid="{00000000-0005-0000-0000-0000E0200000}"/>
    <cellStyle name="Normal 55 2" xfId="40970" xr:uid="{13AF62FD-865D-4CBA-8A14-9DDAF2418FA6}"/>
    <cellStyle name="Normal 56" xfId="16692" xr:uid="{00000000-0005-0000-0000-0000E1200000}"/>
    <cellStyle name="Normal 56 2" xfId="28040" xr:uid="{AC97D2FA-33FE-4A54-9F57-28277ADA89E3}"/>
    <cellStyle name="Normal 56 3" xfId="22380" xr:uid="{13E405B0-A52E-4D15-8329-88E8AC45022D}"/>
    <cellStyle name="Normal 56 4" xfId="33420" xr:uid="{4415AD28-12F7-45BF-961E-4CEFB68F7809}"/>
    <cellStyle name="Normal 56 5" xfId="40971" xr:uid="{184E72BB-FDD0-468E-966C-36A4E65CD45F}"/>
    <cellStyle name="Normal 57" xfId="16693" xr:uid="{00000000-0005-0000-0000-0000E2200000}"/>
    <cellStyle name="Normal 57 2" xfId="28041" xr:uid="{E22562F3-B4BC-4AF0-A710-64FAADBD87C4}"/>
    <cellStyle name="Normal 57 3" xfId="22381" xr:uid="{9577781F-1698-4AEC-9C1E-50A13501D569}"/>
    <cellStyle name="Normal 57 4" xfId="33421" xr:uid="{97FB0EA2-E224-4EDC-8C72-1DDB9CF2E050}"/>
    <cellStyle name="Normal 57 5" xfId="40972" xr:uid="{49BBCBF3-E8C1-4BBE-883A-F639CDD2FBF7}"/>
    <cellStyle name="Normal 58" xfId="16694" xr:uid="{00000000-0005-0000-0000-0000E3200000}"/>
    <cellStyle name="Normal 58 2" xfId="28042" xr:uid="{E073ADE2-B8C8-4988-BC3E-3BC415554555}"/>
    <cellStyle name="Normal 58 3" xfId="22382" xr:uid="{BE2F5F79-4FA7-43D0-BB66-5308423595F5}"/>
    <cellStyle name="Normal 58 4" xfId="33422" xr:uid="{CDCF11BD-F69F-45C3-A7FF-664D6F3A1AC1}"/>
    <cellStyle name="Normal 58 5" xfId="40973" xr:uid="{E5A2B24F-7173-484E-AB6C-E64A1AB15172}"/>
    <cellStyle name="Normal 59" xfId="16695" xr:uid="{00000000-0005-0000-0000-0000E4200000}"/>
    <cellStyle name="Normal 59 2" xfId="28043" xr:uid="{7BA07E48-4597-4E03-BEC4-88A9F2C2C1EA}"/>
    <cellStyle name="Normal 59 3" xfId="22383" xr:uid="{484E56E3-A77D-416C-B7AF-773773BB1BAB}"/>
    <cellStyle name="Normal 59 4" xfId="33423" xr:uid="{AE8F302F-D4EE-46A0-B3C0-5F0F54C08616}"/>
    <cellStyle name="Normal 59 5" xfId="40974" xr:uid="{2F1E68A5-2865-4844-B84B-8CFC403EB28C}"/>
    <cellStyle name="Normal 6" xfId="5" xr:uid="{00000000-0005-0000-0000-0000E5200000}"/>
    <cellStyle name="Normal 6 10" xfId="2256" xr:uid="{00000000-0005-0000-0000-0000E6200000}"/>
    <cellStyle name="Normal 6 10 2" xfId="4345" xr:uid="{00000000-0005-0000-0000-0000E7200000}"/>
    <cellStyle name="Normal 6 10 2 2" xfId="40978" xr:uid="{CD8FB0D3-AE59-4111-8B96-0DDE8FA07CA2}"/>
    <cellStyle name="Normal 6 10 2 3" xfId="40977" xr:uid="{2776CD40-16B0-4655-9333-273E5614F9E7}"/>
    <cellStyle name="Normal 6 10 3" xfId="6333" xr:uid="{00000000-0005-0000-0000-0000E8200000}"/>
    <cellStyle name="Normal 6 10 3 2" xfId="40979" xr:uid="{33045CEE-6CF9-42E8-B493-CADE8FC13A56}"/>
    <cellStyle name="Normal 6 10 4" xfId="40980" xr:uid="{958439E1-7157-4A31-9CBE-9461BA97D440}"/>
    <cellStyle name="Normal 6 10 5" xfId="40976" xr:uid="{9E2F8428-155E-462E-AF00-F1F5DE1BB221}"/>
    <cellStyle name="Normal 6 10 6" xfId="49824" xr:uid="{3A324283-DB43-4339-B0AA-3FDAFF41082F}"/>
    <cellStyle name="Normal 6 11" xfId="2257" xr:uid="{00000000-0005-0000-0000-0000E9200000}"/>
    <cellStyle name="Normal 6 11 2" xfId="40982" xr:uid="{9DB10559-4527-48FB-8453-830A8FB83454}"/>
    <cellStyle name="Normal 6 11 2 2" xfId="49825" xr:uid="{C8638A83-CF00-4EAD-9634-331CA985F9A5}"/>
    <cellStyle name="Normal 6 11 3" xfId="40983" xr:uid="{94C2BCFC-EF11-4EDF-ADAF-313025D1011C}"/>
    <cellStyle name="Normal 6 11 3 2" xfId="40984" xr:uid="{9BCE53A7-BAC1-44F7-A9CB-6C3A52C46872}"/>
    <cellStyle name="Normal 6 11 3 2 2" xfId="49827" xr:uid="{341AF2CA-574A-40CC-A560-486F2B3A0ACD}"/>
    <cellStyle name="Normal 6 11 3 3" xfId="49826" xr:uid="{17E8090B-FD33-40B5-9685-32CD54808FD0}"/>
    <cellStyle name="Normal 6 11 4" xfId="40985" xr:uid="{DA5D4328-BCF7-4600-A2A4-485569461B09}"/>
    <cellStyle name="Normal 6 11 5" xfId="40981" xr:uid="{5FFD32F4-859C-4AD5-B18C-5D2FFB3351D3}"/>
    <cellStyle name="Normal 6 12" xfId="2258" xr:uid="{00000000-0005-0000-0000-0000EA200000}"/>
    <cellStyle name="Normal 6 12 2" xfId="4346" xr:uid="{00000000-0005-0000-0000-0000EB200000}"/>
    <cellStyle name="Normal 6 12 2 2" xfId="40987" xr:uid="{A3D390D8-0BFE-4A9F-AF99-75610535B393}"/>
    <cellStyle name="Normal 6 12 3" xfId="6334" xr:uid="{00000000-0005-0000-0000-0000EC200000}"/>
    <cellStyle name="Normal 6 12 3 2" xfId="40988" xr:uid="{A4DED00F-25DA-4F3D-AFF7-0C6B06A976B0}"/>
    <cellStyle name="Normal 6 12 4" xfId="40989" xr:uid="{3E8307F8-24EF-4AC7-8B27-CBF8823CECE3}"/>
    <cellStyle name="Normal 6 12 5" xfId="40986" xr:uid="{AE46DFBA-F8AD-4239-A8AF-60E8B5D05217}"/>
    <cellStyle name="Normal 6 13" xfId="40990" xr:uid="{27D341AB-AFD0-4018-803D-CA8077467CC2}"/>
    <cellStyle name="Normal 6 13 2" xfId="40991" xr:uid="{DA6FF3CF-E633-460F-8928-22F09AD54615}"/>
    <cellStyle name="Normal 6 13 2 2" xfId="49829" xr:uid="{9E5CA4E2-F006-4256-A651-0CE603F6F052}"/>
    <cellStyle name="Normal 6 13 3" xfId="49828" xr:uid="{FFC696BA-3BCC-4E87-83A5-869CAF1B1269}"/>
    <cellStyle name="Normal 6 14" xfId="40992" xr:uid="{E0C2F7D8-7FB2-4836-AD5E-1E338214354A}"/>
    <cellStyle name="Normal 6 14 2" xfId="40993" xr:uid="{A4D1AF47-F633-46C3-83C1-F2FB5C6E4867}"/>
    <cellStyle name="Normal 6 15" xfId="40975" xr:uid="{E92E8F40-E27E-41CC-8E1C-6596D71296B1}"/>
    <cellStyle name="Normal 6 2" xfId="179" xr:uid="{00000000-0005-0000-0000-0000ED200000}"/>
    <cellStyle name="Normal 6 2 10" xfId="2259" xr:uid="{00000000-0005-0000-0000-0000EE200000}"/>
    <cellStyle name="Normal 6 2 10 2" xfId="40995" xr:uid="{CE959F0B-C547-4F1B-AE86-435D5308D701}"/>
    <cellStyle name="Normal 6 2 11" xfId="2260" xr:uid="{00000000-0005-0000-0000-0000EF200000}"/>
    <cellStyle name="Normal 6 2 11 2" xfId="40996" xr:uid="{D589B6C1-A502-4DE1-AF27-744794D232B8}"/>
    <cellStyle name="Normal 6 2 12" xfId="2261" xr:uid="{00000000-0005-0000-0000-0000F0200000}"/>
    <cellStyle name="Normal 6 2 12 2" xfId="40997" xr:uid="{0BDC89E1-6824-4F84-9250-48995DE16FC6}"/>
    <cellStyle name="Normal 6 2 13" xfId="2262" xr:uid="{00000000-0005-0000-0000-0000F1200000}"/>
    <cellStyle name="Normal 6 2 13 2" xfId="40998" xr:uid="{052A27E2-0F68-4163-8C30-62162AB62262}"/>
    <cellStyle name="Normal 6 2 14" xfId="2263" xr:uid="{00000000-0005-0000-0000-0000F2200000}"/>
    <cellStyle name="Normal 6 2 14 2" xfId="40999" xr:uid="{BE599609-AD3A-408C-BE89-CA7040B17A13}"/>
    <cellStyle name="Normal 6 2 15" xfId="41000" xr:uid="{3A26C500-34C1-4F78-86D2-2C8F82FA728E}"/>
    <cellStyle name="Normal 6 2 16" xfId="40994" xr:uid="{A9BEFBDC-AC5A-4BDC-8BDD-74AB26E6006E}"/>
    <cellStyle name="Normal 6 2 2" xfId="180" xr:uid="{00000000-0005-0000-0000-0000F3200000}"/>
    <cellStyle name="Normal 6 2 2 10" xfId="4347" xr:uid="{00000000-0005-0000-0000-0000F4200000}"/>
    <cellStyle name="Normal 6 2 2 10 10" xfId="41002" xr:uid="{FEAE4327-49D9-408E-B268-464FE536543E}"/>
    <cellStyle name="Normal 6 2 2 10 2" xfId="4978" xr:uid="{00000000-0005-0000-0000-0000F5200000}"/>
    <cellStyle name="Normal 6 2 2 10 2 2" xfId="5397" xr:uid="{00000000-0005-0000-0000-0000F6200000}"/>
    <cellStyle name="Normal 6 2 2 10 2 2 2" xfId="7260" xr:uid="{00000000-0005-0000-0000-0000F7200000}"/>
    <cellStyle name="Normal 6 2 2 10 2 2 2 2" xfId="15693" xr:uid="{00000000-0005-0000-0000-0000F8200000}"/>
    <cellStyle name="Normal 6 2 2 10 2 2 2 2 2" xfId="27587" xr:uid="{0D29A784-74B5-4CE4-B14C-B77BF81EE96E}"/>
    <cellStyle name="Normal 6 2 2 10 2 2 2 2 3" xfId="21927" xr:uid="{6A961555-73AC-44CA-B991-75C8EB57C51F}"/>
    <cellStyle name="Normal 6 2 2 10 2 2 2 2 4" xfId="32967" xr:uid="{58BA852C-F5F5-4DBA-A28F-078C102D650D}"/>
    <cellStyle name="Normal 6 2 2 10 2 2 2 2 5" xfId="41006" xr:uid="{7293D786-0FA4-4E01-82C7-3E9A1E0987ED}"/>
    <cellStyle name="Normal 6 2 2 10 2 2 2 3" xfId="24754" xr:uid="{E29293B0-756F-4E65-A8E1-4E808AF453C4}"/>
    <cellStyle name="Normal 6 2 2 10 2 2 2 4" xfId="19094" xr:uid="{E5A16383-F336-4ADC-8587-586C4B93E4C2}"/>
    <cellStyle name="Normal 6 2 2 10 2 2 2 5" xfId="30415" xr:uid="{12256692-FA0F-4D69-B5E5-D5D5AB189411}"/>
    <cellStyle name="Normal 6 2 2 10 2 2 2 6" xfId="41005" xr:uid="{A9BBBEF5-273A-467B-8FF2-4F1B79CCE379}"/>
    <cellStyle name="Normal 6 2 2 10 2 2 3" xfId="14283" xr:uid="{00000000-0005-0000-0000-0000F9200000}"/>
    <cellStyle name="Normal 6 2 2 10 2 2 3 2" xfId="26322" xr:uid="{27CE23B5-7B84-4F0B-B0E8-1E8381AA5850}"/>
    <cellStyle name="Normal 6 2 2 10 2 2 3 3" xfId="20662" xr:uid="{F85EE179-01BC-4BE9-9D26-3FBE99C86E23}"/>
    <cellStyle name="Normal 6 2 2 10 2 2 3 4" xfId="31702" xr:uid="{C1BF3E78-3EC7-4628-BD8D-32857F3CFC80}"/>
    <cellStyle name="Normal 6 2 2 10 2 2 3 5" xfId="41007" xr:uid="{C7C8076A-A36B-4223-8153-8C65672AE3EC}"/>
    <cellStyle name="Normal 6 2 2 10 2 2 4" xfId="23192" xr:uid="{84BBCF45-F685-4F92-88CE-EFF3646D76EF}"/>
    <cellStyle name="Normal 6 2 2 10 2 2 5" xfId="17532" xr:uid="{61CB8D19-BD4D-4FB7-B178-03D223532F70}"/>
    <cellStyle name="Normal 6 2 2 10 2 2 6" xfId="28853" xr:uid="{4BBD8444-CB04-4A36-81B4-6EC5E0F5F5C3}"/>
    <cellStyle name="Normal 6 2 2 10 2 2 7" xfId="41004" xr:uid="{55BDD3C8-C30D-4888-9C40-DF5EBDFFE617}"/>
    <cellStyle name="Normal 6 2 2 10 2 3" xfId="6336" xr:uid="{00000000-0005-0000-0000-0000FA200000}"/>
    <cellStyle name="Normal 6 2 2 10 2 3 2" xfId="7657" xr:uid="{00000000-0005-0000-0000-0000FB200000}"/>
    <cellStyle name="Normal 6 2 2 10 2 3 2 2" xfId="16090" xr:uid="{00000000-0005-0000-0000-0000FC200000}"/>
    <cellStyle name="Normal 6 2 2 10 2 3 2 2 2" xfId="27984" xr:uid="{A315F791-2A63-4439-A780-2A6907CF8A7C}"/>
    <cellStyle name="Normal 6 2 2 10 2 3 2 2 3" xfId="22324" xr:uid="{A165747C-499F-4308-8ED8-DF7150C699B4}"/>
    <cellStyle name="Normal 6 2 2 10 2 3 2 2 4" xfId="33364" xr:uid="{A62C8635-2349-4DCC-8BE1-A527AE7FF735}"/>
    <cellStyle name="Normal 6 2 2 10 2 3 2 2 5" xfId="41010" xr:uid="{A5B736A7-8953-4CFC-AE25-AA5525010B0D}"/>
    <cellStyle name="Normal 6 2 2 10 2 3 2 3" xfId="25151" xr:uid="{3FAD009C-551E-4DE8-AA8E-A751ED4513C3}"/>
    <cellStyle name="Normal 6 2 2 10 2 3 2 4" xfId="19491" xr:uid="{0D2060AB-9EEA-4545-A34A-B2DF88978C19}"/>
    <cellStyle name="Normal 6 2 2 10 2 3 2 5" xfId="30812" xr:uid="{DAF89F47-D447-48A1-9D84-C5DB37CB3758}"/>
    <cellStyle name="Normal 6 2 2 10 2 3 2 6" xfId="41009" xr:uid="{6F7020D7-F698-4D2A-9650-68C3683C37ED}"/>
    <cellStyle name="Normal 6 2 2 10 2 3 3" xfId="14773" xr:uid="{00000000-0005-0000-0000-0000FD200000}"/>
    <cellStyle name="Normal 6 2 2 10 2 3 3 2" xfId="26728" xr:uid="{1C102E43-61B8-47E4-B57D-864F4044C03F}"/>
    <cellStyle name="Normal 6 2 2 10 2 3 3 3" xfId="21068" xr:uid="{F421DE4F-9C5D-477D-8341-379F055D08B3}"/>
    <cellStyle name="Normal 6 2 2 10 2 3 3 4" xfId="32108" xr:uid="{0B4DB921-E053-4DDA-A639-0B845B457E0D}"/>
    <cellStyle name="Normal 6 2 2 10 2 3 3 5" xfId="41011" xr:uid="{58C28696-FACF-4D30-A761-845BD02BF0C8}"/>
    <cellStyle name="Normal 6 2 2 10 2 3 4" xfId="23895" xr:uid="{E2D781FB-D8EC-4BB2-8FF1-1A76C0FE08F5}"/>
    <cellStyle name="Normal 6 2 2 10 2 3 5" xfId="18235" xr:uid="{6CC1B773-FF6E-4097-A5A8-3B1924C1E5E3}"/>
    <cellStyle name="Normal 6 2 2 10 2 3 6" xfId="29556" xr:uid="{A65ADC09-667B-403F-BB9E-340D259F8024}"/>
    <cellStyle name="Normal 6 2 2 10 2 3 7" xfId="41008" xr:uid="{AAD234DC-CD04-49C2-B8F5-D5707788749C}"/>
    <cellStyle name="Normal 6 2 2 10 2 4" xfId="6842" xr:uid="{00000000-0005-0000-0000-0000FE200000}"/>
    <cellStyle name="Normal 6 2 2 10 2 4 2" xfId="15275" xr:uid="{00000000-0005-0000-0000-0000FF200000}"/>
    <cellStyle name="Normal 6 2 2 10 2 4 2 2" xfId="27169" xr:uid="{35001750-78E8-457E-9299-2C4B69D7BDA9}"/>
    <cellStyle name="Normal 6 2 2 10 2 4 2 3" xfId="21509" xr:uid="{C71104BC-A2DF-4C63-BABA-ED52DD610DD2}"/>
    <cellStyle name="Normal 6 2 2 10 2 4 2 4" xfId="32549" xr:uid="{2A66B621-4DB7-4D02-BBD0-342B97510CA6}"/>
    <cellStyle name="Normal 6 2 2 10 2 4 2 5" xfId="41013" xr:uid="{1938FB76-9D55-4845-B55C-A998BB8DA677}"/>
    <cellStyle name="Normal 6 2 2 10 2 4 3" xfId="24336" xr:uid="{42E0733C-FE67-462A-AFC2-880F983C402C}"/>
    <cellStyle name="Normal 6 2 2 10 2 4 4" xfId="18676" xr:uid="{A43DF106-8E96-44C0-B5D0-299EE2ECE733}"/>
    <cellStyle name="Normal 6 2 2 10 2 4 5" xfId="29997" xr:uid="{31C3B224-FE47-4F27-9B1C-244947747FEE}"/>
    <cellStyle name="Normal 6 2 2 10 2 4 6" xfId="41012" xr:uid="{99DFA842-0FAF-46B8-A134-F37B04B148B7}"/>
    <cellStyle name="Normal 6 2 2 10 2 5" xfId="8107" xr:uid="{00000000-0005-0000-0000-000000210000}"/>
    <cellStyle name="Normal 6 2 2 10 2 5 2" xfId="25583" xr:uid="{2DBE76DD-5D2E-4995-A6D7-5CF820258A40}"/>
    <cellStyle name="Normal 6 2 2 10 2 5 3" xfId="19923" xr:uid="{DF3666EF-4380-490F-87E2-E277821D4FF2}"/>
    <cellStyle name="Normal 6 2 2 10 2 5 4" xfId="31244" xr:uid="{A950B213-C796-4299-8B70-A13A5FB84B6A}"/>
    <cellStyle name="Normal 6 2 2 10 2 5 5" xfId="41014" xr:uid="{C2F33940-CEB7-4AA2-A77F-E4A7FB3DBCC8}"/>
    <cellStyle name="Normal 6 2 2 10 2 6" xfId="22774" xr:uid="{5323511A-BD93-4868-AFFB-01EC1FCD86F8}"/>
    <cellStyle name="Normal 6 2 2 10 2 7" xfId="17114" xr:uid="{2E504EE9-4462-44D1-A6AE-FEDEBBEC7972}"/>
    <cellStyle name="Normal 6 2 2 10 2 8" xfId="28435" xr:uid="{8B6B0946-6FE0-4D92-844E-B8C4357A9FBA}"/>
    <cellStyle name="Normal 6 2 2 10 2 9" xfId="41003" xr:uid="{F218E03A-BE5C-458E-8A52-41180976F073}"/>
    <cellStyle name="Normal 6 2 2 10 3" xfId="5188" xr:uid="{00000000-0005-0000-0000-000001210000}"/>
    <cellStyle name="Normal 6 2 2 10 3 2" xfId="6335" xr:uid="{00000000-0005-0000-0000-000002210000}"/>
    <cellStyle name="Normal 6 2 2 10 3 2 2" xfId="7656" xr:uid="{00000000-0005-0000-0000-000003210000}"/>
    <cellStyle name="Normal 6 2 2 10 3 2 2 2" xfId="16089" xr:uid="{00000000-0005-0000-0000-000004210000}"/>
    <cellStyle name="Normal 6 2 2 10 3 2 2 2 2" xfId="27983" xr:uid="{EDA6B1D3-3410-466F-A2CC-33A3572EBF37}"/>
    <cellStyle name="Normal 6 2 2 10 3 2 2 2 3" xfId="22323" xr:uid="{54975E98-18F9-420D-AC60-F567A140C0DE}"/>
    <cellStyle name="Normal 6 2 2 10 3 2 2 2 4" xfId="33363" xr:uid="{10E7885A-ABD2-4655-876D-9BA681FB0512}"/>
    <cellStyle name="Normal 6 2 2 10 3 2 2 2 5" xfId="41018" xr:uid="{2D2AFF3E-00DA-452E-B724-7428B548C17E}"/>
    <cellStyle name="Normal 6 2 2 10 3 2 2 3" xfId="25150" xr:uid="{8AFDA5DD-4535-4732-9661-8C34BF754764}"/>
    <cellStyle name="Normal 6 2 2 10 3 2 2 4" xfId="19490" xr:uid="{B0300B13-22A8-414F-82D9-B4844169328B}"/>
    <cellStyle name="Normal 6 2 2 10 3 2 2 5" xfId="30811" xr:uid="{1DA74CCD-3D67-4209-9327-C1CF431532BA}"/>
    <cellStyle name="Normal 6 2 2 10 3 2 2 6" xfId="41017" xr:uid="{B10CAC1F-601B-4756-BA4B-E637BCBF255E}"/>
    <cellStyle name="Normal 6 2 2 10 3 2 3" xfId="14772" xr:uid="{00000000-0005-0000-0000-000005210000}"/>
    <cellStyle name="Normal 6 2 2 10 3 2 3 2" xfId="26727" xr:uid="{B5C6B952-D329-4907-86D6-B1093B89CB86}"/>
    <cellStyle name="Normal 6 2 2 10 3 2 3 3" xfId="21067" xr:uid="{949A34D5-9B90-4FCF-AA8E-2AE81D7AC756}"/>
    <cellStyle name="Normal 6 2 2 10 3 2 3 4" xfId="32107" xr:uid="{118C5397-1D91-4269-A9E4-EC88E6FF409E}"/>
    <cellStyle name="Normal 6 2 2 10 3 2 3 5" xfId="41019" xr:uid="{3A86845D-7DC5-48C0-89E3-CD26A14F47A6}"/>
    <cellStyle name="Normal 6 2 2 10 3 2 4" xfId="23894" xr:uid="{18FFAAA2-47D8-4DB7-A7AD-04E01448A6D3}"/>
    <cellStyle name="Normal 6 2 2 10 3 2 5" xfId="18234" xr:uid="{0DB1993D-D8B7-4221-BD97-3852D3DB03BD}"/>
    <cellStyle name="Normal 6 2 2 10 3 2 6" xfId="29555" xr:uid="{ADD365CE-18F7-48B5-9485-6205E84BE73C}"/>
    <cellStyle name="Normal 6 2 2 10 3 2 7" xfId="41016" xr:uid="{DEDFCCC7-B72A-4EF4-8529-055AAFEC8B89}"/>
    <cellStyle name="Normal 6 2 2 10 3 3" xfId="7051" xr:uid="{00000000-0005-0000-0000-000006210000}"/>
    <cellStyle name="Normal 6 2 2 10 3 3 2" xfId="15484" xr:uid="{00000000-0005-0000-0000-000007210000}"/>
    <cellStyle name="Normal 6 2 2 10 3 3 2 2" xfId="27378" xr:uid="{482B51D4-C252-4D1B-B8E1-C92811468395}"/>
    <cellStyle name="Normal 6 2 2 10 3 3 2 3" xfId="21718" xr:uid="{1EBDD825-FABB-4F83-A0A6-7AD2EDB6D76F}"/>
    <cellStyle name="Normal 6 2 2 10 3 3 2 4" xfId="32758" xr:uid="{0719985C-6A52-47E2-B4BC-D8C3985FF3FF}"/>
    <cellStyle name="Normal 6 2 2 10 3 3 2 5" xfId="41021" xr:uid="{A61A84FA-0F67-4FF5-9B19-0C2631A3BDDB}"/>
    <cellStyle name="Normal 6 2 2 10 3 3 3" xfId="24545" xr:uid="{2577FDDF-71F5-4248-AF75-B38F03375C89}"/>
    <cellStyle name="Normal 6 2 2 10 3 3 4" xfId="18885" xr:uid="{692D25E9-F178-42FC-845B-43CC65AEE034}"/>
    <cellStyle name="Normal 6 2 2 10 3 3 5" xfId="30206" xr:uid="{05DC7035-AC4A-470C-8128-2F71FFC47629}"/>
    <cellStyle name="Normal 6 2 2 10 3 3 6" xfId="41020" xr:uid="{3E17E1DB-1EEF-4591-87D5-75C69E4DF398}"/>
    <cellStyle name="Normal 6 2 2 10 3 4" xfId="14075" xr:uid="{00000000-0005-0000-0000-000008210000}"/>
    <cellStyle name="Normal 6 2 2 10 3 4 2" xfId="26114" xr:uid="{7CF093ED-95F1-4070-9FDA-4FA7D9F16084}"/>
    <cellStyle name="Normal 6 2 2 10 3 4 3" xfId="20454" xr:uid="{D50E6EB2-D3FE-48A8-9C52-49176655B0D6}"/>
    <cellStyle name="Normal 6 2 2 10 3 4 4" xfId="31494" xr:uid="{AA6DFEFE-353D-42BE-B7FA-AFE2CCC26965}"/>
    <cellStyle name="Normal 6 2 2 10 3 4 5" xfId="41022" xr:uid="{CEF318A3-94CD-4F77-8E43-66D6A7308C4F}"/>
    <cellStyle name="Normal 6 2 2 10 3 5" xfId="22983" xr:uid="{E93A546E-3589-4369-980B-9602B4C08F46}"/>
    <cellStyle name="Normal 6 2 2 10 3 6" xfId="17323" xr:uid="{FC7CB13C-63BC-45B2-ACEA-44B771E4597C}"/>
    <cellStyle name="Normal 6 2 2 10 3 7" xfId="28644" xr:uid="{F21E2E4C-5F69-41B4-8B8F-E7B5C3D9B303}"/>
    <cellStyle name="Normal 6 2 2 10 3 8" xfId="41015" xr:uid="{D8100B08-9DCC-484A-AA52-97F2E22EC7AD}"/>
    <cellStyle name="Normal 6 2 2 10 4" xfId="5706" xr:uid="{00000000-0005-0000-0000-000009210000}"/>
    <cellStyle name="Normal 6 2 2 10 4 2" xfId="41023" xr:uid="{2AF50C9A-F2A5-44D1-B6E7-B58D6901CFFD}"/>
    <cellStyle name="Normal 6 2 2 10 5" xfId="6633" xr:uid="{00000000-0005-0000-0000-00000A210000}"/>
    <cellStyle name="Normal 6 2 2 10 5 2" xfId="15066" xr:uid="{00000000-0005-0000-0000-00000B210000}"/>
    <cellStyle name="Normal 6 2 2 10 5 2 2" xfId="26960" xr:uid="{14B1E6CA-DA2D-496A-9D65-8892FC4EF07A}"/>
    <cellStyle name="Normal 6 2 2 10 5 2 3" xfId="21300" xr:uid="{6B93A52B-895B-4574-AFE0-73CE5CEF4504}"/>
    <cellStyle name="Normal 6 2 2 10 5 2 4" xfId="32340" xr:uid="{8E4E5B67-46C0-413F-AB48-69861C4F0955}"/>
    <cellStyle name="Normal 6 2 2 10 5 2 5" xfId="41025" xr:uid="{9003F103-FC0E-4039-A6D7-79206CD5C7A2}"/>
    <cellStyle name="Normal 6 2 2 10 5 3" xfId="24127" xr:uid="{8148A72D-FD22-4873-99B6-AF6C34FB19E3}"/>
    <cellStyle name="Normal 6 2 2 10 5 4" xfId="18467" xr:uid="{AD6D7B18-99D5-48DC-8200-57D581BF9D64}"/>
    <cellStyle name="Normal 6 2 2 10 5 5" xfId="29788" xr:uid="{8E82ACBA-7D20-47FE-BB2F-D3C33FD5C127}"/>
    <cellStyle name="Normal 6 2 2 10 5 6" xfId="41024" xr:uid="{7C2F9C15-70DC-42D4-A4B1-16C4298C11AD}"/>
    <cellStyle name="Normal 6 2 2 10 6" xfId="8106" xr:uid="{00000000-0005-0000-0000-00000C210000}"/>
    <cellStyle name="Normal 6 2 2 10 6 2" xfId="25582" xr:uid="{5B88CECC-1827-48EB-AEC6-C0BDCFA4101F}"/>
    <cellStyle name="Normal 6 2 2 10 6 3" xfId="19922" xr:uid="{124B132B-8B59-435A-8EBB-17DC2E19D33C}"/>
    <cellStyle name="Normal 6 2 2 10 6 4" xfId="31243" xr:uid="{7D1FBA23-3BBB-45FE-839A-9C664940DAD0}"/>
    <cellStyle name="Normal 6 2 2 10 6 5" xfId="41026" xr:uid="{8C5B90A2-3EAF-485D-A26E-60A050788030}"/>
    <cellStyle name="Normal 6 2 2 10 7" xfId="22565" xr:uid="{31179AD6-3A5C-436D-A44A-FE4081D15083}"/>
    <cellStyle name="Normal 6 2 2 10 8" xfId="16905" xr:uid="{EAFC4165-5E6A-4A80-8415-AAEFEFABC7DC}"/>
    <cellStyle name="Normal 6 2 2 10 9" xfId="28226" xr:uid="{DCA69B65-4E04-47EA-9272-44F2706DBB7B}"/>
    <cellStyle name="Normal 6 2 2 11" xfId="4348" xr:uid="{00000000-0005-0000-0000-00000D210000}"/>
    <cellStyle name="Normal 6 2 2 11 10" xfId="41027" xr:uid="{C69728EB-2856-4BCE-A8CB-880081A8C987}"/>
    <cellStyle name="Normal 6 2 2 11 2" xfId="4979" xr:uid="{00000000-0005-0000-0000-00000E210000}"/>
    <cellStyle name="Normal 6 2 2 11 2 2" xfId="5398" xr:uid="{00000000-0005-0000-0000-00000F210000}"/>
    <cellStyle name="Normal 6 2 2 11 2 2 2" xfId="7261" xr:uid="{00000000-0005-0000-0000-000010210000}"/>
    <cellStyle name="Normal 6 2 2 11 2 2 2 2" xfId="15694" xr:uid="{00000000-0005-0000-0000-000011210000}"/>
    <cellStyle name="Normal 6 2 2 11 2 2 2 2 2" xfId="27588" xr:uid="{CDD759F0-E1F4-4387-AAE9-4CD2022E20BC}"/>
    <cellStyle name="Normal 6 2 2 11 2 2 2 2 3" xfId="21928" xr:uid="{5031338F-34C6-46B3-B9DE-5BF93763A9B1}"/>
    <cellStyle name="Normal 6 2 2 11 2 2 2 2 4" xfId="32968" xr:uid="{A54B963A-C960-4648-A9E8-6EA648CF7127}"/>
    <cellStyle name="Normal 6 2 2 11 2 2 2 2 5" xfId="41031" xr:uid="{3C1A218E-1432-4D8D-AC4E-0D982866112B}"/>
    <cellStyle name="Normal 6 2 2 11 2 2 2 3" xfId="24755" xr:uid="{865E3FF1-27B9-4607-AF7C-31BCA044F50F}"/>
    <cellStyle name="Normal 6 2 2 11 2 2 2 4" xfId="19095" xr:uid="{7C6B4C40-F8D7-4A44-8DAD-153C790CD81A}"/>
    <cellStyle name="Normal 6 2 2 11 2 2 2 5" xfId="30416" xr:uid="{BA8FAF37-DC94-4D71-89C7-405B57C58D5C}"/>
    <cellStyle name="Normal 6 2 2 11 2 2 2 6" xfId="41030" xr:uid="{6F434C95-BF51-496C-8D7A-7E981ECB434E}"/>
    <cellStyle name="Normal 6 2 2 11 2 2 3" xfId="14284" xr:uid="{00000000-0005-0000-0000-000012210000}"/>
    <cellStyle name="Normal 6 2 2 11 2 2 3 2" xfId="26323" xr:uid="{06F61D94-5904-4AD1-A842-0A94319946A9}"/>
    <cellStyle name="Normal 6 2 2 11 2 2 3 3" xfId="20663" xr:uid="{F0461DD9-D9B2-478E-91FB-F48D2BA7D9EA}"/>
    <cellStyle name="Normal 6 2 2 11 2 2 3 4" xfId="31703" xr:uid="{BBF26702-044A-45BE-BDA9-6600C84CC778}"/>
    <cellStyle name="Normal 6 2 2 11 2 2 3 5" xfId="41032" xr:uid="{F4B23F9B-59F9-45B6-9D73-46760FA35454}"/>
    <cellStyle name="Normal 6 2 2 11 2 2 4" xfId="23193" xr:uid="{2EED94C5-5487-4BA9-80EB-37CEEE752211}"/>
    <cellStyle name="Normal 6 2 2 11 2 2 5" xfId="17533" xr:uid="{2DA126F4-3C39-4187-950B-8398FE69B46B}"/>
    <cellStyle name="Normal 6 2 2 11 2 2 6" xfId="28854" xr:uid="{96F786BE-2E57-474C-8499-EF36A52CBEED}"/>
    <cellStyle name="Normal 6 2 2 11 2 2 7" xfId="41029" xr:uid="{FCDE1D02-BBEC-44E6-AAAD-81CBDFF639DE}"/>
    <cellStyle name="Normal 6 2 2 11 2 3" xfId="6338" xr:uid="{00000000-0005-0000-0000-000013210000}"/>
    <cellStyle name="Normal 6 2 2 11 2 3 2" xfId="7659" xr:uid="{00000000-0005-0000-0000-000014210000}"/>
    <cellStyle name="Normal 6 2 2 11 2 3 2 2" xfId="16092" xr:uid="{00000000-0005-0000-0000-000015210000}"/>
    <cellStyle name="Normal 6 2 2 11 2 3 2 2 2" xfId="27986" xr:uid="{8D554184-FF7B-41F2-A91A-8D497E568D08}"/>
    <cellStyle name="Normal 6 2 2 11 2 3 2 2 3" xfId="22326" xr:uid="{FED0DFF7-8FC0-4319-98E5-AD17B000BDB4}"/>
    <cellStyle name="Normal 6 2 2 11 2 3 2 2 4" xfId="33366" xr:uid="{968BDC0B-0284-4277-9061-04147745A2F2}"/>
    <cellStyle name="Normal 6 2 2 11 2 3 2 2 5" xfId="41035" xr:uid="{FCB1AC6C-7D08-4EC7-9BBC-50922DA69772}"/>
    <cellStyle name="Normal 6 2 2 11 2 3 2 3" xfId="25153" xr:uid="{15AACE4C-08BD-4763-B827-CE65F6C7B98C}"/>
    <cellStyle name="Normal 6 2 2 11 2 3 2 4" xfId="19493" xr:uid="{3243C151-BE86-4E85-B857-9DA3B4CB5E88}"/>
    <cellStyle name="Normal 6 2 2 11 2 3 2 5" xfId="30814" xr:uid="{0FA3DB00-B82B-482F-BC5E-FB740148C011}"/>
    <cellStyle name="Normal 6 2 2 11 2 3 2 6" xfId="41034" xr:uid="{5ECD80F9-71CF-4B93-A3A9-66D7664796BF}"/>
    <cellStyle name="Normal 6 2 2 11 2 3 3" xfId="14775" xr:uid="{00000000-0005-0000-0000-000016210000}"/>
    <cellStyle name="Normal 6 2 2 11 2 3 3 2" xfId="26730" xr:uid="{3719704B-F22D-4FBF-9DF9-74BA70D7A292}"/>
    <cellStyle name="Normal 6 2 2 11 2 3 3 3" xfId="21070" xr:uid="{E8C0C7A4-AA55-460A-89E1-9908B317E837}"/>
    <cellStyle name="Normal 6 2 2 11 2 3 3 4" xfId="32110" xr:uid="{C9DDEE50-0028-4D25-918A-12C0E13A4F78}"/>
    <cellStyle name="Normal 6 2 2 11 2 3 3 5" xfId="41036" xr:uid="{448F8813-56FC-45F4-8C6A-ED7DC36A40F8}"/>
    <cellStyle name="Normal 6 2 2 11 2 3 4" xfId="23897" xr:uid="{C23A6513-181F-4753-9086-C1880CB987F3}"/>
    <cellStyle name="Normal 6 2 2 11 2 3 5" xfId="18237" xr:uid="{762112E9-E013-4B6B-ADA5-E25F63DBE62C}"/>
    <cellStyle name="Normal 6 2 2 11 2 3 6" xfId="29558" xr:uid="{AD614AE9-F741-4C02-9EB7-7E4CCFD8AB40}"/>
    <cellStyle name="Normal 6 2 2 11 2 3 7" xfId="41033" xr:uid="{1E5683D4-2901-48E3-8E41-578F1D1A6D04}"/>
    <cellStyle name="Normal 6 2 2 11 2 4" xfId="6843" xr:uid="{00000000-0005-0000-0000-000017210000}"/>
    <cellStyle name="Normal 6 2 2 11 2 4 2" xfId="15276" xr:uid="{00000000-0005-0000-0000-000018210000}"/>
    <cellStyle name="Normal 6 2 2 11 2 4 2 2" xfId="27170" xr:uid="{C24682D0-F639-4B59-944E-BEDB0DD400B3}"/>
    <cellStyle name="Normal 6 2 2 11 2 4 2 3" xfId="21510" xr:uid="{5B527323-BD9D-439A-BA21-EF5B56C86F7E}"/>
    <cellStyle name="Normal 6 2 2 11 2 4 2 4" xfId="32550" xr:uid="{DAA2BDD5-7D8B-449A-A407-F24EFA6CBC63}"/>
    <cellStyle name="Normal 6 2 2 11 2 4 2 5" xfId="41038" xr:uid="{2583168D-383C-481C-8A88-CD3451BD8F50}"/>
    <cellStyle name="Normal 6 2 2 11 2 4 3" xfId="24337" xr:uid="{B2172383-EFB1-45C0-9299-DF6FCCB7E3DC}"/>
    <cellStyle name="Normal 6 2 2 11 2 4 4" xfId="18677" xr:uid="{B25E9FB6-8DEA-4072-867E-EA772243783A}"/>
    <cellStyle name="Normal 6 2 2 11 2 4 5" xfId="29998" xr:uid="{F695F2E1-5DCA-4146-BF7F-25D1B7D233F5}"/>
    <cellStyle name="Normal 6 2 2 11 2 4 6" xfId="41037" xr:uid="{C9A219D7-F26C-4427-ACF2-1D9BBA461020}"/>
    <cellStyle name="Normal 6 2 2 11 2 5" xfId="8109" xr:uid="{00000000-0005-0000-0000-000019210000}"/>
    <cellStyle name="Normal 6 2 2 11 2 5 2" xfId="25585" xr:uid="{E3F1EB5B-C98F-4D03-8506-46B679F6B1C3}"/>
    <cellStyle name="Normal 6 2 2 11 2 5 3" xfId="19925" xr:uid="{4FE1D3F0-DBA1-42D5-BADE-43E08A8C5383}"/>
    <cellStyle name="Normal 6 2 2 11 2 5 4" xfId="31246" xr:uid="{C2A3B8C3-E820-42E5-8243-CAD34708C199}"/>
    <cellStyle name="Normal 6 2 2 11 2 5 5" xfId="41039" xr:uid="{30BF4498-42FC-4064-97FA-E70FFF6FED84}"/>
    <cellStyle name="Normal 6 2 2 11 2 6" xfId="22775" xr:uid="{E5DCF99D-7029-48CA-A449-D04E372E7279}"/>
    <cellStyle name="Normal 6 2 2 11 2 7" xfId="17115" xr:uid="{2213D28F-8C65-4A1C-9CC5-97058AB47615}"/>
    <cellStyle name="Normal 6 2 2 11 2 8" xfId="28436" xr:uid="{95CBE73D-9AFA-421B-884E-8FBA248F106D}"/>
    <cellStyle name="Normal 6 2 2 11 2 9" xfId="41028" xr:uid="{558EF41F-C2CC-4513-A4FD-3E6A02653066}"/>
    <cellStyle name="Normal 6 2 2 11 3" xfId="5189" xr:uid="{00000000-0005-0000-0000-00001A210000}"/>
    <cellStyle name="Normal 6 2 2 11 3 2" xfId="6337" xr:uid="{00000000-0005-0000-0000-00001B210000}"/>
    <cellStyle name="Normal 6 2 2 11 3 2 2" xfId="7658" xr:uid="{00000000-0005-0000-0000-00001C210000}"/>
    <cellStyle name="Normal 6 2 2 11 3 2 2 2" xfId="16091" xr:uid="{00000000-0005-0000-0000-00001D210000}"/>
    <cellStyle name="Normal 6 2 2 11 3 2 2 2 2" xfId="27985" xr:uid="{C520FE72-898D-4E54-ABB1-F205C1CE30DA}"/>
    <cellStyle name="Normal 6 2 2 11 3 2 2 2 3" xfId="22325" xr:uid="{3DEAA2CB-50F2-4489-9A30-158BE56A2C51}"/>
    <cellStyle name="Normal 6 2 2 11 3 2 2 2 4" xfId="33365" xr:uid="{0AE4E54D-C7A5-4146-81D2-81C78FAE1F27}"/>
    <cellStyle name="Normal 6 2 2 11 3 2 2 2 5" xfId="41043" xr:uid="{83D4DEB5-35D6-4401-BB4D-BD8EC6244FA6}"/>
    <cellStyle name="Normal 6 2 2 11 3 2 2 3" xfId="25152" xr:uid="{E5519091-BC53-4A78-A182-08B11D6C8F66}"/>
    <cellStyle name="Normal 6 2 2 11 3 2 2 4" xfId="19492" xr:uid="{B916748E-D172-45BC-8824-71B6F75610AA}"/>
    <cellStyle name="Normal 6 2 2 11 3 2 2 5" xfId="30813" xr:uid="{A99E34F1-BEAF-4976-B0E0-200B4C789364}"/>
    <cellStyle name="Normal 6 2 2 11 3 2 2 6" xfId="41042" xr:uid="{E8967DEF-0DE2-4113-9583-5AB4284D2E41}"/>
    <cellStyle name="Normal 6 2 2 11 3 2 3" xfId="14774" xr:uid="{00000000-0005-0000-0000-00001E210000}"/>
    <cellStyle name="Normal 6 2 2 11 3 2 3 2" xfId="26729" xr:uid="{0F7E9D73-2BB4-4EAB-A611-7B7F7A9BB870}"/>
    <cellStyle name="Normal 6 2 2 11 3 2 3 3" xfId="21069" xr:uid="{A5556BD0-AA11-4650-B832-672E1F48AE6E}"/>
    <cellStyle name="Normal 6 2 2 11 3 2 3 4" xfId="32109" xr:uid="{843F3522-1037-403B-9A81-CEF33E00E465}"/>
    <cellStyle name="Normal 6 2 2 11 3 2 3 5" xfId="41044" xr:uid="{B9295799-052C-4E98-8CB4-895012BF5A75}"/>
    <cellStyle name="Normal 6 2 2 11 3 2 4" xfId="23896" xr:uid="{8BD4DCF6-5D16-46E4-91C8-2BC946D754E7}"/>
    <cellStyle name="Normal 6 2 2 11 3 2 5" xfId="18236" xr:uid="{E98FE0C1-FF90-49D5-A60A-EF63ED9816CA}"/>
    <cellStyle name="Normal 6 2 2 11 3 2 6" xfId="29557" xr:uid="{F03C9023-7F3E-438B-B05F-F1268ABA1EB0}"/>
    <cellStyle name="Normal 6 2 2 11 3 2 7" xfId="41041" xr:uid="{984385DE-9F8B-41DF-A87D-BDE654286D7B}"/>
    <cellStyle name="Normal 6 2 2 11 3 3" xfId="7052" xr:uid="{00000000-0005-0000-0000-00001F210000}"/>
    <cellStyle name="Normal 6 2 2 11 3 3 2" xfId="15485" xr:uid="{00000000-0005-0000-0000-000020210000}"/>
    <cellStyle name="Normal 6 2 2 11 3 3 2 2" xfId="27379" xr:uid="{DEDA6AE8-C3CE-45EA-8B9D-C5E5D5551867}"/>
    <cellStyle name="Normal 6 2 2 11 3 3 2 3" xfId="21719" xr:uid="{8C01C3A5-D13D-4728-B2DE-178114D58D2A}"/>
    <cellStyle name="Normal 6 2 2 11 3 3 2 4" xfId="32759" xr:uid="{3BD1BAD8-3F47-4661-82EA-D4F5662F9325}"/>
    <cellStyle name="Normal 6 2 2 11 3 3 2 5" xfId="41046" xr:uid="{16745DA9-F045-4E94-9883-66B17AE75E20}"/>
    <cellStyle name="Normal 6 2 2 11 3 3 3" xfId="24546" xr:uid="{842A376F-E138-48D0-A398-861CD6C678B9}"/>
    <cellStyle name="Normal 6 2 2 11 3 3 4" xfId="18886" xr:uid="{6CE6820E-C1C9-4B75-845E-432632D2CD0B}"/>
    <cellStyle name="Normal 6 2 2 11 3 3 5" xfId="30207" xr:uid="{AD3F323F-CB77-4C61-8B10-410402EF6206}"/>
    <cellStyle name="Normal 6 2 2 11 3 3 6" xfId="41045" xr:uid="{4221BEE6-4C88-456E-A8C9-C404A50E3EBB}"/>
    <cellStyle name="Normal 6 2 2 11 3 4" xfId="14076" xr:uid="{00000000-0005-0000-0000-000021210000}"/>
    <cellStyle name="Normal 6 2 2 11 3 4 2" xfId="26115" xr:uid="{224702C5-13CA-4E46-ADB3-8DF8E35448FE}"/>
    <cellStyle name="Normal 6 2 2 11 3 4 3" xfId="20455" xr:uid="{344A23C3-BCD2-4BE2-958D-F6665833F59F}"/>
    <cellStyle name="Normal 6 2 2 11 3 4 4" xfId="31495" xr:uid="{9BFECDA5-DBED-48FA-8221-D83EA836E4DA}"/>
    <cellStyle name="Normal 6 2 2 11 3 4 5" xfId="41047" xr:uid="{9011A379-181B-4C26-8825-EC0E2F3A52DC}"/>
    <cellStyle name="Normal 6 2 2 11 3 5" xfId="22984" xr:uid="{20FD53F9-C894-4EE0-BE02-146D1BFC5BCE}"/>
    <cellStyle name="Normal 6 2 2 11 3 6" xfId="17324" xr:uid="{F1C83D52-5D6F-4D3C-9483-09E057EA27A3}"/>
    <cellStyle name="Normal 6 2 2 11 3 7" xfId="28645" xr:uid="{9961CCFB-7477-4A5A-B9B7-1015B73D8CB0}"/>
    <cellStyle name="Normal 6 2 2 11 3 8" xfId="41040" xr:uid="{40DA9F5E-39A0-4AB0-A402-BFA9D4096FCC}"/>
    <cellStyle name="Normal 6 2 2 11 4" xfId="5707" xr:uid="{00000000-0005-0000-0000-000022210000}"/>
    <cellStyle name="Normal 6 2 2 11 4 2" xfId="41048" xr:uid="{58F54725-30DA-4B04-BF75-AC0B6FB25CA1}"/>
    <cellStyle name="Normal 6 2 2 11 5" xfId="6634" xr:uid="{00000000-0005-0000-0000-000023210000}"/>
    <cellStyle name="Normal 6 2 2 11 5 2" xfId="15067" xr:uid="{00000000-0005-0000-0000-000024210000}"/>
    <cellStyle name="Normal 6 2 2 11 5 2 2" xfId="26961" xr:uid="{C7437BB4-B6B9-43B6-926D-37DE2A29A2E5}"/>
    <cellStyle name="Normal 6 2 2 11 5 2 3" xfId="21301" xr:uid="{B87B68DC-6BB3-43CC-B8D8-DB2A105B76DD}"/>
    <cellStyle name="Normal 6 2 2 11 5 2 4" xfId="32341" xr:uid="{1E4AA378-884D-4D49-9BF7-23588DDEBD87}"/>
    <cellStyle name="Normal 6 2 2 11 5 2 5" xfId="41050" xr:uid="{47E91742-77F4-4BB8-926E-2B0E40A40570}"/>
    <cellStyle name="Normal 6 2 2 11 5 3" xfId="24128" xr:uid="{F3B0788F-632F-4E46-9D6E-DDC993656F41}"/>
    <cellStyle name="Normal 6 2 2 11 5 4" xfId="18468" xr:uid="{A0672EFB-53F5-40BF-840D-A75EA48E71BF}"/>
    <cellStyle name="Normal 6 2 2 11 5 5" xfId="29789" xr:uid="{2F1C04D1-24F9-46BC-A23C-402EAA8B8307}"/>
    <cellStyle name="Normal 6 2 2 11 5 6" xfId="41049" xr:uid="{3076C723-4FCB-46CA-AAE8-87354BEC74FA}"/>
    <cellStyle name="Normal 6 2 2 11 6" xfId="8108" xr:uid="{00000000-0005-0000-0000-000025210000}"/>
    <cellStyle name="Normal 6 2 2 11 6 2" xfId="25584" xr:uid="{EFDB670A-E079-4348-BF60-7F222E662D51}"/>
    <cellStyle name="Normal 6 2 2 11 6 3" xfId="19924" xr:uid="{55158924-154F-44CC-819B-453C09A1D83E}"/>
    <cellStyle name="Normal 6 2 2 11 6 4" xfId="31245" xr:uid="{3F95A5A2-F62F-4777-B95F-77A130CF1024}"/>
    <cellStyle name="Normal 6 2 2 11 6 5" xfId="41051" xr:uid="{3A693B8D-7A96-4F0D-8086-E8B38B7AAC76}"/>
    <cellStyle name="Normal 6 2 2 11 7" xfId="22566" xr:uid="{949FD299-9C33-496F-9377-C7A20403F5F0}"/>
    <cellStyle name="Normal 6 2 2 11 8" xfId="16906" xr:uid="{78057B8B-7033-4A26-8F0F-63579416319C}"/>
    <cellStyle name="Normal 6 2 2 11 9" xfId="28227" xr:uid="{AE6E299F-AF2A-4C13-B8A6-1C30B7834520}"/>
    <cellStyle name="Normal 6 2 2 12" xfId="4349" xr:uid="{00000000-0005-0000-0000-000026210000}"/>
    <cellStyle name="Normal 6 2 2 12 10" xfId="41052" xr:uid="{B1842962-DDDE-4520-9020-9F41F6FB113E}"/>
    <cellStyle name="Normal 6 2 2 12 2" xfId="4980" xr:uid="{00000000-0005-0000-0000-000027210000}"/>
    <cellStyle name="Normal 6 2 2 12 2 2" xfId="5399" xr:uid="{00000000-0005-0000-0000-000028210000}"/>
    <cellStyle name="Normal 6 2 2 12 2 2 2" xfId="7262" xr:uid="{00000000-0005-0000-0000-000029210000}"/>
    <cellStyle name="Normal 6 2 2 12 2 2 2 2" xfId="15695" xr:uid="{00000000-0005-0000-0000-00002A210000}"/>
    <cellStyle name="Normal 6 2 2 12 2 2 2 2 2" xfId="27589" xr:uid="{FE82AB69-A677-4BE4-99EB-B25DEE6CF6F3}"/>
    <cellStyle name="Normal 6 2 2 12 2 2 2 2 3" xfId="21929" xr:uid="{9D562830-6341-4114-A151-99E3C5405509}"/>
    <cellStyle name="Normal 6 2 2 12 2 2 2 2 4" xfId="32969" xr:uid="{EB9F2FE0-1A45-42CC-9AA6-51EABE55E94A}"/>
    <cellStyle name="Normal 6 2 2 12 2 2 2 2 5" xfId="41056" xr:uid="{EA38DE51-30F1-4CDB-8B02-B2EBB3990DEE}"/>
    <cellStyle name="Normal 6 2 2 12 2 2 2 3" xfId="24756" xr:uid="{C09D9B4C-24F8-4B15-90FA-06A0ED48016D}"/>
    <cellStyle name="Normal 6 2 2 12 2 2 2 4" xfId="19096" xr:uid="{E28A5097-1350-4C6C-9AB2-4C2ECE8CCE13}"/>
    <cellStyle name="Normal 6 2 2 12 2 2 2 5" xfId="30417" xr:uid="{AACC6F2D-7067-411B-B388-9AC266FFEC27}"/>
    <cellStyle name="Normal 6 2 2 12 2 2 2 6" xfId="41055" xr:uid="{2BA80698-634E-40A3-8277-2E3FAB59EA9B}"/>
    <cellStyle name="Normal 6 2 2 12 2 2 3" xfId="14285" xr:uid="{00000000-0005-0000-0000-00002B210000}"/>
    <cellStyle name="Normal 6 2 2 12 2 2 3 2" xfId="26324" xr:uid="{0ABE8811-7F39-4B59-A7E8-D1AEBE809B6F}"/>
    <cellStyle name="Normal 6 2 2 12 2 2 3 3" xfId="20664" xr:uid="{E9DF388A-F4EC-431D-9EF4-1D3CC21DD497}"/>
    <cellStyle name="Normal 6 2 2 12 2 2 3 4" xfId="31704" xr:uid="{E72CC634-5FCC-46AD-B4FD-A3D15C98613D}"/>
    <cellStyle name="Normal 6 2 2 12 2 2 3 5" xfId="41057" xr:uid="{2F07A18F-70FF-48EE-9FFF-4C84E1FABAE7}"/>
    <cellStyle name="Normal 6 2 2 12 2 2 4" xfId="23194" xr:uid="{FDEB80A1-2170-4860-9D94-025BC77F204B}"/>
    <cellStyle name="Normal 6 2 2 12 2 2 5" xfId="17534" xr:uid="{8BB0B46D-8EFA-4DDE-8242-A3243B74C8A8}"/>
    <cellStyle name="Normal 6 2 2 12 2 2 6" xfId="28855" xr:uid="{1D7B50E2-95E3-42D6-85CE-E8FCD5A65B7C}"/>
    <cellStyle name="Normal 6 2 2 12 2 2 7" xfId="41054" xr:uid="{A92D6A1D-3AA7-406E-954F-DB944C98B1BA}"/>
    <cellStyle name="Normal 6 2 2 12 2 3" xfId="6340" xr:uid="{00000000-0005-0000-0000-00002C210000}"/>
    <cellStyle name="Normal 6 2 2 12 2 3 2" xfId="7661" xr:uid="{00000000-0005-0000-0000-00002D210000}"/>
    <cellStyle name="Normal 6 2 2 12 2 3 2 2" xfId="16094" xr:uid="{00000000-0005-0000-0000-00002E210000}"/>
    <cellStyle name="Normal 6 2 2 12 2 3 2 2 2" xfId="27988" xr:uid="{0BF88ECE-7367-4865-BB9A-FE945D6E61D1}"/>
    <cellStyle name="Normal 6 2 2 12 2 3 2 2 3" xfId="22328" xr:uid="{3192535B-40CF-4346-852F-EB811B075534}"/>
    <cellStyle name="Normal 6 2 2 12 2 3 2 2 4" xfId="33368" xr:uid="{8AB992EB-5FE6-4B7E-8E38-5FB43797B907}"/>
    <cellStyle name="Normal 6 2 2 12 2 3 2 2 5" xfId="41060" xr:uid="{FE4A499B-DBF9-4103-8FD6-9453150CEC8C}"/>
    <cellStyle name="Normal 6 2 2 12 2 3 2 3" xfId="25155" xr:uid="{DFC357AE-870E-44EF-8F09-D9DA23E7D099}"/>
    <cellStyle name="Normal 6 2 2 12 2 3 2 4" xfId="19495" xr:uid="{EC8C6AFD-0669-4AC0-9BEC-2070F80D9DC2}"/>
    <cellStyle name="Normal 6 2 2 12 2 3 2 5" xfId="30816" xr:uid="{7E6D7342-892C-47B5-BF51-6BE6A0312320}"/>
    <cellStyle name="Normal 6 2 2 12 2 3 2 6" xfId="41059" xr:uid="{0BE08A63-824D-4D84-BF43-3D37AABEE362}"/>
    <cellStyle name="Normal 6 2 2 12 2 3 3" xfId="14777" xr:uid="{00000000-0005-0000-0000-00002F210000}"/>
    <cellStyle name="Normal 6 2 2 12 2 3 3 2" xfId="26732" xr:uid="{8BD7811C-AFE3-4493-B9D1-3F1192B9320A}"/>
    <cellStyle name="Normal 6 2 2 12 2 3 3 3" xfId="21072" xr:uid="{7C3223BA-5673-4920-8FBE-F37B69FB2124}"/>
    <cellStyle name="Normal 6 2 2 12 2 3 3 4" xfId="32112" xr:uid="{E5201B8B-AC6D-465B-87A8-32B3318BAE25}"/>
    <cellStyle name="Normal 6 2 2 12 2 3 3 5" xfId="41061" xr:uid="{731F1930-9C2F-45E5-AABF-57DE93962430}"/>
    <cellStyle name="Normal 6 2 2 12 2 3 4" xfId="23899" xr:uid="{6E5F8C54-F68A-4E9A-AB21-5F3AD724F39A}"/>
    <cellStyle name="Normal 6 2 2 12 2 3 5" xfId="18239" xr:uid="{32F87A6C-8E04-41CA-A93B-00E462A247F3}"/>
    <cellStyle name="Normal 6 2 2 12 2 3 6" xfId="29560" xr:uid="{A892CE35-90F5-4836-AEC4-7A7571B05104}"/>
    <cellStyle name="Normal 6 2 2 12 2 3 7" xfId="41058" xr:uid="{DCF47B3A-90C5-4867-8E7F-8ED69F6939F9}"/>
    <cellStyle name="Normal 6 2 2 12 2 4" xfId="6844" xr:uid="{00000000-0005-0000-0000-000030210000}"/>
    <cellStyle name="Normal 6 2 2 12 2 4 2" xfId="15277" xr:uid="{00000000-0005-0000-0000-000031210000}"/>
    <cellStyle name="Normal 6 2 2 12 2 4 2 2" xfId="27171" xr:uid="{4FB94883-96E6-4551-AAD0-8562AAEE06BD}"/>
    <cellStyle name="Normal 6 2 2 12 2 4 2 3" xfId="21511" xr:uid="{BF7EBCF1-D1E9-46CB-A309-EA1758A0B3F8}"/>
    <cellStyle name="Normal 6 2 2 12 2 4 2 4" xfId="32551" xr:uid="{2AE9A486-ECB8-48DB-90ED-CFB322AE8A7E}"/>
    <cellStyle name="Normal 6 2 2 12 2 4 2 5" xfId="41063" xr:uid="{79AD0864-753C-48B6-81A4-03A5861056CF}"/>
    <cellStyle name="Normal 6 2 2 12 2 4 3" xfId="24338" xr:uid="{2C50AEDB-D003-4D0E-BFF5-96A231919B40}"/>
    <cellStyle name="Normal 6 2 2 12 2 4 4" xfId="18678" xr:uid="{171E76A0-0B80-4995-9662-D78E1D3B19FE}"/>
    <cellStyle name="Normal 6 2 2 12 2 4 5" xfId="29999" xr:uid="{8C61B6C7-9DE7-4988-BAAF-7D786BD1E664}"/>
    <cellStyle name="Normal 6 2 2 12 2 4 6" xfId="41062" xr:uid="{79E17F4E-EDC0-48F3-9F14-7618C232C9FC}"/>
    <cellStyle name="Normal 6 2 2 12 2 5" xfId="8111" xr:uid="{00000000-0005-0000-0000-000032210000}"/>
    <cellStyle name="Normal 6 2 2 12 2 5 2" xfId="25587" xr:uid="{D77F4002-861C-401F-BD83-A831C80F38DD}"/>
    <cellStyle name="Normal 6 2 2 12 2 5 3" xfId="19927" xr:uid="{ED4F2AC5-198A-4C8C-A42D-C6A0CAF00051}"/>
    <cellStyle name="Normal 6 2 2 12 2 5 4" xfId="31248" xr:uid="{74070DAD-5594-46EC-AE08-1497BC30EBC1}"/>
    <cellStyle name="Normal 6 2 2 12 2 5 5" xfId="41064" xr:uid="{12F0870C-8D5A-41B5-AACC-8B5ACF5288E5}"/>
    <cellStyle name="Normal 6 2 2 12 2 6" xfId="22776" xr:uid="{F53CB956-4C45-4022-A5E6-0FAC26C4FD05}"/>
    <cellStyle name="Normal 6 2 2 12 2 7" xfId="17116" xr:uid="{F62904D7-02B8-404A-B0DF-E474E66C688A}"/>
    <cellStyle name="Normal 6 2 2 12 2 8" xfId="28437" xr:uid="{3B48053D-A951-4038-880C-5B3FD04C8F64}"/>
    <cellStyle name="Normal 6 2 2 12 2 9" xfId="41053" xr:uid="{BE31F744-FEBE-4284-BE9D-1E5E349DDD06}"/>
    <cellStyle name="Normal 6 2 2 12 3" xfId="5190" xr:uid="{00000000-0005-0000-0000-000033210000}"/>
    <cellStyle name="Normal 6 2 2 12 3 2" xfId="6339" xr:uid="{00000000-0005-0000-0000-000034210000}"/>
    <cellStyle name="Normal 6 2 2 12 3 2 2" xfId="7660" xr:uid="{00000000-0005-0000-0000-000035210000}"/>
    <cellStyle name="Normal 6 2 2 12 3 2 2 2" xfId="16093" xr:uid="{00000000-0005-0000-0000-000036210000}"/>
    <cellStyle name="Normal 6 2 2 12 3 2 2 2 2" xfId="27987" xr:uid="{D9FFFD56-C941-4C5F-9AC2-CDE587AC58FE}"/>
    <cellStyle name="Normal 6 2 2 12 3 2 2 2 3" xfId="22327" xr:uid="{DA8F2DC9-344A-4B31-89D1-7252D88D3660}"/>
    <cellStyle name="Normal 6 2 2 12 3 2 2 2 4" xfId="33367" xr:uid="{259B70A0-80D1-4D2B-B1E3-CA23575DAFA6}"/>
    <cellStyle name="Normal 6 2 2 12 3 2 2 2 5" xfId="41068" xr:uid="{EFD5DEA5-414E-405C-A748-3BB3345F575A}"/>
    <cellStyle name="Normal 6 2 2 12 3 2 2 3" xfId="25154" xr:uid="{D04C570E-D4BB-421D-8FCD-200F8F6F1FDC}"/>
    <cellStyle name="Normal 6 2 2 12 3 2 2 4" xfId="19494" xr:uid="{742850E3-8AFC-4F8D-A5A4-BAC0C5AC2C12}"/>
    <cellStyle name="Normal 6 2 2 12 3 2 2 5" xfId="30815" xr:uid="{833806F3-B617-40E5-B11E-A07275AC659B}"/>
    <cellStyle name="Normal 6 2 2 12 3 2 2 6" xfId="41067" xr:uid="{4B8FFEE1-A8B6-4581-A22D-77E953F19364}"/>
    <cellStyle name="Normal 6 2 2 12 3 2 3" xfId="14776" xr:uid="{00000000-0005-0000-0000-000037210000}"/>
    <cellStyle name="Normal 6 2 2 12 3 2 3 2" xfId="26731" xr:uid="{8C0BA606-26F1-48CD-916D-52BE4E91B0B1}"/>
    <cellStyle name="Normal 6 2 2 12 3 2 3 3" xfId="21071" xr:uid="{BB25C34D-669A-4CEA-A3E7-DAA986F4129B}"/>
    <cellStyle name="Normal 6 2 2 12 3 2 3 4" xfId="32111" xr:uid="{13A1F563-BFFB-4737-B88B-4FE1E11F191F}"/>
    <cellStyle name="Normal 6 2 2 12 3 2 3 5" xfId="41069" xr:uid="{E059CF4D-88B9-41A1-A8E1-E765F54FA229}"/>
    <cellStyle name="Normal 6 2 2 12 3 2 4" xfId="23898" xr:uid="{FD40036A-EF63-469F-9D98-1A26049058BB}"/>
    <cellStyle name="Normal 6 2 2 12 3 2 5" xfId="18238" xr:uid="{47A55F6E-213E-4E36-97D0-6EC848293B5B}"/>
    <cellStyle name="Normal 6 2 2 12 3 2 6" xfId="29559" xr:uid="{316133FE-E8F9-48B9-AEB9-30DC3137C677}"/>
    <cellStyle name="Normal 6 2 2 12 3 2 7" xfId="41066" xr:uid="{C48E170C-4289-4329-B5E5-3DA4806B2038}"/>
    <cellStyle name="Normal 6 2 2 12 3 3" xfId="7053" xr:uid="{00000000-0005-0000-0000-000038210000}"/>
    <cellStyle name="Normal 6 2 2 12 3 3 2" xfId="15486" xr:uid="{00000000-0005-0000-0000-000039210000}"/>
    <cellStyle name="Normal 6 2 2 12 3 3 2 2" xfId="27380" xr:uid="{C670B01D-57D0-4901-B9CA-8FA95B26DA1E}"/>
    <cellStyle name="Normal 6 2 2 12 3 3 2 3" xfId="21720" xr:uid="{3E4A6EBA-2D04-4D60-BDE7-89A9AADB2ECD}"/>
    <cellStyle name="Normal 6 2 2 12 3 3 2 4" xfId="32760" xr:uid="{14930BBE-8357-4CF5-A013-240518ADA343}"/>
    <cellStyle name="Normal 6 2 2 12 3 3 2 5" xfId="41071" xr:uid="{0FF21858-4F6D-4BB3-B2A5-AF53C7477E15}"/>
    <cellStyle name="Normal 6 2 2 12 3 3 3" xfId="24547" xr:uid="{682409B4-D599-4C8E-8FAF-B52BDA67C8C2}"/>
    <cellStyle name="Normal 6 2 2 12 3 3 4" xfId="18887" xr:uid="{C37B667A-E150-478E-809D-03F48736AE62}"/>
    <cellStyle name="Normal 6 2 2 12 3 3 5" xfId="30208" xr:uid="{AC058A1B-2D67-462A-A4D6-21840565A0A4}"/>
    <cellStyle name="Normal 6 2 2 12 3 3 6" xfId="41070" xr:uid="{327CADBC-1908-41CE-AE45-1AF4F24F32F4}"/>
    <cellStyle name="Normal 6 2 2 12 3 4" xfId="14077" xr:uid="{00000000-0005-0000-0000-00003A210000}"/>
    <cellStyle name="Normal 6 2 2 12 3 4 2" xfId="26116" xr:uid="{6F7D18F2-21ED-4C78-9A68-72A5850F5176}"/>
    <cellStyle name="Normal 6 2 2 12 3 4 3" xfId="20456" xr:uid="{0B8C8F44-F541-4617-957A-DF4B82EE13AA}"/>
    <cellStyle name="Normal 6 2 2 12 3 4 4" xfId="31496" xr:uid="{0000D6D8-AD4A-4DD0-9C62-93CF9FC13A09}"/>
    <cellStyle name="Normal 6 2 2 12 3 4 5" xfId="41072" xr:uid="{9D65CA05-21B3-4CCA-B3AF-3EB6178A12C8}"/>
    <cellStyle name="Normal 6 2 2 12 3 5" xfId="22985" xr:uid="{F1D3B00B-2CCA-41AA-8B7B-23F7B854C07B}"/>
    <cellStyle name="Normal 6 2 2 12 3 6" xfId="17325" xr:uid="{6E6B727A-D7C0-417B-9F9B-0991389175C2}"/>
    <cellStyle name="Normal 6 2 2 12 3 7" xfId="28646" xr:uid="{98C64A1C-BD38-4703-9B69-DC987CFAB3C2}"/>
    <cellStyle name="Normal 6 2 2 12 3 8" xfId="41065" xr:uid="{AF7EC635-72AE-4704-9545-80DA7D854090}"/>
    <cellStyle name="Normal 6 2 2 12 4" xfId="5708" xr:uid="{00000000-0005-0000-0000-00003B210000}"/>
    <cellStyle name="Normal 6 2 2 12 4 2" xfId="41073" xr:uid="{39379683-AB9A-423F-887D-A235730F682C}"/>
    <cellStyle name="Normal 6 2 2 12 5" xfId="6635" xr:uid="{00000000-0005-0000-0000-00003C210000}"/>
    <cellStyle name="Normal 6 2 2 12 5 2" xfId="15068" xr:uid="{00000000-0005-0000-0000-00003D210000}"/>
    <cellStyle name="Normal 6 2 2 12 5 2 2" xfId="26962" xr:uid="{9FE5D95A-6F20-4CD5-8A9C-B7F9C9F8C300}"/>
    <cellStyle name="Normal 6 2 2 12 5 2 3" xfId="21302" xr:uid="{24BCAFB4-3FE9-4719-A6BC-F7B91D37EBD7}"/>
    <cellStyle name="Normal 6 2 2 12 5 2 4" xfId="32342" xr:uid="{394D6493-80C7-47DE-AFED-D575E2FB3A28}"/>
    <cellStyle name="Normal 6 2 2 12 5 2 5" xfId="41075" xr:uid="{D02635CB-3D2C-4FB7-98DA-1643331D5CA6}"/>
    <cellStyle name="Normal 6 2 2 12 5 3" xfId="24129" xr:uid="{60CDE48B-450F-46C4-AC23-8E60838E8CBF}"/>
    <cellStyle name="Normal 6 2 2 12 5 4" xfId="18469" xr:uid="{80E1A3C5-1F40-41C1-8BFE-906D577E8654}"/>
    <cellStyle name="Normal 6 2 2 12 5 5" xfId="29790" xr:uid="{FC722447-0A84-485B-BA0B-C4266812360E}"/>
    <cellStyle name="Normal 6 2 2 12 5 6" xfId="41074" xr:uid="{9864D471-8109-44F9-917E-BB72DC3DB1C7}"/>
    <cellStyle name="Normal 6 2 2 12 6" xfId="8110" xr:uid="{00000000-0005-0000-0000-00003E210000}"/>
    <cellStyle name="Normal 6 2 2 12 6 2" xfId="25586" xr:uid="{7490BC31-5E56-416C-AA8F-2F1E03A9AD17}"/>
    <cellStyle name="Normal 6 2 2 12 6 3" xfId="19926" xr:uid="{6E02A3C8-8F03-4431-977F-6D3BAD952B40}"/>
    <cellStyle name="Normal 6 2 2 12 6 4" xfId="31247" xr:uid="{16E8BA57-E948-49F7-868B-A712A219D5EF}"/>
    <cellStyle name="Normal 6 2 2 12 6 5" xfId="41076" xr:uid="{4D94963F-2BC5-4802-9259-33D052DCF0AB}"/>
    <cellStyle name="Normal 6 2 2 12 7" xfId="22567" xr:uid="{62B04DB4-084A-4ED6-A8D4-84FBB001A8BF}"/>
    <cellStyle name="Normal 6 2 2 12 8" xfId="16907" xr:uid="{B8888725-2C87-4ABB-8CA0-FAA1C5E9D6BC}"/>
    <cellStyle name="Normal 6 2 2 12 9" xfId="28228" xr:uid="{7FF7C61B-9025-4F22-B418-58B580A1F5DC}"/>
    <cellStyle name="Normal 6 2 2 13" xfId="4350" xr:uid="{00000000-0005-0000-0000-00003F210000}"/>
    <cellStyle name="Normal 6 2 2 13 10" xfId="41077" xr:uid="{3C2ECB5B-BC15-4459-A363-62CA8A0E80D1}"/>
    <cellStyle name="Normal 6 2 2 13 2" xfId="4981" xr:uid="{00000000-0005-0000-0000-000040210000}"/>
    <cellStyle name="Normal 6 2 2 13 2 2" xfId="5400" xr:uid="{00000000-0005-0000-0000-000041210000}"/>
    <cellStyle name="Normal 6 2 2 13 2 2 2" xfId="7263" xr:uid="{00000000-0005-0000-0000-000042210000}"/>
    <cellStyle name="Normal 6 2 2 13 2 2 2 2" xfId="15696" xr:uid="{00000000-0005-0000-0000-000043210000}"/>
    <cellStyle name="Normal 6 2 2 13 2 2 2 2 2" xfId="27590" xr:uid="{3A22B0EC-169D-407E-9583-D0F8A8E6E6C0}"/>
    <cellStyle name="Normal 6 2 2 13 2 2 2 2 3" xfId="21930" xr:uid="{26173A0D-95D0-43B4-A304-A4F5591CE701}"/>
    <cellStyle name="Normal 6 2 2 13 2 2 2 2 4" xfId="32970" xr:uid="{ED0F2253-6E8A-47B1-B513-FC03FB214FA0}"/>
    <cellStyle name="Normal 6 2 2 13 2 2 2 2 5" xfId="41081" xr:uid="{036B06BD-29A6-4BAE-8B94-26ACB928976B}"/>
    <cellStyle name="Normal 6 2 2 13 2 2 2 3" xfId="24757" xr:uid="{DFF8C2D6-43F4-493F-AE75-6E0C14A4BA96}"/>
    <cellStyle name="Normal 6 2 2 13 2 2 2 4" xfId="19097" xr:uid="{5338B7AB-24C3-4EE3-A6CE-189AAF16AA29}"/>
    <cellStyle name="Normal 6 2 2 13 2 2 2 5" xfId="30418" xr:uid="{EBBD57FD-2146-4FF2-981D-5DCBC07776F7}"/>
    <cellStyle name="Normal 6 2 2 13 2 2 2 6" xfId="41080" xr:uid="{33AB9D94-C8F4-4998-B56F-908E681BBCAA}"/>
    <cellStyle name="Normal 6 2 2 13 2 2 3" xfId="14286" xr:uid="{00000000-0005-0000-0000-000044210000}"/>
    <cellStyle name="Normal 6 2 2 13 2 2 3 2" xfId="26325" xr:uid="{184784EB-D2BF-4778-94A3-C35699A16EB4}"/>
    <cellStyle name="Normal 6 2 2 13 2 2 3 3" xfId="20665" xr:uid="{87888B40-1DA0-4114-8A9E-528A928D12D3}"/>
    <cellStyle name="Normal 6 2 2 13 2 2 3 4" xfId="31705" xr:uid="{531C1556-66D6-4119-951D-DD857F0EA597}"/>
    <cellStyle name="Normal 6 2 2 13 2 2 3 5" xfId="41082" xr:uid="{21F58D7D-B1C3-40A4-B623-FF97F53947D1}"/>
    <cellStyle name="Normal 6 2 2 13 2 2 4" xfId="23195" xr:uid="{72641318-E674-4B32-A20B-0225BAD379F3}"/>
    <cellStyle name="Normal 6 2 2 13 2 2 5" xfId="17535" xr:uid="{7C40C33A-9F83-4C87-B091-5F8AE921E447}"/>
    <cellStyle name="Normal 6 2 2 13 2 2 6" xfId="28856" xr:uid="{006D9F35-4F8C-400B-B964-FB0135BF408D}"/>
    <cellStyle name="Normal 6 2 2 13 2 2 7" xfId="41079" xr:uid="{F82D231C-7B51-4742-ADF1-35891170BDF4}"/>
    <cellStyle name="Normal 6 2 2 13 2 3" xfId="6342" xr:uid="{00000000-0005-0000-0000-000045210000}"/>
    <cellStyle name="Normal 6 2 2 13 2 3 2" xfId="7663" xr:uid="{00000000-0005-0000-0000-000046210000}"/>
    <cellStyle name="Normal 6 2 2 13 2 3 2 2" xfId="16096" xr:uid="{00000000-0005-0000-0000-000047210000}"/>
    <cellStyle name="Normal 6 2 2 13 2 3 2 2 2" xfId="27990" xr:uid="{10F618AA-92AA-4CD2-B162-58CA625B1C5F}"/>
    <cellStyle name="Normal 6 2 2 13 2 3 2 2 3" xfId="22330" xr:uid="{12E372A2-2462-4664-9DB5-C01A9A65E55F}"/>
    <cellStyle name="Normal 6 2 2 13 2 3 2 2 4" xfId="33370" xr:uid="{846EB64E-4B6E-40A6-8B11-06AE1D8D3723}"/>
    <cellStyle name="Normal 6 2 2 13 2 3 2 2 5" xfId="41085" xr:uid="{F362BEA7-92E0-4174-BE19-C51C1E6A61BB}"/>
    <cellStyle name="Normal 6 2 2 13 2 3 2 3" xfId="25157" xr:uid="{11FCD328-F0F2-4773-9E63-4BBE3D0A9DD3}"/>
    <cellStyle name="Normal 6 2 2 13 2 3 2 4" xfId="19497" xr:uid="{6CF284A8-3361-4DB3-8C05-E5ED3EE3FE8D}"/>
    <cellStyle name="Normal 6 2 2 13 2 3 2 5" xfId="30818" xr:uid="{813AC1C2-5FC2-4EAE-B26D-E32077FD0451}"/>
    <cellStyle name="Normal 6 2 2 13 2 3 2 6" xfId="41084" xr:uid="{CEAB2C29-2647-4280-9153-7F2547DD2FD8}"/>
    <cellStyle name="Normal 6 2 2 13 2 3 3" xfId="14779" xr:uid="{00000000-0005-0000-0000-000048210000}"/>
    <cellStyle name="Normal 6 2 2 13 2 3 3 2" xfId="26734" xr:uid="{7260F252-CF87-457B-BA2C-D491B3440662}"/>
    <cellStyle name="Normal 6 2 2 13 2 3 3 3" xfId="21074" xr:uid="{74B3B0DB-3910-4667-BFA9-D7BE3DEB12F8}"/>
    <cellStyle name="Normal 6 2 2 13 2 3 3 4" xfId="32114" xr:uid="{0769F6D9-1B9E-468A-B143-0CE6ED1F1556}"/>
    <cellStyle name="Normal 6 2 2 13 2 3 3 5" xfId="41086" xr:uid="{6AD6956D-F30D-4022-8AAC-68B530A317C3}"/>
    <cellStyle name="Normal 6 2 2 13 2 3 4" xfId="23901" xr:uid="{65301DB1-AD34-4ACC-B4F2-88C486CEE009}"/>
    <cellStyle name="Normal 6 2 2 13 2 3 5" xfId="18241" xr:uid="{9B2A3C49-47E7-485F-B933-5FECF210035E}"/>
    <cellStyle name="Normal 6 2 2 13 2 3 6" xfId="29562" xr:uid="{7EBBCD1D-ED33-4D6F-948D-F04AE0944EE5}"/>
    <cellStyle name="Normal 6 2 2 13 2 3 7" xfId="41083" xr:uid="{DEA5924B-C329-49F0-8ED1-59850FAA862B}"/>
    <cellStyle name="Normal 6 2 2 13 2 4" xfId="6845" xr:uid="{00000000-0005-0000-0000-000049210000}"/>
    <cellStyle name="Normal 6 2 2 13 2 4 2" xfId="15278" xr:uid="{00000000-0005-0000-0000-00004A210000}"/>
    <cellStyle name="Normal 6 2 2 13 2 4 2 2" xfId="27172" xr:uid="{EF763711-AC1A-432B-9726-B373C8168909}"/>
    <cellStyle name="Normal 6 2 2 13 2 4 2 3" xfId="21512" xr:uid="{B73D1EAA-FA30-4CD2-BBC3-5B26BA5C7FC3}"/>
    <cellStyle name="Normal 6 2 2 13 2 4 2 4" xfId="32552" xr:uid="{A0A7F50C-4855-45CF-99F8-BDA7C740334B}"/>
    <cellStyle name="Normal 6 2 2 13 2 4 2 5" xfId="41088" xr:uid="{63D31CA9-19D9-4CB4-958F-A25E3D1E561B}"/>
    <cellStyle name="Normal 6 2 2 13 2 4 3" xfId="24339" xr:uid="{9738F7C3-9895-405E-BD0C-81A2913B59A9}"/>
    <cellStyle name="Normal 6 2 2 13 2 4 4" xfId="18679" xr:uid="{E47BFA31-46C4-42A7-8019-A9A6554DB6A2}"/>
    <cellStyle name="Normal 6 2 2 13 2 4 5" xfId="30000" xr:uid="{6570017D-95B3-4BBF-8691-B18A626F7C14}"/>
    <cellStyle name="Normal 6 2 2 13 2 4 6" xfId="41087" xr:uid="{63E42AB1-1EDA-4C01-9DB6-E84A8904F159}"/>
    <cellStyle name="Normal 6 2 2 13 2 5" xfId="8113" xr:uid="{00000000-0005-0000-0000-00004B210000}"/>
    <cellStyle name="Normal 6 2 2 13 2 5 2" xfId="25589" xr:uid="{AB6EF705-B198-44F6-9C2A-8C4F6F93598A}"/>
    <cellStyle name="Normal 6 2 2 13 2 5 3" xfId="19929" xr:uid="{3E957071-E6C3-4BAC-96B3-365EF756A299}"/>
    <cellStyle name="Normal 6 2 2 13 2 5 4" xfId="31250" xr:uid="{7CC07872-DDAB-4F8A-BF88-A4BF889F1686}"/>
    <cellStyle name="Normal 6 2 2 13 2 5 5" xfId="41089" xr:uid="{DA58B9A4-F1F4-40E4-AC35-7DFBF9700E53}"/>
    <cellStyle name="Normal 6 2 2 13 2 6" xfId="22777" xr:uid="{EC31C4BA-958C-4682-BEA7-D8C467388C15}"/>
    <cellStyle name="Normal 6 2 2 13 2 7" xfId="17117" xr:uid="{6C842A7C-91A2-443D-A160-831DD6E562A4}"/>
    <cellStyle name="Normal 6 2 2 13 2 8" xfId="28438" xr:uid="{1A953671-93A8-4633-BAF1-5780631AFA1C}"/>
    <cellStyle name="Normal 6 2 2 13 2 9" xfId="41078" xr:uid="{D56F2383-CF94-4CE7-921A-2B950428B613}"/>
    <cellStyle name="Normal 6 2 2 13 3" xfId="5191" xr:uid="{00000000-0005-0000-0000-00004C210000}"/>
    <cellStyle name="Normal 6 2 2 13 3 2" xfId="6341" xr:uid="{00000000-0005-0000-0000-00004D210000}"/>
    <cellStyle name="Normal 6 2 2 13 3 2 2" xfId="7662" xr:uid="{00000000-0005-0000-0000-00004E210000}"/>
    <cellStyle name="Normal 6 2 2 13 3 2 2 2" xfId="16095" xr:uid="{00000000-0005-0000-0000-00004F210000}"/>
    <cellStyle name="Normal 6 2 2 13 3 2 2 2 2" xfId="27989" xr:uid="{FFF889D8-863B-4640-986A-141CA13C9BCB}"/>
    <cellStyle name="Normal 6 2 2 13 3 2 2 2 3" xfId="22329" xr:uid="{3BBEC1D3-A766-4B48-B25A-E53D43219FEC}"/>
    <cellStyle name="Normal 6 2 2 13 3 2 2 2 4" xfId="33369" xr:uid="{3E9226E8-3716-4B2F-8E2F-1768984FF7D4}"/>
    <cellStyle name="Normal 6 2 2 13 3 2 2 2 5" xfId="41093" xr:uid="{B078BD36-B4D2-4E59-8478-0E545BE57E1E}"/>
    <cellStyle name="Normal 6 2 2 13 3 2 2 3" xfId="25156" xr:uid="{BBABD662-C28A-48C7-A2DE-1548DF2933E6}"/>
    <cellStyle name="Normal 6 2 2 13 3 2 2 4" xfId="19496" xr:uid="{2D934C59-B872-4773-B433-C29AEEE271DC}"/>
    <cellStyle name="Normal 6 2 2 13 3 2 2 5" xfId="30817" xr:uid="{B1C33B47-9AAE-4160-BF2C-F8D4DBA09FFE}"/>
    <cellStyle name="Normal 6 2 2 13 3 2 2 6" xfId="41092" xr:uid="{F1AFA9A1-9C51-4ED0-8306-09BFA28DE219}"/>
    <cellStyle name="Normal 6 2 2 13 3 2 3" xfId="14778" xr:uid="{00000000-0005-0000-0000-000050210000}"/>
    <cellStyle name="Normal 6 2 2 13 3 2 3 2" xfId="26733" xr:uid="{2EC965A8-DC29-41E6-9A07-92BC51B088C8}"/>
    <cellStyle name="Normal 6 2 2 13 3 2 3 3" xfId="21073" xr:uid="{F89A9F71-C33E-46C6-937D-C59A45867CA9}"/>
    <cellStyle name="Normal 6 2 2 13 3 2 3 4" xfId="32113" xr:uid="{3F81FBC7-A2F2-4A4F-963F-14878A74B23B}"/>
    <cellStyle name="Normal 6 2 2 13 3 2 3 5" xfId="41094" xr:uid="{9E9971A4-347F-4228-B7CA-64EB891C1D00}"/>
    <cellStyle name="Normal 6 2 2 13 3 2 4" xfId="23900" xr:uid="{C8670207-0953-475C-8E7C-46067F651787}"/>
    <cellStyle name="Normal 6 2 2 13 3 2 5" xfId="18240" xr:uid="{A49491C1-A6E2-4052-AB22-F113C762FE6E}"/>
    <cellStyle name="Normal 6 2 2 13 3 2 6" xfId="29561" xr:uid="{61C90C47-5CB2-4248-AD73-C7FB8EADECA2}"/>
    <cellStyle name="Normal 6 2 2 13 3 2 7" xfId="41091" xr:uid="{C725CD22-6B62-4896-9EC5-906B47C4CFFF}"/>
    <cellStyle name="Normal 6 2 2 13 3 3" xfId="7054" xr:uid="{00000000-0005-0000-0000-000051210000}"/>
    <cellStyle name="Normal 6 2 2 13 3 3 2" xfId="15487" xr:uid="{00000000-0005-0000-0000-000052210000}"/>
    <cellStyle name="Normal 6 2 2 13 3 3 2 2" xfId="27381" xr:uid="{BE9B1EF5-6AC4-45D1-BF7A-6EDC8BAA946E}"/>
    <cellStyle name="Normal 6 2 2 13 3 3 2 3" xfId="21721" xr:uid="{9BF0FEC8-31ED-4C02-A7FA-59FF749A6047}"/>
    <cellStyle name="Normal 6 2 2 13 3 3 2 4" xfId="32761" xr:uid="{04B1142D-62D0-417D-8D7E-439468D31BEE}"/>
    <cellStyle name="Normal 6 2 2 13 3 3 2 5" xfId="41096" xr:uid="{F5ED38DE-41CC-48A9-8CB0-CD0CF3BC5A6E}"/>
    <cellStyle name="Normal 6 2 2 13 3 3 3" xfId="24548" xr:uid="{30C4A2D7-1900-4253-82CF-26910DD1FDE2}"/>
    <cellStyle name="Normal 6 2 2 13 3 3 4" xfId="18888" xr:uid="{1755C983-F0EF-4369-9A88-9AEB340A8CD4}"/>
    <cellStyle name="Normal 6 2 2 13 3 3 5" xfId="30209" xr:uid="{6466BD80-6D5A-4222-8CDF-76FA5612DA53}"/>
    <cellStyle name="Normal 6 2 2 13 3 3 6" xfId="41095" xr:uid="{501936E4-36BE-46BE-A820-3D9BABACEB39}"/>
    <cellStyle name="Normal 6 2 2 13 3 4" xfId="14078" xr:uid="{00000000-0005-0000-0000-000053210000}"/>
    <cellStyle name="Normal 6 2 2 13 3 4 2" xfId="26117" xr:uid="{D37FFE15-8E2A-47FF-AAC7-6587A90CB312}"/>
    <cellStyle name="Normal 6 2 2 13 3 4 3" xfId="20457" xr:uid="{A39012C4-4D77-4D30-9BE3-76B8ECD58001}"/>
    <cellStyle name="Normal 6 2 2 13 3 4 4" xfId="31497" xr:uid="{39327099-63B5-450D-B6EA-068D5B8E6E42}"/>
    <cellStyle name="Normal 6 2 2 13 3 4 5" xfId="41097" xr:uid="{F48C77BB-646C-4550-82D3-FA9C64E66EAA}"/>
    <cellStyle name="Normal 6 2 2 13 3 5" xfId="22986" xr:uid="{58D9F8BE-C648-4ED9-AD87-A59C7898874A}"/>
    <cellStyle name="Normal 6 2 2 13 3 6" xfId="17326" xr:uid="{FE5A592C-6BE8-4D2F-96EE-237A01643C1C}"/>
    <cellStyle name="Normal 6 2 2 13 3 7" xfId="28647" xr:uid="{A937D856-16EE-4364-8734-1A18CB9DEB59}"/>
    <cellStyle name="Normal 6 2 2 13 3 8" xfId="41090" xr:uid="{32B4C525-E77D-4ED5-BB26-C04BE0E94378}"/>
    <cellStyle name="Normal 6 2 2 13 4" xfId="5709" xr:uid="{00000000-0005-0000-0000-000054210000}"/>
    <cellStyle name="Normal 6 2 2 13 4 2" xfId="41098" xr:uid="{B89F8971-EE62-4891-97C1-CE8A90328540}"/>
    <cellStyle name="Normal 6 2 2 13 5" xfId="6636" xr:uid="{00000000-0005-0000-0000-000055210000}"/>
    <cellStyle name="Normal 6 2 2 13 5 2" xfId="15069" xr:uid="{00000000-0005-0000-0000-000056210000}"/>
    <cellStyle name="Normal 6 2 2 13 5 2 2" xfId="26963" xr:uid="{F7D9F16F-D7F0-40A8-87EA-9FF9BA37F597}"/>
    <cellStyle name="Normal 6 2 2 13 5 2 3" xfId="21303" xr:uid="{F64F8A90-E0C9-4EE3-BD47-A9E089751E3C}"/>
    <cellStyle name="Normal 6 2 2 13 5 2 4" xfId="32343" xr:uid="{AAAC540B-3B56-495E-B6BB-FFD7BC2B765C}"/>
    <cellStyle name="Normal 6 2 2 13 5 2 5" xfId="41100" xr:uid="{881096D0-0849-4084-BA03-A25695B83F93}"/>
    <cellStyle name="Normal 6 2 2 13 5 3" xfId="24130" xr:uid="{21C001F1-CCAE-45E7-BF52-B0404A81C925}"/>
    <cellStyle name="Normal 6 2 2 13 5 4" xfId="18470" xr:uid="{6EA10E78-F7D4-4566-A248-8D0EEB72AA6F}"/>
    <cellStyle name="Normal 6 2 2 13 5 5" xfId="29791" xr:uid="{6BC51FB6-6AAB-4386-8255-BB51D84B5AE5}"/>
    <cellStyle name="Normal 6 2 2 13 5 6" xfId="41099" xr:uid="{A1ECE052-AFCE-48E5-8041-F18B499F6EE5}"/>
    <cellStyle name="Normal 6 2 2 13 6" xfId="8112" xr:uid="{00000000-0005-0000-0000-000057210000}"/>
    <cellStyle name="Normal 6 2 2 13 6 2" xfId="25588" xr:uid="{D626F227-63CD-4815-9D46-28D917F090D5}"/>
    <cellStyle name="Normal 6 2 2 13 6 3" xfId="19928" xr:uid="{C4CC6785-0828-45B2-B28E-E2D44EC85FED}"/>
    <cellStyle name="Normal 6 2 2 13 6 4" xfId="31249" xr:uid="{F2D16417-C7F9-44CB-ACDC-E587E3DE4621}"/>
    <cellStyle name="Normal 6 2 2 13 6 5" xfId="41101" xr:uid="{15A3DD4F-D684-42B1-BF66-931AACED8529}"/>
    <cellStyle name="Normal 6 2 2 13 7" xfId="22568" xr:uid="{51F5988F-1F9A-422C-9FB2-B90DE9026CF1}"/>
    <cellStyle name="Normal 6 2 2 13 8" xfId="16908" xr:uid="{04D90CD9-D0E6-4F07-A629-C7F95E43C63C}"/>
    <cellStyle name="Normal 6 2 2 13 9" xfId="28229" xr:uid="{3F2EAAC2-C55E-4296-ACE8-1ADC408CAC8F}"/>
    <cellStyle name="Normal 6 2 2 14" xfId="41001" xr:uid="{6EFBE158-297B-41D2-A3C8-C29F6F69CB76}"/>
    <cellStyle name="Normal 6 2 2 2" xfId="4351" xr:uid="{00000000-0005-0000-0000-000058210000}"/>
    <cellStyle name="Normal 6 2 2 2 10" xfId="41102" xr:uid="{CE7DA3B9-E1CC-4360-891C-C41C66DC200F}"/>
    <cellStyle name="Normal 6 2 2 2 2" xfId="4982" xr:uid="{00000000-0005-0000-0000-000059210000}"/>
    <cellStyle name="Normal 6 2 2 2 2 2" xfId="5401" xr:uid="{00000000-0005-0000-0000-00005A210000}"/>
    <cellStyle name="Normal 6 2 2 2 2 2 2" xfId="7264" xr:uid="{00000000-0005-0000-0000-00005B210000}"/>
    <cellStyle name="Normal 6 2 2 2 2 2 2 2" xfId="15697" xr:uid="{00000000-0005-0000-0000-00005C210000}"/>
    <cellStyle name="Normal 6 2 2 2 2 2 2 2 2" xfId="27591" xr:uid="{862735B7-5BFE-4657-B557-6F7DAF3E90F8}"/>
    <cellStyle name="Normal 6 2 2 2 2 2 2 2 3" xfId="21931" xr:uid="{1D7677D3-71EA-4564-8BDC-8F105FFD4E77}"/>
    <cellStyle name="Normal 6 2 2 2 2 2 2 2 4" xfId="32971" xr:uid="{9D2100DC-FBE2-45A9-96C3-EBE63B87EAD7}"/>
    <cellStyle name="Normal 6 2 2 2 2 2 2 2 5" xfId="41106" xr:uid="{D5F2E957-B080-460F-8B58-C33A8B622E73}"/>
    <cellStyle name="Normal 6 2 2 2 2 2 2 3" xfId="24758" xr:uid="{C9A13DF5-8A11-4359-8B52-0D795238942E}"/>
    <cellStyle name="Normal 6 2 2 2 2 2 2 4" xfId="19098" xr:uid="{6CB27AC2-DA1C-4076-A972-1E17E62DB9FB}"/>
    <cellStyle name="Normal 6 2 2 2 2 2 2 5" xfId="30419" xr:uid="{A83A08F6-46F0-41EE-9715-3D97D401EF16}"/>
    <cellStyle name="Normal 6 2 2 2 2 2 2 6" xfId="41105" xr:uid="{5CC05FAB-6879-48D5-A75B-2960EC9CA831}"/>
    <cellStyle name="Normal 6 2 2 2 2 2 3" xfId="14287" xr:uid="{00000000-0005-0000-0000-00005D210000}"/>
    <cellStyle name="Normal 6 2 2 2 2 2 3 2" xfId="26326" xr:uid="{87D9A4D6-01E0-49EB-BF6A-4BD770F6FD09}"/>
    <cellStyle name="Normal 6 2 2 2 2 2 3 3" xfId="20666" xr:uid="{5D1C5827-D146-4F7A-8485-7D0D72FACBB5}"/>
    <cellStyle name="Normal 6 2 2 2 2 2 3 4" xfId="31706" xr:uid="{D0D938A6-D591-4CED-A8C7-2E5CC5775CAB}"/>
    <cellStyle name="Normal 6 2 2 2 2 2 3 5" xfId="41107" xr:uid="{A10B2316-AF01-41B0-9CC8-844DBBE57A0B}"/>
    <cellStyle name="Normal 6 2 2 2 2 2 4" xfId="23196" xr:uid="{105E82B3-69AB-477E-855E-87212305852E}"/>
    <cellStyle name="Normal 6 2 2 2 2 2 5" xfId="17536" xr:uid="{9B64F7DA-470F-4A08-A900-E5E1C23D9FBC}"/>
    <cellStyle name="Normal 6 2 2 2 2 2 6" xfId="28857" xr:uid="{A9385A48-79EF-469B-BBD3-DB0EF70DEAFB}"/>
    <cellStyle name="Normal 6 2 2 2 2 2 7" xfId="41104" xr:uid="{EB2F9D56-C308-4F5B-9B59-116318107E4E}"/>
    <cellStyle name="Normal 6 2 2 2 2 3" xfId="6344" xr:uid="{00000000-0005-0000-0000-00005E210000}"/>
    <cellStyle name="Normal 6 2 2 2 2 3 2" xfId="7665" xr:uid="{00000000-0005-0000-0000-00005F210000}"/>
    <cellStyle name="Normal 6 2 2 2 2 3 2 2" xfId="16098" xr:uid="{00000000-0005-0000-0000-000060210000}"/>
    <cellStyle name="Normal 6 2 2 2 2 3 2 2 2" xfId="27992" xr:uid="{D0A40393-92E8-446B-BBC5-CA1405F4C154}"/>
    <cellStyle name="Normal 6 2 2 2 2 3 2 2 3" xfId="22332" xr:uid="{FFF6F20B-D9BF-4A60-8899-C17D979E954A}"/>
    <cellStyle name="Normal 6 2 2 2 2 3 2 2 4" xfId="33372" xr:uid="{1AC1B9FF-9E06-4062-BEB7-F1EB8FCB0BA1}"/>
    <cellStyle name="Normal 6 2 2 2 2 3 2 2 5" xfId="41110" xr:uid="{4D14B529-9269-446A-BD47-9CF83343345C}"/>
    <cellStyle name="Normal 6 2 2 2 2 3 2 3" xfId="25159" xr:uid="{33F56AF8-6778-481F-A99B-8397F5438ECA}"/>
    <cellStyle name="Normal 6 2 2 2 2 3 2 4" xfId="19499" xr:uid="{55484114-1BD7-4F14-8716-68ABE30EA27D}"/>
    <cellStyle name="Normal 6 2 2 2 2 3 2 5" xfId="30820" xr:uid="{CED21804-0911-4BF8-806A-5DE4AA9F648C}"/>
    <cellStyle name="Normal 6 2 2 2 2 3 2 6" xfId="41109" xr:uid="{9091B87B-E638-4839-B7CE-70E5972A279D}"/>
    <cellStyle name="Normal 6 2 2 2 2 3 3" xfId="14781" xr:uid="{00000000-0005-0000-0000-000061210000}"/>
    <cellStyle name="Normal 6 2 2 2 2 3 3 2" xfId="26736" xr:uid="{0140E193-4634-41CC-9C97-464DAC54D17A}"/>
    <cellStyle name="Normal 6 2 2 2 2 3 3 3" xfId="21076" xr:uid="{5338740C-3280-4AFC-A2E3-C9A7CE446F09}"/>
    <cellStyle name="Normal 6 2 2 2 2 3 3 4" xfId="32116" xr:uid="{D6EC6D32-F699-48AB-9019-2E4C26144231}"/>
    <cellStyle name="Normal 6 2 2 2 2 3 3 5" xfId="41111" xr:uid="{55555704-8EC2-4F02-9D1A-A2F88DC45E43}"/>
    <cellStyle name="Normal 6 2 2 2 2 3 4" xfId="23903" xr:uid="{68C84C70-97CF-4999-A22F-ACF686841FB9}"/>
    <cellStyle name="Normal 6 2 2 2 2 3 5" xfId="18243" xr:uid="{2E0EB03C-5F68-439B-AA25-66F883188AEE}"/>
    <cellStyle name="Normal 6 2 2 2 2 3 6" xfId="29564" xr:uid="{CADD288F-21C9-4396-A455-7D6B89C83DB2}"/>
    <cellStyle name="Normal 6 2 2 2 2 3 7" xfId="41108" xr:uid="{4A55CA8B-F8F4-442C-8912-F58D5933E56D}"/>
    <cellStyle name="Normal 6 2 2 2 2 4" xfId="6846" xr:uid="{00000000-0005-0000-0000-000062210000}"/>
    <cellStyle name="Normal 6 2 2 2 2 4 2" xfId="15279" xr:uid="{00000000-0005-0000-0000-000063210000}"/>
    <cellStyle name="Normal 6 2 2 2 2 4 2 2" xfId="27173" xr:uid="{589A42A4-3659-4D98-ACDA-2A45723B40CA}"/>
    <cellStyle name="Normal 6 2 2 2 2 4 2 3" xfId="21513" xr:uid="{F09E186F-6739-481B-B612-BD3230062C56}"/>
    <cellStyle name="Normal 6 2 2 2 2 4 2 4" xfId="32553" xr:uid="{A3D20DD0-1E04-4A2D-A1CF-5C96A4D54265}"/>
    <cellStyle name="Normal 6 2 2 2 2 4 2 5" xfId="41113" xr:uid="{EFCEE2F3-44D2-404C-8A5E-59829BA48C16}"/>
    <cellStyle name="Normal 6 2 2 2 2 4 3" xfId="24340" xr:uid="{476F5321-290A-4181-9EBE-F60AF7E68782}"/>
    <cellStyle name="Normal 6 2 2 2 2 4 4" xfId="18680" xr:uid="{3D2BE2C3-FC08-4A3B-B66A-8B047C0F04B4}"/>
    <cellStyle name="Normal 6 2 2 2 2 4 5" xfId="30001" xr:uid="{A78E8EB5-54E9-46CF-A5DE-C3E4CABD93D0}"/>
    <cellStyle name="Normal 6 2 2 2 2 4 6" xfId="41112" xr:uid="{B14BACBB-8485-4442-BAC0-82ADAD64A11B}"/>
    <cellStyle name="Normal 6 2 2 2 2 5" xfId="8115" xr:uid="{00000000-0005-0000-0000-000064210000}"/>
    <cellStyle name="Normal 6 2 2 2 2 5 2" xfId="25591" xr:uid="{7572141E-A70F-4090-8B7C-99224C6238F3}"/>
    <cellStyle name="Normal 6 2 2 2 2 5 3" xfId="19931" xr:uid="{B7516E05-EC98-4EB3-AFAC-5923830D175D}"/>
    <cellStyle name="Normal 6 2 2 2 2 5 4" xfId="31252" xr:uid="{B3472FF4-638B-4467-A742-4FFFE0E9360B}"/>
    <cellStyle name="Normal 6 2 2 2 2 5 5" xfId="41114" xr:uid="{76DF8AE7-9360-444A-8687-26FC45E9C14E}"/>
    <cellStyle name="Normal 6 2 2 2 2 6" xfId="22778" xr:uid="{3BB99CAD-8CCF-4AAF-B8DB-C47D6A92AA7A}"/>
    <cellStyle name="Normal 6 2 2 2 2 7" xfId="17118" xr:uid="{FB79E1A7-A1C4-44D1-B33C-30601A51477F}"/>
    <cellStyle name="Normal 6 2 2 2 2 8" xfId="28439" xr:uid="{D6C32E0F-36C3-4F08-8B2A-C5CF0CD20CB2}"/>
    <cellStyle name="Normal 6 2 2 2 2 9" xfId="41103" xr:uid="{4C203BBF-86B5-424C-83EC-1D6B0E8D2D64}"/>
    <cellStyle name="Normal 6 2 2 2 3" xfId="5192" xr:uid="{00000000-0005-0000-0000-000065210000}"/>
    <cellStyle name="Normal 6 2 2 2 3 2" xfId="6343" xr:uid="{00000000-0005-0000-0000-000066210000}"/>
    <cellStyle name="Normal 6 2 2 2 3 2 2" xfId="7664" xr:uid="{00000000-0005-0000-0000-000067210000}"/>
    <cellStyle name="Normal 6 2 2 2 3 2 2 2" xfId="16097" xr:uid="{00000000-0005-0000-0000-000068210000}"/>
    <cellStyle name="Normal 6 2 2 2 3 2 2 2 2" xfId="27991" xr:uid="{DFB9ABBF-6932-4324-9F2A-A05C46D61D73}"/>
    <cellStyle name="Normal 6 2 2 2 3 2 2 2 3" xfId="22331" xr:uid="{46676D40-4529-4245-82B1-25E770EE7C49}"/>
    <cellStyle name="Normal 6 2 2 2 3 2 2 2 4" xfId="33371" xr:uid="{34B4BC34-E7FF-4981-897F-6ABDADC6D897}"/>
    <cellStyle name="Normal 6 2 2 2 3 2 2 2 5" xfId="41118" xr:uid="{3332779A-90A6-4776-BB0D-1E3D03D0B359}"/>
    <cellStyle name="Normal 6 2 2 2 3 2 2 3" xfId="25158" xr:uid="{78104E42-F035-4784-BA73-50E1F897D1FE}"/>
    <cellStyle name="Normal 6 2 2 2 3 2 2 4" xfId="19498" xr:uid="{74AACF19-79B1-46D8-926C-8F8B64E98F15}"/>
    <cellStyle name="Normal 6 2 2 2 3 2 2 5" xfId="30819" xr:uid="{A968FB73-2072-4011-A84C-35EE6D61C83F}"/>
    <cellStyle name="Normal 6 2 2 2 3 2 2 6" xfId="41117" xr:uid="{74FA7FEC-A7A5-47C0-A8B1-B9094A9451FC}"/>
    <cellStyle name="Normal 6 2 2 2 3 2 3" xfId="14780" xr:uid="{00000000-0005-0000-0000-000069210000}"/>
    <cellStyle name="Normal 6 2 2 2 3 2 3 2" xfId="26735" xr:uid="{9573FF5C-4AD5-494B-822C-88D1D2BD1712}"/>
    <cellStyle name="Normal 6 2 2 2 3 2 3 3" xfId="21075" xr:uid="{287DB651-0C6A-45A8-ABF9-2A6CD1A72031}"/>
    <cellStyle name="Normal 6 2 2 2 3 2 3 4" xfId="32115" xr:uid="{D10683F4-1DFE-4B3B-A6FB-F27A791219FE}"/>
    <cellStyle name="Normal 6 2 2 2 3 2 3 5" xfId="41119" xr:uid="{21E9637F-6701-4792-BC03-E42E184A4F35}"/>
    <cellStyle name="Normal 6 2 2 2 3 2 4" xfId="23902" xr:uid="{5C518D6B-3477-486C-A979-D827EE283E22}"/>
    <cellStyle name="Normal 6 2 2 2 3 2 5" xfId="18242" xr:uid="{B2C41BF1-0F1B-4FC4-B20D-E3D60FFE7D97}"/>
    <cellStyle name="Normal 6 2 2 2 3 2 6" xfId="29563" xr:uid="{F535D0C4-4E53-474B-9DCE-A76C57553E88}"/>
    <cellStyle name="Normal 6 2 2 2 3 2 7" xfId="41116" xr:uid="{16712DFE-89FA-4C7A-97C1-F1FC4F9C7B27}"/>
    <cellStyle name="Normal 6 2 2 2 3 3" xfId="7055" xr:uid="{00000000-0005-0000-0000-00006A210000}"/>
    <cellStyle name="Normal 6 2 2 2 3 3 2" xfId="15488" xr:uid="{00000000-0005-0000-0000-00006B210000}"/>
    <cellStyle name="Normal 6 2 2 2 3 3 2 2" xfId="27382" xr:uid="{99672D72-2043-4552-99E9-7640448FEE1D}"/>
    <cellStyle name="Normal 6 2 2 2 3 3 2 3" xfId="21722" xr:uid="{A1A2B290-B351-4810-89CE-077B9CFBA274}"/>
    <cellStyle name="Normal 6 2 2 2 3 3 2 4" xfId="32762" xr:uid="{49B376A6-0683-437B-B7BE-C63B9A2230A9}"/>
    <cellStyle name="Normal 6 2 2 2 3 3 2 5" xfId="41121" xr:uid="{29750C5A-2C14-4D6D-B943-BCFA5CA4AC30}"/>
    <cellStyle name="Normal 6 2 2 2 3 3 3" xfId="24549" xr:uid="{9DFF4BA0-216C-4E03-A38E-CB151668B6EC}"/>
    <cellStyle name="Normal 6 2 2 2 3 3 4" xfId="18889" xr:uid="{0C61386B-938C-4D3B-BC59-4E2C49953D2D}"/>
    <cellStyle name="Normal 6 2 2 2 3 3 5" xfId="30210" xr:uid="{06327D47-5877-4FFC-AC73-07400FB85D23}"/>
    <cellStyle name="Normal 6 2 2 2 3 3 6" xfId="41120" xr:uid="{D0151110-D872-4353-BFF7-34FB77A721FE}"/>
    <cellStyle name="Normal 6 2 2 2 3 4" xfId="14079" xr:uid="{00000000-0005-0000-0000-00006C210000}"/>
    <cellStyle name="Normal 6 2 2 2 3 4 2" xfId="26118" xr:uid="{C5524737-5330-4185-86DF-F1C5543A05A0}"/>
    <cellStyle name="Normal 6 2 2 2 3 4 3" xfId="20458" xr:uid="{CEEA622E-5D7C-4E42-92AD-19E4779B89FD}"/>
    <cellStyle name="Normal 6 2 2 2 3 4 4" xfId="31498" xr:uid="{7F701F44-2233-46DA-98F5-E5A5DD55DED5}"/>
    <cellStyle name="Normal 6 2 2 2 3 4 5" xfId="41122" xr:uid="{E4110C03-2705-441D-921E-3126D4611337}"/>
    <cellStyle name="Normal 6 2 2 2 3 5" xfId="22987" xr:uid="{87545FDF-BC1D-49A0-BBE5-79D31E18DE22}"/>
    <cellStyle name="Normal 6 2 2 2 3 6" xfId="17327" xr:uid="{FC662FD3-7678-4264-9CC2-4A55DD74B8C7}"/>
    <cellStyle name="Normal 6 2 2 2 3 7" xfId="28648" xr:uid="{490DDC6F-4581-4732-8654-29FAF704B251}"/>
    <cellStyle name="Normal 6 2 2 2 3 8" xfId="41115" xr:uid="{9763849F-7154-41E8-AA11-CBD04F108856}"/>
    <cellStyle name="Normal 6 2 2 2 4" xfId="5710" xr:uid="{00000000-0005-0000-0000-00006D210000}"/>
    <cellStyle name="Normal 6 2 2 2 4 2" xfId="41123" xr:uid="{02094018-1670-4E54-A0A0-175E981EA49C}"/>
    <cellStyle name="Normal 6 2 2 2 5" xfId="6637" xr:uid="{00000000-0005-0000-0000-00006E210000}"/>
    <cellStyle name="Normal 6 2 2 2 5 2" xfId="15070" xr:uid="{00000000-0005-0000-0000-00006F210000}"/>
    <cellStyle name="Normal 6 2 2 2 5 2 2" xfId="26964" xr:uid="{9E43267D-D8B8-4638-864B-821F327736C9}"/>
    <cellStyle name="Normal 6 2 2 2 5 2 3" xfId="21304" xr:uid="{9B8A6381-37B6-4534-9195-303374FC4057}"/>
    <cellStyle name="Normal 6 2 2 2 5 2 4" xfId="32344" xr:uid="{AD6DE957-0E81-4B08-8C3E-66F39B912DC6}"/>
    <cellStyle name="Normal 6 2 2 2 5 2 5" xfId="41125" xr:uid="{2743CB6F-10C4-4BCB-B124-50E1317B448F}"/>
    <cellStyle name="Normal 6 2 2 2 5 3" xfId="24131" xr:uid="{D6BFD739-4CD8-4AC9-95CD-92B5016280A0}"/>
    <cellStyle name="Normal 6 2 2 2 5 4" xfId="18471" xr:uid="{83EE7E13-315B-46D8-B6C1-B88B5F8C6C23}"/>
    <cellStyle name="Normal 6 2 2 2 5 5" xfId="29792" xr:uid="{742D28C9-95D8-41BE-87E7-1EEBA93013A5}"/>
    <cellStyle name="Normal 6 2 2 2 5 6" xfId="41124" xr:uid="{50E20AEA-47A5-4DDD-A4CA-ECC31FC24156}"/>
    <cellStyle name="Normal 6 2 2 2 6" xfId="8114" xr:uid="{00000000-0005-0000-0000-000070210000}"/>
    <cellStyle name="Normal 6 2 2 2 6 2" xfId="25590" xr:uid="{BA8D0AEC-15D7-4A9B-B77F-E0FAC3F104A7}"/>
    <cellStyle name="Normal 6 2 2 2 6 3" xfId="19930" xr:uid="{12756391-1935-4E36-B1F1-E09B78E74726}"/>
    <cellStyle name="Normal 6 2 2 2 6 4" xfId="31251" xr:uid="{FD6CB41A-5B56-4C8D-A6F6-84683C02FA38}"/>
    <cellStyle name="Normal 6 2 2 2 6 5" xfId="41126" xr:uid="{66977BD1-139E-4723-8BB0-459748FF42E3}"/>
    <cellStyle name="Normal 6 2 2 2 7" xfId="22569" xr:uid="{5EAE1C38-C5E9-4811-9CFA-8BC2F035EEBB}"/>
    <cellStyle name="Normal 6 2 2 2 8" xfId="16909" xr:uid="{BA59F2A2-A7DE-4131-90A0-E0E71B2715B4}"/>
    <cellStyle name="Normal 6 2 2 2 9" xfId="28230" xr:uid="{82F221E5-1C07-46D7-9F8C-227AD3BFB13A}"/>
    <cellStyle name="Normal 6 2 2 3" xfId="4352" xr:uid="{00000000-0005-0000-0000-000071210000}"/>
    <cellStyle name="Normal 6 2 2 3 10" xfId="41127" xr:uid="{9B1192E6-2D54-496F-A600-23FA170C4BAC}"/>
    <cellStyle name="Normal 6 2 2 3 2" xfId="4983" xr:uid="{00000000-0005-0000-0000-000072210000}"/>
    <cellStyle name="Normal 6 2 2 3 2 2" xfId="5402" xr:uid="{00000000-0005-0000-0000-000073210000}"/>
    <cellStyle name="Normal 6 2 2 3 2 2 2" xfId="7265" xr:uid="{00000000-0005-0000-0000-000074210000}"/>
    <cellStyle name="Normal 6 2 2 3 2 2 2 2" xfId="15698" xr:uid="{00000000-0005-0000-0000-000075210000}"/>
    <cellStyle name="Normal 6 2 2 3 2 2 2 2 2" xfId="27592" xr:uid="{6437BDA7-C74C-49B4-9FE4-6E06B9013A6D}"/>
    <cellStyle name="Normal 6 2 2 3 2 2 2 2 3" xfId="21932" xr:uid="{48B3A5E6-82AE-4AF8-8DBD-49F22A93E2EA}"/>
    <cellStyle name="Normal 6 2 2 3 2 2 2 2 4" xfId="32972" xr:uid="{AB9EB159-464E-4535-9BA3-1C2623232D9D}"/>
    <cellStyle name="Normal 6 2 2 3 2 2 2 2 5" xfId="41131" xr:uid="{2D20C3D4-2A42-4FE5-B8C5-4ADCBF786FC9}"/>
    <cellStyle name="Normal 6 2 2 3 2 2 2 3" xfId="24759" xr:uid="{A1EC9459-B36E-488D-8B73-66BA769916AA}"/>
    <cellStyle name="Normal 6 2 2 3 2 2 2 4" xfId="19099" xr:uid="{BE5390AA-7671-4E9E-B217-E9CACBA79A19}"/>
    <cellStyle name="Normal 6 2 2 3 2 2 2 5" xfId="30420" xr:uid="{811EEDE5-891C-4809-B788-680E5DF915F7}"/>
    <cellStyle name="Normal 6 2 2 3 2 2 2 6" xfId="41130" xr:uid="{D9EA16D7-D521-4FC9-9189-CB54A347A966}"/>
    <cellStyle name="Normal 6 2 2 3 2 2 3" xfId="14288" xr:uid="{00000000-0005-0000-0000-000076210000}"/>
    <cellStyle name="Normal 6 2 2 3 2 2 3 2" xfId="26327" xr:uid="{C283679E-57D7-43E0-A1EA-DEC48CD65F1B}"/>
    <cellStyle name="Normal 6 2 2 3 2 2 3 3" xfId="20667" xr:uid="{F9662D91-2FB8-44AA-8685-949A830ADCD1}"/>
    <cellStyle name="Normal 6 2 2 3 2 2 3 4" xfId="31707" xr:uid="{FE3FD827-E1D9-4656-BF37-D99A134CFD22}"/>
    <cellStyle name="Normal 6 2 2 3 2 2 3 5" xfId="41132" xr:uid="{57C9C9B5-B40C-44D3-938A-4C696B915C5C}"/>
    <cellStyle name="Normal 6 2 2 3 2 2 4" xfId="23197" xr:uid="{754D047A-024A-4643-92B5-73C58A9B905B}"/>
    <cellStyle name="Normal 6 2 2 3 2 2 5" xfId="17537" xr:uid="{D22FF29A-6331-4BC5-A54C-AC15FE8D8BBB}"/>
    <cellStyle name="Normal 6 2 2 3 2 2 6" xfId="28858" xr:uid="{A2C7DFE2-72B8-45C4-98EF-C2B1E7B886ED}"/>
    <cellStyle name="Normal 6 2 2 3 2 2 7" xfId="41129" xr:uid="{DFA89B27-90A4-4A0D-8B3F-8045E409503B}"/>
    <cellStyle name="Normal 6 2 2 3 2 3" xfId="6346" xr:uid="{00000000-0005-0000-0000-000077210000}"/>
    <cellStyle name="Normal 6 2 2 3 2 3 2" xfId="7667" xr:uid="{00000000-0005-0000-0000-000078210000}"/>
    <cellStyle name="Normal 6 2 2 3 2 3 2 2" xfId="16100" xr:uid="{00000000-0005-0000-0000-000079210000}"/>
    <cellStyle name="Normal 6 2 2 3 2 3 2 2 2" xfId="27994" xr:uid="{828EC22D-0571-4DFD-A44A-5D77CCF034BF}"/>
    <cellStyle name="Normal 6 2 2 3 2 3 2 2 3" xfId="22334" xr:uid="{790FE6EF-869E-43B2-9FD9-B575C67A2B57}"/>
    <cellStyle name="Normal 6 2 2 3 2 3 2 2 4" xfId="33374" xr:uid="{A11D26D4-EBED-457F-AC21-CEEF23EEBA65}"/>
    <cellStyle name="Normal 6 2 2 3 2 3 2 2 5" xfId="41135" xr:uid="{88604C96-B2DF-44E2-8A96-89E752CAAA4D}"/>
    <cellStyle name="Normal 6 2 2 3 2 3 2 3" xfId="25161" xr:uid="{EC0B79D3-7D67-4784-A50A-5FFDA929E874}"/>
    <cellStyle name="Normal 6 2 2 3 2 3 2 4" xfId="19501" xr:uid="{EB379B04-5128-444B-8DF2-960D6B7CB2F9}"/>
    <cellStyle name="Normal 6 2 2 3 2 3 2 5" xfId="30822" xr:uid="{53CEFBC9-363D-4EAB-A47B-4DE16C7F47C8}"/>
    <cellStyle name="Normal 6 2 2 3 2 3 2 6" xfId="41134" xr:uid="{911D0C84-EE48-4BF2-93EF-28CEC83F3F77}"/>
    <cellStyle name="Normal 6 2 2 3 2 3 3" xfId="14783" xr:uid="{00000000-0005-0000-0000-00007A210000}"/>
    <cellStyle name="Normal 6 2 2 3 2 3 3 2" xfId="26738" xr:uid="{F2D9AC09-000F-494C-AEA2-D44ECBB25C13}"/>
    <cellStyle name="Normal 6 2 2 3 2 3 3 3" xfId="21078" xr:uid="{6C970A62-74FA-495D-BE20-12FA43DA77F1}"/>
    <cellStyle name="Normal 6 2 2 3 2 3 3 4" xfId="32118" xr:uid="{6FDE4BD3-68D0-420F-8FD0-06DA1271860D}"/>
    <cellStyle name="Normal 6 2 2 3 2 3 3 5" xfId="41136" xr:uid="{B7CC05F0-61D3-43E0-A97F-DC11FBEDE654}"/>
    <cellStyle name="Normal 6 2 2 3 2 3 4" xfId="23905" xr:uid="{13B77C95-D4B7-4A81-A002-C09B52EE8267}"/>
    <cellStyle name="Normal 6 2 2 3 2 3 5" xfId="18245" xr:uid="{50224060-43DC-4455-9D69-E3038AC3E4AE}"/>
    <cellStyle name="Normal 6 2 2 3 2 3 6" xfId="29566" xr:uid="{584D8730-FE33-4C75-B89C-EE564DBC6BC3}"/>
    <cellStyle name="Normal 6 2 2 3 2 3 7" xfId="41133" xr:uid="{A4E719E7-C9C3-4956-9289-B8859032D3AD}"/>
    <cellStyle name="Normal 6 2 2 3 2 4" xfId="6847" xr:uid="{00000000-0005-0000-0000-00007B210000}"/>
    <cellStyle name="Normal 6 2 2 3 2 4 2" xfId="15280" xr:uid="{00000000-0005-0000-0000-00007C210000}"/>
    <cellStyle name="Normal 6 2 2 3 2 4 2 2" xfId="27174" xr:uid="{CDEF8F5F-1A2E-449D-8635-DE8E2E156420}"/>
    <cellStyle name="Normal 6 2 2 3 2 4 2 3" xfId="21514" xr:uid="{4FF79164-3B09-40AF-A353-6FCDD4A9CA8B}"/>
    <cellStyle name="Normal 6 2 2 3 2 4 2 4" xfId="32554" xr:uid="{97F4222B-8197-41BB-9B93-3EB81F04070C}"/>
    <cellStyle name="Normal 6 2 2 3 2 4 2 5" xfId="41138" xr:uid="{C7228C5B-0ED5-4359-8073-A42C7F748280}"/>
    <cellStyle name="Normal 6 2 2 3 2 4 3" xfId="24341" xr:uid="{AD2C2DE6-4ED8-43D6-99AF-211574B73FAC}"/>
    <cellStyle name="Normal 6 2 2 3 2 4 4" xfId="18681" xr:uid="{662731D9-1867-4C33-98BB-D67BF318BF2E}"/>
    <cellStyle name="Normal 6 2 2 3 2 4 5" xfId="30002" xr:uid="{9D6F0C40-335D-445A-B223-72C9B52210E9}"/>
    <cellStyle name="Normal 6 2 2 3 2 4 6" xfId="41137" xr:uid="{C223624F-FE4A-4636-B242-D6D03FE933BD}"/>
    <cellStyle name="Normal 6 2 2 3 2 5" xfId="8117" xr:uid="{00000000-0005-0000-0000-00007D210000}"/>
    <cellStyle name="Normal 6 2 2 3 2 5 2" xfId="25593" xr:uid="{53DE9221-A695-43A3-BFF0-9317CEE9F46A}"/>
    <cellStyle name="Normal 6 2 2 3 2 5 3" xfId="19933" xr:uid="{841DBDBC-F74B-4613-BBF8-6224EBC67022}"/>
    <cellStyle name="Normal 6 2 2 3 2 5 4" xfId="31254" xr:uid="{9C179876-383B-4E58-9AD3-DCB7A31EF474}"/>
    <cellStyle name="Normal 6 2 2 3 2 5 5" xfId="41139" xr:uid="{347ACD09-E53E-48B4-97F6-C05E53B7BDBF}"/>
    <cellStyle name="Normal 6 2 2 3 2 6" xfId="22779" xr:uid="{6C3D12C0-927C-4E27-BF17-B888BC63EF20}"/>
    <cellStyle name="Normal 6 2 2 3 2 7" xfId="17119" xr:uid="{B95CE735-4CF6-448C-A0BD-D89714EE3FBE}"/>
    <cellStyle name="Normal 6 2 2 3 2 8" xfId="28440" xr:uid="{D7849AE4-B5F4-4673-B405-4E675D1AAAC0}"/>
    <cellStyle name="Normal 6 2 2 3 2 9" xfId="41128" xr:uid="{863E986B-D775-4EBB-AC7E-B9CD8D754C65}"/>
    <cellStyle name="Normal 6 2 2 3 3" xfId="5193" xr:uid="{00000000-0005-0000-0000-00007E210000}"/>
    <cellStyle name="Normal 6 2 2 3 3 2" xfId="6345" xr:uid="{00000000-0005-0000-0000-00007F210000}"/>
    <cellStyle name="Normal 6 2 2 3 3 2 2" xfId="7666" xr:uid="{00000000-0005-0000-0000-000080210000}"/>
    <cellStyle name="Normal 6 2 2 3 3 2 2 2" xfId="16099" xr:uid="{00000000-0005-0000-0000-000081210000}"/>
    <cellStyle name="Normal 6 2 2 3 3 2 2 2 2" xfId="27993" xr:uid="{7B0BC652-B1DA-49ED-9C2F-6610EDE57775}"/>
    <cellStyle name="Normal 6 2 2 3 3 2 2 2 3" xfId="22333" xr:uid="{88A6C0F2-594C-4FA5-BBF5-08C82ED9ACE5}"/>
    <cellStyle name="Normal 6 2 2 3 3 2 2 2 4" xfId="33373" xr:uid="{DF7AAD98-6AD9-45C9-B5EF-B9DBB85837B1}"/>
    <cellStyle name="Normal 6 2 2 3 3 2 2 2 5" xfId="41143" xr:uid="{41EFD16B-8F77-4E83-B0D9-DA65F3CAE6F7}"/>
    <cellStyle name="Normal 6 2 2 3 3 2 2 3" xfId="25160" xr:uid="{E5B0C386-D241-4C31-AAC8-2180B12EDC1A}"/>
    <cellStyle name="Normal 6 2 2 3 3 2 2 4" xfId="19500" xr:uid="{2A354816-CB9D-4B9E-A1AF-D12E7074A29A}"/>
    <cellStyle name="Normal 6 2 2 3 3 2 2 5" xfId="30821" xr:uid="{773A8209-AC5A-463B-B748-13FDA8509389}"/>
    <cellStyle name="Normal 6 2 2 3 3 2 2 6" xfId="41142" xr:uid="{C3C98D29-64F2-4C9F-A066-854D3A6B6B34}"/>
    <cellStyle name="Normal 6 2 2 3 3 2 3" xfId="14782" xr:uid="{00000000-0005-0000-0000-000082210000}"/>
    <cellStyle name="Normal 6 2 2 3 3 2 3 2" xfId="26737" xr:uid="{6949FB65-6292-4927-87B1-05F8980F5C38}"/>
    <cellStyle name="Normal 6 2 2 3 3 2 3 3" xfId="21077" xr:uid="{A1A3B9BF-6552-4028-A521-BA291307CC9F}"/>
    <cellStyle name="Normal 6 2 2 3 3 2 3 4" xfId="32117" xr:uid="{5A055F9D-0B9C-4018-9334-2C3EFF6DD4FF}"/>
    <cellStyle name="Normal 6 2 2 3 3 2 3 5" xfId="41144" xr:uid="{CDBEE780-A825-4CB5-BF60-BCD4F8E02816}"/>
    <cellStyle name="Normal 6 2 2 3 3 2 4" xfId="23904" xr:uid="{7F708D03-D486-436F-8447-A219AD2C66B1}"/>
    <cellStyle name="Normal 6 2 2 3 3 2 5" xfId="18244" xr:uid="{4D23C534-661F-439B-B330-C9078F084C7E}"/>
    <cellStyle name="Normal 6 2 2 3 3 2 6" xfId="29565" xr:uid="{6FFAF6B2-BDD8-4669-9F29-419FCB90D8D0}"/>
    <cellStyle name="Normal 6 2 2 3 3 2 7" xfId="41141" xr:uid="{611376D2-1C31-40A1-B3F3-6E899BE24ACA}"/>
    <cellStyle name="Normal 6 2 2 3 3 3" xfId="7056" xr:uid="{00000000-0005-0000-0000-000083210000}"/>
    <cellStyle name="Normal 6 2 2 3 3 3 2" xfId="15489" xr:uid="{00000000-0005-0000-0000-000084210000}"/>
    <cellStyle name="Normal 6 2 2 3 3 3 2 2" xfId="27383" xr:uid="{DBD69EFE-6F92-42A2-BF9E-BA883DCF41AC}"/>
    <cellStyle name="Normal 6 2 2 3 3 3 2 3" xfId="21723" xr:uid="{892A9960-9F0B-4030-A97D-AC62A18B0E0C}"/>
    <cellStyle name="Normal 6 2 2 3 3 3 2 4" xfId="32763" xr:uid="{D3F4C70D-D200-499B-9D54-31799B51FA8C}"/>
    <cellStyle name="Normal 6 2 2 3 3 3 2 5" xfId="41146" xr:uid="{D7451E5C-0194-4B5E-91F7-5B56D749E141}"/>
    <cellStyle name="Normal 6 2 2 3 3 3 3" xfId="24550" xr:uid="{AE1150CF-519A-4E0B-8AE2-DCA7B7DC9AA3}"/>
    <cellStyle name="Normal 6 2 2 3 3 3 4" xfId="18890" xr:uid="{0B05B389-1D38-41BB-A73E-054FE1F870C6}"/>
    <cellStyle name="Normal 6 2 2 3 3 3 5" xfId="30211" xr:uid="{AE8FAED9-790D-42C2-A2C7-D33BDB32DE35}"/>
    <cellStyle name="Normal 6 2 2 3 3 3 6" xfId="41145" xr:uid="{31BD65D1-B4F1-47DD-B433-78EAD9E28FBB}"/>
    <cellStyle name="Normal 6 2 2 3 3 4" xfId="14080" xr:uid="{00000000-0005-0000-0000-000085210000}"/>
    <cellStyle name="Normal 6 2 2 3 3 4 2" xfId="26119" xr:uid="{852E657A-6395-4DA7-AAA5-7541E626CAE9}"/>
    <cellStyle name="Normal 6 2 2 3 3 4 3" xfId="20459" xr:uid="{59F44782-9B43-426A-AD53-BAA98AE3C4FA}"/>
    <cellStyle name="Normal 6 2 2 3 3 4 4" xfId="31499" xr:uid="{A41AAA4F-0ECC-4918-8BC2-D9B439903205}"/>
    <cellStyle name="Normal 6 2 2 3 3 4 5" xfId="41147" xr:uid="{7EA170FB-81C4-4DB0-B75D-63EA42EE871B}"/>
    <cellStyle name="Normal 6 2 2 3 3 5" xfId="22988" xr:uid="{44A7DF80-5444-4897-A037-4D32969CCB23}"/>
    <cellStyle name="Normal 6 2 2 3 3 6" xfId="17328" xr:uid="{C1B89BC5-2B91-443E-931C-2A8391011640}"/>
    <cellStyle name="Normal 6 2 2 3 3 7" xfId="28649" xr:uid="{D3BE483A-2FEB-4E32-BA34-0495D11BD235}"/>
    <cellStyle name="Normal 6 2 2 3 3 8" xfId="41140" xr:uid="{43062866-ABD8-4FB7-B393-E3EC56CD71C1}"/>
    <cellStyle name="Normal 6 2 2 3 4" xfId="5711" xr:uid="{00000000-0005-0000-0000-000086210000}"/>
    <cellStyle name="Normal 6 2 2 3 4 2" xfId="41148" xr:uid="{57CC23B2-7D4D-490B-A033-51358D74FE11}"/>
    <cellStyle name="Normal 6 2 2 3 5" xfId="6638" xr:uid="{00000000-0005-0000-0000-000087210000}"/>
    <cellStyle name="Normal 6 2 2 3 5 2" xfId="15071" xr:uid="{00000000-0005-0000-0000-000088210000}"/>
    <cellStyle name="Normal 6 2 2 3 5 2 2" xfId="26965" xr:uid="{84A1D0C2-15C7-4E2D-A161-869B3B922761}"/>
    <cellStyle name="Normal 6 2 2 3 5 2 3" xfId="21305" xr:uid="{98A65167-775B-4412-89E8-81D298A96EC5}"/>
    <cellStyle name="Normal 6 2 2 3 5 2 4" xfId="32345" xr:uid="{2402577B-5CF2-42C9-8232-5F2C5788C027}"/>
    <cellStyle name="Normal 6 2 2 3 5 2 5" xfId="41150" xr:uid="{9F044060-A4AE-4439-96B8-CDC649BEBBEA}"/>
    <cellStyle name="Normal 6 2 2 3 5 3" xfId="24132" xr:uid="{A43AD05F-6734-4166-8221-28A8D1F2E21E}"/>
    <cellStyle name="Normal 6 2 2 3 5 4" xfId="18472" xr:uid="{B690CC3B-60AC-4EA2-9B02-60DFA81A2F6B}"/>
    <cellStyle name="Normal 6 2 2 3 5 5" xfId="29793" xr:uid="{B1930E73-7005-4A1B-A9D9-1218EF1C509D}"/>
    <cellStyle name="Normal 6 2 2 3 5 6" xfId="41149" xr:uid="{14E7D0EF-1DC0-4934-AC92-2EAED230BEE3}"/>
    <cellStyle name="Normal 6 2 2 3 6" xfId="8116" xr:uid="{00000000-0005-0000-0000-000089210000}"/>
    <cellStyle name="Normal 6 2 2 3 6 2" xfId="25592" xr:uid="{B85BFE9A-6254-4612-A45A-F0E5A4E16773}"/>
    <cellStyle name="Normal 6 2 2 3 6 3" xfId="19932" xr:uid="{D08D32AB-2C33-425F-9965-2833D6C7722D}"/>
    <cellStyle name="Normal 6 2 2 3 6 4" xfId="31253" xr:uid="{85932C51-EF08-45F4-87B5-6CAB0905AFEC}"/>
    <cellStyle name="Normal 6 2 2 3 6 5" xfId="41151" xr:uid="{736D2F01-BB55-4D4A-824E-C0FB0EB0E9FC}"/>
    <cellStyle name="Normal 6 2 2 3 7" xfId="22570" xr:uid="{73B47C31-A1AA-4DB4-A236-1CB9315815C0}"/>
    <cellStyle name="Normal 6 2 2 3 8" xfId="16910" xr:uid="{FF90165E-8AD7-46EF-BA8A-B14F39B9CB0E}"/>
    <cellStyle name="Normal 6 2 2 3 9" xfId="28231" xr:uid="{CEDA7D69-E058-42BF-88F2-A377C9C7999F}"/>
    <cellStyle name="Normal 6 2 2 4" xfId="4353" xr:uid="{00000000-0005-0000-0000-00008A210000}"/>
    <cellStyle name="Normal 6 2 2 4 10" xfId="41152" xr:uid="{76E5C50E-C7D7-4738-B120-79F63FCBBFDF}"/>
    <cellStyle name="Normal 6 2 2 4 2" xfId="4984" xr:uid="{00000000-0005-0000-0000-00008B210000}"/>
    <cellStyle name="Normal 6 2 2 4 2 2" xfId="5403" xr:uid="{00000000-0005-0000-0000-00008C210000}"/>
    <cellStyle name="Normal 6 2 2 4 2 2 2" xfId="7266" xr:uid="{00000000-0005-0000-0000-00008D210000}"/>
    <cellStyle name="Normal 6 2 2 4 2 2 2 2" xfId="15699" xr:uid="{00000000-0005-0000-0000-00008E210000}"/>
    <cellStyle name="Normal 6 2 2 4 2 2 2 2 2" xfId="27593" xr:uid="{CDE50831-87F9-401E-AC35-C199986F75D0}"/>
    <cellStyle name="Normal 6 2 2 4 2 2 2 2 3" xfId="21933" xr:uid="{A6F5A648-1EC5-4EC1-8E6B-FD1281CDA543}"/>
    <cellStyle name="Normal 6 2 2 4 2 2 2 2 4" xfId="32973" xr:uid="{37786F4B-2581-493A-82D8-C3ED4BDE7849}"/>
    <cellStyle name="Normal 6 2 2 4 2 2 2 2 5" xfId="41156" xr:uid="{7539BC25-8AB4-40B7-9E4C-58B2D4733BAD}"/>
    <cellStyle name="Normal 6 2 2 4 2 2 2 3" xfId="24760" xr:uid="{D2916AFC-2B91-411F-82A4-DCB4C4C4D805}"/>
    <cellStyle name="Normal 6 2 2 4 2 2 2 4" xfId="19100" xr:uid="{972DFEFA-988C-4DED-8CDE-A3054D349293}"/>
    <cellStyle name="Normal 6 2 2 4 2 2 2 5" xfId="30421" xr:uid="{DEE5B4A7-8FD2-4545-9CB0-39965FAA1F21}"/>
    <cellStyle name="Normal 6 2 2 4 2 2 2 6" xfId="41155" xr:uid="{8CA7FBAF-2E32-49F6-94FA-2B5E01956F46}"/>
    <cellStyle name="Normal 6 2 2 4 2 2 3" xfId="14289" xr:uid="{00000000-0005-0000-0000-00008F210000}"/>
    <cellStyle name="Normal 6 2 2 4 2 2 3 2" xfId="26328" xr:uid="{9C807FF3-D07B-4575-B0CB-CDDFD728A8A1}"/>
    <cellStyle name="Normal 6 2 2 4 2 2 3 3" xfId="20668" xr:uid="{0DEEF37A-5F10-4F3F-B948-25D21E150F27}"/>
    <cellStyle name="Normal 6 2 2 4 2 2 3 4" xfId="31708" xr:uid="{7B807D9F-8569-4563-92AD-6F8D5244D194}"/>
    <cellStyle name="Normal 6 2 2 4 2 2 3 5" xfId="41157" xr:uid="{7613F31B-7B81-4D96-BD10-B1CF11696007}"/>
    <cellStyle name="Normal 6 2 2 4 2 2 4" xfId="23198" xr:uid="{108803E2-1565-4A4D-8221-C6B84198E2C9}"/>
    <cellStyle name="Normal 6 2 2 4 2 2 5" xfId="17538" xr:uid="{B3F4965F-E363-4779-BE74-FFBF702F5F32}"/>
    <cellStyle name="Normal 6 2 2 4 2 2 6" xfId="28859" xr:uid="{F33321FE-F37B-4C07-BF4E-363B9137A2E2}"/>
    <cellStyle name="Normal 6 2 2 4 2 2 7" xfId="41154" xr:uid="{800E9AD5-EA2D-4A55-B0DB-799FCF70098B}"/>
    <cellStyle name="Normal 6 2 2 4 2 3" xfId="6348" xr:uid="{00000000-0005-0000-0000-000090210000}"/>
    <cellStyle name="Normal 6 2 2 4 2 3 2" xfId="7669" xr:uid="{00000000-0005-0000-0000-000091210000}"/>
    <cellStyle name="Normal 6 2 2 4 2 3 2 2" xfId="16102" xr:uid="{00000000-0005-0000-0000-000092210000}"/>
    <cellStyle name="Normal 6 2 2 4 2 3 2 2 2" xfId="27996" xr:uid="{6BADE493-911B-4E85-A0D2-BC1A6372FE64}"/>
    <cellStyle name="Normal 6 2 2 4 2 3 2 2 3" xfId="22336" xr:uid="{D422E8E8-43E1-430F-B764-80F34BC9D106}"/>
    <cellStyle name="Normal 6 2 2 4 2 3 2 2 4" xfId="33376" xr:uid="{273F007A-F6CC-46ED-9592-E7A8760554B9}"/>
    <cellStyle name="Normal 6 2 2 4 2 3 2 2 5" xfId="41160" xr:uid="{B68B255F-E4A2-45A3-B444-28126AF03B9D}"/>
    <cellStyle name="Normal 6 2 2 4 2 3 2 3" xfId="25163" xr:uid="{D4F51C3A-7978-4C73-9585-FF9BB5FA535E}"/>
    <cellStyle name="Normal 6 2 2 4 2 3 2 4" xfId="19503" xr:uid="{3AEBE725-49E5-4840-BD29-9B52FFD78200}"/>
    <cellStyle name="Normal 6 2 2 4 2 3 2 5" xfId="30824" xr:uid="{9E9B3772-1D9A-417B-BC74-553BB6CB92EB}"/>
    <cellStyle name="Normal 6 2 2 4 2 3 2 6" xfId="41159" xr:uid="{B356D030-610E-4A33-8EC2-E56933EDBA77}"/>
    <cellStyle name="Normal 6 2 2 4 2 3 3" xfId="14785" xr:uid="{00000000-0005-0000-0000-000093210000}"/>
    <cellStyle name="Normal 6 2 2 4 2 3 3 2" xfId="26740" xr:uid="{5CA307C4-27DC-4E60-96F5-D43802AE266E}"/>
    <cellStyle name="Normal 6 2 2 4 2 3 3 3" xfId="21080" xr:uid="{332701A9-B9A0-49FD-A500-79C63A812652}"/>
    <cellStyle name="Normal 6 2 2 4 2 3 3 4" xfId="32120" xr:uid="{FA7360AF-0A66-4784-8FA4-893CA0CD9C03}"/>
    <cellStyle name="Normal 6 2 2 4 2 3 3 5" xfId="41161" xr:uid="{1314599D-1956-4E21-B622-E4C8B3D6BAFB}"/>
    <cellStyle name="Normal 6 2 2 4 2 3 4" xfId="23907" xr:uid="{11D41956-C3DA-4A11-AEC5-50AEBD1084DD}"/>
    <cellStyle name="Normal 6 2 2 4 2 3 5" xfId="18247" xr:uid="{D17ABA5F-1636-4ACD-9353-86330F1C2E9C}"/>
    <cellStyle name="Normal 6 2 2 4 2 3 6" xfId="29568" xr:uid="{A359CE65-62DD-4941-AB40-8DCE733A605B}"/>
    <cellStyle name="Normal 6 2 2 4 2 3 7" xfId="41158" xr:uid="{5933E0B5-D929-48F5-9150-563F28A9C6AC}"/>
    <cellStyle name="Normal 6 2 2 4 2 4" xfId="6848" xr:uid="{00000000-0005-0000-0000-000094210000}"/>
    <cellStyle name="Normal 6 2 2 4 2 4 2" xfId="15281" xr:uid="{00000000-0005-0000-0000-000095210000}"/>
    <cellStyle name="Normal 6 2 2 4 2 4 2 2" xfId="27175" xr:uid="{BCD8CB82-B037-48E4-8590-3710CD4FFF36}"/>
    <cellStyle name="Normal 6 2 2 4 2 4 2 3" xfId="21515" xr:uid="{226B758A-F886-4584-B5B8-63F94CC5BD59}"/>
    <cellStyle name="Normal 6 2 2 4 2 4 2 4" xfId="32555" xr:uid="{6CAEEF10-B30E-410C-BB50-1C0E37513F68}"/>
    <cellStyle name="Normal 6 2 2 4 2 4 2 5" xfId="41163" xr:uid="{5E3B0919-100C-4792-9E8D-E371A4D4C4AA}"/>
    <cellStyle name="Normal 6 2 2 4 2 4 3" xfId="24342" xr:uid="{A2881ADD-4C32-4B83-974B-40CB49473FC0}"/>
    <cellStyle name="Normal 6 2 2 4 2 4 4" xfId="18682" xr:uid="{FBDC53AE-6EAD-4E63-93D9-EF17F48D292E}"/>
    <cellStyle name="Normal 6 2 2 4 2 4 5" xfId="30003" xr:uid="{F37C692D-1D29-48AD-86A7-F001954ABCCE}"/>
    <cellStyle name="Normal 6 2 2 4 2 4 6" xfId="41162" xr:uid="{E899117E-4B2A-4AD1-B7D0-64AB8180A5FA}"/>
    <cellStyle name="Normal 6 2 2 4 2 5" xfId="8119" xr:uid="{00000000-0005-0000-0000-000096210000}"/>
    <cellStyle name="Normal 6 2 2 4 2 5 2" xfId="25595" xr:uid="{94B1391F-A648-43D3-9AC8-6A9B8834AB3E}"/>
    <cellStyle name="Normal 6 2 2 4 2 5 3" xfId="19935" xr:uid="{7C4BB5E7-97B7-4004-8838-FEC51B159A0E}"/>
    <cellStyle name="Normal 6 2 2 4 2 5 4" xfId="31256" xr:uid="{C55E2627-02CE-4666-85A5-23080BCB6056}"/>
    <cellStyle name="Normal 6 2 2 4 2 5 5" xfId="41164" xr:uid="{8C1041E9-3817-48D3-8CD4-1DA87F1FB7DA}"/>
    <cellStyle name="Normal 6 2 2 4 2 6" xfId="22780" xr:uid="{9B3E7CD6-525E-48C6-BAF6-2164241C99F3}"/>
    <cellStyle name="Normal 6 2 2 4 2 7" xfId="17120" xr:uid="{81D69B80-3BA0-439B-923E-C1772BA7F0B4}"/>
    <cellStyle name="Normal 6 2 2 4 2 8" xfId="28441" xr:uid="{82F0AF67-0A55-4591-B93A-B33C76A653A3}"/>
    <cellStyle name="Normal 6 2 2 4 2 9" xfId="41153" xr:uid="{FFC870EF-DC3F-4B7D-84F1-9B04F8922156}"/>
    <cellStyle name="Normal 6 2 2 4 3" xfId="5194" xr:uid="{00000000-0005-0000-0000-000097210000}"/>
    <cellStyle name="Normal 6 2 2 4 3 2" xfId="6347" xr:uid="{00000000-0005-0000-0000-000098210000}"/>
    <cellStyle name="Normal 6 2 2 4 3 2 2" xfId="7668" xr:uid="{00000000-0005-0000-0000-000099210000}"/>
    <cellStyle name="Normal 6 2 2 4 3 2 2 2" xfId="16101" xr:uid="{00000000-0005-0000-0000-00009A210000}"/>
    <cellStyle name="Normal 6 2 2 4 3 2 2 2 2" xfId="27995" xr:uid="{DBC3F257-AF35-4BA3-92E8-31C1A2A049E0}"/>
    <cellStyle name="Normal 6 2 2 4 3 2 2 2 3" xfId="22335" xr:uid="{77CA76E7-EEBA-4F37-B371-BA504BE7DAC2}"/>
    <cellStyle name="Normal 6 2 2 4 3 2 2 2 4" xfId="33375" xr:uid="{A3D8B06C-709A-4D89-B5DB-7867777C3682}"/>
    <cellStyle name="Normal 6 2 2 4 3 2 2 2 5" xfId="41168" xr:uid="{BF300782-F292-4621-ADFB-0A6438B7F0CB}"/>
    <cellStyle name="Normal 6 2 2 4 3 2 2 3" xfId="25162" xr:uid="{FDB14E46-2B39-4774-81D7-1E73C3A54BF4}"/>
    <cellStyle name="Normal 6 2 2 4 3 2 2 4" xfId="19502" xr:uid="{9A9E32DB-B1ED-4026-8C23-56FD5ACD92A1}"/>
    <cellStyle name="Normal 6 2 2 4 3 2 2 5" xfId="30823" xr:uid="{200C576C-D64D-49B1-A3DA-40514D382CF2}"/>
    <cellStyle name="Normal 6 2 2 4 3 2 2 6" xfId="41167" xr:uid="{225B0AA9-B8BA-4656-AE3E-4FA485F7A169}"/>
    <cellStyle name="Normal 6 2 2 4 3 2 3" xfId="14784" xr:uid="{00000000-0005-0000-0000-00009B210000}"/>
    <cellStyle name="Normal 6 2 2 4 3 2 3 2" xfId="26739" xr:uid="{632F1DF5-2D16-4B22-AB00-8AEB3B9A8607}"/>
    <cellStyle name="Normal 6 2 2 4 3 2 3 3" xfId="21079" xr:uid="{88A3EDB9-0563-4588-AE45-B09CDEDB1FCF}"/>
    <cellStyle name="Normal 6 2 2 4 3 2 3 4" xfId="32119" xr:uid="{EED9CDE1-E247-4AC0-BB6B-630BB56DB4F4}"/>
    <cellStyle name="Normal 6 2 2 4 3 2 3 5" xfId="41169" xr:uid="{0D3DE3BE-ED5A-4942-8008-A9C28AA44886}"/>
    <cellStyle name="Normal 6 2 2 4 3 2 4" xfId="23906" xr:uid="{96EF87EB-DBDD-4D66-B045-11BA0295F1DB}"/>
    <cellStyle name="Normal 6 2 2 4 3 2 5" xfId="18246" xr:uid="{09D9B297-F5CD-417C-9A26-A54F1EF49F75}"/>
    <cellStyle name="Normal 6 2 2 4 3 2 6" xfId="29567" xr:uid="{2C3D021E-43F3-4D7F-8C00-7E8D9524F1A5}"/>
    <cellStyle name="Normal 6 2 2 4 3 2 7" xfId="41166" xr:uid="{5007BD54-07DA-4458-B050-8C07A812BEF4}"/>
    <cellStyle name="Normal 6 2 2 4 3 3" xfId="7057" xr:uid="{00000000-0005-0000-0000-00009C210000}"/>
    <cellStyle name="Normal 6 2 2 4 3 3 2" xfId="15490" xr:uid="{00000000-0005-0000-0000-00009D210000}"/>
    <cellStyle name="Normal 6 2 2 4 3 3 2 2" xfId="27384" xr:uid="{F0E0AA28-A123-4C67-B625-46F6C5EC8D68}"/>
    <cellStyle name="Normal 6 2 2 4 3 3 2 3" xfId="21724" xr:uid="{CE6AF039-099A-4FD3-AB58-227531B5D438}"/>
    <cellStyle name="Normal 6 2 2 4 3 3 2 4" xfId="32764" xr:uid="{A0092F9D-ED3E-4540-9335-CAF2CE36772B}"/>
    <cellStyle name="Normal 6 2 2 4 3 3 2 5" xfId="41171" xr:uid="{813F0657-4AC6-453D-B652-9C5DC0DAA484}"/>
    <cellStyle name="Normal 6 2 2 4 3 3 3" xfId="24551" xr:uid="{FDB3C908-EA98-4EE2-A838-03E688BC7F02}"/>
    <cellStyle name="Normal 6 2 2 4 3 3 4" xfId="18891" xr:uid="{901079B1-078A-4C5E-87D8-AABB74210490}"/>
    <cellStyle name="Normal 6 2 2 4 3 3 5" xfId="30212" xr:uid="{0A4531D3-A09C-4283-BD55-4A1C59625B58}"/>
    <cellStyle name="Normal 6 2 2 4 3 3 6" xfId="41170" xr:uid="{C8790C50-4ED2-4C25-A5AC-9A25A87933BC}"/>
    <cellStyle name="Normal 6 2 2 4 3 4" xfId="14081" xr:uid="{00000000-0005-0000-0000-00009E210000}"/>
    <cellStyle name="Normal 6 2 2 4 3 4 2" xfId="26120" xr:uid="{32A8B123-D498-4FB4-BF6B-D74CDAC51244}"/>
    <cellStyle name="Normal 6 2 2 4 3 4 3" xfId="20460" xr:uid="{45DC0D60-1477-4D22-B958-5DEEA09AB663}"/>
    <cellStyle name="Normal 6 2 2 4 3 4 4" xfId="31500" xr:uid="{A4212DC7-57C1-40BA-946E-F5E2C508766E}"/>
    <cellStyle name="Normal 6 2 2 4 3 4 5" xfId="41172" xr:uid="{2B7F8A5B-3965-4BD7-945B-CA1F79B1B8FB}"/>
    <cellStyle name="Normal 6 2 2 4 3 5" xfId="22989" xr:uid="{581384EA-89AA-4F60-97E6-34AF01EFFE6B}"/>
    <cellStyle name="Normal 6 2 2 4 3 6" xfId="17329" xr:uid="{DAABFCE9-78F7-4277-8760-E2837E96A234}"/>
    <cellStyle name="Normal 6 2 2 4 3 7" xfId="28650" xr:uid="{4352CEB9-84FE-4244-9CDF-F0EA26568378}"/>
    <cellStyle name="Normal 6 2 2 4 3 8" xfId="41165" xr:uid="{70E85CA4-B4E5-4264-B8BE-4C11CFE1655C}"/>
    <cellStyle name="Normal 6 2 2 4 4" xfId="5712" xr:uid="{00000000-0005-0000-0000-00009F210000}"/>
    <cellStyle name="Normal 6 2 2 4 4 2" xfId="41173" xr:uid="{21B1226C-782E-4634-84F6-130EBF768B6B}"/>
    <cellStyle name="Normal 6 2 2 4 5" xfId="6639" xr:uid="{00000000-0005-0000-0000-0000A0210000}"/>
    <cellStyle name="Normal 6 2 2 4 5 2" xfId="15072" xr:uid="{00000000-0005-0000-0000-0000A1210000}"/>
    <cellStyle name="Normal 6 2 2 4 5 2 2" xfId="26966" xr:uid="{22CED709-B358-4B47-B84C-86D49DB9CB1C}"/>
    <cellStyle name="Normal 6 2 2 4 5 2 3" xfId="21306" xr:uid="{CA1E4368-B94D-453E-B57B-15A6AFE67C3B}"/>
    <cellStyle name="Normal 6 2 2 4 5 2 4" xfId="32346" xr:uid="{DF9C685D-016F-45D7-924D-990F00F175CE}"/>
    <cellStyle name="Normal 6 2 2 4 5 2 5" xfId="41175" xr:uid="{F48AD2AF-03CD-497A-A2C1-9FDA7375151A}"/>
    <cellStyle name="Normal 6 2 2 4 5 3" xfId="24133" xr:uid="{5BB7F593-7B6B-4A7A-A92A-DDAFFDC30764}"/>
    <cellStyle name="Normal 6 2 2 4 5 4" xfId="18473" xr:uid="{547ECFCC-5E53-4A93-973F-105CB725B3C3}"/>
    <cellStyle name="Normal 6 2 2 4 5 5" xfId="29794" xr:uid="{BC89C2C8-8083-4FBA-A279-4B03C7F1D9F1}"/>
    <cellStyle name="Normal 6 2 2 4 5 6" xfId="41174" xr:uid="{BEFF8D1A-D488-4301-8703-B2A7A270BDD0}"/>
    <cellStyle name="Normal 6 2 2 4 6" xfId="8118" xr:uid="{00000000-0005-0000-0000-0000A2210000}"/>
    <cellStyle name="Normal 6 2 2 4 6 2" xfId="25594" xr:uid="{B30948CC-F348-49D7-9500-6FDC6C2D362E}"/>
    <cellStyle name="Normal 6 2 2 4 6 3" xfId="19934" xr:uid="{1E798088-038B-4151-8C8B-C3D329DF50E9}"/>
    <cellStyle name="Normal 6 2 2 4 6 4" xfId="31255" xr:uid="{9DF2D995-7EA8-4ED2-B895-EB27B8F34CF6}"/>
    <cellStyle name="Normal 6 2 2 4 6 5" xfId="41176" xr:uid="{8894D22B-F32C-4153-B0B2-B729445554B8}"/>
    <cellStyle name="Normal 6 2 2 4 7" xfId="22571" xr:uid="{525736AA-CF72-460B-8928-AE00A9D64AA6}"/>
    <cellStyle name="Normal 6 2 2 4 8" xfId="16911" xr:uid="{DD897B5D-3FC3-4590-87A3-9A1311B3E600}"/>
    <cellStyle name="Normal 6 2 2 4 9" xfId="28232" xr:uid="{CA9ED617-8599-4A6B-80BE-DB85E5B1847D}"/>
    <cellStyle name="Normal 6 2 2 5" xfId="4354" xr:uid="{00000000-0005-0000-0000-0000A3210000}"/>
    <cellStyle name="Normal 6 2 2 5 10" xfId="41177" xr:uid="{73BC815C-A0F5-448C-9A5E-0EA6CD18AEB4}"/>
    <cellStyle name="Normal 6 2 2 5 2" xfId="4985" xr:uid="{00000000-0005-0000-0000-0000A4210000}"/>
    <cellStyle name="Normal 6 2 2 5 2 2" xfId="5404" xr:uid="{00000000-0005-0000-0000-0000A5210000}"/>
    <cellStyle name="Normal 6 2 2 5 2 2 2" xfId="7267" xr:uid="{00000000-0005-0000-0000-0000A6210000}"/>
    <cellStyle name="Normal 6 2 2 5 2 2 2 2" xfId="15700" xr:uid="{00000000-0005-0000-0000-0000A7210000}"/>
    <cellStyle name="Normal 6 2 2 5 2 2 2 2 2" xfId="27594" xr:uid="{BACF7320-2C28-402C-9A34-71FE9E35CBF4}"/>
    <cellStyle name="Normal 6 2 2 5 2 2 2 2 3" xfId="21934" xr:uid="{FFFC9890-75FC-46FF-A9AF-B7F38AF8079B}"/>
    <cellStyle name="Normal 6 2 2 5 2 2 2 2 4" xfId="32974" xr:uid="{F4E0A5C8-C4D5-4579-B932-5F0352CD81BF}"/>
    <cellStyle name="Normal 6 2 2 5 2 2 2 2 5" xfId="41181" xr:uid="{EB375FF7-8503-47EC-830E-80E57DEBDD43}"/>
    <cellStyle name="Normal 6 2 2 5 2 2 2 3" xfId="24761" xr:uid="{CC62138C-ABBC-4A57-98CD-8AD3002AE1D8}"/>
    <cellStyle name="Normal 6 2 2 5 2 2 2 4" xfId="19101" xr:uid="{D6A72B2B-F566-4F75-B5EA-E7CC043E5E63}"/>
    <cellStyle name="Normal 6 2 2 5 2 2 2 5" xfId="30422" xr:uid="{00197AB3-2C1D-4DB5-BD56-EA3733F4C203}"/>
    <cellStyle name="Normal 6 2 2 5 2 2 2 6" xfId="41180" xr:uid="{47B1934E-02D9-49BE-8C54-FB72AB8B4D02}"/>
    <cellStyle name="Normal 6 2 2 5 2 2 3" xfId="14290" xr:uid="{00000000-0005-0000-0000-0000A8210000}"/>
    <cellStyle name="Normal 6 2 2 5 2 2 3 2" xfId="26329" xr:uid="{15B4BA3F-39ED-4938-9F41-EBBB4960D326}"/>
    <cellStyle name="Normal 6 2 2 5 2 2 3 3" xfId="20669" xr:uid="{4BDAC26D-2192-4E11-84FF-5D05271ADB29}"/>
    <cellStyle name="Normal 6 2 2 5 2 2 3 4" xfId="31709" xr:uid="{5C8A4FC7-838F-4CF6-BF6F-287FBACFC15B}"/>
    <cellStyle name="Normal 6 2 2 5 2 2 3 5" xfId="41182" xr:uid="{014CEF36-5FA5-432B-8521-02E21081EBD8}"/>
    <cellStyle name="Normal 6 2 2 5 2 2 4" xfId="23199" xr:uid="{83FD8970-A74C-4A2E-B749-45133F141022}"/>
    <cellStyle name="Normal 6 2 2 5 2 2 5" xfId="17539" xr:uid="{14B2AD2E-BE99-4371-90B5-AAA4AD2CFA95}"/>
    <cellStyle name="Normal 6 2 2 5 2 2 6" xfId="28860" xr:uid="{2FBF2959-3942-4B58-BB1E-A970B5EBDA0C}"/>
    <cellStyle name="Normal 6 2 2 5 2 2 7" xfId="41179" xr:uid="{3EE5249A-068B-4F21-AAE8-D1E748D5642E}"/>
    <cellStyle name="Normal 6 2 2 5 2 3" xfId="6350" xr:uid="{00000000-0005-0000-0000-0000A9210000}"/>
    <cellStyle name="Normal 6 2 2 5 2 3 2" xfId="7671" xr:uid="{00000000-0005-0000-0000-0000AA210000}"/>
    <cellStyle name="Normal 6 2 2 5 2 3 2 2" xfId="16104" xr:uid="{00000000-0005-0000-0000-0000AB210000}"/>
    <cellStyle name="Normal 6 2 2 5 2 3 2 2 2" xfId="27998" xr:uid="{9F5B0605-E323-4CB6-B37C-21B44C834F26}"/>
    <cellStyle name="Normal 6 2 2 5 2 3 2 2 3" xfId="22338" xr:uid="{C9B9F6E5-8414-42F0-9B2D-34C206CD74C8}"/>
    <cellStyle name="Normal 6 2 2 5 2 3 2 2 4" xfId="33378" xr:uid="{334FAFC4-FCFD-4BE1-904E-5487C41C62A5}"/>
    <cellStyle name="Normal 6 2 2 5 2 3 2 2 5" xfId="41185" xr:uid="{C866C6EA-9772-4294-A7C1-B2EA3E322CB7}"/>
    <cellStyle name="Normal 6 2 2 5 2 3 2 3" xfId="25165" xr:uid="{96858671-614E-4ED1-88A8-7F14B016A4B7}"/>
    <cellStyle name="Normal 6 2 2 5 2 3 2 4" xfId="19505" xr:uid="{24DEA370-5A9A-4B0F-BC94-E51FAC2401E8}"/>
    <cellStyle name="Normal 6 2 2 5 2 3 2 5" xfId="30826" xr:uid="{DCBD5B5F-A0CA-45FF-A373-3C761210102E}"/>
    <cellStyle name="Normal 6 2 2 5 2 3 2 6" xfId="41184" xr:uid="{2F8FAF2D-905C-47FE-8C5C-15798E32CA7F}"/>
    <cellStyle name="Normal 6 2 2 5 2 3 3" xfId="14787" xr:uid="{00000000-0005-0000-0000-0000AC210000}"/>
    <cellStyle name="Normal 6 2 2 5 2 3 3 2" xfId="26742" xr:uid="{421DA601-2B26-494E-A1C8-29232E7377E1}"/>
    <cellStyle name="Normal 6 2 2 5 2 3 3 3" xfId="21082" xr:uid="{653F4275-F4B7-4A60-B9CD-B63177592AE9}"/>
    <cellStyle name="Normal 6 2 2 5 2 3 3 4" xfId="32122" xr:uid="{C9A4BB90-1E2D-4B52-9EEC-539CF42D136B}"/>
    <cellStyle name="Normal 6 2 2 5 2 3 3 5" xfId="41186" xr:uid="{6C37D317-9965-416E-BFB3-85818AC14809}"/>
    <cellStyle name="Normal 6 2 2 5 2 3 4" xfId="23909" xr:uid="{8A12484A-BCC3-479C-B4DA-8CCF54641C21}"/>
    <cellStyle name="Normal 6 2 2 5 2 3 5" xfId="18249" xr:uid="{0F2FF55B-63A8-4FCA-A7C6-EF789E57BC64}"/>
    <cellStyle name="Normal 6 2 2 5 2 3 6" xfId="29570" xr:uid="{79C8D41D-D70C-4105-B506-61D8BE501C86}"/>
    <cellStyle name="Normal 6 2 2 5 2 3 7" xfId="41183" xr:uid="{F0B01076-D4FC-4C66-9471-D5B715ABFE0E}"/>
    <cellStyle name="Normal 6 2 2 5 2 4" xfId="6849" xr:uid="{00000000-0005-0000-0000-0000AD210000}"/>
    <cellStyle name="Normal 6 2 2 5 2 4 2" xfId="15282" xr:uid="{00000000-0005-0000-0000-0000AE210000}"/>
    <cellStyle name="Normal 6 2 2 5 2 4 2 2" xfId="27176" xr:uid="{88E14243-8B11-4C4D-B517-6318C131BFCB}"/>
    <cellStyle name="Normal 6 2 2 5 2 4 2 3" xfId="21516" xr:uid="{60F34823-3131-440F-A9B6-DAE4D0398887}"/>
    <cellStyle name="Normal 6 2 2 5 2 4 2 4" xfId="32556" xr:uid="{42688DB4-139E-46F1-931A-B47BBE3B8D58}"/>
    <cellStyle name="Normal 6 2 2 5 2 4 2 5" xfId="41188" xr:uid="{5F1F5885-F788-48A4-B23E-F3D99574D671}"/>
    <cellStyle name="Normal 6 2 2 5 2 4 3" xfId="24343" xr:uid="{5E36B0EA-C90D-49AF-AD94-4D7450336715}"/>
    <cellStyle name="Normal 6 2 2 5 2 4 4" xfId="18683" xr:uid="{B71B9309-CA34-4C85-95A2-D2FD9AD56133}"/>
    <cellStyle name="Normal 6 2 2 5 2 4 5" xfId="30004" xr:uid="{197AD3A4-5BE4-46B2-A1D3-BE781EBEC4F6}"/>
    <cellStyle name="Normal 6 2 2 5 2 4 6" xfId="41187" xr:uid="{7771B19F-CCB7-45F6-8502-59DA892E0D4F}"/>
    <cellStyle name="Normal 6 2 2 5 2 5" xfId="8121" xr:uid="{00000000-0005-0000-0000-0000AF210000}"/>
    <cellStyle name="Normal 6 2 2 5 2 5 2" xfId="25597" xr:uid="{6C2BDA63-2BA1-4778-9DC9-6B1B8514C77B}"/>
    <cellStyle name="Normal 6 2 2 5 2 5 3" xfId="19937" xr:uid="{2C9487A0-AF57-4379-A504-BB43AD27A86D}"/>
    <cellStyle name="Normal 6 2 2 5 2 5 4" xfId="31258" xr:uid="{95D01482-0A67-4551-B9FF-CE4A25FE64E7}"/>
    <cellStyle name="Normal 6 2 2 5 2 5 5" xfId="41189" xr:uid="{A17D31FC-FB7E-45A1-8D60-41A33DECAF30}"/>
    <cellStyle name="Normal 6 2 2 5 2 6" xfId="22781" xr:uid="{C57C4C6A-6E1E-41AF-B0BD-6CE4DD10D4AC}"/>
    <cellStyle name="Normal 6 2 2 5 2 7" xfId="17121" xr:uid="{CCB53C23-9793-4BEF-90C1-9B40D2027EBB}"/>
    <cellStyle name="Normal 6 2 2 5 2 8" xfId="28442" xr:uid="{36199339-A85A-49F2-98F6-82919FCDEDAF}"/>
    <cellStyle name="Normal 6 2 2 5 2 9" xfId="41178" xr:uid="{A516E81E-228A-426D-82EA-8AF81B3EDD58}"/>
    <cellStyle name="Normal 6 2 2 5 3" xfId="5195" xr:uid="{00000000-0005-0000-0000-0000B0210000}"/>
    <cellStyle name="Normal 6 2 2 5 3 2" xfId="6349" xr:uid="{00000000-0005-0000-0000-0000B1210000}"/>
    <cellStyle name="Normal 6 2 2 5 3 2 2" xfId="7670" xr:uid="{00000000-0005-0000-0000-0000B2210000}"/>
    <cellStyle name="Normal 6 2 2 5 3 2 2 2" xfId="16103" xr:uid="{00000000-0005-0000-0000-0000B3210000}"/>
    <cellStyle name="Normal 6 2 2 5 3 2 2 2 2" xfId="27997" xr:uid="{CD829D37-7FF5-4459-A1E5-E123406C5E6C}"/>
    <cellStyle name="Normal 6 2 2 5 3 2 2 2 3" xfId="22337" xr:uid="{44C6BC57-629A-42A4-885D-F466399043EF}"/>
    <cellStyle name="Normal 6 2 2 5 3 2 2 2 4" xfId="33377" xr:uid="{5FC124A0-47B6-422C-A7D5-421A0455D3E7}"/>
    <cellStyle name="Normal 6 2 2 5 3 2 2 2 5" xfId="41193" xr:uid="{807D7F16-CA53-4773-8BA3-D85272846801}"/>
    <cellStyle name="Normal 6 2 2 5 3 2 2 3" xfId="25164" xr:uid="{AE02B985-D747-4D03-A593-AD8B1DD3C103}"/>
    <cellStyle name="Normal 6 2 2 5 3 2 2 4" xfId="19504" xr:uid="{04E31B30-CD23-41D9-B4E2-20864BDDFE35}"/>
    <cellStyle name="Normal 6 2 2 5 3 2 2 5" xfId="30825" xr:uid="{654E3ECF-8438-4F4A-A7FC-CBC2D49DE70B}"/>
    <cellStyle name="Normal 6 2 2 5 3 2 2 6" xfId="41192" xr:uid="{849385C9-D5CD-4219-A7B6-40B7D33A2C79}"/>
    <cellStyle name="Normal 6 2 2 5 3 2 3" xfId="14786" xr:uid="{00000000-0005-0000-0000-0000B4210000}"/>
    <cellStyle name="Normal 6 2 2 5 3 2 3 2" xfId="26741" xr:uid="{424468F7-7FC8-46FC-9143-DA34521CA9BD}"/>
    <cellStyle name="Normal 6 2 2 5 3 2 3 3" xfId="21081" xr:uid="{489D8D78-281E-429A-A577-6FB859E5E5C2}"/>
    <cellStyle name="Normal 6 2 2 5 3 2 3 4" xfId="32121" xr:uid="{91495FA8-B146-4F30-8578-7CA15293D676}"/>
    <cellStyle name="Normal 6 2 2 5 3 2 3 5" xfId="41194" xr:uid="{E78EA725-F650-407A-9FAD-07CB59EE4E30}"/>
    <cellStyle name="Normal 6 2 2 5 3 2 4" xfId="23908" xr:uid="{50108817-105B-442F-982E-47D1AA55685E}"/>
    <cellStyle name="Normal 6 2 2 5 3 2 5" xfId="18248" xr:uid="{9876B34E-50DA-4DF3-BFD8-DE2C9E255FCA}"/>
    <cellStyle name="Normal 6 2 2 5 3 2 6" xfId="29569" xr:uid="{24496BD9-A89D-4B43-89AE-71B17BFAF287}"/>
    <cellStyle name="Normal 6 2 2 5 3 2 7" xfId="41191" xr:uid="{99D293B7-3432-47DD-BEC6-63435F285293}"/>
    <cellStyle name="Normal 6 2 2 5 3 3" xfId="7058" xr:uid="{00000000-0005-0000-0000-0000B5210000}"/>
    <cellStyle name="Normal 6 2 2 5 3 3 2" xfId="15491" xr:uid="{00000000-0005-0000-0000-0000B6210000}"/>
    <cellStyle name="Normal 6 2 2 5 3 3 2 2" xfId="27385" xr:uid="{A1D7E8C9-26CE-4459-8747-765B13197D6E}"/>
    <cellStyle name="Normal 6 2 2 5 3 3 2 3" xfId="21725" xr:uid="{006C5E52-66FE-46C3-A59E-3C5A5A913711}"/>
    <cellStyle name="Normal 6 2 2 5 3 3 2 4" xfId="32765" xr:uid="{9EC2CB37-43DF-40E3-8AD7-219765B8F612}"/>
    <cellStyle name="Normal 6 2 2 5 3 3 2 5" xfId="41196" xr:uid="{12B96546-61EF-4048-8B8E-D9384793C6D9}"/>
    <cellStyle name="Normal 6 2 2 5 3 3 3" xfId="24552" xr:uid="{FCE042D9-DA30-4A07-9C01-BB56AFD8CA81}"/>
    <cellStyle name="Normal 6 2 2 5 3 3 4" xfId="18892" xr:uid="{69CE69C5-041D-4B05-8DCE-5963C26B3A5C}"/>
    <cellStyle name="Normal 6 2 2 5 3 3 5" xfId="30213" xr:uid="{11CC3844-63CC-452B-A2DE-21A87618CC06}"/>
    <cellStyle name="Normal 6 2 2 5 3 3 6" xfId="41195" xr:uid="{9EC8DC65-6274-455C-AD35-384C73AA90E3}"/>
    <cellStyle name="Normal 6 2 2 5 3 4" xfId="14082" xr:uid="{00000000-0005-0000-0000-0000B7210000}"/>
    <cellStyle name="Normal 6 2 2 5 3 4 2" xfId="26121" xr:uid="{D74614D4-BF4C-447C-9A30-921F60D0E585}"/>
    <cellStyle name="Normal 6 2 2 5 3 4 3" xfId="20461" xr:uid="{249FEBCB-F395-4027-84F0-6D2CA81CF2A5}"/>
    <cellStyle name="Normal 6 2 2 5 3 4 4" xfId="31501" xr:uid="{F19BB3DB-D4AA-483A-84C3-E6DD2EE19F24}"/>
    <cellStyle name="Normal 6 2 2 5 3 4 5" xfId="41197" xr:uid="{EB19A7CC-9EDF-42A7-BF1C-5B4ADFFCFBC7}"/>
    <cellStyle name="Normal 6 2 2 5 3 5" xfId="22990" xr:uid="{EAD5824C-DDBD-4CA2-B36E-E118C88FE8E0}"/>
    <cellStyle name="Normal 6 2 2 5 3 6" xfId="17330" xr:uid="{DD485338-6D17-466D-9048-2FDA41606688}"/>
    <cellStyle name="Normal 6 2 2 5 3 7" xfId="28651" xr:uid="{001E420C-0AF0-4104-9636-D7A96BFC80DC}"/>
    <cellStyle name="Normal 6 2 2 5 3 8" xfId="41190" xr:uid="{62E2A644-A144-4D27-9A09-1CEAC0CDB7F0}"/>
    <cellStyle name="Normal 6 2 2 5 4" xfId="5713" xr:uid="{00000000-0005-0000-0000-0000B8210000}"/>
    <cellStyle name="Normal 6 2 2 5 4 2" xfId="41198" xr:uid="{CC7CD1E4-EE02-4038-9B69-465FD7D67546}"/>
    <cellStyle name="Normal 6 2 2 5 5" xfId="6640" xr:uid="{00000000-0005-0000-0000-0000B9210000}"/>
    <cellStyle name="Normal 6 2 2 5 5 2" xfId="15073" xr:uid="{00000000-0005-0000-0000-0000BA210000}"/>
    <cellStyle name="Normal 6 2 2 5 5 2 2" xfId="26967" xr:uid="{F27B5E86-304B-4B36-9F1E-C4FDF64DC263}"/>
    <cellStyle name="Normal 6 2 2 5 5 2 3" xfId="21307" xr:uid="{3400589C-B379-4C2A-BD15-597D03023498}"/>
    <cellStyle name="Normal 6 2 2 5 5 2 4" xfId="32347" xr:uid="{45539002-5AE2-4981-8586-D3AA76FC4A7F}"/>
    <cellStyle name="Normal 6 2 2 5 5 2 5" xfId="41200" xr:uid="{1943622C-E582-4734-B266-E5A0F0E81AA9}"/>
    <cellStyle name="Normal 6 2 2 5 5 3" xfId="24134" xr:uid="{007DFC0A-AE95-4513-A390-9CAB17DF1932}"/>
    <cellStyle name="Normal 6 2 2 5 5 4" xfId="18474" xr:uid="{D8C4109A-5301-4653-A25A-20E577BAD4B4}"/>
    <cellStyle name="Normal 6 2 2 5 5 5" xfId="29795" xr:uid="{CEDB54D9-0159-4151-A44F-D1FC6AC78BAE}"/>
    <cellStyle name="Normal 6 2 2 5 5 6" xfId="41199" xr:uid="{26001CE4-5214-43A2-B543-5C811A7AB48F}"/>
    <cellStyle name="Normal 6 2 2 5 6" xfId="8120" xr:uid="{00000000-0005-0000-0000-0000BB210000}"/>
    <cellStyle name="Normal 6 2 2 5 6 2" xfId="25596" xr:uid="{6EF7B510-56AC-4F31-9216-AC5FBFFD7CE4}"/>
    <cellStyle name="Normal 6 2 2 5 6 3" xfId="19936" xr:uid="{200FE4BB-0369-4F60-9B1A-4B6A68B297EE}"/>
    <cellStyle name="Normal 6 2 2 5 6 4" xfId="31257" xr:uid="{AD18640D-61F0-473F-887B-D78C0C384861}"/>
    <cellStyle name="Normal 6 2 2 5 6 5" xfId="41201" xr:uid="{CFBD1C20-9D31-4A30-B4F6-900410CF6B01}"/>
    <cellStyle name="Normal 6 2 2 5 7" xfId="22572" xr:uid="{FB9D8D46-CBCA-48A3-AF8C-3A6FE960D2D1}"/>
    <cellStyle name="Normal 6 2 2 5 7 2" xfId="41202" xr:uid="{46280464-C5CB-4BD5-BD69-06AF66DCA62F}"/>
    <cellStyle name="Normal 6 2 2 5 8" xfId="16912" xr:uid="{4C6C283B-2A30-46AB-B6CF-B367B63580B3}"/>
    <cellStyle name="Normal 6 2 2 5 9" xfId="28233" xr:uid="{2DD0E8DB-52AE-4F8C-A11A-626157071CC3}"/>
    <cellStyle name="Normal 6 2 2 6" xfId="4355" xr:uid="{00000000-0005-0000-0000-0000BC210000}"/>
    <cellStyle name="Normal 6 2 2 6 10" xfId="41203" xr:uid="{497DB32B-3D6D-443D-BF2A-85056E0BED32}"/>
    <cellStyle name="Normal 6 2 2 6 2" xfId="4986" xr:uid="{00000000-0005-0000-0000-0000BD210000}"/>
    <cellStyle name="Normal 6 2 2 6 2 2" xfId="5405" xr:uid="{00000000-0005-0000-0000-0000BE210000}"/>
    <cellStyle name="Normal 6 2 2 6 2 2 2" xfId="7268" xr:uid="{00000000-0005-0000-0000-0000BF210000}"/>
    <cellStyle name="Normal 6 2 2 6 2 2 2 2" xfId="15701" xr:uid="{00000000-0005-0000-0000-0000C0210000}"/>
    <cellStyle name="Normal 6 2 2 6 2 2 2 2 2" xfId="27595" xr:uid="{53F41D16-9A04-4377-8DEE-37FA6D1C5E0C}"/>
    <cellStyle name="Normal 6 2 2 6 2 2 2 2 3" xfId="21935" xr:uid="{4079E825-9E3E-434F-B796-2D0CAB44F8D0}"/>
    <cellStyle name="Normal 6 2 2 6 2 2 2 2 4" xfId="32975" xr:uid="{BCF78ADA-4285-4086-9660-156C4C974066}"/>
    <cellStyle name="Normal 6 2 2 6 2 2 2 2 5" xfId="41207" xr:uid="{739941EB-555A-44CC-8026-DF33DDCF862B}"/>
    <cellStyle name="Normal 6 2 2 6 2 2 2 3" xfId="24762" xr:uid="{ADF452FA-27FC-4CA2-A6D3-F7D583BF9CC1}"/>
    <cellStyle name="Normal 6 2 2 6 2 2 2 4" xfId="19102" xr:uid="{13241C64-493E-46D0-9571-4BF70FF18F67}"/>
    <cellStyle name="Normal 6 2 2 6 2 2 2 5" xfId="30423" xr:uid="{42950BB7-ABD8-4355-9D53-2B73D440C065}"/>
    <cellStyle name="Normal 6 2 2 6 2 2 2 6" xfId="41206" xr:uid="{2AD95935-0228-48DE-B2F0-D8BCD64283FB}"/>
    <cellStyle name="Normal 6 2 2 6 2 2 3" xfId="14291" xr:uid="{00000000-0005-0000-0000-0000C1210000}"/>
    <cellStyle name="Normal 6 2 2 6 2 2 3 2" xfId="26330" xr:uid="{0006B84A-0C5A-4B0F-9FCF-A652D362E8ED}"/>
    <cellStyle name="Normal 6 2 2 6 2 2 3 3" xfId="20670" xr:uid="{61228D8A-480F-4050-B82E-EAA1F1510963}"/>
    <cellStyle name="Normal 6 2 2 6 2 2 3 4" xfId="31710" xr:uid="{8536FEBC-5450-46A8-A79F-B562DD8DA943}"/>
    <cellStyle name="Normal 6 2 2 6 2 2 3 5" xfId="41208" xr:uid="{CD0769EA-9C90-41E7-9BF5-F2E3364600A9}"/>
    <cellStyle name="Normal 6 2 2 6 2 2 4" xfId="23200" xr:uid="{15387A1B-1B80-4671-8456-E96D077C4B45}"/>
    <cellStyle name="Normal 6 2 2 6 2 2 5" xfId="17540" xr:uid="{950F25E2-C812-454F-B134-AB5537108850}"/>
    <cellStyle name="Normal 6 2 2 6 2 2 6" xfId="28861" xr:uid="{EF8E6AC9-5F78-4FDF-A320-0AA58CB95D25}"/>
    <cellStyle name="Normal 6 2 2 6 2 2 7" xfId="41205" xr:uid="{7AA3B02B-C369-4A8C-9B9A-DCD7AA52DEEE}"/>
    <cellStyle name="Normal 6 2 2 6 2 3" xfId="6352" xr:uid="{00000000-0005-0000-0000-0000C2210000}"/>
    <cellStyle name="Normal 6 2 2 6 2 3 2" xfId="7673" xr:uid="{00000000-0005-0000-0000-0000C3210000}"/>
    <cellStyle name="Normal 6 2 2 6 2 3 2 2" xfId="16106" xr:uid="{00000000-0005-0000-0000-0000C4210000}"/>
    <cellStyle name="Normal 6 2 2 6 2 3 2 2 2" xfId="28000" xr:uid="{27DA9D28-FFA0-45C1-BB13-274D437AAE2A}"/>
    <cellStyle name="Normal 6 2 2 6 2 3 2 2 3" xfId="22340" xr:uid="{A70C4E5E-A02E-406D-A199-5D81C91836D5}"/>
    <cellStyle name="Normal 6 2 2 6 2 3 2 2 4" xfId="33380" xr:uid="{A18A430D-9D47-4B9E-B5CE-AC25EEB1B6EC}"/>
    <cellStyle name="Normal 6 2 2 6 2 3 2 2 5" xfId="41211" xr:uid="{3D8C6A16-DBD7-4C8C-AB22-66845E1AD69A}"/>
    <cellStyle name="Normal 6 2 2 6 2 3 2 3" xfId="25167" xr:uid="{59C48CA7-CF1D-4098-9738-18EFD332384A}"/>
    <cellStyle name="Normal 6 2 2 6 2 3 2 4" xfId="19507" xr:uid="{75E9D918-B85F-4135-A300-7ACF971C1F56}"/>
    <cellStyle name="Normal 6 2 2 6 2 3 2 5" xfId="30828" xr:uid="{CEC38D15-FB79-449D-B28D-788AB44815AC}"/>
    <cellStyle name="Normal 6 2 2 6 2 3 2 6" xfId="41210" xr:uid="{1227CD7B-BA68-4EAB-A7EB-FBD076231A97}"/>
    <cellStyle name="Normal 6 2 2 6 2 3 3" xfId="14789" xr:uid="{00000000-0005-0000-0000-0000C5210000}"/>
    <cellStyle name="Normal 6 2 2 6 2 3 3 2" xfId="26744" xr:uid="{BB0C8716-65B6-460E-9D1E-E9459C3AC70E}"/>
    <cellStyle name="Normal 6 2 2 6 2 3 3 3" xfId="21084" xr:uid="{C726CC81-9746-4C40-A585-648A29A91F06}"/>
    <cellStyle name="Normal 6 2 2 6 2 3 3 4" xfId="32124" xr:uid="{09FD6405-605F-427E-A96F-6536E92055F9}"/>
    <cellStyle name="Normal 6 2 2 6 2 3 3 5" xfId="41212" xr:uid="{BA694D11-90E5-4933-ADCE-F26893A84D10}"/>
    <cellStyle name="Normal 6 2 2 6 2 3 4" xfId="23911" xr:uid="{99E4FA1F-0081-4D16-B86D-2A0C3E96C7C7}"/>
    <cellStyle name="Normal 6 2 2 6 2 3 5" xfId="18251" xr:uid="{C61263B9-D9CD-4F3A-A43B-2BBAC744D134}"/>
    <cellStyle name="Normal 6 2 2 6 2 3 6" xfId="29572" xr:uid="{6FCB19F8-6B66-41F6-85FB-C15308F210B6}"/>
    <cellStyle name="Normal 6 2 2 6 2 3 7" xfId="41209" xr:uid="{BC65B5B6-E069-4214-9165-18D27983AC01}"/>
    <cellStyle name="Normal 6 2 2 6 2 4" xfId="6850" xr:uid="{00000000-0005-0000-0000-0000C6210000}"/>
    <cellStyle name="Normal 6 2 2 6 2 4 2" xfId="15283" xr:uid="{00000000-0005-0000-0000-0000C7210000}"/>
    <cellStyle name="Normal 6 2 2 6 2 4 2 2" xfId="27177" xr:uid="{7F644C41-86DA-493F-A404-076425661C95}"/>
    <cellStyle name="Normal 6 2 2 6 2 4 2 3" xfId="21517" xr:uid="{12F059D3-5D9D-401D-AA47-4DCD2C2A704C}"/>
    <cellStyle name="Normal 6 2 2 6 2 4 2 4" xfId="32557" xr:uid="{8990E93F-B01A-4531-BEF9-1D6E17146AD9}"/>
    <cellStyle name="Normal 6 2 2 6 2 4 2 5" xfId="41214" xr:uid="{F08C8124-CFB2-484E-AC50-96F007E8D87C}"/>
    <cellStyle name="Normal 6 2 2 6 2 4 3" xfId="24344" xr:uid="{7FA0FE30-1988-4462-9E82-395CC91A325C}"/>
    <cellStyle name="Normal 6 2 2 6 2 4 4" xfId="18684" xr:uid="{55469097-F7BB-41C5-B52C-DBB9EBADE40E}"/>
    <cellStyle name="Normal 6 2 2 6 2 4 5" xfId="30005" xr:uid="{16F877F5-BF27-45BD-813A-4288BEFD25F5}"/>
    <cellStyle name="Normal 6 2 2 6 2 4 6" xfId="41213" xr:uid="{2F85D09A-2257-4E4E-8C7C-950C06BC3292}"/>
    <cellStyle name="Normal 6 2 2 6 2 5" xfId="8123" xr:uid="{00000000-0005-0000-0000-0000C8210000}"/>
    <cellStyle name="Normal 6 2 2 6 2 5 2" xfId="25599" xr:uid="{3C883092-A661-4559-9B2F-A0EEBF4CA932}"/>
    <cellStyle name="Normal 6 2 2 6 2 5 3" xfId="19939" xr:uid="{F126CF36-B33F-4A8B-A31A-F57C796A93FB}"/>
    <cellStyle name="Normal 6 2 2 6 2 5 4" xfId="31260" xr:uid="{5EF0872E-2A2B-47D3-BA40-F5F252B5BE0D}"/>
    <cellStyle name="Normal 6 2 2 6 2 5 5" xfId="41215" xr:uid="{33FC292C-C253-47C7-9524-858A40C9F595}"/>
    <cellStyle name="Normal 6 2 2 6 2 6" xfId="22782" xr:uid="{6EC5F0B8-DD77-4265-8DD6-51931E463C5F}"/>
    <cellStyle name="Normal 6 2 2 6 2 7" xfId="17122" xr:uid="{07EAC073-4694-4041-A9D1-BF9A29583915}"/>
    <cellStyle name="Normal 6 2 2 6 2 8" xfId="28443" xr:uid="{8E55BF0F-02AD-4E6C-AC06-AB31C9DA5B5C}"/>
    <cellStyle name="Normal 6 2 2 6 2 9" xfId="41204" xr:uid="{F000CE44-FD09-4273-A839-69BEAF0F5164}"/>
    <cellStyle name="Normal 6 2 2 6 3" xfId="5196" xr:uid="{00000000-0005-0000-0000-0000C9210000}"/>
    <cellStyle name="Normal 6 2 2 6 3 2" xfId="6351" xr:uid="{00000000-0005-0000-0000-0000CA210000}"/>
    <cellStyle name="Normal 6 2 2 6 3 2 2" xfId="7672" xr:uid="{00000000-0005-0000-0000-0000CB210000}"/>
    <cellStyle name="Normal 6 2 2 6 3 2 2 2" xfId="16105" xr:uid="{00000000-0005-0000-0000-0000CC210000}"/>
    <cellStyle name="Normal 6 2 2 6 3 2 2 2 2" xfId="27999" xr:uid="{5E7F186D-6CE0-4120-930C-281A7DA1E9D4}"/>
    <cellStyle name="Normal 6 2 2 6 3 2 2 2 3" xfId="22339" xr:uid="{6D14FD74-31F6-4F59-84C7-D66528570A7B}"/>
    <cellStyle name="Normal 6 2 2 6 3 2 2 2 4" xfId="33379" xr:uid="{8CAF7190-3B98-4477-8DA8-6353D9B4394E}"/>
    <cellStyle name="Normal 6 2 2 6 3 2 2 2 5" xfId="41219" xr:uid="{886630EB-EE1A-4028-BA64-185974FBB338}"/>
    <cellStyle name="Normal 6 2 2 6 3 2 2 3" xfId="25166" xr:uid="{97707408-C523-40B9-B126-9F0A5B7374EC}"/>
    <cellStyle name="Normal 6 2 2 6 3 2 2 4" xfId="19506" xr:uid="{A7844010-EC41-4D7B-BF14-49A27EF4C001}"/>
    <cellStyle name="Normal 6 2 2 6 3 2 2 5" xfId="30827" xr:uid="{26761A10-CF7F-412A-95FF-404CDA962D1E}"/>
    <cellStyle name="Normal 6 2 2 6 3 2 2 6" xfId="41218" xr:uid="{E8014890-FC13-4BCB-A82F-D6CBB7693EC3}"/>
    <cellStyle name="Normal 6 2 2 6 3 2 3" xfId="14788" xr:uid="{00000000-0005-0000-0000-0000CD210000}"/>
    <cellStyle name="Normal 6 2 2 6 3 2 3 2" xfId="26743" xr:uid="{6CF7226B-A4BF-479C-9D77-2F3E3E03DEC3}"/>
    <cellStyle name="Normal 6 2 2 6 3 2 3 3" xfId="21083" xr:uid="{300CA52D-BFE0-4379-8859-DCCABD6EE1BC}"/>
    <cellStyle name="Normal 6 2 2 6 3 2 3 4" xfId="32123" xr:uid="{2C9F7125-EE69-4843-AAA0-E5AE2ABD5158}"/>
    <cellStyle name="Normal 6 2 2 6 3 2 3 5" xfId="41220" xr:uid="{0BF5DD2D-CB73-489B-B4FB-FAE6E8D09F30}"/>
    <cellStyle name="Normal 6 2 2 6 3 2 4" xfId="23910" xr:uid="{4AB00539-6803-4D8D-9BC9-27BE3438583C}"/>
    <cellStyle name="Normal 6 2 2 6 3 2 5" xfId="18250" xr:uid="{D82A31F4-A83D-408E-93C9-AEDFA26E3980}"/>
    <cellStyle name="Normal 6 2 2 6 3 2 6" xfId="29571" xr:uid="{21F3F859-DCD5-4422-BF66-1D4FDC40D3D2}"/>
    <cellStyle name="Normal 6 2 2 6 3 2 7" xfId="41217" xr:uid="{90E5F63F-50DA-4739-852C-88C876D22BAE}"/>
    <cellStyle name="Normal 6 2 2 6 3 3" xfId="7059" xr:uid="{00000000-0005-0000-0000-0000CE210000}"/>
    <cellStyle name="Normal 6 2 2 6 3 3 2" xfId="15492" xr:uid="{00000000-0005-0000-0000-0000CF210000}"/>
    <cellStyle name="Normal 6 2 2 6 3 3 2 2" xfId="27386" xr:uid="{44DEC435-DD83-451C-8F26-3130FB15A64A}"/>
    <cellStyle name="Normal 6 2 2 6 3 3 2 3" xfId="21726" xr:uid="{AFCF9A05-470C-4916-B51C-928075B7B260}"/>
    <cellStyle name="Normal 6 2 2 6 3 3 2 4" xfId="32766" xr:uid="{E5C41F6F-3B23-4D55-A52B-82D4D5D32D09}"/>
    <cellStyle name="Normal 6 2 2 6 3 3 2 5" xfId="41222" xr:uid="{A7353969-3DF7-4058-9AA8-278DEAE8997A}"/>
    <cellStyle name="Normal 6 2 2 6 3 3 3" xfId="24553" xr:uid="{9F115B7C-584C-4C17-8FB2-58FD523D3E4F}"/>
    <cellStyle name="Normal 6 2 2 6 3 3 4" xfId="18893" xr:uid="{3F064D5A-B874-4EAE-AB00-720407653B4C}"/>
    <cellStyle name="Normal 6 2 2 6 3 3 5" xfId="30214" xr:uid="{EA27F8C9-0CCD-463F-898C-C0A9E9FDA646}"/>
    <cellStyle name="Normal 6 2 2 6 3 3 6" xfId="41221" xr:uid="{932A79B6-62B0-47A0-80A9-3A2386A3597B}"/>
    <cellStyle name="Normal 6 2 2 6 3 4" xfId="14083" xr:uid="{00000000-0005-0000-0000-0000D0210000}"/>
    <cellStyle name="Normal 6 2 2 6 3 4 2" xfId="26122" xr:uid="{E9D63930-447C-4B56-8F68-26DA4C26F905}"/>
    <cellStyle name="Normal 6 2 2 6 3 4 3" xfId="20462" xr:uid="{E182F823-1E6B-4843-8F47-1E5FBC4D4C5D}"/>
    <cellStyle name="Normal 6 2 2 6 3 4 4" xfId="31502" xr:uid="{46DFA99C-55DF-4138-8F5C-43E63612E7D1}"/>
    <cellStyle name="Normal 6 2 2 6 3 4 5" xfId="41223" xr:uid="{FB9B5585-0906-4572-97AF-EC9782498E34}"/>
    <cellStyle name="Normal 6 2 2 6 3 5" xfId="22991" xr:uid="{EDB93FD4-EBDF-4665-B5DD-F2CD0D601A3B}"/>
    <cellStyle name="Normal 6 2 2 6 3 6" xfId="17331" xr:uid="{85F4EEB7-5FC3-429C-9703-BA876E96FCDB}"/>
    <cellStyle name="Normal 6 2 2 6 3 7" xfId="28652" xr:uid="{6A3C4DF7-4242-4BC8-B233-BB57A64295DD}"/>
    <cellStyle name="Normal 6 2 2 6 3 8" xfId="41216" xr:uid="{1E884A8B-9267-4056-9A9F-F22E98840FB0}"/>
    <cellStyle name="Normal 6 2 2 6 4" xfId="5714" xr:uid="{00000000-0005-0000-0000-0000D1210000}"/>
    <cellStyle name="Normal 6 2 2 6 4 2" xfId="41224" xr:uid="{D1E0B8B1-06E2-4EDF-B96A-796A549D074A}"/>
    <cellStyle name="Normal 6 2 2 6 5" xfId="6641" xr:uid="{00000000-0005-0000-0000-0000D2210000}"/>
    <cellStyle name="Normal 6 2 2 6 5 2" xfId="15074" xr:uid="{00000000-0005-0000-0000-0000D3210000}"/>
    <cellStyle name="Normal 6 2 2 6 5 2 2" xfId="26968" xr:uid="{F3EA48DA-B7B0-4CF4-B249-62EFD37D8906}"/>
    <cellStyle name="Normal 6 2 2 6 5 2 3" xfId="21308" xr:uid="{52200817-B536-43DA-91B9-4D12E0304316}"/>
    <cellStyle name="Normal 6 2 2 6 5 2 4" xfId="32348" xr:uid="{655CF477-E46C-4D0A-B892-0C0E273C4BEA}"/>
    <cellStyle name="Normal 6 2 2 6 5 2 5" xfId="41226" xr:uid="{4F2C1DE2-D85E-424E-900F-F26A8B83C4DA}"/>
    <cellStyle name="Normal 6 2 2 6 5 3" xfId="24135" xr:uid="{7C71083E-2054-4498-BE4B-941369A381AF}"/>
    <cellStyle name="Normal 6 2 2 6 5 4" xfId="18475" xr:uid="{40C34FA4-34A8-4E7E-B807-D4E5246811B3}"/>
    <cellStyle name="Normal 6 2 2 6 5 5" xfId="29796" xr:uid="{E759256F-64DC-4048-94DB-E49328459F0D}"/>
    <cellStyle name="Normal 6 2 2 6 5 6" xfId="41225" xr:uid="{2C62CBD9-A9C9-4A1A-8848-34989EB8E594}"/>
    <cellStyle name="Normal 6 2 2 6 6" xfId="8122" xr:uid="{00000000-0005-0000-0000-0000D4210000}"/>
    <cellStyle name="Normal 6 2 2 6 6 2" xfId="25598" xr:uid="{AC3116A6-98E7-4D76-A5DC-3F36A1278AA5}"/>
    <cellStyle name="Normal 6 2 2 6 6 3" xfId="19938" xr:uid="{5F73DDD6-3A76-4B55-82CA-5A5CF81F570D}"/>
    <cellStyle name="Normal 6 2 2 6 6 4" xfId="31259" xr:uid="{DD377896-E834-4A83-935A-664744173840}"/>
    <cellStyle name="Normal 6 2 2 6 6 5" xfId="41227" xr:uid="{ED04E7DC-1949-4229-8D3F-A0519E1F41E7}"/>
    <cellStyle name="Normal 6 2 2 6 7" xfId="22573" xr:uid="{50CFEFF7-734D-41C9-935A-0E59499B6EFF}"/>
    <cellStyle name="Normal 6 2 2 6 8" xfId="16913" xr:uid="{D308EBFF-EBEF-4FBF-B036-DA3C3E16595D}"/>
    <cellStyle name="Normal 6 2 2 6 9" xfId="28234" xr:uid="{08398253-9D0B-47AE-8505-88E620F27358}"/>
    <cellStyle name="Normal 6 2 2 7" xfId="4356" xr:uid="{00000000-0005-0000-0000-0000D5210000}"/>
    <cellStyle name="Normal 6 2 2 7 10" xfId="41228" xr:uid="{AF559362-A099-4952-A933-A2BC4864DC85}"/>
    <cellStyle name="Normal 6 2 2 7 2" xfId="4987" xr:uid="{00000000-0005-0000-0000-0000D6210000}"/>
    <cellStyle name="Normal 6 2 2 7 2 2" xfId="5406" xr:uid="{00000000-0005-0000-0000-0000D7210000}"/>
    <cellStyle name="Normal 6 2 2 7 2 2 2" xfId="7269" xr:uid="{00000000-0005-0000-0000-0000D8210000}"/>
    <cellStyle name="Normal 6 2 2 7 2 2 2 2" xfId="15702" xr:uid="{00000000-0005-0000-0000-0000D9210000}"/>
    <cellStyle name="Normal 6 2 2 7 2 2 2 2 2" xfId="27596" xr:uid="{A41424A0-05BD-4B90-BCBD-3F905C65159C}"/>
    <cellStyle name="Normal 6 2 2 7 2 2 2 2 3" xfId="21936" xr:uid="{124CCE64-9590-4D03-B225-64F38999A345}"/>
    <cellStyle name="Normal 6 2 2 7 2 2 2 2 4" xfId="32976" xr:uid="{D54408B3-D82B-41CB-B6B9-49F410516C95}"/>
    <cellStyle name="Normal 6 2 2 7 2 2 2 2 5" xfId="41232" xr:uid="{5803A453-AAEE-462E-AF9F-4401D353E929}"/>
    <cellStyle name="Normal 6 2 2 7 2 2 2 3" xfId="24763" xr:uid="{DB49D691-F719-4D49-BB36-786E8D4C4AFA}"/>
    <cellStyle name="Normal 6 2 2 7 2 2 2 4" xfId="19103" xr:uid="{6F5324BF-CDBD-41B6-93C0-1F9B79DF05D9}"/>
    <cellStyle name="Normal 6 2 2 7 2 2 2 5" xfId="30424" xr:uid="{2AC64085-B308-420E-8094-CCA8999FFDFB}"/>
    <cellStyle name="Normal 6 2 2 7 2 2 2 6" xfId="41231" xr:uid="{08AFFF7E-7347-474D-960D-E73F2F2A58D9}"/>
    <cellStyle name="Normal 6 2 2 7 2 2 3" xfId="14292" xr:uid="{00000000-0005-0000-0000-0000DA210000}"/>
    <cellStyle name="Normal 6 2 2 7 2 2 3 2" xfId="26331" xr:uid="{97979630-3DEC-4037-AA6D-981CF9851753}"/>
    <cellStyle name="Normal 6 2 2 7 2 2 3 3" xfId="20671" xr:uid="{4A292358-1623-4E8F-B057-2A7C996DB861}"/>
    <cellStyle name="Normal 6 2 2 7 2 2 3 4" xfId="31711" xr:uid="{F048BC7B-D631-4D99-B78F-5833A52B53BD}"/>
    <cellStyle name="Normal 6 2 2 7 2 2 3 5" xfId="41233" xr:uid="{452BB290-1907-422C-BAC1-EF8EE5BB9A67}"/>
    <cellStyle name="Normal 6 2 2 7 2 2 4" xfId="23201" xr:uid="{B99AADB7-2500-4332-A4B1-BA00405FE05B}"/>
    <cellStyle name="Normal 6 2 2 7 2 2 5" xfId="17541" xr:uid="{1FF1A375-3AFB-492E-B760-60548F1AB2DA}"/>
    <cellStyle name="Normal 6 2 2 7 2 2 6" xfId="28862" xr:uid="{A75D9E20-8EFD-46BD-8B93-279EB22EF808}"/>
    <cellStyle name="Normal 6 2 2 7 2 2 7" xfId="41230" xr:uid="{25436664-16E5-4409-8075-6EE6373D65C8}"/>
    <cellStyle name="Normal 6 2 2 7 2 3" xfId="6354" xr:uid="{00000000-0005-0000-0000-0000DB210000}"/>
    <cellStyle name="Normal 6 2 2 7 2 3 2" xfId="7675" xr:uid="{00000000-0005-0000-0000-0000DC210000}"/>
    <cellStyle name="Normal 6 2 2 7 2 3 2 2" xfId="16108" xr:uid="{00000000-0005-0000-0000-0000DD210000}"/>
    <cellStyle name="Normal 6 2 2 7 2 3 2 2 2" xfId="28002" xr:uid="{6A70097A-8CEE-4904-A761-B1C704688C73}"/>
    <cellStyle name="Normal 6 2 2 7 2 3 2 2 3" xfId="22342" xr:uid="{A700F823-F979-4247-BB79-6FE4EFB3AD12}"/>
    <cellStyle name="Normal 6 2 2 7 2 3 2 2 4" xfId="33382" xr:uid="{3139695F-8C8A-4C99-907A-5B65CEFF508F}"/>
    <cellStyle name="Normal 6 2 2 7 2 3 2 2 5" xfId="41236" xr:uid="{4A803AA6-BED5-422E-8FB3-A4F1A6BF2288}"/>
    <cellStyle name="Normal 6 2 2 7 2 3 2 3" xfId="25169" xr:uid="{A3B4AE89-9DA5-42EF-8B14-60CE0AAF3EDB}"/>
    <cellStyle name="Normal 6 2 2 7 2 3 2 4" xfId="19509" xr:uid="{A7F69F33-9C50-4F77-A650-BB8BEBA775E6}"/>
    <cellStyle name="Normal 6 2 2 7 2 3 2 5" xfId="30830" xr:uid="{F9D46DE0-8A17-45D2-BBC3-289F12AAE56E}"/>
    <cellStyle name="Normal 6 2 2 7 2 3 2 6" xfId="41235" xr:uid="{5C21CD20-972D-4580-9E59-E998D9063829}"/>
    <cellStyle name="Normal 6 2 2 7 2 3 3" xfId="14791" xr:uid="{00000000-0005-0000-0000-0000DE210000}"/>
    <cellStyle name="Normal 6 2 2 7 2 3 3 2" xfId="26746" xr:uid="{229E86F0-17D3-4B77-BE49-C0764785A105}"/>
    <cellStyle name="Normal 6 2 2 7 2 3 3 3" xfId="21086" xr:uid="{E8166208-1A61-4283-B540-702F2DC1158F}"/>
    <cellStyle name="Normal 6 2 2 7 2 3 3 4" xfId="32126" xr:uid="{7DA48FED-1F66-44F0-A16D-064F13EDC4EC}"/>
    <cellStyle name="Normal 6 2 2 7 2 3 3 5" xfId="41237" xr:uid="{306ADB93-606A-4FFF-9656-AC9F98033381}"/>
    <cellStyle name="Normal 6 2 2 7 2 3 4" xfId="23913" xr:uid="{916895EE-9796-4454-BDE4-6CB5A6FC53DB}"/>
    <cellStyle name="Normal 6 2 2 7 2 3 5" xfId="18253" xr:uid="{43110455-4A9D-418E-964A-51454F80C936}"/>
    <cellStyle name="Normal 6 2 2 7 2 3 6" xfId="29574" xr:uid="{405CA9D6-7842-46EE-B272-BD3EFDAE1F3A}"/>
    <cellStyle name="Normal 6 2 2 7 2 3 7" xfId="41234" xr:uid="{90F60E45-DE2E-4735-AA97-16298BC77377}"/>
    <cellStyle name="Normal 6 2 2 7 2 4" xfId="6851" xr:uid="{00000000-0005-0000-0000-0000DF210000}"/>
    <cellStyle name="Normal 6 2 2 7 2 4 2" xfId="15284" xr:uid="{00000000-0005-0000-0000-0000E0210000}"/>
    <cellStyle name="Normal 6 2 2 7 2 4 2 2" xfId="27178" xr:uid="{127180AA-7C16-47DB-AB7B-A75CCA0E1B61}"/>
    <cellStyle name="Normal 6 2 2 7 2 4 2 3" xfId="21518" xr:uid="{8AE28309-5A33-4FD5-92EF-93B505896990}"/>
    <cellStyle name="Normal 6 2 2 7 2 4 2 4" xfId="32558" xr:uid="{88243847-5C37-45F5-9AD3-9AE21233F693}"/>
    <cellStyle name="Normal 6 2 2 7 2 4 2 5" xfId="41239" xr:uid="{ABC0A9CB-3AB2-487B-A87D-4AAC70A04434}"/>
    <cellStyle name="Normal 6 2 2 7 2 4 3" xfId="24345" xr:uid="{549AB482-B678-451A-BCC9-EDF4C6873EDB}"/>
    <cellStyle name="Normal 6 2 2 7 2 4 4" xfId="18685" xr:uid="{0A42E1A1-6AE2-4E54-94BB-26BA1371EAB7}"/>
    <cellStyle name="Normal 6 2 2 7 2 4 5" xfId="30006" xr:uid="{74319561-5E90-4DCA-8239-B5CDB3D33815}"/>
    <cellStyle name="Normal 6 2 2 7 2 4 6" xfId="41238" xr:uid="{324B52BB-DE52-40DC-ACF7-825EA1D86D80}"/>
    <cellStyle name="Normal 6 2 2 7 2 5" xfId="8125" xr:uid="{00000000-0005-0000-0000-0000E1210000}"/>
    <cellStyle name="Normal 6 2 2 7 2 5 2" xfId="25601" xr:uid="{52EBD278-17D3-406D-857A-5EA9A2D75B94}"/>
    <cellStyle name="Normal 6 2 2 7 2 5 3" xfId="19941" xr:uid="{D79435FD-2CC7-41E9-8071-E438C4C0D1F4}"/>
    <cellStyle name="Normal 6 2 2 7 2 5 4" xfId="31262" xr:uid="{F1837E6D-D326-46DE-8AFE-D1E99EC9E643}"/>
    <cellStyle name="Normal 6 2 2 7 2 5 5" xfId="41240" xr:uid="{A0FA33CF-310E-49EA-921C-937357092CA3}"/>
    <cellStyle name="Normal 6 2 2 7 2 6" xfId="22783" xr:uid="{15F1C926-4CDA-4489-BD2D-9B928629C990}"/>
    <cellStyle name="Normal 6 2 2 7 2 7" xfId="17123" xr:uid="{EB612FF7-3E84-4AFF-9E10-5733034CC015}"/>
    <cellStyle name="Normal 6 2 2 7 2 8" xfId="28444" xr:uid="{391966E9-CEFD-4169-82BF-5735395863A4}"/>
    <cellStyle name="Normal 6 2 2 7 2 9" xfId="41229" xr:uid="{8BB627E6-2AAB-4371-A3AD-32010FBF6DAC}"/>
    <cellStyle name="Normal 6 2 2 7 3" xfId="5197" xr:uid="{00000000-0005-0000-0000-0000E2210000}"/>
    <cellStyle name="Normal 6 2 2 7 3 2" xfId="6353" xr:uid="{00000000-0005-0000-0000-0000E3210000}"/>
    <cellStyle name="Normal 6 2 2 7 3 2 2" xfId="7674" xr:uid="{00000000-0005-0000-0000-0000E4210000}"/>
    <cellStyle name="Normal 6 2 2 7 3 2 2 2" xfId="16107" xr:uid="{00000000-0005-0000-0000-0000E5210000}"/>
    <cellStyle name="Normal 6 2 2 7 3 2 2 2 2" xfId="28001" xr:uid="{9D4C4027-7991-4652-999F-B8CCD1CCA318}"/>
    <cellStyle name="Normal 6 2 2 7 3 2 2 2 3" xfId="22341" xr:uid="{6DBB9991-2175-4847-84C5-BA198023B6D4}"/>
    <cellStyle name="Normal 6 2 2 7 3 2 2 2 4" xfId="33381" xr:uid="{15265BF1-7041-4F30-BC85-A8E3FA239024}"/>
    <cellStyle name="Normal 6 2 2 7 3 2 2 2 5" xfId="41244" xr:uid="{D6502FD8-7C34-4347-9D0A-169F4EE26216}"/>
    <cellStyle name="Normal 6 2 2 7 3 2 2 3" xfId="25168" xr:uid="{97DF1B15-3558-4FC0-9F60-48799C1BA95D}"/>
    <cellStyle name="Normal 6 2 2 7 3 2 2 4" xfId="19508" xr:uid="{7724F7D1-CDA1-49BA-8A4E-CDC417569936}"/>
    <cellStyle name="Normal 6 2 2 7 3 2 2 5" xfId="30829" xr:uid="{6B6D99DC-1141-4D59-9AEC-1CB6C7592B4B}"/>
    <cellStyle name="Normal 6 2 2 7 3 2 2 6" xfId="41243" xr:uid="{BCE1C070-46C7-4A96-AFF9-099442EE9D3E}"/>
    <cellStyle name="Normal 6 2 2 7 3 2 3" xfId="14790" xr:uid="{00000000-0005-0000-0000-0000E6210000}"/>
    <cellStyle name="Normal 6 2 2 7 3 2 3 2" xfId="26745" xr:uid="{EEA7089D-0B89-4ACE-9107-E8E1D5F76BA3}"/>
    <cellStyle name="Normal 6 2 2 7 3 2 3 3" xfId="21085" xr:uid="{E09F8DFC-1241-4D19-8D60-C5B161BB6D7F}"/>
    <cellStyle name="Normal 6 2 2 7 3 2 3 4" xfId="32125" xr:uid="{944E43D4-EB5D-47FB-89E8-6E0655CA5BD3}"/>
    <cellStyle name="Normal 6 2 2 7 3 2 3 5" xfId="41245" xr:uid="{B7D6FF6D-3DC1-4A6F-AB13-6ED1BA99FCB1}"/>
    <cellStyle name="Normal 6 2 2 7 3 2 4" xfId="23912" xr:uid="{C9CF48A8-5EBE-415E-B5AD-370F2EA722B9}"/>
    <cellStyle name="Normal 6 2 2 7 3 2 5" xfId="18252" xr:uid="{9C23D795-6DD1-4747-95DD-AE94FB61701F}"/>
    <cellStyle name="Normal 6 2 2 7 3 2 6" xfId="29573" xr:uid="{0B0ABEF2-3B89-4AAA-8597-388C04276E88}"/>
    <cellStyle name="Normal 6 2 2 7 3 2 7" xfId="41242" xr:uid="{83B63B98-2E74-4986-9590-58E0033E0C3C}"/>
    <cellStyle name="Normal 6 2 2 7 3 3" xfId="7060" xr:uid="{00000000-0005-0000-0000-0000E7210000}"/>
    <cellStyle name="Normal 6 2 2 7 3 3 2" xfId="15493" xr:uid="{00000000-0005-0000-0000-0000E8210000}"/>
    <cellStyle name="Normal 6 2 2 7 3 3 2 2" xfId="27387" xr:uid="{3CAB59FE-400C-43B2-8A67-915625EB2329}"/>
    <cellStyle name="Normal 6 2 2 7 3 3 2 3" xfId="21727" xr:uid="{EFC585A4-DE92-4642-86DD-77A00E9C2C5D}"/>
    <cellStyle name="Normal 6 2 2 7 3 3 2 4" xfId="32767" xr:uid="{05530892-74AD-4A72-9AC7-5029E95FD2B9}"/>
    <cellStyle name="Normal 6 2 2 7 3 3 2 5" xfId="41247" xr:uid="{3AE5F1B0-7B4D-473C-84AD-8F7924CB37F4}"/>
    <cellStyle name="Normal 6 2 2 7 3 3 3" xfId="24554" xr:uid="{AF280268-5F78-48E5-AC78-B4359909B963}"/>
    <cellStyle name="Normal 6 2 2 7 3 3 4" xfId="18894" xr:uid="{D3264717-4B62-4BA3-9885-6F31004AE58A}"/>
    <cellStyle name="Normal 6 2 2 7 3 3 5" xfId="30215" xr:uid="{1AF8093B-8E45-48BD-8941-5608A31EAE61}"/>
    <cellStyle name="Normal 6 2 2 7 3 3 6" xfId="41246" xr:uid="{7DD7E98C-60EF-44B0-97ED-84B30B0ADC49}"/>
    <cellStyle name="Normal 6 2 2 7 3 4" xfId="14084" xr:uid="{00000000-0005-0000-0000-0000E9210000}"/>
    <cellStyle name="Normal 6 2 2 7 3 4 2" xfId="26123" xr:uid="{B7B1C173-B25E-4DFD-9ACD-E7AB3973E8F5}"/>
    <cellStyle name="Normal 6 2 2 7 3 4 3" xfId="20463" xr:uid="{7CAD2768-DEC3-4A58-BF84-53FDE809C7A3}"/>
    <cellStyle name="Normal 6 2 2 7 3 4 4" xfId="31503" xr:uid="{8ABB253B-C014-497F-9756-54D374F5C743}"/>
    <cellStyle name="Normal 6 2 2 7 3 4 5" xfId="41248" xr:uid="{44A47B95-2220-462E-B3F3-CF5554D22908}"/>
    <cellStyle name="Normal 6 2 2 7 3 5" xfId="22992" xr:uid="{F7715AE2-C964-41B2-94B0-7ED1AE3FA76C}"/>
    <cellStyle name="Normal 6 2 2 7 3 6" xfId="17332" xr:uid="{226FC08E-0EC9-4803-8088-E795DC685EB2}"/>
    <cellStyle name="Normal 6 2 2 7 3 7" xfId="28653" xr:uid="{6046686B-FE5B-4707-BAD0-5EBC242E317D}"/>
    <cellStyle name="Normal 6 2 2 7 3 8" xfId="41241" xr:uid="{4F6B182E-05F3-486F-89C1-A029C9AE59C8}"/>
    <cellStyle name="Normal 6 2 2 7 4" xfId="5715" xr:uid="{00000000-0005-0000-0000-0000EA210000}"/>
    <cellStyle name="Normal 6 2 2 7 4 2" xfId="41249" xr:uid="{BAB982BF-BD30-482B-A6BC-BF9B2C19636E}"/>
    <cellStyle name="Normal 6 2 2 7 5" xfId="6642" xr:uid="{00000000-0005-0000-0000-0000EB210000}"/>
    <cellStyle name="Normal 6 2 2 7 5 2" xfId="15075" xr:uid="{00000000-0005-0000-0000-0000EC210000}"/>
    <cellStyle name="Normal 6 2 2 7 5 2 2" xfId="26969" xr:uid="{F676202D-C999-462C-BDFE-A1773C50CE66}"/>
    <cellStyle name="Normal 6 2 2 7 5 2 3" xfId="21309" xr:uid="{2222A783-0D92-4981-9A30-5F568054B589}"/>
    <cellStyle name="Normal 6 2 2 7 5 2 4" xfId="32349" xr:uid="{E984F51A-7DA5-40E3-B84A-9122089DE2EC}"/>
    <cellStyle name="Normal 6 2 2 7 5 2 5" xfId="41251" xr:uid="{40E2ACFB-3D86-4FD8-8903-511DD2E584B7}"/>
    <cellStyle name="Normal 6 2 2 7 5 3" xfId="24136" xr:uid="{C2B8F892-6537-49A0-9C84-0E128905B8D3}"/>
    <cellStyle name="Normal 6 2 2 7 5 4" xfId="18476" xr:uid="{D173838B-48AF-47F8-9633-C214BC6BC879}"/>
    <cellStyle name="Normal 6 2 2 7 5 5" xfId="29797" xr:uid="{E73B2B9E-15A3-47D6-86ED-703A4997E81C}"/>
    <cellStyle name="Normal 6 2 2 7 5 6" xfId="41250" xr:uid="{F226E6D5-20E6-4179-9108-8F8132B9B7CD}"/>
    <cellStyle name="Normal 6 2 2 7 6" xfId="8124" xr:uid="{00000000-0005-0000-0000-0000ED210000}"/>
    <cellStyle name="Normal 6 2 2 7 6 2" xfId="25600" xr:uid="{ADC2E093-F025-4A3D-8874-097C69063C92}"/>
    <cellStyle name="Normal 6 2 2 7 6 3" xfId="19940" xr:uid="{25EBB341-24AD-4A2C-87A2-8B0B50C1D26F}"/>
    <cellStyle name="Normal 6 2 2 7 6 4" xfId="31261" xr:uid="{318B4CEE-CDCE-4030-9CEF-AF8C2991259A}"/>
    <cellStyle name="Normal 6 2 2 7 6 5" xfId="41252" xr:uid="{7E36F144-B6FC-466A-A9EA-D3569C0A1D15}"/>
    <cellStyle name="Normal 6 2 2 7 7" xfId="22574" xr:uid="{C66D9FDD-1A7D-4A3B-9987-4520FD5D92A7}"/>
    <cellStyle name="Normal 6 2 2 7 8" xfId="16914" xr:uid="{321865AB-416A-480F-9183-4BE8A2AA606C}"/>
    <cellStyle name="Normal 6 2 2 7 9" xfId="28235" xr:uid="{8B4C18C4-4DA3-4B88-B665-8BF9F0C3FEF9}"/>
    <cellStyle name="Normal 6 2 2 8" xfId="4357" xr:uid="{00000000-0005-0000-0000-0000EE210000}"/>
    <cellStyle name="Normal 6 2 2 8 10" xfId="41253" xr:uid="{8A901E18-E2AE-4507-B3F5-54099270497B}"/>
    <cellStyle name="Normal 6 2 2 8 2" xfId="4988" xr:uid="{00000000-0005-0000-0000-0000EF210000}"/>
    <cellStyle name="Normal 6 2 2 8 2 2" xfId="5407" xr:uid="{00000000-0005-0000-0000-0000F0210000}"/>
    <cellStyle name="Normal 6 2 2 8 2 2 2" xfId="7270" xr:uid="{00000000-0005-0000-0000-0000F1210000}"/>
    <cellStyle name="Normal 6 2 2 8 2 2 2 2" xfId="15703" xr:uid="{00000000-0005-0000-0000-0000F2210000}"/>
    <cellStyle name="Normal 6 2 2 8 2 2 2 2 2" xfId="27597" xr:uid="{242762C8-333A-4430-8882-A64B3795CF0C}"/>
    <cellStyle name="Normal 6 2 2 8 2 2 2 2 3" xfId="21937" xr:uid="{43227A89-B891-4CEB-B221-94858F0B1B76}"/>
    <cellStyle name="Normal 6 2 2 8 2 2 2 2 4" xfId="32977" xr:uid="{A89FEBDC-E614-4987-A18F-E280BC9D1E3D}"/>
    <cellStyle name="Normal 6 2 2 8 2 2 2 2 5" xfId="41257" xr:uid="{7ABC372A-3187-481A-81FD-2F2E5C40AB86}"/>
    <cellStyle name="Normal 6 2 2 8 2 2 2 3" xfId="24764" xr:uid="{66C0C855-6A9D-4DD4-B032-FF7447D6F763}"/>
    <cellStyle name="Normal 6 2 2 8 2 2 2 4" xfId="19104" xr:uid="{476696B0-EC15-409C-A4A5-75B4A144FE6B}"/>
    <cellStyle name="Normal 6 2 2 8 2 2 2 5" xfId="30425" xr:uid="{F72F87EE-279F-49ED-939C-F0FEBD534E0D}"/>
    <cellStyle name="Normal 6 2 2 8 2 2 2 6" xfId="41256" xr:uid="{B5C3E612-11D0-4723-B382-E39BBEDA47ED}"/>
    <cellStyle name="Normal 6 2 2 8 2 2 3" xfId="14293" xr:uid="{00000000-0005-0000-0000-0000F3210000}"/>
    <cellStyle name="Normal 6 2 2 8 2 2 3 2" xfId="26332" xr:uid="{983C9B6C-1119-4D5E-A4A3-46AA0AE51D5A}"/>
    <cellStyle name="Normal 6 2 2 8 2 2 3 3" xfId="20672" xr:uid="{45184860-9812-490C-BDFC-3CBDB60638DC}"/>
    <cellStyle name="Normal 6 2 2 8 2 2 3 4" xfId="31712" xr:uid="{489C5D81-7342-4F46-BCC9-BE56FF794921}"/>
    <cellStyle name="Normal 6 2 2 8 2 2 3 5" xfId="41258" xr:uid="{F665C949-DA0E-43A2-8D22-57D19D251B6E}"/>
    <cellStyle name="Normal 6 2 2 8 2 2 4" xfId="23202" xr:uid="{C9500189-3140-4ECB-B016-7734269C281C}"/>
    <cellStyle name="Normal 6 2 2 8 2 2 5" xfId="17542" xr:uid="{2E46F86A-6B77-4D1D-B1E7-6300F7D76F25}"/>
    <cellStyle name="Normal 6 2 2 8 2 2 6" xfId="28863" xr:uid="{0A6BCED1-3FDB-40E9-8058-AD626C112D3B}"/>
    <cellStyle name="Normal 6 2 2 8 2 2 7" xfId="41255" xr:uid="{5A5464CA-CDDC-41D4-97AF-0E474A95477D}"/>
    <cellStyle name="Normal 6 2 2 8 2 3" xfId="6356" xr:uid="{00000000-0005-0000-0000-0000F4210000}"/>
    <cellStyle name="Normal 6 2 2 8 2 3 2" xfId="7677" xr:uid="{00000000-0005-0000-0000-0000F5210000}"/>
    <cellStyle name="Normal 6 2 2 8 2 3 2 2" xfId="16110" xr:uid="{00000000-0005-0000-0000-0000F6210000}"/>
    <cellStyle name="Normal 6 2 2 8 2 3 2 2 2" xfId="28004" xr:uid="{D30F1216-531C-4CB6-9DC2-0529ADF60D2F}"/>
    <cellStyle name="Normal 6 2 2 8 2 3 2 2 3" xfId="22344" xr:uid="{AE0F64B2-894E-48DF-95DD-13F7686B73B4}"/>
    <cellStyle name="Normal 6 2 2 8 2 3 2 2 4" xfId="33384" xr:uid="{CCE96B66-E0B1-461F-8F2F-EB30F190C070}"/>
    <cellStyle name="Normal 6 2 2 8 2 3 2 2 5" xfId="41261" xr:uid="{F6EDE172-FF40-4E70-9B7F-3E3E1C28B483}"/>
    <cellStyle name="Normal 6 2 2 8 2 3 2 3" xfId="25171" xr:uid="{5D69C636-E242-4FD7-9C82-8014C6CD6047}"/>
    <cellStyle name="Normal 6 2 2 8 2 3 2 4" xfId="19511" xr:uid="{72DC2456-512C-4C2A-B32D-8F1DC274CBBF}"/>
    <cellStyle name="Normal 6 2 2 8 2 3 2 5" xfId="30832" xr:uid="{4AFDBAE8-DB31-4335-86C8-462CFC91C2A3}"/>
    <cellStyle name="Normal 6 2 2 8 2 3 2 6" xfId="41260" xr:uid="{032B2920-68E9-4598-9D24-1AFB3A3B6796}"/>
    <cellStyle name="Normal 6 2 2 8 2 3 3" xfId="14793" xr:uid="{00000000-0005-0000-0000-0000F7210000}"/>
    <cellStyle name="Normal 6 2 2 8 2 3 3 2" xfId="26748" xr:uid="{6EB0A89C-29A5-41CA-B95C-7C459C6172E8}"/>
    <cellStyle name="Normal 6 2 2 8 2 3 3 3" xfId="21088" xr:uid="{6CCD2495-AAFC-4765-A437-D0BAF7BF79E0}"/>
    <cellStyle name="Normal 6 2 2 8 2 3 3 4" xfId="32128" xr:uid="{3CFF49C1-CCDA-4EDE-820E-41031975D5DC}"/>
    <cellStyle name="Normal 6 2 2 8 2 3 3 5" xfId="41262" xr:uid="{E99F6428-ECE3-4CC2-BC22-9E6FC227BE54}"/>
    <cellStyle name="Normal 6 2 2 8 2 3 4" xfId="23915" xr:uid="{4B675BA0-273D-47B2-A949-E78B9202596E}"/>
    <cellStyle name="Normal 6 2 2 8 2 3 5" xfId="18255" xr:uid="{D81EF802-D9E4-4BD2-953F-E7D0039F5063}"/>
    <cellStyle name="Normal 6 2 2 8 2 3 6" xfId="29576" xr:uid="{3E80145C-3CF6-4D04-B792-B4983F5F955B}"/>
    <cellStyle name="Normal 6 2 2 8 2 3 7" xfId="41259" xr:uid="{030BF4DF-36D6-433F-BF5F-EFC92451CBA8}"/>
    <cellStyle name="Normal 6 2 2 8 2 4" xfId="6852" xr:uid="{00000000-0005-0000-0000-0000F8210000}"/>
    <cellStyle name="Normal 6 2 2 8 2 4 2" xfId="15285" xr:uid="{00000000-0005-0000-0000-0000F9210000}"/>
    <cellStyle name="Normal 6 2 2 8 2 4 2 2" xfId="27179" xr:uid="{BFB009C5-31C6-4A20-8BBE-D5B2744E2C7A}"/>
    <cellStyle name="Normal 6 2 2 8 2 4 2 3" xfId="21519" xr:uid="{9DC0E3F0-0136-4024-8A69-305C8CC3EFFA}"/>
    <cellStyle name="Normal 6 2 2 8 2 4 2 4" xfId="32559" xr:uid="{DBB54224-17A7-48F0-B7F9-DBDA19529C63}"/>
    <cellStyle name="Normal 6 2 2 8 2 4 2 5" xfId="41264" xr:uid="{CEB89214-717E-49DB-A243-8FFFB1EF7560}"/>
    <cellStyle name="Normal 6 2 2 8 2 4 3" xfId="24346" xr:uid="{42632712-9042-48EB-9362-286A9B85DD3B}"/>
    <cellStyle name="Normal 6 2 2 8 2 4 4" xfId="18686" xr:uid="{977790DC-2926-428E-88DF-35C32EB2D15D}"/>
    <cellStyle name="Normal 6 2 2 8 2 4 5" xfId="30007" xr:uid="{652C5BBE-E5BF-4BCE-96D3-BFD0F72D3EBA}"/>
    <cellStyle name="Normal 6 2 2 8 2 4 6" xfId="41263" xr:uid="{1E06B769-8535-4157-99DD-95EE1D5E8B61}"/>
    <cellStyle name="Normal 6 2 2 8 2 5" xfId="8127" xr:uid="{00000000-0005-0000-0000-0000FA210000}"/>
    <cellStyle name="Normal 6 2 2 8 2 5 2" xfId="25603" xr:uid="{F191EC69-58C5-43CC-9F10-FA6C5FB4C5AA}"/>
    <cellStyle name="Normal 6 2 2 8 2 5 3" xfId="19943" xr:uid="{EC802B39-6FBF-4278-A1F7-8233787A6B3B}"/>
    <cellStyle name="Normal 6 2 2 8 2 5 4" xfId="31264" xr:uid="{7A4F83B2-90F9-41DC-965C-3616CC603AA0}"/>
    <cellStyle name="Normal 6 2 2 8 2 5 5" xfId="41265" xr:uid="{5A55D9EF-342F-45DE-8139-F268157F09D8}"/>
    <cellStyle name="Normal 6 2 2 8 2 6" xfId="22784" xr:uid="{1F692D6B-A63C-4AE3-97B6-AAC1509B6251}"/>
    <cellStyle name="Normal 6 2 2 8 2 7" xfId="17124" xr:uid="{7BE4C73F-FD6A-4323-9050-10AE73ED84CF}"/>
    <cellStyle name="Normal 6 2 2 8 2 8" xfId="28445" xr:uid="{AAFE2D6F-D7D6-4D78-AA50-70A0A4D50E35}"/>
    <cellStyle name="Normal 6 2 2 8 2 9" xfId="41254" xr:uid="{C3E62D28-35E8-49E7-9744-D32694546ABB}"/>
    <cellStyle name="Normal 6 2 2 8 3" xfId="5198" xr:uid="{00000000-0005-0000-0000-0000FB210000}"/>
    <cellStyle name="Normal 6 2 2 8 3 2" xfId="6355" xr:uid="{00000000-0005-0000-0000-0000FC210000}"/>
    <cellStyle name="Normal 6 2 2 8 3 2 2" xfId="7676" xr:uid="{00000000-0005-0000-0000-0000FD210000}"/>
    <cellStyle name="Normal 6 2 2 8 3 2 2 2" xfId="16109" xr:uid="{00000000-0005-0000-0000-0000FE210000}"/>
    <cellStyle name="Normal 6 2 2 8 3 2 2 2 2" xfId="28003" xr:uid="{EA175DA2-D573-47F1-9D1E-61BB2DF005DF}"/>
    <cellStyle name="Normal 6 2 2 8 3 2 2 2 3" xfId="22343" xr:uid="{FBA28C13-6525-4D0D-A2AA-214FA49682C3}"/>
    <cellStyle name="Normal 6 2 2 8 3 2 2 2 4" xfId="33383" xr:uid="{4BC01D6F-5280-4DBA-BDCF-E38136BAF77E}"/>
    <cellStyle name="Normal 6 2 2 8 3 2 2 2 5" xfId="41269" xr:uid="{6AF33B75-BAD4-4D7E-9368-6068A6A042AC}"/>
    <cellStyle name="Normal 6 2 2 8 3 2 2 3" xfId="25170" xr:uid="{3D87AC01-120F-47F1-BAFF-112615916F1D}"/>
    <cellStyle name="Normal 6 2 2 8 3 2 2 4" xfId="19510" xr:uid="{421789B7-C22D-4B48-9F1F-0A2D3E2CD1D1}"/>
    <cellStyle name="Normal 6 2 2 8 3 2 2 5" xfId="30831" xr:uid="{FCE9E868-197E-4148-B29A-E17F12FE4FBD}"/>
    <cellStyle name="Normal 6 2 2 8 3 2 2 6" xfId="41268" xr:uid="{C98A64D6-92D2-4EDF-92C1-A09DB9CEBA4A}"/>
    <cellStyle name="Normal 6 2 2 8 3 2 3" xfId="14792" xr:uid="{00000000-0005-0000-0000-0000FF210000}"/>
    <cellStyle name="Normal 6 2 2 8 3 2 3 2" xfId="26747" xr:uid="{B9A7CCD0-5DB6-45B5-8684-50B5DB43F76B}"/>
    <cellStyle name="Normal 6 2 2 8 3 2 3 3" xfId="21087" xr:uid="{C5D033EB-26FD-41A4-8C10-2A6E929D88F0}"/>
    <cellStyle name="Normal 6 2 2 8 3 2 3 4" xfId="32127" xr:uid="{A7DEB64F-4AA2-45F2-B98D-112CEACFE5B7}"/>
    <cellStyle name="Normal 6 2 2 8 3 2 3 5" xfId="41270" xr:uid="{7934D282-B20B-425E-A367-022201D85654}"/>
    <cellStyle name="Normal 6 2 2 8 3 2 4" xfId="23914" xr:uid="{BECA5BD8-FDC9-4BC6-853D-C440EBCF6AF1}"/>
    <cellStyle name="Normal 6 2 2 8 3 2 5" xfId="18254" xr:uid="{B6449921-D866-4B21-B0FB-02790EA5F3F2}"/>
    <cellStyle name="Normal 6 2 2 8 3 2 6" xfId="29575" xr:uid="{A32539FF-859E-44B2-AABB-7E8CE2269D0E}"/>
    <cellStyle name="Normal 6 2 2 8 3 2 7" xfId="41267" xr:uid="{581E558E-BFF2-479E-BD35-4F24E969A269}"/>
    <cellStyle name="Normal 6 2 2 8 3 3" xfId="7061" xr:uid="{00000000-0005-0000-0000-000000220000}"/>
    <cellStyle name="Normal 6 2 2 8 3 3 2" xfId="15494" xr:uid="{00000000-0005-0000-0000-000001220000}"/>
    <cellStyle name="Normal 6 2 2 8 3 3 2 2" xfId="27388" xr:uid="{D58A1854-FD7B-4E34-A515-6F34D231224D}"/>
    <cellStyle name="Normal 6 2 2 8 3 3 2 3" xfId="21728" xr:uid="{810AC7C8-A45E-44FB-9EFD-FB514981D861}"/>
    <cellStyle name="Normal 6 2 2 8 3 3 2 4" xfId="32768" xr:uid="{72B4B251-1143-4D1E-9490-8C372DBFEE1E}"/>
    <cellStyle name="Normal 6 2 2 8 3 3 2 5" xfId="41272" xr:uid="{AC843381-4E7D-47B2-AD84-340F76EF4901}"/>
    <cellStyle name="Normal 6 2 2 8 3 3 3" xfId="24555" xr:uid="{6431C991-326B-49ED-B1CB-90A65F92AC38}"/>
    <cellStyle name="Normal 6 2 2 8 3 3 4" xfId="18895" xr:uid="{66CA93BB-C727-4E49-AFDF-E982E03171D2}"/>
    <cellStyle name="Normal 6 2 2 8 3 3 5" xfId="30216" xr:uid="{13CEC83E-00EC-43D8-BB65-C2AED184ADF9}"/>
    <cellStyle name="Normal 6 2 2 8 3 3 6" xfId="41271" xr:uid="{AD751AA8-6679-4C74-BDA6-6335A8CA3A5A}"/>
    <cellStyle name="Normal 6 2 2 8 3 4" xfId="14085" xr:uid="{00000000-0005-0000-0000-000002220000}"/>
    <cellStyle name="Normal 6 2 2 8 3 4 2" xfId="26124" xr:uid="{D0804B73-6D58-49BA-AEA0-D487CC2D93A8}"/>
    <cellStyle name="Normal 6 2 2 8 3 4 3" xfId="20464" xr:uid="{B6FD9ED7-4853-4B4D-B89B-4E9FD177BAC8}"/>
    <cellStyle name="Normal 6 2 2 8 3 4 4" xfId="31504" xr:uid="{055C0755-DB73-4802-B019-D0B1DB6DB7D7}"/>
    <cellStyle name="Normal 6 2 2 8 3 4 5" xfId="41273" xr:uid="{7BB415AC-FA73-4A42-A9B4-9F810B864366}"/>
    <cellStyle name="Normal 6 2 2 8 3 5" xfId="22993" xr:uid="{9414D244-BB9B-4265-8F3B-B2AF4DDCC4C9}"/>
    <cellStyle name="Normal 6 2 2 8 3 6" xfId="17333" xr:uid="{A15179EE-B91A-4851-80E8-1DA9D04A2268}"/>
    <cellStyle name="Normal 6 2 2 8 3 7" xfId="28654" xr:uid="{7B29A4FE-C1F1-42BA-9D1A-89E1E54E4F68}"/>
    <cellStyle name="Normal 6 2 2 8 3 8" xfId="41266" xr:uid="{F865822B-17A1-4342-999F-02BBF06FE24E}"/>
    <cellStyle name="Normal 6 2 2 8 4" xfId="5716" xr:uid="{00000000-0005-0000-0000-000003220000}"/>
    <cellStyle name="Normal 6 2 2 8 4 2" xfId="41274" xr:uid="{621DFC19-784C-4F25-8B73-C763AD1C73FB}"/>
    <cellStyle name="Normal 6 2 2 8 5" xfId="6643" xr:uid="{00000000-0005-0000-0000-000004220000}"/>
    <cellStyle name="Normal 6 2 2 8 5 2" xfId="15076" xr:uid="{00000000-0005-0000-0000-000005220000}"/>
    <cellStyle name="Normal 6 2 2 8 5 2 2" xfId="26970" xr:uid="{EBF0C16F-6289-4E18-A971-CCA330FD68E7}"/>
    <cellStyle name="Normal 6 2 2 8 5 2 3" xfId="21310" xr:uid="{EAF7A423-33D1-4206-B328-32213D4544D5}"/>
    <cellStyle name="Normal 6 2 2 8 5 2 4" xfId="32350" xr:uid="{FAD134CB-EE34-4C7B-89A3-CBCBDD3161CB}"/>
    <cellStyle name="Normal 6 2 2 8 5 2 5" xfId="41276" xr:uid="{ABE586E9-F644-4E6F-8534-D7400C804D88}"/>
    <cellStyle name="Normal 6 2 2 8 5 3" xfId="24137" xr:uid="{4850F128-366F-4FE1-BC75-6B243360B392}"/>
    <cellStyle name="Normal 6 2 2 8 5 4" xfId="18477" xr:uid="{AB10A9DF-39C2-4B65-B1C2-DDECBF12FD9B}"/>
    <cellStyle name="Normal 6 2 2 8 5 5" xfId="29798" xr:uid="{526D60FC-F538-49E5-857B-FBD940DBEDA6}"/>
    <cellStyle name="Normal 6 2 2 8 5 6" xfId="41275" xr:uid="{C1EE2FDA-4CCE-4C2E-AEE8-AB92A2D4DB34}"/>
    <cellStyle name="Normal 6 2 2 8 6" xfId="8126" xr:uid="{00000000-0005-0000-0000-000006220000}"/>
    <cellStyle name="Normal 6 2 2 8 6 2" xfId="25602" xr:uid="{75689F4F-16DB-46AD-99ED-DD89E5F73C32}"/>
    <cellStyle name="Normal 6 2 2 8 6 3" xfId="19942" xr:uid="{7746AAD0-4EEC-4782-BB0F-02E7953B69E6}"/>
    <cellStyle name="Normal 6 2 2 8 6 4" xfId="31263" xr:uid="{FB53F933-03A3-4CB7-8623-2157AE4A39EC}"/>
    <cellStyle name="Normal 6 2 2 8 6 5" xfId="41277" xr:uid="{B6287BC7-3FB8-4754-B417-78DD13C916AA}"/>
    <cellStyle name="Normal 6 2 2 8 7" xfId="22575" xr:uid="{F89C9772-EC09-4295-BEE1-A4BD34BB0C6C}"/>
    <cellStyle name="Normal 6 2 2 8 8" xfId="16915" xr:uid="{AA177670-C3EA-41DE-8667-96C37396C296}"/>
    <cellStyle name="Normal 6 2 2 8 9" xfId="28236" xr:uid="{3EBA61AC-9814-44AF-8B23-47305980963E}"/>
    <cellStyle name="Normal 6 2 2 9" xfId="4358" xr:uid="{00000000-0005-0000-0000-000007220000}"/>
    <cellStyle name="Normal 6 2 2 9 10" xfId="41278" xr:uid="{B2542FD0-2F53-4C19-B75A-2AB80C156D6A}"/>
    <cellStyle name="Normal 6 2 2 9 2" xfId="4989" xr:uid="{00000000-0005-0000-0000-000008220000}"/>
    <cellStyle name="Normal 6 2 2 9 2 2" xfId="5408" xr:uid="{00000000-0005-0000-0000-000009220000}"/>
    <cellStyle name="Normal 6 2 2 9 2 2 2" xfId="7271" xr:uid="{00000000-0005-0000-0000-00000A220000}"/>
    <cellStyle name="Normal 6 2 2 9 2 2 2 2" xfId="15704" xr:uid="{00000000-0005-0000-0000-00000B220000}"/>
    <cellStyle name="Normal 6 2 2 9 2 2 2 2 2" xfId="27598" xr:uid="{67C457A3-F18A-4723-9069-C87058740A32}"/>
    <cellStyle name="Normal 6 2 2 9 2 2 2 2 3" xfId="21938" xr:uid="{2AC10DB1-00A1-45E9-9AD1-EF302E22AEB4}"/>
    <cellStyle name="Normal 6 2 2 9 2 2 2 2 4" xfId="32978" xr:uid="{7A04A4EA-D2D9-434B-93B8-60872B842FE9}"/>
    <cellStyle name="Normal 6 2 2 9 2 2 2 2 5" xfId="41282" xr:uid="{69A5F237-9C40-4873-BB36-6B86A89290C0}"/>
    <cellStyle name="Normal 6 2 2 9 2 2 2 3" xfId="24765" xr:uid="{8918B883-87B9-4630-839B-A2D0BCBD9115}"/>
    <cellStyle name="Normal 6 2 2 9 2 2 2 4" xfId="19105" xr:uid="{3E60D4C4-B943-4A16-B399-CA7B09B54460}"/>
    <cellStyle name="Normal 6 2 2 9 2 2 2 5" xfId="30426" xr:uid="{88F98867-A498-4AF5-BB0D-E612039868F6}"/>
    <cellStyle name="Normal 6 2 2 9 2 2 2 6" xfId="41281" xr:uid="{532769C6-820E-4E02-B93B-D42C0D32F215}"/>
    <cellStyle name="Normal 6 2 2 9 2 2 3" xfId="14294" xr:uid="{00000000-0005-0000-0000-00000C220000}"/>
    <cellStyle name="Normal 6 2 2 9 2 2 3 2" xfId="26333" xr:uid="{B0F67AF0-7FD7-4A97-8B7A-C0F094B3F54D}"/>
    <cellStyle name="Normal 6 2 2 9 2 2 3 3" xfId="20673" xr:uid="{6A39D809-7A91-4E89-8FA2-1847A370C81B}"/>
    <cellStyle name="Normal 6 2 2 9 2 2 3 4" xfId="31713" xr:uid="{E4B35B3A-D5FD-437E-B074-2A747EC8D4AD}"/>
    <cellStyle name="Normal 6 2 2 9 2 2 3 5" xfId="41283" xr:uid="{566FF819-1D1B-46B6-8E9C-1A74C82DFA96}"/>
    <cellStyle name="Normal 6 2 2 9 2 2 4" xfId="23203" xr:uid="{DEF680C9-D060-4214-8FB9-253ABE664B59}"/>
    <cellStyle name="Normal 6 2 2 9 2 2 5" xfId="17543" xr:uid="{879C96D0-320A-4222-A96C-A8B59CD2C7F8}"/>
    <cellStyle name="Normal 6 2 2 9 2 2 6" xfId="28864" xr:uid="{49C8109D-867C-47C4-86C9-F7A4C47FC238}"/>
    <cellStyle name="Normal 6 2 2 9 2 2 7" xfId="41280" xr:uid="{D7FDC0CF-921C-4A07-84CC-8A04069B8304}"/>
    <cellStyle name="Normal 6 2 2 9 2 3" xfId="6358" xr:uid="{00000000-0005-0000-0000-00000D220000}"/>
    <cellStyle name="Normal 6 2 2 9 2 3 2" xfId="7679" xr:uid="{00000000-0005-0000-0000-00000E220000}"/>
    <cellStyle name="Normal 6 2 2 9 2 3 2 2" xfId="16112" xr:uid="{00000000-0005-0000-0000-00000F220000}"/>
    <cellStyle name="Normal 6 2 2 9 2 3 2 2 2" xfId="28006" xr:uid="{2A14F280-FD3D-4AB8-9D7D-09A7C1362C8F}"/>
    <cellStyle name="Normal 6 2 2 9 2 3 2 2 3" xfId="22346" xr:uid="{F685F3D6-AA83-4BDA-928F-919117DE2B3D}"/>
    <cellStyle name="Normal 6 2 2 9 2 3 2 2 4" xfId="33386" xr:uid="{A6A579FC-561D-4060-A849-892C57A5B70D}"/>
    <cellStyle name="Normal 6 2 2 9 2 3 2 2 5" xfId="41286" xr:uid="{50B3E20E-6D91-45C6-9D45-DF1C1296434F}"/>
    <cellStyle name="Normal 6 2 2 9 2 3 2 3" xfId="25173" xr:uid="{C6A035F7-A196-4583-9569-8D5E3ACA1B22}"/>
    <cellStyle name="Normal 6 2 2 9 2 3 2 4" xfId="19513" xr:uid="{58D48BAF-4302-4A15-94F6-1709E63B56FD}"/>
    <cellStyle name="Normal 6 2 2 9 2 3 2 5" xfId="30834" xr:uid="{3D4E5FEB-025B-43B7-A259-3FC083AF57A0}"/>
    <cellStyle name="Normal 6 2 2 9 2 3 2 6" xfId="41285" xr:uid="{9D757A0C-3EDA-44A2-A17B-6D0DFF52792F}"/>
    <cellStyle name="Normal 6 2 2 9 2 3 3" xfId="14795" xr:uid="{00000000-0005-0000-0000-000010220000}"/>
    <cellStyle name="Normal 6 2 2 9 2 3 3 2" xfId="26750" xr:uid="{492929AE-1949-4302-A246-14C9FB57E572}"/>
    <cellStyle name="Normal 6 2 2 9 2 3 3 3" xfId="21090" xr:uid="{F47F7E99-24BE-4B50-99B1-99B6F97899DF}"/>
    <cellStyle name="Normal 6 2 2 9 2 3 3 4" xfId="32130" xr:uid="{C7F7101B-AC22-4EAD-804F-8C0E85F7C66C}"/>
    <cellStyle name="Normal 6 2 2 9 2 3 3 5" xfId="41287" xr:uid="{ED0213CB-F3A0-437C-BAF0-543C050575E3}"/>
    <cellStyle name="Normal 6 2 2 9 2 3 4" xfId="23917" xr:uid="{B91CAD57-2486-4637-9CCC-6293B60B26B9}"/>
    <cellStyle name="Normal 6 2 2 9 2 3 5" xfId="18257" xr:uid="{3577C5A1-6E40-448C-858A-191658ADCF4F}"/>
    <cellStyle name="Normal 6 2 2 9 2 3 6" xfId="29578" xr:uid="{499B5B37-8EC7-46D9-892A-88C0D33A67C7}"/>
    <cellStyle name="Normal 6 2 2 9 2 3 7" xfId="41284" xr:uid="{2F4AA381-B2F8-4DF2-A57C-0165227E99EB}"/>
    <cellStyle name="Normal 6 2 2 9 2 4" xfId="6853" xr:uid="{00000000-0005-0000-0000-000011220000}"/>
    <cellStyle name="Normal 6 2 2 9 2 4 2" xfId="15286" xr:uid="{00000000-0005-0000-0000-000012220000}"/>
    <cellStyle name="Normal 6 2 2 9 2 4 2 2" xfId="27180" xr:uid="{1F01D949-97DD-41F2-92B2-B43FD20137B9}"/>
    <cellStyle name="Normal 6 2 2 9 2 4 2 3" xfId="21520" xr:uid="{F0AFA8D7-1A9B-4F6F-BCDA-8274C5E4F593}"/>
    <cellStyle name="Normal 6 2 2 9 2 4 2 4" xfId="32560" xr:uid="{9218D501-7935-4309-AF98-7EA76055406D}"/>
    <cellStyle name="Normal 6 2 2 9 2 4 2 5" xfId="41289" xr:uid="{19EEE74B-0932-4B7E-A9AA-80C9E5BF2DAE}"/>
    <cellStyle name="Normal 6 2 2 9 2 4 3" xfId="24347" xr:uid="{793471D3-1E5F-4B6E-A520-E494E2A53135}"/>
    <cellStyle name="Normal 6 2 2 9 2 4 4" xfId="18687" xr:uid="{1A52B792-F923-4BFE-9158-83D21ED94E19}"/>
    <cellStyle name="Normal 6 2 2 9 2 4 5" xfId="30008" xr:uid="{450BDE66-93CE-46DC-807A-B74952AD2197}"/>
    <cellStyle name="Normal 6 2 2 9 2 4 6" xfId="41288" xr:uid="{7C3CE5B8-A24E-4B17-812A-C9004B2F156C}"/>
    <cellStyle name="Normal 6 2 2 9 2 5" xfId="8129" xr:uid="{00000000-0005-0000-0000-000013220000}"/>
    <cellStyle name="Normal 6 2 2 9 2 5 2" xfId="25605" xr:uid="{E04D841E-70CD-46D6-8367-6CFA0DB073F0}"/>
    <cellStyle name="Normal 6 2 2 9 2 5 3" xfId="19945" xr:uid="{CBF2A4FD-7A19-4E8D-AB24-F3DF014DFDBD}"/>
    <cellStyle name="Normal 6 2 2 9 2 5 4" xfId="31266" xr:uid="{5DCC5669-688F-4FC1-9A6C-109285E50B74}"/>
    <cellStyle name="Normal 6 2 2 9 2 5 5" xfId="41290" xr:uid="{44C70CA6-23BD-46C8-A842-C3FE777129D8}"/>
    <cellStyle name="Normal 6 2 2 9 2 6" xfId="22785" xr:uid="{89BCEA50-8F30-4B1A-9A67-BC056ACA467C}"/>
    <cellStyle name="Normal 6 2 2 9 2 7" xfId="17125" xr:uid="{DBD76A88-C5FE-4DF6-9898-518DF5F3723B}"/>
    <cellStyle name="Normal 6 2 2 9 2 8" xfId="28446" xr:uid="{F1B11529-AAB6-481E-A03F-EFED3F52723C}"/>
    <cellStyle name="Normal 6 2 2 9 2 9" xfId="41279" xr:uid="{FB919DA8-30E8-4FD4-8400-A110BC0086EA}"/>
    <cellStyle name="Normal 6 2 2 9 3" xfId="5199" xr:uid="{00000000-0005-0000-0000-000014220000}"/>
    <cellStyle name="Normal 6 2 2 9 3 2" xfId="6357" xr:uid="{00000000-0005-0000-0000-000015220000}"/>
    <cellStyle name="Normal 6 2 2 9 3 2 2" xfId="7678" xr:uid="{00000000-0005-0000-0000-000016220000}"/>
    <cellStyle name="Normal 6 2 2 9 3 2 2 2" xfId="16111" xr:uid="{00000000-0005-0000-0000-000017220000}"/>
    <cellStyle name="Normal 6 2 2 9 3 2 2 2 2" xfId="28005" xr:uid="{6C071B37-676B-4963-96EC-58A72E9AE4CD}"/>
    <cellStyle name="Normal 6 2 2 9 3 2 2 2 3" xfId="22345" xr:uid="{281B12BE-6ACC-4193-B25E-5339A78AFDD6}"/>
    <cellStyle name="Normal 6 2 2 9 3 2 2 2 4" xfId="33385" xr:uid="{E086D06A-9B63-40A0-9734-07B44D609BBB}"/>
    <cellStyle name="Normal 6 2 2 9 3 2 2 2 5" xfId="41294" xr:uid="{EA8AE3CE-1231-4854-8CD5-1123CEB2EC47}"/>
    <cellStyle name="Normal 6 2 2 9 3 2 2 3" xfId="25172" xr:uid="{9372F9B7-48A0-4BB8-837A-58D1FAC1E48F}"/>
    <cellStyle name="Normal 6 2 2 9 3 2 2 4" xfId="19512" xr:uid="{0FBA905C-EABA-49A6-A9F2-23954FC4C553}"/>
    <cellStyle name="Normal 6 2 2 9 3 2 2 5" xfId="30833" xr:uid="{5F7EB968-058A-4BA4-B852-F5673998640A}"/>
    <cellStyle name="Normal 6 2 2 9 3 2 2 6" xfId="41293" xr:uid="{5002FD61-35F9-42F5-8437-15B7F5CBD1C7}"/>
    <cellStyle name="Normal 6 2 2 9 3 2 3" xfId="14794" xr:uid="{00000000-0005-0000-0000-000018220000}"/>
    <cellStyle name="Normal 6 2 2 9 3 2 3 2" xfId="26749" xr:uid="{B5C51105-CB7C-4938-87B5-70822B3BCA77}"/>
    <cellStyle name="Normal 6 2 2 9 3 2 3 3" xfId="21089" xr:uid="{61862896-42AA-4BD0-8C64-4D79863D8E3C}"/>
    <cellStyle name="Normal 6 2 2 9 3 2 3 4" xfId="32129" xr:uid="{483C1B1C-B89B-44BE-A5D1-14045193A9FD}"/>
    <cellStyle name="Normal 6 2 2 9 3 2 3 5" xfId="41295" xr:uid="{D6E71AB0-DE9E-4C9C-900C-C9143D0C94DE}"/>
    <cellStyle name="Normal 6 2 2 9 3 2 4" xfId="23916" xr:uid="{E75456F9-6EE0-4453-9BE1-4BE265263DDF}"/>
    <cellStyle name="Normal 6 2 2 9 3 2 5" xfId="18256" xr:uid="{FCA4479E-C07A-4FDA-B256-9C1DE64B9323}"/>
    <cellStyle name="Normal 6 2 2 9 3 2 6" xfId="29577" xr:uid="{13422DDC-4F69-4037-825D-10244D281B94}"/>
    <cellStyle name="Normal 6 2 2 9 3 2 7" xfId="41292" xr:uid="{9CC0F6A8-E39D-4473-8088-36DE08FDE78E}"/>
    <cellStyle name="Normal 6 2 2 9 3 3" xfId="7062" xr:uid="{00000000-0005-0000-0000-000019220000}"/>
    <cellStyle name="Normal 6 2 2 9 3 3 2" xfId="15495" xr:uid="{00000000-0005-0000-0000-00001A220000}"/>
    <cellStyle name="Normal 6 2 2 9 3 3 2 2" xfId="27389" xr:uid="{A4AD50A5-B2A1-43F0-83B7-43F3C5ECF38D}"/>
    <cellStyle name="Normal 6 2 2 9 3 3 2 3" xfId="21729" xr:uid="{07FCAFBC-12AE-4EB0-8CF2-D24A8E83526A}"/>
    <cellStyle name="Normal 6 2 2 9 3 3 2 4" xfId="32769" xr:uid="{4935C1AB-3212-4A57-90F5-ECC6F95522DA}"/>
    <cellStyle name="Normal 6 2 2 9 3 3 2 5" xfId="41297" xr:uid="{6D101808-771B-476D-AC1C-644C5984D717}"/>
    <cellStyle name="Normal 6 2 2 9 3 3 3" xfId="24556" xr:uid="{A22BF4F5-9513-4DFE-A1B3-49D9A134AD27}"/>
    <cellStyle name="Normal 6 2 2 9 3 3 4" xfId="18896" xr:uid="{6B644F96-A7B5-4C51-A977-4FC716A03889}"/>
    <cellStyle name="Normal 6 2 2 9 3 3 5" xfId="30217" xr:uid="{179B1A9B-41BB-4F79-9849-B903B2325285}"/>
    <cellStyle name="Normal 6 2 2 9 3 3 6" xfId="41296" xr:uid="{8CAB8F78-5499-4ED4-B4FE-0501F1942C0B}"/>
    <cellStyle name="Normal 6 2 2 9 3 4" xfId="14086" xr:uid="{00000000-0005-0000-0000-00001B220000}"/>
    <cellStyle name="Normal 6 2 2 9 3 4 2" xfId="26125" xr:uid="{C2914B7D-556F-4B59-ACC3-5758C32F6991}"/>
    <cellStyle name="Normal 6 2 2 9 3 4 3" xfId="20465" xr:uid="{82D79245-8369-47A8-9D73-0236D5C7703F}"/>
    <cellStyle name="Normal 6 2 2 9 3 4 4" xfId="31505" xr:uid="{013DED65-3CF5-45BC-BF67-4BB2015AADA0}"/>
    <cellStyle name="Normal 6 2 2 9 3 4 5" xfId="41298" xr:uid="{29F38D7C-9CC8-40DA-B0FD-BAF61985CD3E}"/>
    <cellStyle name="Normal 6 2 2 9 3 5" xfId="22994" xr:uid="{6156B550-1A6C-4855-9CCC-57EBA619CCEC}"/>
    <cellStyle name="Normal 6 2 2 9 3 6" xfId="17334" xr:uid="{06709E07-EC14-4AD3-B5D1-80B9240AA49E}"/>
    <cellStyle name="Normal 6 2 2 9 3 7" xfId="28655" xr:uid="{0F776D29-9250-40F9-B084-AD96B6F43820}"/>
    <cellStyle name="Normal 6 2 2 9 3 8" xfId="41291" xr:uid="{0D03163F-16CD-443E-9C78-AE79AAF5FC02}"/>
    <cellStyle name="Normal 6 2 2 9 4" xfId="5717" xr:uid="{00000000-0005-0000-0000-00001C220000}"/>
    <cellStyle name="Normal 6 2 2 9 4 2" xfId="41299" xr:uid="{614D512B-3833-45BC-BDD7-CC6270432028}"/>
    <cellStyle name="Normal 6 2 2 9 5" xfId="6644" xr:uid="{00000000-0005-0000-0000-00001D220000}"/>
    <cellStyle name="Normal 6 2 2 9 5 2" xfId="15077" xr:uid="{00000000-0005-0000-0000-00001E220000}"/>
    <cellStyle name="Normal 6 2 2 9 5 2 2" xfId="26971" xr:uid="{DC46FD71-A251-45EC-B755-F14F4839A7BE}"/>
    <cellStyle name="Normal 6 2 2 9 5 2 3" xfId="21311" xr:uid="{2E9F82AB-7005-4230-9D72-CE7881FF0616}"/>
    <cellStyle name="Normal 6 2 2 9 5 2 4" xfId="32351" xr:uid="{6BC43015-4CD5-4473-9D11-DA8D154B93FA}"/>
    <cellStyle name="Normal 6 2 2 9 5 2 5" xfId="41301" xr:uid="{E0C3011E-AA76-4494-A867-BF2807B441C9}"/>
    <cellStyle name="Normal 6 2 2 9 5 3" xfId="24138" xr:uid="{222352D7-07E1-46DE-85BF-F81A7DB50818}"/>
    <cellStyle name="Normal 6 2 2 9 5 4" xfId="18478" xr:uid="{C969B9D8-9BC8-403F-8328-A14F3D67BAF3}"/>
    <cellStyle name="Normal 6 2 2 9 5 5" xfId="29799" xr:uid="{4B7D0C26-9630-46C2-8B24-BE88E26176E2}"/>
    <cellStyle name="Normal 6 2 2 9 5 6" xfId="41300" xr:uid="{375C05DF-6B10-4418-8706-02B6C3B7518D}"/>
    <cellStyle name="Normal 6 2 2 9 6" xfId="8128" xr:uid="{00000000-0005-0000-0000-00001F220000}"/>
    <cellStyle name="Normal 6 2 2 9 6 2" xfId="25604" xr:uid="{1049B454-37E3-449D-8415-5647BF4178F5}"/>
    <cellStyle name="Normal 6 2 2 9 6 3" xfId="19944" xr:uid="{F147AE79-290D-4798-9561-2928383398CA}"/>
    <cellStyle name="Normal 6 2 2 9 6 4" xfId="31265" xr:uid="{F191E4DC-96AF-4BA1-892A-C69A72A958A0}"/>
    <cellStyle name="Normal 6 2 2 9 6 5" xfId="41302" xr:uid="{9F4B3575-9A6B-4080-BB1E-3B520E6D0246}"/>
    <cellStyle name="Normal 6 2 2 9 7" xfId="22576" xr:uid="{B483D282-9291-4480-9F53-F95E59E979B7}"/>
    <cellStyle name="Normal 6 2 2 9 8" xfId="16916" xr:uid="{9625D17F-7AC9-41E5-9276-4DF1DCE09C40}"/>
    <cellStyle name="Normal 6 2 2 9 9" xfId="28237" xr:uid="{C9EE9034-39D8-4C73-B8E9-62BD2E1AF01A}"/>
    <cellStyle name="Normal 6 2 3" xfId="181" xr:uid="{00000000-0005-0000-0000-000020220000}"/>
    <cellStyle name="Normal 6 2 3 2" xfId="41304" xr:uid="{2EFDFF78-4F0C-43BE-A199-B5BC518A1BAE}"/>
    <cellStyle name="Normal 6 2 3 2 2" xfId="41305" xr:uid="{D0DC4057-C2D2-47B4-B891-CB9C8073EA95}"/>
    <cellStyle name="Normal 6 2 3 3" xfId="41306" xr:uid="{AA635E65-3A78-482F-911F-11EEFE97054D}"/>
    <cellStyle name="Normal 6 2 3 4" xfId="41307" xr:uid="{7CCD7908-9406-47FD-B4D1-C111ED2A3F08}"/>
    <cellStyle name="Normal 6 2 3 5" xfId="41303" xr:uid="{3478790B-50DF-48B6-AFCA-D0407F43E56F}"/>
    <cellStyle name="Normal 6 2 4" xfId="323" xr:uid="{00000000-0005-0000-0000-000021220000}"/>
    <cellStyle name="Normal 6 2 4 2" xfId="2264" xr:uid="{00000000-0005-0000-0000-000022220000}"/>
    <cellStyle name="Normal 6 2 4 2 2" xfId="41310" xr:uid="{3680BFC5-7679-4558-9D0C-15CF399131BE}"/>
    <cellStyle name="Normal 6 2 4 2 3" xfId="41309" xr:uid="{636FCC3F-429F-42E0-A92E-768EE5EAC2E5}"/>
    <cellStyle name="Normal 6 2 4 3" xfId="41311" xr:uid="{6BD62EE4-ED46-43F5-ADD7-0C6FC6FF5E1C}"/>
    <cellStyle name="Normal 6 2 4 4" xfId="41308" xr:uid="{1716F578-EAB7-4853-9E5D-3E89D918D055}"/>
    <cellStyle name="Normal 6 2 5" xfId="2265" xr:uid="{00000000-0005-0000-0000-000023220000}"/>
    <cellStyle name="Normal 6 2 5 2" xfId="41313" xr:uid="{20E35CCF-419E-4E10-88D0-F7E22B920FE6}"/>
    <cellStyle name="Normal 6 2 5 3" xfId="41314" xr:uid="{CBFAE8CD-CB29-420C-A7B8-D1AFE750018D}"/>
    <cellStyle name="Normal 6 2 5 4" xfId="41312" xr:uid="{E939CDA9-9194-4604-A8D4-909235A5A541}"/>
    <cellStyle name="Normal 6 2 6" xfId="2266" xr:uid="{00000000-0005-0000-0000-000024220000}"/>
    <cellStyle name="Normal 6 2 6 2" xfId="41316" xr:uid="{863B10AA-F411-4A2F-B77A-1808EFEAA964}"/>
    <cellStyle name="Normal 6 2 6 3" xfId="41315" xr:uid="{EA5D64F5-BDEF-4670-B818-D94A88EC61F1}"/>
    <cellStyle name="Normal 6 2 7" xfId="2267" xr:uid="{00000000-0005-0000-0000-000025220000}"/>
    <cellStyle name="Normal 6 2 7 2" xfId="41317" xr:uid="{A6B2A92D-8A05-4364-AB0D-8E9CB6E73F2D}"/>
    <cellStyle name="Normal 6 2 8" xfId="2268" xr:uid="{00000000-0005-0000-0000-000026220000}"/>
    <cellStyle name="Normal 6 2 8 2" xfId="41318" xr:uid="{8D8AE20A-94C7-4C0A-A4C5-B89560BDB616}"/>
    <cellStyle name="Normal 6 2 9" xfId="2269" xr:uid="{00000000-0005-0000-0000-000027220000}"/>
    <cellStyle name="Normal 6 2 9 2" xfId="41319" xr:uid="{E57C9581-48E5-480D-8212-057DC51A2017}"/>
    <cellStyle name="Normal 6 3" xfId="182" xr:uid="{00000000-0005-0000-0000-000028220000}"/>
    <cellStyle name="Normal 6 3 10" xfId="2271" xr:uid="{00000000-0005-0000-0000-000029220000}"/>
    <cellStyle name="Normal 6 3 10 2" xfId="41321" xr:uid="{FE87828C-1BFF-417B-9F1E-985A1072BE14}"/>
    <cellStyle name="Normal 6 3 11" xfId="2272" xr:uid="{00000000-0005-0000-0000-00002A220000}"/>
    <cellStyle name="Normal 6 3 11 2" xfId="41322" xr:uid="{987E4A7A-9D3B-4DED-BBB5-C2CFA5A9CD4D}"/>
    <cellStyle name="Normal 6 3 12" xfId="2273" xr:uid="{00000000-0005-0000-0000-00002B220000}"/>
    <cellStyle name="Normal 6 3 12 2" xfId="41323" xr:uid="{955CB93C-2A0E-46F0-9BFB-B92D51AD128F}"/>
    <cellStyle name="Normal 6 3 13" xfId="2274" xr:uid="{00000000-0005-0000-0000-00002C220000}"/>
    <cellStyle name="Normal 6 3 13 2" xfId="41324" xr:uid="{034365A7-34B2-44E2-9F0F-F8CDFCB04901}"/>
    <cellStyle name="Normal 6 3 14" xfId="2275" xr:uid="{00000000-0005-0000-0000-00002D220000}"/>
    <cellStyle name="Normal 6 3 14 2" xfId="41325" xr:uid="{5BD18582-B181-4833-B007-891DC2EAF661}"/>
    <cellStyle name="Normal 6 3 15" xfId="2276" xr:uid="{00000000-0005-0000-0000-00002E220000}"/>
    <cellStyle name="Normal 6 3 15 2" xfId="41327" xr:uid="{EF12100F-6E67-4DE0-907A-3859ABC49826}"/>
    <cellStyle name="Normal 6 3 15 3" xfId="41328" xr:uid="{67C35704-04C2-4B81-8929-57955B111F38}"/>
    <cellStyle name="Normal 6 3 15 4" xfId="41326" xr:uid="{447AF1C6-800C-4FF5-874D-270FC06AD806}"/>
    <cellStyle name="Normal 6 3 16" xfId="2277" xr:uid="{00000000-0005-0000-0000-00002F220000}"/>
    <cellStyle name="Normal 6 3 16 2" xfId="41330" xr:uid="{1547AA0D-9599-4503-831D-8C869453D09C}"/>
    <cellStyle name="Normal 6 3 16 3" xfId="41329" xr:uid="{96E1A069-2499-463B-98FF-7EB2086ECEFD}"/>
    <cellStyle name="Normal 6 3 17" xfId="2270" xr:uid="{00000000-0005-0000-0000-000030220000}"/>
    <cellStyle name="Normal 6 3 17 10" xfId="41331" xr:uid="{74C2E6BA-6139-443D-8E25-5E48CB5AD36E}"/>
    <cellStyle name="Normal 6 3 17 2" xfId="4875" xr:uid="{00000000-0005-0000-0000-000031220000}"/>
    <cellStyle name="Normal 6 3 17 2 2" xfId="5294" xr:uid="{00000000-0005-0000-0000-000032220000}"/>
    <cellStyle name="Normal 6 3 17 2 2 2" xfId="7157" xr:uid="{00000000-0005-0000-0000-000033220000}"/>
    <cellStyle name="Normal 6 3 17 2 2 2 2" xfId="15590" xr:uid="{00000000-0005-0000-0000-000034220000}"/>
    <cellStyle name="Normal 6 3 17 2 2 2 2 2" xfId="27484" xr:uid="{CCDEC616-76EC-4D3B-9FD6-44AE4C93C92D}"/>
    <cellStyle name="Normal 6 3 17 2 2 2 2 3" xfId="21824" xr:uid="{0041D1C3-908E-4463-BBF6-113E17CF03A7}"/>
    <cellStyle name="Normal 6 3 17 2 2 2 2 4" xfId="32864" xr:uid="{3197AB6E-91F1-4392-983D-B37106DBE881}"/>
    <cellStyle name="Normal 6 3 17 2 2 2 2 5" xfId="41335" xr:uid="{1388249D-57CA-4D25-AB1E-73A3BE2B8F9C}"/>
    <cellStyle name="Normal 6 3 17 2 2 2 3" xfId="24651" xr:uid="{C67CCE8A-EF78-4574-83AD-9C31977D0E1B}"/>
    <cellStyle name="Normal 6 3 17 2 2 2 4" xfId="18991" xr:uid="{D37F348A-9F70-482F-84E5-22CDDAAF2092}"/>
    <cellStyle name="Normal 6 3 17 2 2 2 5" xfId="30312" xr:uid="{8FEFB8AA-BC75-432D-8A5E-3BC8F6C0545E}"/>
    <cellStyle name="Normal 6 3 17 2 2 2 6" xfId="41334" xr:uid="{9D602175-3FBF-4D58-A386-6325CA2DC085}"/>
    <cellStyle name="Normal 6 3 17 2 2 3" xfId="14180" xr:uid="{00000000-0005-0000-0000-000035220000}"/>
    <cellStyle name="Normal 6 3 17 2 2 3 2" xfId="26219" xr:uid="{F75EF938-E533-4BFC-92BC-F7F2E848D422}"/>
    <cellStyle name="Normal 6 3 17 2 2 3 3" xfId="20559" xr:uid="{DAA2DF30-FD8E-407D-8055-292DC78089E7}"/>
    <cellStyle name="Normal 6 3 17 2 2 3 4" xfId="31599" xr:uid="{1C785587-84D1-40AE-A2E9-1106733F5A22}"/>
    <cellStyle name="Normal 6 3 17 2 2 3 5" xfId="41336" xr:uid="{46C49D7D-D803-4211-96E8-99434302415F}"/>
    <cellStyle name="Normal 6 3 17 2 2 4" xfId="23089" xr:uid="{73AE4672-5342-4970-A295-FB55D75F0A76}"/>
    <cellStyle name="Normal 6 3 17 2 2 5" xfId="17429" xr:uid="{D87C3043-5A10-4AF9-B94F-4A13E3901389}"/>
    <cellStyle name="Normal 6 3 17 2 2 6" xfId="28750" xr:uid="{9554F883-38CA-4CF4-B418-84AD4E161B48}"/>
    <cellStyle name="Normal 6 3 17 2 2 7" xfId="41333" xr:uid="{DDD13560-77D0-489C-9D2B-114B888D9885}"/>
    <cellStyle name="Normal 6 3 17 2 3" xfId="6360" xr:uid="{00000000-0005-0000-0000-000036220000}"/>
    <cellStyle name="Normal 6 3 17 2 3 2" xfId="7681" xr:uid="{00000000-0005-0000-0000-000037220000}"/>
    <cellStyle name="Normal 6 3 17 2 3 2 2" xfId="16114" xr:uid="{00000000-0005-0000-0000-000038220000}"/>
    <cellStyle name="Normal 6 3 17 2 3 2 2 2" xfId="28008" xr:uid="{F7606BB7-2812-456D-B67A-37F2041D9A74}"/>
    <cellStyle name="Normal 6 3 17 2 3 2 2 3" xfId="22348" xr:uid="{A14F74D8-03C5-4A0B-9006-0EB6C1E0DC93}"/>
    <cellStyle name="Normal 6 3 17 2 3 2 2 4" xfId="33388" xr:uid="{B0B079F2-2B3B-44BC-8D2C-B41680212BC1}"/>
    <cellStyle name="Normal 6 3 17 2 3 2 2 5" xfId="41339" xr:uid="{77D28F6B-362B-4178-BEDE-CA88E4380171}"/>
    <cellStyle name="Normal 6 3 17 2 3 2 3" xfId="25175" xr:uid="{3F5DAFEB-4070-4FED-872B-114ADC59E1E5}"/>
    <cellStyle name="Normal 6 3 17 2 3 2 4" xfId="19515" xr:uid="{8E281DED-07C0-49D0-A6C6-1AE2633B60A1}"/>
    <cellStyle name="Normal 6 3 17 2 3 2 5" xfId="30836" xr:uid="{9D75DF05-85EE-42F4-9E4A-BAFE46549C85}"/>
    <cellStyle name="Normal 6 3 17 2 3 2 6" xfId="41338" xr:uid="{B417955F-203F-49A5-B687-AA87B6629ED6}"/>
    <cellStyle name="Normal 6 3 17 2 3 3" xfId="14797" xr:uid="{00000000-0005-0000-0000-000039220000}"/>
    <cellStyle name="Normal 6 3 17 2 3 3 2" xfId="26752" xr:uid="{EF9F787D-0A44-4602-81D6-AE9C3E17E91C}"/>
    <cellStyle name="Normal 6 3 17 2 3 3 3" xfId="21092" xr:uid="{370043F5-BBA0-4959-A599-3CA775CD68C7}"/>
    <cellStyle name="Normal 6 3 17 2 3 3 4" xfId="32132" xr:uid="{A6DB9F5D-F8D3-4B52-9CDC-8D8E25D8965A}"/>
    <cellStyle name="Normal 6 3 17 2 3 3 5" xfId="41340" xr:uid="{4994802E-E39D-4D18-AA3F-FC235AB52A64}"/>
    <cellStyle name="Normal 6 3 17 2 3 4" xfId="23919" xr:uid="{BDFBA73B-CA69-4714-BB0D-008DA8F07A65}"/>
    <cellStyle name="Normal 6 3 17 2 3 5" xfId="18259" xr:uid="{1FC215BF-DEBD-47ED-B776-C1356259AD03}"/>
    <cellStyle name="Normal 6 3 17 2 3 6" xfId="29580" xr:uid="{B923865F-4FF6-4C68-8686-8A59417C33F5}"/>
    <cellStyle name="Normal 6 3 17 2 3 7" xfId="41337" xr:uid="{F07E9647-6221-4EBD-BDCE-88CE65C6199F}"/>
    <cellStyle name="Normal 6 3 17 2 4" xfId="6739" xr:uid="{00000000-0005-0000-0000-00003A220000}"/>
    <cellStyle name="Normal 6 3 17 2 4 2" xfId="15172" xr:uid="{00000000-0005-0000-0000-00003B220000}"/>
    <cellStyle name="Normal 6 3 17 2 4 2 2" xfId="27066" xr:uid="{EB2DB628-FD0C-4417-B56F-FB2A1E10A8C7}"/>
    <cellStyle name="Normal 6 3 17 2 4 2 3" xfId="21406" xr:uid="{1A6BC429-FD3E-425C-8DA2-C7A44721D8B0}"/>
    <cellStyle name="Normal 6 3 17 2 4 2 4" xfId="32446" xr:uid="{2F72A9F4-FE31-497D-BF7A-FB0753EC9A22}"/>
    <cellStyle name="Normal 6 3 17 2 4 2 5" xfId="41342" xr:uid="{820F5D41-70E5-4DB4-97A4-5F48A6AC00FC}"/>
    <cellStyle name="Normal 6 3 17 2 4 3" xfId="24233" xr:uid="{678251F0-63A0-4008-A958-ED8F4C5A3D8C}"/>
    <cellStyle name="Normal 6 3 17 2 4 4" xfId="18573" xr:uid="{4DDAF11C-F4AD-48EA-B955-5614C477FE45}"/>
    <cellStyle name="Normal 6 3 17 2 4 5" xfId="29894" xr:uid="{77287641-A339-4C6B-920F-1515C8AA7352}"/>
    <cellStyle name="Normal 6 3 17 2 4 6" xfId="41341" xr:uid="{D7E412AB-BA0B-4833-AB6C-4FC5EEECDBD7}"/>
    <cellStyle name="Normal 6 3 17 2 5" xfId="8131" xr:uid="{00000000-0005-0000-0000-00003C220000}"/>
    <cellStyle name="Normal 6 3 17 2 5 2" xfId="25607" xr:uid="{18CB4196-38DB-414A-B7C4-198F2B102FEA}"/>
    <cellStyle name="Normal 6 3 17 2 5 3" xfId="19947" xr:uid="{21FA1E28-7313-4C2C-BEA7-FAA8A90A28EB}"/>
    <cellStyle name="Normal 6 3 17 2 5 4" xfId="31268" xr:uid="{16F40EDE-C46B-4672-983B-EB465D8B8369}"/>
    <cellStyle name="Normal 6 3 17 2 5 5" xfId="41343" xr:uid="{E805E5F2-D52C-440A-90E7-0DA5963E0464}"/>
    <cellStyle name="Normal 6 3 17 2 6" xfId="22671" xr:uid="{9A940691-D7F6-41F3-BCA1-64F660758975}"/>
    <cellStyle name="Normal 6 3 17 2 7" xfId="17011" xr:uid="{BBE54935-3E3F-45F2-BCB1-5FBC883B75A3}"/>
    <cellStyle name="Normal 6 3 17 2 8" xfId="28332" xr:uid="{B667CB8E-999A-4A1E-B1F0-A7C1678DCEFD}"/>
    <cellStyle name="Normal 6 3 17 2 9" xfId="41332" xr:uid="{11A0DF28-3B7B-4FCD-A79E-9B1834D1B1A4}"/>
    <cellStyle name="Normal 6 3 17 3" xfId="5085" xr:uid="{00000000-0005-0000-0000-00003D220000}"/>
    <cellStyle name="Normal 6 3 17 3 2" xfId="6948" xr:uid="{00000000-0005-0000-0000-00003E220000}"/>
    <cellStyle name="Normal 6 3 17 3 2 2" xfId="15381" xr:uid="{00000000-0005-0000-0000-00003F220000}"/>
    <cellStyle name="Normal 6 3 17 3 2 2 2" xfId="27275" xr:uid="{31492124-1130-44C1-8858-82AD9C6AE6FC}"/>
    <cellStyle name="Normal 6 3 17 3 2 2 3" xfId="21615" xr:uid="{64AD2F2F-BEF8-4E70-A913-A3FCD97C6EF7}"/>
    <cellStyle name="Normal 6 3 17 3 2 2 4" xfId="32655" xr:uid="{9BAFB7DB-B507-4407-A954-E4AB917C2F64}"/>
    <cellStyle name="Normal 6 3 17 3 2 2 5" xfId="41346" xr:uid="{0C8DF7F5-7F25-40D9-883D-0DB19EADA5CF}"/>
    <cellStyle name="Normal 6 3 17 3 2 3" xfId="24442" xr:uid="{872C7DED-BC94-4D9D-B4F8-0AEB8E4A6848}"/>
    <cellStyle name="Normal 6 3 17 3 2 4" xfId="18782" xr:uid="{0B777597-9839-4E9D-AB8B-60B208BFF5B6}"/>
    <cellStyle name="Normal 6 3 17 3 2 5" xfId="30103" xr:uid="{F86ADA93-C2CC-4BE8-9A4F-CC16F02CE304}"/>
    <cellStyle name="Normal 6 3 17 3 2 6" xfId="41345" xr:uid="{48981766-A8AC-4E09-BB00-EBE6835D6B31}"/>
    <cellStyle name="Normal 6 3 17 3 3" xfId="13973" xr:uid="{00000000-0005-0000-0000-000040220000}"/>
    <cellStyle name="Normal 6 3 17 3 3 2" xfId="26013" xr:uid="{FF33C4CD-DD65-4781-A1DC-B1B05675BFE7}"/>
    <cellStyle name="Normal 6 3 17 3 3 3" xfId="20353" xr:uid="{14B8F10E-8659-4DC6-BDD1-B477170832E1}"/>
    <cellStyle name="Normal 6 3 17 3 3 4" xfId="31393" xr:uid="{2AD33CC7-7FA5-473E-8752-9EF2FB9C5030}"/>
    <cellStyle name="Normal 6 3 17 3 3 5" xfId="41347" xr:uid="{842B4EF6-6F3D-4D48-934E-FDF82CF7982A}"/>
    <cellStyle name="Normal 6 3 17 3 4" xfId="22880" xr:uid="{6F0E0CE8-A300-440E-9E71-AF9D25A2A0CC}"/>
    <cellStyle name="Normal 6 3 17 3 5" xfId="17220" xr:uid="{98B86FEA-F5D8-4952-90ED-A5A3A0AF25DA}"/>
    <cellStyle name="Normal 6 3 17 3 6" xfId="28541" xr:uid="{E213DD34-5B98-49BA-8E16-FDAE402F3B72}"/>
    <cellStyle name="Normal 6 3 17 3 7" xfId="41344" xr:uid="{6702BF74-E8A3-4349-ACA0-E5E3CAE4EC11}"/>
    <cellStyle name="Normal 6 3 17 4" xfId="6359" xr:uid="{00000000-0005-0000-0000-000041220000}"/>
    <cellStyle name="Normal 6 3 17 4 2" xfId="7680" xr:uid="{00000000-0005-0000-0000-000042220000}"/>
    <cellStyle name="Normal 6 3 17 4 2 2" xfId="16113" xr:uid="{00000000-0005-0000-0000-000043220000}"/>
    <cellStyle name="Normal 6 3 17 4 2 2 2" xfId="28007" xr:uid="{24C0059E-11BF-4D44-A6BD-EAC35F4DBA93}"/>
    <cellStyle name="Normal 6 3 17 4 2 2 3" xfId="22347" xr:uid="{02EB67C6-F8A2-4D40-8C19-A531E383A128}"/>
    <cellStyle name="Normal 6 3 17 4 2 2 4" xfId="33387" xr:uid="{8CFCD5FF-D98E-42D5-982D-04CFCCFFFAC1}"/>
    <cellStyle name="Normal 6 3 17 4 2 2 5" xfId="41350" xr:uid="{17BAC4D2-3D63-434D-96EC-A3968A655BBA}"/>
    <cellStyle name="Normal 6 3 17 4 2 3" xfId="25174" xr:uid="{46486369-0521-4F9A-B71F-15B1C647BAA8}"/>
    <cellStyle name="Normal 6 3 17 4 2 4" xfId="19514" xr:uid="{94FA463E-D06B-4320-A4F1-92E9834A9A3E}"/>
    <cellStyle name="Normal 6 3 17 4 2 5" xfId="30835" xr:uid="{AD18CA75-B646-4513-9971-2B18367EEA87}"/>
    <cellStyle name="Normal 6 3 17 4 2 6" xfId="41349" xr:uid="{F2E04346-E4F7-4233-A123-AF6785F7D936}"/>
    <cellStyle name="Normal 6 3 17 4 3" xfId="14796" xr:uid="{00000000-0005-0000-0000-000044220000}"/>
    <cellStyle name="Normal 6 3 17 4 3 2" xfId="26751" xr:uid="{F874AB31-D66A-450F-9D37-492CF74C13FC}"/>
    <cellStyle name="Normal 6 3 17 4 3 3" xfId="21091" xr:uid="{53708540-BCE7-4CAB-A866-405CF01E51F2}"/>
    <cellStyle name="Normal 6 3 17 4 3 4" xfId="32131" xr:uid="{CE1F5CC3-4B20-4F62-8951-410B5D531C65}"/>
    <cellStyle name="Normal 6 3 17 4 3 5" xfId="41351" xr:uid="{45210D3C-2DA3-4E27-BA6A-8A2699CB1935}"/>
    <cellStyle name="Normal 6 3 17 4 4" xfId="23918" xr:uid="{1421B1B8-7B25-4F6E-8EF2-A1F1A84D6BEB}"/>
    <cellStyle name="Normal 6 3 17 4 5" xfId="18258" xr:uid="{B1E1DE8D-131C-4B88-B941-BE031C9289B8}"/>
    <cellStyle name="Normal 6 3 17 4 6" xfId="29579" xr:uid="{F46B03AB-1D8B-4A13-AE48-6642197D06BE}"/>
    <cellStyle name="Normal 6 3 17 4 7" xfId="41348" xr:uid="{07A58D62-C6A6-4C61-A0F6-4B0328BB2758}"/>
    <cellStyle name="Normal 6 3 17 5" xfId="6530" xr:uid="{00000000-0005-0000-0000-000045220000}"/>
    <cellStyle name="Normal 6 3 17 5 2" xfId="14963" xr:uid="{00000000-0005-0000-0000-000046220000}"/>
    <cellStyle name="Normal 6 3 17 5 2 2" xfId="26857" xr:uid="{C748343D-1C34-4668-A33A-A33CAA2E783E}"/>
    <cellStyle name="Normal 6 3 17 5 2 3" xfId="21197" xr:uid="{D6E0697E-81A0-44AE-BE87-BD30D2450AAC}"/>
    <cellStyle name="Normal 6 3 17 5 2 4" xfId="32237" xr:uid="{8B42E4E5-A828-4852-BFAC-495C1817208C}"/>
    <cellStyle name="Normal 6 3 17 5 2 5" xfId="41353" xr:uid="{91466FB0-CC75-439F-98B8-480143E64DB1}"/>
    <cellStyle name="Normal 6 3 17 5 3" xfId="24024" xr:uid="{43E773C8-1172-4E2B-9D8E-A360CEB0F182}"/>
    <cellStyle name="Normal 6 3 17 5 4" xfId="18364" xr:uid="{43CE20EA-5EF6-43AD-9B97-8FC20C21D78B}"/>
    <cellStyle name="Normal 6 3 17 5 5" xfId="29685" xr:uid="{3743379F-4EC5-4E88-8D6F-66FA22011F53}"/>
    <cellStyle name="Normal 6 3 17 5 6" xfId="41352" xr:uid="{5896C6A1-CDE8-459A-A504-ECCD6ECA5C5D}"/>
    <cellStyle name="Normal 6 3 17 6" xfId="8130" xr:uid="{00000000-0005-0000-0000-000047220000}"/>
    <cellStyle name="Normal 6 3 17 6 2" xfId="25606" xr:uid="{A7ABC4BB-0715-4038-9A0F-22028B586105}"/>
    <cellStyle name="Normal 6 3 17 6 3" xfId="19946" xr:uid="{50E2E254-C218-4D3C-B048-6AD23CE1B58D}"/>
    <cellStyle name="Normal 6 3 17 6 4" xfId="31267" xr:uid="{CF1D8127-00E5-49A5-9687-BC4DD3E20E70}"/>
    <cellStyle name="Normal 6 3 17 6 5" xfId="41354" xr:uid="{9A9BE0C3-1EBD-4B3F-A972-C4E4514F4666}"/>
    <cellStyle name="Normal 6 3 17 7" xfId="22462" xr:uid="{3247A842-C4CB-44B7-AF25-A9D9D6EE9023}"/>
    <cellStyle name="Normal 6 3 17 8" xfId="16802" xr:uid="{C6715C6D-0AC8-4A02-995A-1C17FBBA849B}"/>
    <cellStyle name="Normal 6 3 17 9" xfId="28123" xr:uid="{4DC39F70-9479-426C-ADA9-BB4374C284A9}"/>
    <cellStyle name="Normal 6 3 18" xfId="5803" xr:uid="{00000000-0005-0000-0000-000048220000}"/>
    <cellStyle name="Normal 6 3 18 2" xfId="41355" xr:uid="{2EA4A1D0-30CB-4C8F-9A0B-603D5998335E}"/>
    <cellStyle name="Normal 6 3 19" xfId="41320" xr:uid="{B2AE76E2-13AA-4BE2-932E-B9420A34C337}"/>
    <cellStyle name="Normal 6 3 2" xfId="2278" xr:uid="{00000000-0005-0000-0000-000049220000}"/>
    <cellStyle name="Normal 6 3 2 2" xfId="41357" xr:uid="{256F2AD1-2EE5-41BA-A3B2-8BB53B18EBED}"/>
    <cellStyle name="Normal 6 3 2 2 2" xfId="41358" xr:uid="{226D8309-0955-4022-91CE-379756A56BAF}"/>
    <cellStyle name="Normal 6 3 2 2 2 2" xfId="41359" xr:uid="{28091CED-BAA3-4F1A-B72C-1E64409F40D1}"/>
    <cellStyle name="Normal 6 3 2 2 3" xfId="41360" xr:uid="{55382764-E39A-48A4-A927-361EA1967784}"/>
    <cellStyle name="Normal 6 3 2 3" xfId="41361" xr:uid="{75EA3448-13B6-4C6D-9CF6-4954AEB7C2BE}"/>
    <cellStyle name="Normal 6 3 2 3 2" xfId="41362" xr:uid="{F8DC5DEF-25A9-4B4F-AC10-DE88FBF08123}"/>
    <cellStyle name="Normal 6 3 2 4" xfId="41363" xr:uid="{E240B688-7D66-4032-8638-BFCB0661417E}"/>
    <cellStyle name="Normal 6 3 2 5" xfId="41364" xr:uid="{5D850593-46AA-4CCD-B908-F83758FA883E}"/>
    <cellStyle name="Normal 6 3 2 6" xfId="41356" xr:uid="{C99C9C25-DBCB-4037-8E52-E4347D37AEAB}"/>
    <cellStyle name="Normal 6 3 3" xfId="2279" xr:uid="{00000000-0005-0000-0000-00004A220000}"/>
    <cellStyle name="Normal 6 3 3 2" xfId="41366" xr:uid="{9AF52744-0E3C-4226-AD29-5D5F6E938EE7}"/>
    <cellStyle name="Normal 6 3 3 2 2" xfId="41367" xr:uid="{ED0129A4-3957-46DA-A13C-C26A1C192124}"/>
    <cellStyle name="Normal 6 3 3 3" xfId="41368" xr:uid="{8F94DCA6-4ABB-4598-A26C-9DFEA8DEB6B5}"/>
    <cellStyle name="Normal 6 3 3 4" xfId="41369" xr:uid="{D976A8AC-01B5-4694-BC52-0B3E3411D44B}"/>
    <cellStyle name="Normal 6 3 3 5" xfId="41365" xr:uid="{CBEFCCE3-0E45-4DD9-8EDD-B51133B535D2}"/>
    <cellStyle name="Normal 6 3 4" xfId="2280" xr:uid="{00000000-0005-0000-0000-00004B220000}"/>
    <cellStyle name="Normal 6 3 4 2" xfId="41371" xr:uid="{E63ED2AE-DBD8-406D-8C9F-190C8386E8E6}"/>
    <cellStyle name="Normal 6 3 4 3" xfId="41372" xr:uid="{7F3A8036-7A1B-4707-BC34-6272BAA6EDA5}"/>
    <cellStyle name="Normal 6 3 4 4" xfId="41370" xr:uid="{666282E7-7972-4423-BBA3-99D570DFFCD5}"/>
    <cellStyle name="Normal 6 3 5" xfId="2281" xr:uid="{00000000-0005-0000-0000-00004C220000}"/>
    <cellStyle name="Normal 6 3 5 2" xfId="41374" xr:uid="{B84D8F17-DE3C-43C5-8B4D-51511736B175}"/>
    <cellStyle name="Normal 6 3 5 3" xfId="41373" xr:uid="{ECF4C2A6-C89A-442E-821D-EB79717F9F3B}"/>
    <cellStyle name="Normal 6 3 6" xfId="2282" xr:uid="{00000000-0005-0000-0000-00004D220000}"/>
    <cellStyle name="Normal 6 3 6 2" xfId="41375" xr:uid="{3C9287CC-C80B-4FE9-8375-C79F646F196F}"/>
    <cellStyle name="Normal 6 3 7" xfId="2283" xr:uid="{00000000-0005-0000-0000-00004E220000}"/>
    <cellStyle name="Normal 6 3 7 2" xfId="41376" xr:uid="{D7D4D4AA-3ADB-492D-9A67-CFFE4AA6733D}"/>
    <cellStyle name="Normal 6 3 8" xfId="2284" xr:uid="{00000000-0005-0000-0000-00004F220000}"/>
    <cellStyle name="Normal 6 3 8 2" xfId="41377" xr:uid="{88E7315B-88A6-4383-8A24-F72150277E35}"/>
    <cellStyle name="Normal 6 3 9" xfId="2285" xr:uid="{00000000-0005-0000-0000-000050220000}"/>
    <cellStyle name="Normal 6 3 9 2" xfId="41378" xr:uid="{52FD00D2-DF07-44E4-8E5A-BDE70850FABF}"/>
    <cellStyle name="Normal 6 4" xfId="183" xr:uid="{00000000-0005-0000-0000-000051220000}"/>
    <cellStyle name="Normal 6 4 2" xfId="4359" xr:uid="{00000000-0005-0000-0000-000052220000}"/>
    <cellStyle name="Normal 6 4 2 2" xfId="41381" xr:uid="{7FC9222C-1B59-456C-9F8B-624850314D50}"/>
    <cellStyle name="Normal 6 4 2 2 2" xfId="41382" xr:uid="{6F3AF533-61D6-4D10-A58D-27EAAB46DCDC}"/>
    <cellStyle name="Normal 6 4 2 3" xfId="41383" xr:uid="{BA043CD1-35E1-4938-8496-8F05D55BBA3A}"/>
    <cellStyle name="Normal 6 4 2 4" xfId="41384" xr:uid="{63104297-4B2E-4AA5-B650-5ED107B156F6}"/>
    <cellStyle name="Normal 6 4 2 5" xfId="41380" xr:uid="{F3CED470-EF76-449A-83CD-6EB4D1732CEF}"/>
    <cellStyle name="Normal 6 4 3" xfId="4360" xr:uid="{00000000-0005-0000-0000-000053220000}"/>
    <cellStyle name="Normal 6 4 3 2" xfId="41386" xr:uid="{55C2804D-11D1-4ABB-A693-0F3E28D0943B}"/>
    <cellStyle name="Normal 6 4 3 3" xfId="41387" xr:uid="{6C40F383-311D-4F5E-B936-00414E74B759}"/>
    <cellStyle name="Normal 6 4 3 4" xfId="41385" xr:uid="{50B141B6-DFC4-4A63-B3AA-13E6F0506D0B}"/>
    <cellStyle name="Normal 6 4 4" xfId="4361" xr:uid="{00000000-0005-0000-0000-000054220000}"/>
    <cellStyle name="Normal 6 4 4 2" xfId="41389" xr:uid="{BAD14EA2-B4DD-4FC5-ADE5-1860E36243FD}"/>
    <cellStyle name="Normal 6 4 4 3" xfId="41388" xr:uid="{323F3023-2287-4714-A1E3-13CE1749AADB}"/>
    <cellStyle name="Normal 6 4 5" xfId="4362" xr:uid="{00000000-0005-0000-0000-000055220000}"/>
    <cellStyle name="Normal 6 4 5 2" xfId="41390" xr:uid="{70E1CB54-6E30-4292-B9C9-AB21256B0F08}"/>
    <cellStyle name="Normal 6 4 6" xfId="4363" xr:uid="{00000000-0005-0000-0000-000056220000}"/>
    <cellStyle name="Normal 6 4 6 2" xfId="41391" xr:uid="{8F2B3798-7804-4171-BC44-E744E51C359C}"/>
    <cellStyle name="Normal 6 4 7" xfId="4364" xr:uid="{00000000-0005-0000-0000-000057220000}"/>
    <cellStyle name="Normal 6 4 7 2" xfId="41392" xr:uid="{7D445A38-728D-44F9-9A38-B67D533364E3}"/>
    <cellStyle name="Normal 6 4 8" xfId="4365" xr:uid="{00000000-0005-0000-0000-000058220000}"/>
    <cellStyle name="Normal 6 4 8 2" xfId="41393" xr:uid="{C8D4B4FF-801F-48A3-9CF4-BC76D5FD1A74}"/>
    <cellStyle name="Normal 6 4 9" xfId="41379" xr:uid="{7B0C2AED-BEA7-49C9-B492-A798A2E47FB4}"/>
    <cellStyle name="Normal 6 5" xfId="184" xr:uid="{00000000-0005-0000-0000-000059220000}"/>
    <cellStyle name="Normal 6 5 2" xfId="4366" xr:uid="{00000000-0005-0000-0000-00005A220000}"/>
    <cellStyle name="Normal 6 5 2 2" xfId="41396" xr:uid="{91B53616-62B9-468A-ADEB-7964CE407F09}"/>
    <cellStyle name="Normal 6 5 2 3" xfId="41397" xr:uid="{E5E8DEA8-6E80-4334-A535-A2490331DCEB}"/>
    <cellStyle name="Normal 6 5 2 4" xfId="41395" xr:uid="{231D1FC2-69C9-46BC-9D89-1FB026678860}"/>
    <cellStyle name="Normal 6 5 3" xfId="4367" xr:uid="{00000000-0005-0000-0000-00005B220000}"/>
    <cellStyle name="Normal 6 5 3 2" xfId="41399" xr:uid="{CC5F33E0-DAB5-45D6-A2B9-06405288281A}"/>
    <cellStyle name="Normal 6 5 3 3" xfId="41398" xr:uid="{7DD670CA-866B-4C99-AFF1-16718A1C0D19}"/>
    <cellStyle name="Normal 6 5 4" xfId="4368" xr:uid="{00000000-0005-0000-0000-00005C220000}"/>
    <cellStyle name="Normal 6 5 4 2" xfId="41400" xr:uid="{8E84E898-3726-462F-9266-7A3AEEC50B6B}"/>
    <cellStyle name="Normal 6 5 5" xfId="4369" xr:uid="{00000000-0005-0000-0000-00005D220000}"/>
    <cellStyle name="Normal 6 5 5 2" xfId="41401" xr:uid="{8B99AA7C-CFF7-4737-A557-5E58BE979455}"/>
    <cellStyle name="Normal 6 5 6" xfId="4370" xr:uid="{00000000-0005-0000-0000-00005E220000}"/>
    <cellStyle name="Normal 6 5 6 2" xfId="41402" xr:uid="{ABEE61A3-05E2-466D-9985-C9C5FC120135}"/>
    <cellStyle name="Normal 6 5 7" xfId="4371" xr:uid="{00000000-0005-0000-0000-00005F220000}"/>
    <cellStyle name="Normal 6 5 7 2" xfId="41403" xr:uid="{F7BE3A4E-883D-425D-B6B0-0C24635F5523}"/>
    <cellStyle name="Normal 6 5 8" xfId="4372" xr:uid="{00000000-0005-0000-0000-000060220000}"/>
    <cellStyle name="Normal 6 5 8 2" xfId="41404" xr:uid="{622B0500-11B7-4405-A31C-0235EC56C8DF}"/>
    <cellStyle name="Normal 6 5 9" xfId="41394" xr:uid="{10CFA233-5679-41BF-900E-FE3D0F4C5C13}"/>
    <cellStyle name="Normal 6 6" xfId="2286" xr:uid="{00000000-0005-0000-0000-000061220000}"/>
    <cellStyle name="Normal 6 6 2" xfId="41406" xr:uid="{F446D27B-944A-499C-94D3-FE04382DD515}"/>
    <cellStyle name="Normal 6 6 3" xfId="41407" xr:uid="{4C345269-CDF2-431D-A8A5-A955D7A5A94A}"/>
    <cellStyle name="Normal 6 6 4" xfId="41405" xr:uid="{E418003C-6711-42BF-B19D-4F9F0E37637A}"/>
    <cellStyle name="Normal 6 7" xfId="2287" xr:uid="{00000000-0005-0000-0000-000062220000}"/>
    <cellStyle name="Normal 6 7 2" xfId="41409" xr:uid="{4BC07370-7598-48B6-B9CD-03BB271FB27E}"/>
    <cellStyle name="Normal 6 7 3" xfId="41410" xr:uid="{9B169C21-5F12-4280-850E-8A28DE2216C9}"/>
    <cellStyle name="Normal 6 7 4" xfId="41408" xr:uid="{628F9F12-1655-4990-9B77-0D2D5E10065B}"/>
    <cellStyle name="Normal 6 8" xfId="2288" xr:uid="{00000000-0005-0000-0000-000063220000}"/>
    <cellStyle name="Normal 6 8 2" xfId="41412" xr:uid="{BE41ECF5-037D-4AA2-B5E1-BD8CDE8600A3}"/>
    <cellStyle name="Normal 6 8 3" xfId="41413" xr:uid="{0206B3D9-F2E1-454E-9217-081D6E8873A2}"/>
    <cellStyle name="Normal 6 8 4" xfId="41411" xr:uid="{FCEF1305-C2BE-4FC0-AD89-AB3721A76B86}"/>
    <cellStyle name="Normal 6 9" xfId="2289" xr:uid="{00000000-0005-0000-0000-000064220000}"/>
    <cellStyle name="Normal 6 9 2" xfId="41415" xr:uid="{384A7398-88D5-48C9-90FC-7100FC8FC388}"/>
    <cellStyle name="Normal 6 9 3" xfId="41416" xr:uid="{B97CF1E5-567A-449C-91C1-8E9FD36FF01E}"/>
    <cellStyle name="Normal 6 9 4" xfId="41414" xr:uid="{996785F7-0C72-424D-8B8D-633F35814B3A}"/>
    <cellStyle name="Normal 6_ELC" xfId="2290" xr:uid="{00000000-0005-0000-0000-000065220000}"/>
    <cellStyle name="Normal 60" xfId="16696" xr:uid="{00000000-0005-0000-0000-000066220000}"/>
    <cellStyle name="Normal 60 2" xfId="28044" xr:uid="{4411F5F6-3157-4B37-814A-69F76DE2E1E4}"/>
    <cellStyle name="Normal 60 3" xfId="22384" xr:uid="{F15C7DD9-A807-480F-AF8A-8F447BC966B4}"/>
    <cellStyle name="Normal 60 4" xfId="33424" xr:uid="{509CE089-1911-4CCE-A20B-644355191655}"/>
    <cellStyle name="Normal 60 5" xfId="41417" xr:uid="{8026A8ED-1637-4A8C-B764-65E75EFBBC61}"/>
    <cellStyle name="Normal 61" xfId="16697" xr:uid="{00000000-0005-0000-0000-000067220000}"/>
    <cellStyle name="Normal 61 2" xfId="28045" xr:uid="{F3AA9D16-4201-4FB3-B672-088E5FCF8D91}"/>
    <cellStyle name="Normal 61 3" xfId="22385" xr:uid="{B6E7050D-5C9D-441A-B7E5-1ADB103A6738}"/>
    <cellStyle name="Normal 61 4" xfId="33425" xr:uid="{A860A2D5-7F00-476C-BDD0-464990FA9766}"/>
    <cellStyle name="Normal 61 5" xfId="41418" xr:uid="{0087EA44-D110-40A4-9FD0-09DDD762019E}"/>
    <cellStyle name="Normal 62" xfId="22386" xr:uid="{161DD361-EB78-403A-A44F-B59BB63AD1CC}"/>
    <cellStyle name="Normal 62 2" xfId="41419" xr:uid="{CD70CE17-687C-4AFC-9C0B-211FCBC32EB5}"/>
    <cellStyle name="Normal 63" xfId="28046" xr:uid="{EED8A6C0-8414-4328-82A8-02AF7A4FC43E}"/>
    <cellStyle name="Normal 63 2" xfId="41420" xr:uid="{EC6C8FE6-FF06-41B7-9A4A-2E096C4569F5}"/>
    <cellStyle name="Normal 64" xfId="33454" xr:uid="{12D03E14-95EA-4746-AA64-1148DA57BA2C}"/>
    <cellStyle name="Normal 65" xfId="33457" xr:uid="{DB9EF6EA-857F-43C2-8370-819E2BA594B0}"/>
    <cellStyle name="Normal 7" xfId="185" xr:uid="{00000000-0005-0000-0000-000068220000}"/>
    <cellStyle name="Normal 7 10" xfId="4373" xr:uid="{00000000-0005-0000-0000-000069220000}"/>
    <cellStyle name="Normal 7 10 2" xfId="41422" xr:uid="{CEE8E52C-4F1A-432F-A672-A1F12886219D}"/>
    <cellStyle name="Normal 7 11" xfId="4374" xr:uid="{00000000-0005-0000-0000-00006A220000}"/>
    <cellStyle name="Normal 7 11 2" xfId="41423" xr:uid="{2158107E-0EA9-4BBD-843A-A5C7872D7BE9}"/>
    <cellStyle name="Normal 7 12" xfId="4375" xr:uid="{00000000-0005-0000-0000-00006B220000}"/>
    <cellStyle name="Normal 7 12 2" xfId="41424" xr:uid="{D1834248-B48B-4D5A-802E-9F425C3A3E5E}"/>
    <cellStyle name="Normal 7 13" xfId="4376" xr:uid="{00000000-0005-0000-0000-00006C220000}"/>
    <cellStyle name="Normal 7 13 2" xfId="41425" xr:uid="{F4ED1E31-7D64-4CBF-B1C1-C4AD6DE53E4F}"/>
    <cellStyle name="Normal 7 14" xfId="41421" xr:uid="{EB1EC4B1-363E-451C-B408-88FAAE46625B}"/>
    <cellStyle name="Normal 7 2" xfId="186" xr:uid="{00000000-0005-0000-0000-00006D220000}"/>
    <cellStyle name="Normal 7 2 10" xfId="41426" xr:uid="{3F1EA05E-5172-4971-8186-8D771AD8287F}"/>
    <cellStyle name="Normal 7 2 11" xfId="49830" xr:uid="{819BD703-C915-418B-AA0D-28DD4C99BBA7}"/>
    <cellStyle name="Normal 7 2 2" xfId="2291" xr:uid="{00000000-0005-0000-0000-00006E220000}"/>
    <cellStyle name="Normal 7 2 2 2" xfId="41428" xr:uid="{79EFC263-8360-4B7F-9F6B-0DD49AC9ECAA}"/>
    <cellStyle name="Normal 7 2 2 2 2" xfId="41429" xr:uid="{730B7C96-6522-466A-8FE3-71C50F983F14}"/>
    <cellStyle name="Normal 7 2 2 2 2 2" xfId="41430" xr:uid="{BDC612B4-BA11-4A71-AAD6-FCB0298138E2}"/>
    <cellStyle name="Normal 7 2 2 2 3" xfId="41431" xr:uid="{9DF8D40B-7A97-4452-960E-954EDFC07B02}"/>
    <cellStyle name="Normal 7 2 2 3" xfId="41432" xr:uid="{F93EAB52-BB7E-4FDD-9802-45DE02645673}"/>
    <cellStyle name="Normal 7 2 2 3 2" xfId="41433" xr:uid="{CD86D3A9-23BE-4FBE-8CA3-DDFAEFF7DB39}"/>
    <cellStyle name="Normal 7 2 2 4" xfId="41434" xr:uid="{87138DE0-2561-46CE-BA44-442862AB4A79}"/>
    <cellStyle name="Normal 7 2 2 5" xfId="41435" xr:uid="{5553CC3E-7B43-4070-90F8-9DCFC35125A5}"/>
    <cellStyle name="Normal 7 2 2 6" xfId="41427" xr:uid="{FF39C70B-936E-45C3-B7F6-C17FE909427A}"/>
    <cellStyle name="Normal 7 2 3" xfId="2292" xr:uid="{00000000-0005-0000-0000-00006F220000}"/>
    <cellStyle name="Normal 7 2 3 2" xfId="4377" xr:uid="{00000000-0005-0000-0000-000070220000}"/>
    <cellStyle name="Normal 7 2 3 2 2" xfId="41438" xr:uid="{FDC3258A-A8E1-40BE-B583-F1F8E606EB37}"/>
    <cellStyle name="Normal 7 2 3 2 3" xfId="41439" xr:uid="{C5FF31A5-A69F-45DA-BD19-5919802D52F8}"/>
    <cellStyle name="Normal 7 2 3 2 4" xfId="41437" xr:uid="{97F0EB57-C83A-427B-B903-1D557F633F19}"/>
    <cellStyle name="Normal 7 2 3 3" xfId="6361" xr:uid="{00000000-0005-0000-0000-000071220000}"/>
    <cellStyle name="Normal 7 2 3 3 2" xfId="41441" xr:uid="{836C9D65-CBCD-4A54-B60E-7230309DF418}"/>
    <cellStyle name="Normal 7 2 3 3 3" xfId="41440" xr:uid="{2D392E13-300F-483C-9D8C-D698C59CC7C2}"/>
    <cellStyle name="Normal 7 2 3 4" xfId="41442" xr:uid="{A70FC3D6-B9AA-4607-A7DA-2702542A2570}"/>
    <cellStyle name="Normal 7 2 3 5" xfId="41436" xr:uid="{DAF83482-27FA-4E0E-AA97-1937B8A196ED}"/>
    <cellStyle name="Normal 7 2 4" xfId="4378" xr:uid="{00000000-0005-0000-0000-000072220000}"/>
    <cellStyle name="Normal 7 2 4 2" xfId="41444" xr:uid="{16F03690-ADE7-4EAE-A2ED-34F822956CBA}"/>
    <cellStyle name="Normal 7 2 4 3" xfId="41445" xr:uid="{CF9883C6-B709-4DE4-AB65-61F81C65BD79}"/>
    <cellStyle name="Normal 7 2 4 4" xfId="41443" xr:uid="{1D3AEA5E-B813-47D9-B51B-A7A858E28C9F}"/>
    <cellStyle name="Normal 7 2 5" xfId="4379" xr:uid="{00000000-0005-0000-0000-000073220000}"/>
    <cellStyle name="Normal 7 2 5 2" xfId="41447" xr:uid="{3EC84C3B-82A9-4046-A3C9-F27D1647E3C5}"/>
    <cellStyle name="Normal 7 2 5 3" xfId="41448" xr:uid="{B3C5098E-7653-4240-957D-372792FEBF38}"/>
    <cellStyle name="Normal 7 2 5 4" xfId="41446" xr:uid="{5F715AE0-CF11-430F-B2C5-40963702E1A4}"/>
    <cellStyle name="Normal 7 2 6" xfId="4380" xr:uid="{00000000-0005-0000-0000-000074220000}"/>
    <cellStyle name="Normal 7 2 6 2" xfId="41450" xr:uid="{DE3A0923-4C65-424A-A362-434E5AC03D82}"/>
    <cellStyle name="Normal 7 2 6 3" xfId="41449" xr:uid="{47AA1388-8B63-4C3A-A577-85399B2AD210}"/>
    <cellStyle name="Normal 7 2 7" xfId="4381" xr:uid="{00000000-0005-0000-0000-000075220000}"/>
    <cellStyle name="Normal 7 2 7 2" xfId="41451" xr:uid="{A82D730C-C407-481F-92CE-8E77A626B06A}"/>
    <cellStyle name="Normal 7 2 8" xfId="4382" xr:uid="{00000000-0005-0000-0000-000076220000}"/>
    <cellStyle name="Normal 7 2 8 2" xfId="41452" xr:uid="{ADD3714D-0DE2-4D81-8C63-67D9080CB21A}"/>
    <cellStyle name="Normal 7 2 9" xfId="4383" xr:uid="{00000000-0005-0000-0000-000077220000}"/>
    <cellStyle name="Normal 7 2 9 2" xfId="41453" xr:uid="{021BF68C-EE81-444A-9412-E0C8AD539E72}"/>
    <cellStyle name="Normal 7 2_Scen_XBase" xfId="2293" xr:uid="{00000000-0005-0000-0000-000078220000}"/>
    <cellStyle name="Normal 7 3" xfId="2294" xr:uid="{00000000-0005-0000-0000-000079220000}"/>
    <cellStyle name="Normal 7 3 10" xfId="4876" xr:uid="{00000000-0005-0000-0000-00007A220000}"/>
    <cellStyle name="Normal 7 3 10 2" xfId="5295" xr:uid="{00000000-0005-0000-0000-00007B220000}"/>
    <cellStyle name="Normal 7 3 10 2 2" xfId="7158" xr:uid="{00000000-0005-0000-0000-00007C220000}"/>
    <cellStyle name="Normal 7 3 10 2 2 2" xfId="15591" xr:uid="{00000000-0005-0000-0000-00007D220000}"/>
    <cellStyle name="Normal 7 3 10 2 2 2 2" xfId="27485" xr:uid="{ED5D01D7-32C7-4E8B-A25C-DCB77FDD7590}"/>
    <cellStyle name="Normal 7 3 10 2 2 2 3" xfId="21825" xr:uid="{B88F428A-5306-4D4F-91D7-ED8C67AB90D5}"/>
    <cellStyle name="Normal 7 3 10 2 2 2 4" xfId="32865" xr:uid="{6033A434-802A-4E1B-8AB3-6ED75AF05AF4}"/>
    <cellStyle name="Normal 7 3 10 2 2 2 5" xfId="41458" xr:uid="{25A48C1F-208D-4043-A41A-87A794EE2CC5}"/>
    <cellStyle name="Normal 7 3 10 2 2 3" xfId="24652" xr:uid="{D511EC1A-22AF-4EF2-9CCC-2D8D2A2D24D0}"/>
    <cellStyle name="Normal 7 3 10 2 2 4" xfId="18992" xr:uid="{1FA64754-01C5-4738-979D-3327C5F95F35}"/>
    <cellStyle name="Normal 7 3 10 2 2 5" xfId="30313" xr:uid="{0F2BB36C-656D-4BF7-B547-0EC158F55933}"/>
    <cellStyle name="Normal 7 3 10 2 2 6" xfId="41457" xr:uid="{E2AAE5B0-AE9C-4DC6-837D-1F5105E9B0F6}"/>
    <cellStyle name="Normal 7 3 10 2 3" xfId="14181" xr:uid="{00000000-0005-0000-0000-00007E220000}"/>
    <cellStyle name="Normal 7 3 10 2 3 2" xfId="26220" xr:uid="{0DDE7C24-CD9D-497E-BDDA-02C32FAD6DE0}"/>
    <cellStyle name="Normal 7 3 10 2 3 3" xfId="20560" xr:uid="{708AF569-FFFB-405B-8CB9-9234F6EE5B64}"/>
    <cellStyle name="Normal 7 3 10 2 3 4" xfId="31600" xr:uid="{02212BA2-53B9-4B4C-B316-BEC4FAD69E66}"/>
    <cellStyle name="Normal 7 3 10 2 3 5" xfId="41459" xr:uid="{80DAD297-34D4-43D0-B101-FE943D91CB0C}"/>
    <cellStyle name="Normal 7 3 10 2 4" xfId="23090" xr:uid="{C578FA5C-AB3B-40B0-9ACE-A2900A0D1EF4}"/>
    <cellStyle name="Normal 7 3 10 2 5" xfId="17430" xr:uid="{8A7A945A-3EC6-409D-AE78-3B336103E90C}"/>
    <cellStyle name="Normal 7 3 10 2 6" xfId="28751" xr:uid="{C0B28C75-49DA-40D9-8F15-0B41E1FA0B09}"/>
    <cellStyle name="Normal 7 3 10 2 7" xfId="41456" xr:uid="{CEFFA747-22F4-4832-87D9-EB371F5627A5}"/>
    <cellStyle name="Normal 7 3 10 3" xfId="6363" xr:uid="{00000000-0005-0000-0000-00007F220000}"/>
    <cellStyle name="Normal 7 3 10 3 2" xfId="7683" xr:uid="{00000000-0005-0000-0000-000080220000}"/>
    <cellStyle name="Normal 7 3 10 3 2 2" xfId="16116" xr:uid="{00000000-0005-0000-0000-000081220000}"/>
    <cellStyle name="Normal 7 3 10 3 2 2 2" xfId="28010" xr:uid="{CFB9D3B4-97C4-4BBD-B08C-448162E5691E}"/>
    <cellStyle name="Normal 7 3 10 3 2 2 3" xfId="22350" xr:uid="{BF80B7C5-BBD5-4B31-BA6C-9D8D49A88AB0}"/>
    <cellStyle name="Normal 7 3 10 3 2 2 4" xfId="33390" xr:uid="{0F98DC0F-B161-4EAA-A5B5-6C9D699DDDF4}"/>
    <cellStyle name="Normal 7 3 10 3 2 2 5" xfId="41462" xr:uid="{DA962FDA-1AA3-48D7-9117-76845C2EF574}"/>
    <cellStyle name="Normal 7 3 10 3 2 3" xfId="25177" xr:uid="{878A5E5E-0CB2-42B5-A950-AD0232445D7A}"/>
    <cellStyle name="Normal 7 3 10 3 2 4" xfId="19517" xr:uid="{53198BAF-2FDE-4B84-8B4D-4E9F738AEF94}"/>
    <cellStyle name="Normal 7 3 10 3 2 5" xfId="30838" xr:uid="{2CBB3F67-228D-4ED7-B057-7B1D21629063}"/>
    <cellStyle name="Normal 7 3 10 3 2 6" xfId="41461" xr:uid="{A82DD994-3727-4BD2-BA58-420E58518F3C}"/>
    <cellStyle name="Normal 7 3 10 3 3" xfId="14799" xr:uid="{00000000-0005-0000-0000-000082220000}"/>
    <cellStyle name="Normal 7 3 10 3 3 2" xfId="26754" xr:uid="{3A3DC47F-8A32-4B3B-B982-4D5C0873D937}"/>
    <cellStyle name="Normal 7 3 10 3 3 3" xfId="21094" xr:uid="{14BC8A81-8620-4986-B0EA-B879D926D59D}"/>
    <cellStyle name="Normal 7 3 10 3 3 4" xfId="32134" xr:uid="{970A6D7D-0A3A-43D9-B544-2FF7AFD6CFB7}"/>
    <cellStyle name="Normal 7 3 10 3 3 5" xfId="41463" xr:uid="{56F31EEF-F955-4C5E-B124-7E81CB6FC196}"/>
    <cellStyle name="Normal 7 3 10 3 4" xfId="23921" xr:uid="{DA87438E-B4D0-46A5-B358-6292F238ACCE}"/>
    <cellStyle name="Normal 7 3 10 3 5" xfId="18261" xr:uid="{E31CEBDF-782F-42A6-B72E-EA60188E95F4}"/>
    <cellStyle name="Normal 7 3 10 3 6" xfId="29582" xr:uid="{47CE34BB-B4B3-4E91-BD1A-386AF1AA37DF}"/>
    <cellStyle name="Normal 7 3 10 3 7" xfId="41460" xr:uid="{8433C950-B7D2-4297-B307-20BC73B0D160}"/>
    <cellStyle name="Normal 7 3 10 4" xfId="6740" xr:uid="{00000000-0005-0000-0000-000083220000}"/>
    <cellStyle name="Normal 7 3 10 4 2" xfId="15173" xr:uid="{00000000-0005-0000-0000-000084220000}"/>
    <cellStyle name="Normal 7 3 10 4 2 2" xfId="27067" xr:uid="{C4DD3DB1-A519-4A4F-8AFA-0F893F84396D}"/>
    <cellStyle name="Normal 7 3 10 4 2 3" xfId="21407" xr:uid="{4DEEFBCA-DA6D-4CC1-B8BD-1683C198DDC4}"/>
    <cellStyle name="Normal 7 3 10 4 2 4" xfId="32447" xr:uid="{E1833A93-609F-4901-9C14-F2169B078743}"/>
    <cellStyle name="Normal 7 3 10 4 2 5" xfId="41465" xr:uid="{4304E915-747B-4F49-96F9-E9AEF883DC7D}"/>
    <cellStyle name="Normal 7 3 10 4 3" xfId="24234" xr:uid="{ADF17B6F-9B9C-45EB-8540-1EBB2FB737F0}"/>
    <cellStyle name="Normal 7 3 10 4 4" xfId="18574" xr:uid="{294FC5FE-779B-4EF6-B292-801FEAB7483B}"/>
    <cellStyle name="Normal 7 3 10 4 5" xfId="29895" xr:uid="{189805B8-A2D3-4352-B817-5A39B7A00ADE}"/>
    <cellStyle name="Normal 7 3 10 4 6" xfId="41464" xr:uid="{6A1AC854-CFF3-4874-894E-468AF6B26DC9}"/>
    <cellStyle name="Normal 7 3 10 5" xfId="8132" xr:uid="{00000000-0005-0000-0000-000085220000}"/>
    <cellStyle name="Normal 7 3 10 5 2" xfId="25608" xr:uid="{F90475E3-F8E9-46AB-8310-20DDA1631BF3}"/>
    <cellStyle name="Normal 7 3 10 5 3" xfId="19948" xr:uid="{46C81D48-2C8E-4D35-AA4B-B31F2ACBCA9E}"/>
    <cellStyle name="Normal 7 3 10 5 4" xfId="31269" xr:uid="{5D9F0B3E-EC0E-4D46-81F5-9738723160D0}"/>
    <cellStyle name="Normal 7 3 10 5 5" xfId="41466" xr:uid="{E2C963F8-EC8A-4A09-97D4-BE34FFFE8699}"/>
    <cellStyle name="Normal 7 3 10 6" xfId="22672" xr:uid="{2529F564-D6B3-4087-BFDA-023ABD1EB031}"/>
    <cellStyle name="Normal 7 3 10 7" xfId="17012" xr:uid="{0BDE3933-69DB-4FBB-B77A-2C730B869538}"/>
    <cellStyle name="Normal 7 3 10 8" xfId="28333" xr:uid="{BAB1D367-03F1-4112-88CE-54EF89D76438}"/>
    <cellStyle name="Normal 7 3 10 9" xfId="41455" xr:uid="{6C8A78D1-8FF6-4650-BE94-3A9D6B6CE1DF}"/>
    <cellStyle name="Normal 7 3 11" xfId="5086" xr:uid="{00000000-0005-0000-0000-000086220000}"/>
    <cellStyle name="Normal 7 3 11 2" xfId="6362" xr:uid="{00000000-0005-0000-0000-000087220000}"/>
    <cellStyle name="Normal 7 3 11 2 2" xfId="7682" xr:uid="{00000000-0005-0000-0000-000088220000}"/>
    <cellStyle name="Normal 7 3 11 2 2 2" xfId="16115" xr:uid="{00000000-0005-0000-0000-000089220000}"/>
    <cellStyle name="Normal 7 3 11 2 2 2 2" xfId="28009" xr:uid="{E0D9C9A8-ABFF-4DE1-ABB6-42BEC00F29DB}"/>
    <cellStyle name="Normal 7 3 11 2 2 2 3" xfId="22349" xr:uid="{31D5B26D-10C3-4038-B5A4-6497DDF452CF}"/>
    <cellStyle name="Normal 7 3 11 2 2 2 4" xfId="33389" xr:uid="{4730CBB4-D03A-4B1B-B7DA-5766B0512C91}"/>
    <cellStyle name="Normal 7 3 11 2 2 2 5" xfId="41470" xr:uid="{935372C8-D86C-411A-9D34-B3E1FE8A3D94}"/>
    <cellStyle name="Normal 7 3 11 2 2 3" xfId="25176" xr:uid="{B62B53C0-24AD-4D99-A7D2-0EBBD2BA3B6D}"/>
    <cellStyle name="Normal 7 3 11 2 2 4" xfId="19516" xr:uid="{EDB8980D-5FC4-4197-8AAB-578B2D2AE90D}"/>
    <cellStyle name="Normal 7 3 11 2 2 5" xfId="30837" xr:uid="{5F721099-82F3-4DA1-B826-92A86E244323}"/>
    <cellStyle name="Normal 7 3 11 2 2 6" xfId="41469" xr:uid="{225F5B3F-2F77-42AF-9FED-4FE000D0F32D}"/>
    <cellStyle name="Normal 7 3 11 2 3" xfId="14798" xr:uid="{00000000-0005-0000-0000-00008A220000}"/>
    <cellStyle name="Normal 7 3 11 2 3 2" xfId="26753" xr:uid="{23781731-CD2A-41BB-9661-05BF9DAD3A6A}"/>
    <cellStyle name="Normal 7 3 11 2 3 3" xfId="21093" xr:uid="{E807B45C-9F64-4210-970F-81C14526AA3E}"/>
    <cellStyle name="Normal 7 3 11 2 3 4" xfId="32133" xr:uid="{5B0B07EC-5943-4F5E-86AD-CD8457DBA0B8}"/>
    <cellStyle name="Normal 7 3 11 2 3 5" xfId="41471" xr:uid="{E07DD2A1-4738-48C1-93E1-43746D5C51B1}"/>
    <cellStyle name="Normal 7 3 11 2 4" xfId="23920" xr:uid="{9FF902BA-3C83-41AE-B9F8-49D49DACC6BE}"/>
    <cellStyle name="Normal 7 3 11 2 5" xfId="18260" xr:uid="{E429A7C9-1C34-4451-B5D2-85E529C08C9B}"/>
    <cellStyle name="Normal 7 3 11 2 6" xfId="29581" xr:uid="{D7467CDD-B3C9-4115-9BEC-7542ECE9FC61}"/>
    <cellStyle name="Normal 7 3 11 2 7" xfId="41468" xr:uid="{24376CA3-C5F0-4BED-9949-6E62810AE9DE}"/>
    <cellStyle name="Normal 7 3 11 3" xfId="6949" xr:uid="{00000000-0005-0000-0000-00008B220000}"/>
    <cellStyle name="Normal 7 3 11 3 2" xfId="15382" xr:uid="{00000000-0005-0000-0000-00008C220000}"/>
    <cellStyle name="Normal 7 3 11 3 2 2" xfId="27276" xr:uid="{1ABD705A-2051-4CCE-837D-3BAEF28C786E}"/>
    <cellStyle name="Normal 7 3 11 3 2 3" xfId="21616" xr:uid="{9F9E4620-5AB2-47A9-8339-F57380E5CF97}"/>
    <cellStyle name="Normal 7 3 11 3 2 4" xfId="32656" xr:uid="{9712875F-B93A-4526-8B51-4456DEE16529}"/>
    <cellStyle name="Normal 7 3 11 3 2 5" xfId="41473" xr:uid="{7071CDEE-4715-4F10-8FC9-E0A43267FEE6}"/>
    <cellStyle name="Normal 7 3 11 3 3" xfId="24443" xr:uid="{96DD91D2-A2A6-4945-B6C3-E7B9CF118E70}"/>
    <cellStyle name="Normal 7 3 11 3 4" xfId="18783" xr:uid="{86A35A5E-CFB6-41BE-84FD-5468D3E5D3A1}"/>
    <cellStyle name="Normal 7 3 11 3 5" xfId="30104" xr:uid="{18F6F2AE-92C2-4901-B65A-D24CC0F1E32B}"/>
    <cellStyle name="Normal 7 3 11 3 6" xfId="41472" xr:uid="{ADD08654-2BBF-4EF3-9DA4-E6FA5B68283F}"/>
    <cellStyle name="Normal 7 3 11 4" xfId="8133" xr:uid="{00000000-0005-0000-0000-00008D220000}"/>
    <cellStyle name="Normal 7 3 11 4 2" xfId="25609" xr:uid="{6A44D207-6E5D-436D-AEF8-41692BE7FA47}"/>
    <cellStyle name="Normal 7 3 11 4 3" xfId="19949" xr:uid="{CA5BF26C-B74F-46B9-BB8D-F2BBE535D3A0}"/>
    <cellStyle name="Normal 7 3 11 4 4" xfId="31270" xr:uid="{2B65748A-216A-4CCA-9E32-D474EB3E04A5}"/>
    <cellStyle name="Normal 7 3 11 4 5" xfId="41474" xr:uid="{486DC0D6-7186-4BFB-9940-FB14529C80E4}"/>
    <cellStyle name="Normal 7 3 11 5" xfId="22881" xr:uid="{7CAD59D9-98F0-4F44-B153-C0046E868C8C}"/>
    <cellStyle name="Normal 7 3 11 6" xfId="17221" xr:uid="{B3145CD8-877C-4862-8153-A1CB93FE36AF}"/>
    <cellStyle name="Normal 7 3 11 7" xfId="28542" xr:uid="{8B95FA31-1A26-4E2C-85DC-93333A3346D1}"/>
    <cellStyle name="Normal 7 3 11 8" xfId="41467" xr:uid="{96D86E5F-8FD7-4422-AF50-6C30A9CE7CDC}"/>
    <cellStyle name="Normal 7 3 12" xfId="6531" xr:uid="{00000000-0005-0000-0000-00008E220000}"/>
    <cellStyle name="Normal 7 3 12 2" xfId="14964" xr:uid="{00000000-0005-0000-0000-00008F220000}"/>
    <cellStyle name="Normal 7 3 12 2 2" xfId="26858" xr:uid="{392874D1-9A88-4D40-8DDE-67285177E13A}"/>
    <cellStyle name="Normal 7 3 12 2 3" xfId="21198" xr:uid="{5E4768AC-BC0D-4D22-BB4C-0A5F915F1CD2}"/>
    <cellStyle name="Normal 7 3 12 2 4" xfId="32238" xr:uid="{D56103EA-2A4C-4FA3-ADA9-3DDD9E0F5641}"/>
    <cellStyle name="Normal 7 3 12 2 5" xfId="41476" xr:uid="{52BCFB5A-A673-430E-9E57-BA7E0B56EF8A}"/>
    <cellStyle name="Normal 7 3 12 3" xfId="24025" xr:uid="{0BDE48FC-8BF7-4479-8F46-3FD008A1BF84}"/>
    <cellStyle name="Normal 7 3 12 4" xfId="18365" xr:uid="{55D658D1-CE39-4578-B512-56022E561B12}"/>
    <cellStyle name="Normal 7 3 12 5" xfId="29686" xr:uid="{14FC3E31-E3C4-4C98-8875-587C04E5A766}"/>
    <cellStyle name="Normal 7 3 12 6" xfId="41475" xr:uid="{F930B2B1-68B2-4A01-971E-4C53933307BB}"/>
    <cellStyle name="Normal 7 3 13" xfId="22463" xr:uid="{ABB2A78E-6C78-409B-8204-C42AC11582DE}"/>
    <cellStyle name="Normal 7 3 14" xfId="16803" xr:uid="{E4987B8B-8A03-4F4B-BE7D-27C2F8123066}"/>
    <cellStyle name="Normal 7 3 15" xfId="28124" xr:uid="{2EDCCD96-20FA-4E67-BB1C-109D7F0FFA03}"/>
    <cellStyle name="Normal 7 3 16" xfId="41454" xr:uid="{B2156961-748B-4E57-89D2-7BE1B7020E45}"/>
    <cellStyle name="Normal 7 3 2" xfId="4385" xr:uid="{00000000-0005-0000-0000-000090220000}"/>
    <cellStyle name="Normal 7 3 2 2" xfId="41478" xr:uid="{DCF61776-32C8-45E4-A716-06E73838A1D0}"/>
    <cellStyle name="Normal 7 3 2 2 2" xfId="41479" xr:uid="{C906F9CF-F882-4DD9-9BEE-B5C4777728B9}"/>
    <cellStyle name="Normal 7 3 2 3" xfId="41480" xr:uid="{6A390E38-DC16-47A1-9F45-C0CAACBCCC31}"/>
    <cellStyle name="Normal 7 3 2 4" xfId="41481" xr:uid="{E802FBA0-E0A6-435B-A79C-0336C2D7FDF4}"/>
    <cellStyle name="Normal 7 3 2 5" xfId="41477" xr:uid="{09FBD0AD-55CB-44D6-A16E-17FA9918434F}"/>
    <cellStyle name="Normal 7 3 3" xfId="4386" xr:uid="{00000000-0005-0000-0000-000091220000}"/>
    <cellStyle name="Normal 7 3 3 2" xfId="41483" xr:uid="{639A7ADA-8BA4-4DC6-9883-B354D6677B02}"/>
    <cellStyle name="Normal 7 3 3 3" xfId="41484" xr:uid="{201FFEFD-C47A-4781-9BCD-DD1451E43859}"/>
    <cellStyle name="Normal 7 3 3 4" xfId="41482" xr:uid="{B0FE5026-C900-470F-94E3-36AB8D7C18BE}"/>
    <cellStyle name="Normal 7 3 4" xfId="4387" xr:uid="{00000000-0005-0000-0000-000092220000}"/>
    <cellStyle name="Normal 7 3 4 2" xfId="41486" xr:uid="{0A42FD41-CEDD-4B10-A0C1-A717CB8FEAE4}"/>
    <cellStyle name="Normal 7 3 4 3" xfId="41485" xr:uid="{017310E7-0775-4EF9-B809-06CC08357A0F}"/>
    <cellStyle name="Normal 7 3 5" xfId="4388" xr:uid="{00000000-0005-0000-0000-000093220000}"/>
    <cellStyle name="Normal 7 3 5 2" xfId="41487" xr:uid="{08140F3E-A75D-49C3-B703-4F628005C47A}"/>
    <cellStyle name="Normal 7 3 6" xfId="4389" xr:uid="{00000000-0005-0000-0000-000094220000}"/>
    <cellStyle name="Normal 7 3 6 2" xfId="41488" xr:uid="{B9173AE3-5B3E-4505-BDA2-56FB6F8C5D36}"/>
    <cellStyle name="Normal 7 3 7" xfId="4390" xr:uid="{00000000-0005-0000-0000-000095220000}"/>
    <cellStyle name="Normal 7 3 7 2" xfId="41489" xr:uid="{7FDE6C30-6D43-4606-8714-2970CC1E758E}"/>
    <cellStyle name="Normal 7 3 8" xfId="4391" xr:uid="{00000000-0005-0000-0000-000096220000}"/>
    <cellStyle name="Normal 7 3 8 2" xfId="41490" xr:uid="{9AE58DB1-83A3-441F-94C4-DA5262A78EB2}"/>
    <cellStyle name="Normal 7 3 9" xfId="4384" xr:uid="{00000000-0005-0000-0000-000097220000}"/>
    <cellStyle name="Normal 7 3 9 2" xfId="41491" xr:uid="{C03B8462-3ECE-4AEC-A910-1A37BF656D38}"/>
    <cellStyle name="Normal 7 4" xfId="2295" xr:uid="{00000000-0005-0000-0000-000098220000}"/>
    <cellStyle name="Normal 7 4 10" xfId="41492" xr:uid="{A0DFC8B3-1218-4A37-98E3-4CA971277C55}"/>
    <cellStyle name="Normal 7 4 2" xfId="4392" xr:uid="{00000000-0005-0000-0000-000099220000}"/>
    <cellStyle name="Normal 7 4 2 2" xfId="41494" xr:uid="{552864BC-F173-40AE-9712-E82230B1E7A0}"/>
    <cellStyle name="Normal 7 4 2 3" xfId="41495" xr:uid="{E8BFB668-E313-42E9-8DB8-E1F0D98B7AA9}"/>
    <cellStyle name="Normal 7 4 2 4" xfId="41493" xr:uid="{EAC96958-4915-439A-BE78-A2DB94971162}"/>
    <cellStyle name="Normal 7 4 3" xfId="4393" xr:uid="{00000000-0005-0000-0000-00009A220000}"/>
    <cellStyle name="Normal 7 4 3 2" xfId="41497" xr:uid="{AB3351D2-3F44-4B8D-9C08-51C4C2C73C66}"/>
    <cellStyle name="Normal 7 4 3 3" xfId="41496" xr:uid="{F0F6B620-858D-4126-817C-5B78DA3AED94}"/>
    <cellStyle name="Normal 7 4 4" xfId="4394" xr:uid="{00000000-0005-0000-0000-00009B220000}"/>
    <cellStyle name="Normal 7 4 4 2" xfId="41498" xr:uid="{FBE32465-3B11-432A-BA56-414064C5E168}"/>
    <cellStyle name="Normal 7 4 5" xfId="4395" xr:uid="{00000000-0005-0000-0000-00009C220000}"/>
    <cellStyle name="Normal 7 4 5 2" xfId="41499" xr:uid="{D8C42052-8505-4E60-AFEC-95CC3BD73EDC}"/>
    <cellStyle name="Normal 7 4 6" xfId="4396" xr:uid="{00000000-0005-0000-0000-00009D220000}"/>
    <cellStyle name="Normal 7 4 6 2" xfId="41500" xr:uid="{C0CCE85C-FE74-4485-976B-9D6B019BDFBB}"/>
    <cellStyle name="Normal 7 4 7" xfId="4397" xr:uid="{00000000-0005-0000-0000-00009E220000}"/>
    <cellStyle name="Normal 7 4 7 2" xfId="41501" xr:uid="{9AEB105F-A67F-41CC-BF2A-55369C7E200B}"/>
    <cellStyle name="Normal 7 4 8" xfId="4398" xr:uid="{00000000-0005-0000-0000-00009F220000}"/>
    <cellStyle name="Normal 7 4 8 2" xfId="41502" xr:uid="{743F29A5-41BE-4CFB-A8D7-3BA3D213B51C}"/>
    <cellStyle name="Normal 7 4 9" xfId="41503" xr:uid="{1FBCF742-BC1E-4376-9739-A602EB949431}"/>
    <cellStyle name="Normal 7 5" xfId="4399" xr:uid="{00000000-0005-0000-0000-0000A0220000}"/>
    <cellStyle name="Normal 7 5 10" xfId="41504" xr:uid="{71099D4A-9CCE-4D6F-9DAE-A7852193317E}"/>
    <cellStyle name="Normal 7 5 2" xfId="4400" xr:uid="{00000000-0005-0000-0000-0000A1220000}"/>
    <cellStyle name="Normal 7 5 2 2" xfId="41506" xr:uid="{9216B594-2AB4-4E08-B2B2-0D2A1303D85F}"/>
    <cellStyle name="Normal 7 5 2 3" xfId="41505" xr:uid="{D95BE75F-CFD8-4BDD-AF75-968675662422}"/>
    <cellStyle name="Normal 7 5 3" xfId="4401" xr:uid="{00000000-0005-0000-0000-0000A2220000}"/>
    <cellStyle name="Normal 7 5 3 2" xfId="41507" xr:uid="{C5C9A3E1-27C7-416A-A8E9-B3FD3B186DDD}"/>
    <cellStyle name="Normal 7 5 4" xfId="4402" xr:uid="{00000000-0005-0000-0000-0000A3220000}"/>
    <cellStyle name="Normal 7 5 4 2" xfId="41508" xr:uid="{1CFDE0D8-CE0E-4396-A641-EC66C5293AEE}"/>
    <cellStyle name="Normal 7 5 5" xfId="4403" xr:uid="{00000000-0005-0000-0000-0000A4220000}"/>
    <cellStyle name="Normal 7 5 5 2" xfId="41509" xr:uid="{2416F344-6852-493B-B386-ED58EB7DDE2C}"/>
    <cellStyle name="Normal 7 5 6" xfId="4404" xr:uid="{00000000-0005-0000-0000-0000A5220000}"/>
    <cellStyle name="Normal 7 5 6 2" xfId="41510" xr:uid="{110B478F-280E-4BFA-99EA-9FE32F9BCF54}"/>
    <cellStyle name="Normal 7 5 7" xfId="4405" xr:uid="{00000000-0005-0000-0000-0000A6220000}"/>
    <cellStyle name="Normal 7 5 7 2" xfId="41511" xr:uid="{C54333CC-7DF8-4E38-A8B8-2E7783B110E4}"/>
    <cellStyle name="Normal 7 5 8" xfId="4406" xr:uid="{00000000-0005-0000-0000-0000A7220000}"/>
    <cellStyle name="Normal 7 5 8 2" xfId="41512" xr:uid="{57C699EE-E2AD-4746-8524-2D9D4D340F8F}"/>
    <cellStyle name="Normal 7 5 9" xfId="41513" xr:uid="{B23F0F3D-D447-433D-BA01-73D5C6A48716}"/>
    <cellStyle name="Normal 7 6" xfId="4407" xr:uid="{00000000-0005-0000-0000-0000A8220000}"/>
    <cellStyle name="Normal 7 6 2" xfId="41514" xr:uid="{47215C3B-A9C9-4A39-AE12-EDF3CB75203E}"/>
    <cellStyle name="Normal 7 7" xfId="4408" xr:uid="{00000000-0005-0000-0000-0000A9220000}"/>
    <cellStyle name="Normal 7 7 2" xfId="41516" xr:uid="{5CE9C605-8293-4EE6-A2AD-0CCF07D0E8D5}"/>
    <cellStyle name="Normal 7 7 3" xfId="41515" xr:uid="{816D21D9-BC29-4DD7-B6E5-48E6FCB303ED}"/>
    <cellStyle name="Normal 7 8" xfId="4409" xr:uid="{00000000-0005-0000-0000-0000AA220000}"/>
    <cellStyle name="Normal 7 8 2" xfId="41518" xr:uid="{98C00310-A35A-4091-82F9-AB4D8851E4CF}"/>
    <cellStyle name="Normal 7 8 3" xfId="41517" xr:uid="{DF47DE2D-9472-4DD3-B86A-08F5D7CDDBBC}"/>
    <cellStyle name="Normal 7 9" xfId="4410" xr:uid="{00000000-0005-0000-0000-0000AB220000}"/>
    <cellStyle name="Normal 7 9 2" xfId="41519" xr:uid="{FA07F4DA-2F56-4C02-8B03-E1CE456070A1}"/>
    <cellStyle name="Normal 8" xfId="187" xr:uid="{00000000-0005-0000-0000-0000AC220000}"/>
    <cellStyle name="Normal 8 10" xfId="2296" xr:uid="{00000000-0005-0000-0000-0000AD220000}"/>
    <cellStyle name="Normal 8 10 2" xfId="4411" xr:uid="{00000000-0005-0000-0000-0000AE220000}"/>
    <cellStyle name="Normal 8 10 2 2" xfId="41522" xr:uid="{680F4241-FA66-4820-8327-FDFE1125C2E6}"/>
    <cellStyle name="Normal 8 10 3" xfId="6364" xr:uid="{00000000-0005-0000-0000-0000AF220000}"/>
    <cellStyle name="Normal 8 10 3 2" xfId="41523" xr:uid="{C1199904-A1DD-4A93-868E-1A269F7E0A41}"/>
    <cellStyle name="Normal 8 10 4" xfId="41524" xr:uid="{5F57B3A4-81E3-40EF-8545-3BFA933B7757}"/>
    <cellStyle name="Normal 8 10 5" xfId="41521" xr:uid="{641C0845-55D7-4B3C-B277-419D6426BB3E}"/>
    <cellStyle name="Normal 8 10 6" xfId="49831" xr:uid="{BD8DAE56-6700-4273-A574-A256448C3DBA}"/>
    <cellStyle name="Normal 8 11" xfId="2297" xr:uid="{00000000-0005-0000-0000-0000B0220000}"/>
    <cellStyle name="Normal 8 11 2" xfId="4412" xr:uid="{00000000-0005-0000-0000-0000B1220000}"/>
    <cellStyle name="Normal 8 11 2 2" xfId="41526" xr:uid="{360BFCC0-8C3A-4A47-816D-BDF7CB8B87BA}"/>
    <cellStyle name="Normal 8 11 3" xfId="4877" xr:uid="{00000000-0005-0000-0000-0000B2220000}"/>
    <cellStyle name="Normal 8 11 3 2" xfId="5296" xr:uid="{00000000-0005-0000-0000-0000B3220000}"/>
    <cellStyle name="Normal 8 11 3 2 2" xfId="7159" xr:uid="{00000000-0005-0000-0000-0000B4220000}"/>
    <cellStyle name="Normal 8 11 3 2 2 2" xfId="15592" xr:uid="{00000000-0005-0000-0000-0000B5220000}"/>
    <cellStyle name="Normal 8 11 3 2 2 2 2" xfId="27486" xr:uid="{7082418A-CE24-4041-B77A-B6D7CC7782DE}"/>
    <cellStyle name="Normal 8 11 3 2 2 2 3" xfId="21826" xr:uid="{806C41B8-1760-4804-A29D-5CD40FF11F76}"/>
    <cellStyle name="Normal 8 11 3 2 2 2 4" xfId="32866" xr:uid="{77343A77-6E4E-4DB3-87A6-00471404FF35}"/>
    <cellStyle name="Normal 8 11 3 2 2 2 5" xfId="41530" xr:uid="{50D92CD1-4C7D-43BB-91DF-F5C6A9255B19}"/>
    <cellStyle name="Normal 8 11 3 2 2 3" xfId="24653" xr:uid="{1A0B173A-7600-4731-BFC2-A0291962E470}"/>
    <cellStyle name="Normal 8 11 3 2 2 4" xfId="18993" xr:uid="{518FDE41-E76D-472B-842C-B5688D14C5C0}"/>
    <cellStyle name="Normal 8 11 3 2 2 5" xfId="30314" xr:uid="{B43C4C3C-B178-42FD-BC4D-21FC89C17D12}"/>
    <cellStyle name="Normal 8 11 3 2 2 6" xfId="41529" xr:uid="{A029DB67-343F-42A6-BE8B-231C4F774746}"/>
    <cellStyle name="Normal 8 11 3 2 3" xfId="14182" xr:uid="{00000000-0005-0000-0000-0000B6220000}"/>
    <cellStyle name="Normal 8 11 3 2 3 2" xfId="26221" xr:uid="{0E32FA0B-68E7-4564-8A8D-8C23F852592E}"/>
    <cellStyle name="Normal 8 11 3 2 3 3" xfId="20561" xr:uid="{D2E3E6D6-E655-4D84-8EC3-0D17F1D2F86F}"/>
    <cellStyle name="Normal 8 11 3 2 3 4" xfId="31601" xr:uid="{DBF2811C-928F-487D-B877-9F646BDA5236}"/>
    <cellStyle name="Normal 8 11 3 2 3 5" xfId="41531" xr:uid="{BF95AE22-4066-49F2-B274-7A9C1CC4CBCF}"/>
    <cellStyle name="Normal 8 11 3 2 4" xfId="23091" xr:uid="{80F60929-C486-4A78-BDFD-61FCA2C80528}"/>
    <cellStyle name="Normal 8 11 3 2 5" xfId="17431" xr:uid="{00439033-5251-4693-B542-B22E7BB7B6CE}"/>
    <cellStyle name="Normal 8 11 3 2 6" xfId="28752" xr:uid="{8FED0ACF-4BE8-4D61-9060-21872A1CC45F}"/>
    <cellStyle name="Normal 8 11 3 2 7" xfId="41528" xr:uid="{5463DEFA-935B-4F92-88CD-DC202E930EA5}"/>
    <cellStyle name="Normal 8 11 3 3" xfId="6366" xr:uid="{00000000-0005-0000-0000-0000B7220000}"/>
    <cellStyle name="Normal 8 11 3 3 2" xfId="7685" xr:uid="{00000000-0005-0000-0000-0000B8220000}"/>
    <cellStyle name="Normal 8 11 3 3 2 2" xfId="16118" xr:uid="{00000000-0005-0000-0000-0000B9220000}"/>
    <cellStyle name="Normal 8 11 3 3 2 2 2" xfId="28012" xr:uid="{8A62B671-1965-40FB-9F60-88203986C214}"/>
    <cellStyle name="Normal 8 11 3 3 2 2 3" xfId="22352" xr:uid="{C36E0C2B-3BA9-4995-B0FB-A4E4CAC3964E}"/>
    <cellStyle name="Normal 8 11 3 3 2 2 4" xfId="33392" xr:uid="{1233CC47-97E5-4CFC-B7A4-A6B9725A2995}"/>
    <cellStyle name="Normal 8 11 3 3 2 2 5" xfId="41534" xr:uid="{7256D5E3-13DF-428F-8B85-5C895B705449}"/>
    <cellStyle name="Normal 8 11 3 3 2 3" xfId="25179" xr:uid="{AF2C41F8-7520-47AA-9E62-85B322C3A597}"/>
    <cellStyle name="Normal 8 11 3 3 2 4" xfId="19519" xr:uid="{F0EE8995-942C-4DB4-A14E-9139AA7A60E5}"/>
    <cellStyle name="Normal 8 11 3 3 2 5" xfId="30840" xr:uid="{37376976-DE4C-457B-98AE-041053B6F239}"/>
    <cellStyle name="Normal 8 11 3 3 2 6" xfId="41533" xr:uid="{82BD9285-175F-4957-810A-703C72A7E91C}"/>
    <cellStyle name="Normal 8 11 3 3 3" xfId="14801" xr:uid="{00000000-0005-0000-0000-0000BA220000}"/>
    <cellStyle name="Normal 8 11 3 3 3 2" xfId="26756" xr:uid="{871FED45-DAE1-4A39-B09E-1B74D0A9E58E}"/>
    <cellStyle name="Normal 8 11 3 3 3 3" xfId="21096" xr:uid="{98B1403B-12CA-4E64-8B4D-8074BD5CA442}"/>
    <cellStyle name="Normal 8 11 3 3 3 4" xfId="32136" xr:uid="{11CD48A9-1CA3-46C6-93EA-CAA8BDFB05BF}"/>
    <cellStyle name="Normal 8 11 3 3 3 5" xfId="41535" xr:uid="{A77C8D8D-1029-4BB6-A56F-09D4420A6226}"/>
    <cellStyle name="Normal 8 11 3 3 4" xfId="23923" xr:uid="{D0A88BA7-0542-43C0-B558-DD08353AEDB4}"/>
    <cellStyle name="Normal 8 11 3 3 5" xfId="18263" xr:uid="{E20DC743-39E9-440B-BF1D-E322108E5C41}"/>
    <cellStyle name="Normal 8 11 3 3 6" xfId="29584" xr:uid="{B6E1F51A-BB71-47A8-B97C-27CDA9A3C4DD}"/>
    <cellStyle name="Normal 8 11 3 3 7" xfId="41532" xr:uid="{45B83A8E-8627-4022-BEA8-35F93392ED68}"/>
    <cellStyle name="Normal 8 11 3 4" xfId="6741" xr:uid="{00000000-0005-0000-0000-0000BB220000}"/>
    <cellStyle name="Normal 8 11 3 4 2" xfId="15174" xr:uid="{00000000-0005-0000-0000-0000BC220000}"/>
    <cellStyle name="Normal 8 11 3 4 2 2" xfId="27068" xr:uid="{6695F5DE-4908-459A-8387-2FBDE094AA52}"/>
    <cellStyle name="Normal 8 11 3 4 2 3" xfId="21408" xr:uid="{57C6EC99-2867-4BAB-81F2-8F3CA73ABE35}"/>
    <cellStyle name="Normal 8 11 3 4 2 4" xfId="32448" xr:uid="{05A87196-81BE-46B4-8E2F-259098C86164}"/>
    <cellStyle name="Normal 8 11 3 4 2 5" xfId="41537" xr:uid="{A1E42AF7-8749-4D5D-86A0-14E46606A1DE}"/>
    <cellStyle name="Normal 8 11 3 4 3" xfId="24235" xr:uid="{BAB86C70-38D4-46AE-A90C-9BBCE396739B}"/>
    <cellStyle name="Normal 8 11 3 4 4" xfId="18575" xr:uid="{531B9A09-6727-4232-A89E-904AA94E826E}"/>
    <cellStyle name="Normal 8 11 3 4 5" xfId="29896" xr:uid="{1DB0977C-D851-4341-BF62-64D1E40CC790}"/>
    <cellStyle name="Normal 8 11 3 4 6" xfId="41536" xr:uid="{E80FE9B2-BE88-45FC-8530-1F7EDF29FF23}"/>
    <cellStyle name="Normal 8 11 3 5" xfId="8134" xr:uid="{00000000-0005-0000-0000-0000BD220000}"/>
    <cellStyle name="Normal 8 11 3 5 2" xfId="25610" xr:uid="{2890AFB5-AF24-430C-8FD8-9773047C9E37}"/>
    <cellStyle name="Normal 8 11 3 5 3" xfId="19950" xr:uid="{E607C455-A5C5-4616-94AF-1D86E493875D}"/>
    <cellStyle name="Normal 8 11 3 5 4" xfId="31271" xr:uid="{FC8BAD08-81F1-4818-9ECC-9A64F03F0863}"/>
    <cellStyle name="Normal 8 11 3 5 5" xfId="41538" xr:uid="{F68F5019-E752-462E-BD41-900C97C7BF2C}"/>
    <cellStyle name="Normal 8 11 3 6" xfId="22673" xr:uid="{4BDE3775-36E2-4628-9E3E-041B6C280F04}"/>
    <cellStyle name="Normal 8 11 3 7" xfId="17013" xr:uid="{5F9E64DF-3A49-4EF6-95AE-BE1D9B36FBE9}"/>
    <cellStyle name="Normal 8 11 3 8" xfId="28334" xr:uid="{6A63139E-18B1-4104-898F-FB13EB25A867}"/>
    <cellStyle name="Normal 8 11 3 9" xfId="41527" xr:uid="{3F0703FC-68F8-4A1B-8681-3F4D2C876F35}"/>
    <cellStyle name="Normal 8 11 4" xfId="5087" xr:uid="{00000000-0005-0000-0000-0000BE220000}"/>
    <cellStyle name="Normal 8 11 4 2" xfId="6365" xr:uid="{00000000-0005-0000-0000-0000BF220000}"/>
    <cellStyle name="Normal 8 11 4 2 2" xfId="7684" xr:uid="{00000000-0005-0000-0000-0000C0220000}"/>
    <cellStyle name="Normal 8 11 4 2 2 2" xfId="16117" xr:uid="{00000000-0005-0000-0000-0000C1220000}"/>
    <cellStyle name="Normal 8 11 4 2 2 2 2" xfId="28011" xr:uid="{EE2AE960-B6C5-4EE1-9376-CF7DB08C9608}"/>
    <cellStyle name="Normal 8 11 4 2 2 2 3" xfId="22351" xr:uid="{99D1C0DE-B29B-45ED-8EA1-E741240CD8A6}"/>
    <cellStyle name="Normal 8 11 4 2 2 2 4" xfId="33391" xr:uid="{A89F1688-2F9D-477F-B47C-ED4493E8D65D}"/>
    <cellStyle name="Normal 8 11 4 2 2 2 5" xfId="41542" xr:uid="{0B602D3B-EF84-4104-8D59-50D400692685}"/>
    <cellStyle name="Normal 8 11 4 2 2 3" xfId="25178" xr:uid="{0367D8D8-7267-4A20-A503-5A975BBF9646}"/>
    <cellStyle name="Normal 8 11 4 2 2 4" xfId="19518" xr:uid="{F040F8AD-8F7F-4E81-96B5-BDA0972052BC}"/>
    <cellStyle name="Normal 8 11 4 2 2 5" xfId="30839" xr:uid="{B9B70BC6-E8FA-4B6C-ADC7-2D97D3C4AD22}"/>
    <cellStyle name="Normal 8 11 4 2 2 6" xfId="41541" xr:uid="{B27DF740-53A8-46AA-8A48-A2C8A4F3F127}"/>
    <cellStyle name="Normal 8 11 4 2 3" xfId="14800" xr:uid="{00000000-0005-0000-0000-0000C2220000}"/>
    <cellStyle name="Normal 8 11 4 2 3 2" xfId="26755" xr:uid="{5D773B1F-6E95-4852-AE18-CE8D779F2DD8}"/>
    <cellStyle name="Normal 8 11 4 2 3 3" xfId="21095" xr:uid="{FA377D67-F0F0-4595-9EFB-DB17D0C2AB19}"/>
    <cellStyle name="Normal 8 11 4 2 3 4" xfId="32135" xr:uid="{64711D03-718E-4A9F-B90F-63F2E8F0E261}"/>
    <cellStyle name="Normal 8 11 4 2 3 5" xfId="41543" xr:uid="{473E0DA9-1950-4230-9B29-13CA6C160AA8}"/>
    <cellStyle name="Normal 8 11 4 2 4" xfId="23922" xr:uid="{44F764C5-1588-4792-A682-390F7B3B380C}"/>
    <cellStyle name="Normal 8 11 4 2 5" xfId="18262" xr:uid="{F3D6E49B-73E7-4726-9554-77F29D13480A}"/>
    <cellStyle name="Normal 8 11 4 2 6" xfId="29583" xr:uid="{0F1A393A-6B69-4302-A7E1-D0EB21703B2F}"/>
    <cellStyle name="Normal 8 11 4 2 7" xfId="41540" xr:uid="{76A3591F-C39D-498B-B59D-77261413EC26}"/>
    <cellStyle name="Normal 8 11 4 3" xfId="6950" xr:uid="{00000000-0005-0000-0000-0000C3220000}"/>
    <cellStyle name="Normal 8 11 4 3 2" xfId="15383" xr:uid="{00000000-0005-0000-0000-0000C4220000}"/>
    <cellStyle name="Normal 8 11 4 3 2 2" xfId="27277" xr:uid="{D4195E06-70EA-43CE-912E-DFC16C6C451D}"/>
    <cellStyle name="Normal 8 11 4 3 2 3" xfId="21617" xr:uid="{BB0A3A6D-A46A-4334-8E78-3EADA1AD8223}"/>
    <cellStyle name="Normal 8 11 4 3 2 4" xfId="32657" xr:uid="{9F7A2EE0-6EED-404C-A4F2-FCE053AF762A}"/>
    <cellStyle name="Normal 8 11 4 3 2 5" xfId="41545" xr:uid="{F7DB439C-79D5-4733-B3FA-9FE5779BFBE6}"/>
    <cellStyle name="Normal 8 11 4 3 3" xfId="24444" xr:uid="{2D6AE7E6-29DE-45CD-93CD-D0EBAED9E17A}"/>
    <cellStyle name="Normal 8 11 4 3 4" xfId="18784" xr:uid="{C1869730-3361-445C-AF27-FBEF408EAC36}"/>
    <cellStyle name="Normal 8 11 4 3 5" xfId="30105" xr:uid="{DB717FA6-F5D0-4106-BE1B-BB93ACAAAF4E}"/>
    <cellStyle name="Normal 8 11 4 3 6" xfId="41544" xr:uid="{5A2ADB5B-B5FD-4735-B47B-DE3F6FFBBC2E}"/>
    <cellStyle name="Normal 8 11 4 4" xfId="8135" xr:uid="{00000000-0005-0000-0000-0000C5220000}"/>
    <cellStyle name="Normal 8 11 4 4 2" xfId="25611" xr:uid="{2D527CA7-98AD-4ADC-B820-7602588DF132}"/>
    <cellStyle name="Normal 8 11 4 4 3" xfId="19951" xr:uid="{EA49092D-2517-4C05-92F3-742C7E787A97}"/>
    <cellStyle name="Normal 8 11 4 4 4" xfId="31272" xr:uid="{198AB382-5393-4270-84E1-CF86D3A633C2}"/>
    <cellStyle name="Normal 8 11 4 4 5" xfId="41546" xr:uid="{F79EF305-DAD0-437B-BFDE-1C9B27FF0E18}"/>
    <cellStyle name="Normal 8 11 4 5" xfId="22882" xr:uid="{591037C4-13C0-48DF-A8FB-88C51F389764}"/>
    <cellStyle name="Normal 8 11 4 6" xfId="17222" xr:uid="{830B6707-CED8-47C0-A240-7285731ED388}"/>
    <cellStyle name="Normal 8 11 4 7" xfId="28543" xr:uid="{1AFAC872-DCB9-480F-8DF9-27D3A6C8F4CE}"/>
    <cellStyle name="Normal 8 11 4 8" xfId="41539" xr:uid="{C9B4CDF6-7E78-4B38-BC38-C49304C40134}"/>
    <cellStyle name="Normal 8 11 5" xfId="6532" xr:uid="{00000000-0005-0000-0000-0000C6220000}"/>
    <cellStyle name="Normal 8 11 5 2" xfId="14965" xr:uid="{00000000-0005-0000-0000-0000C7220000}"/>
    <cellStyle name="Normal 8 11 5 2 2" xfId="26859" xr:uid="{E53A565A-910A-46DD-8649-6873D2FE675A}"/>
    <cellStyle name="Normal 8 11 5 2 3" xfId="21199" xr:uid="{650F8C5D-8548-483C-BC19-03479B206410}"/>
    <cellStyle name="Normal 8 11 5 2 4" xfId="32239" xr:uid="{18EBF324-D881-4EA8-B976-9D716A8EFEA8}"/>
    <cellStyle name="Normal 8 11 5 2 5" xfId="41548" xr:uid="{75C15420-7272-4446-B50A-26E7E4DF9965}"/>
    <cellStyle name="Normal 8 11 5 3" xfId="24026" xr:uid="{46B16017-1C14-4A1B-8499-BB7B98E07D3D}"/>
    <cellStyle name="Normal 8 11 5 4" xfId="18366" xr:uid="{CB0B97C1-C761-4120-889A-A7F2C09E516E}"/>
    <cellStyle name="Normal 8 11 5 5" xfId="29687" xr:uid="{33E0D01F-154E-43E3-87F5-B3AC043D0C9D}"/>
    <cellStyle name="Normal 8 11 5 6" xfId="41547" xr:uid="{47C25CAC-15BB-4D15-B13C-BA7159E80E2D}"/>
    <cellStyle name="Normal 8 11 6" xfId="22464" xr:uid="{7C62E464-B821-41FE-A303-FE36F94F8F30}"/>
    <cellStyle name="Normal 8 11 6 2" xfId="41549" xr:uid="{F567A8AE-A1E4-4CD3-A9C7-5A45EA215864}"/>
    <cellStyle name="Normal 8 11 7" xfId="16804" xr:uid="{2DAF5CAB-D411-41B5-A560-105889D01CEC}"/>
    <cellStyle name="Normal 8 11 8" xfId="28125" xr:uid="{37174492-C20A-47DE-88DB-F0CEF692C19A}"/>
    <cellStyle name="Normal 8 11 9" xfId="41525" xr:uid="{7583CE68-0218-4274-B9A7-A17BB7833D46}"/>
    <cellStyle name="Normal 8 12" xfId="4413" xr:uid="{00000000-0005-0000-0000-0000C8220000}"/>
    <cellStyle name="Normal 8 12 2" xfId="41551" xr:uid="{34EC8A64-BA59-4FA8-A147-AD3244A999AA}"/>
    <cellStyle name="Normal 8 12 3" xfId="41550" xr:uid="{871798C2-7B20-428F-B190-0402664C3713}"/>
    <cellStyle name="Normal 8 13" xfId="4414" xr:uid="{00000000-0005-0000-0000-0000C9220000}"/>
    <cellStyle name="Normal 8 13 2" xfId="41552" xr:uid="{3821214D-0CB0-4FAC-BC0A-7BCF1E1BE455}"/>
    <cellStyle name="Normal 8 14" xfId="41520" xr:uid="{16C3A5C7-0C06-4AC6-807B-74012892F1C3}"/>
    <cellStyle name="Normal 8 2" xfId="188" xr:uid="{00000000-0005-0000-0000-0000CA220000}"/>
    <cellStyle name="Normal 8 2 10" xfId="41553" xr:uid="{22B3EABC-4D90-495A-9D35-692C3EE69793}"/>
    <cellStyle name="Normal 8 2 2" xfId="4415" xr:uid="{00000000-0005-0000-0000-0000CB220000}"/>
    <cellStyle name="Normal 8 2 2 2" xfId="41554" xr:uid="{80BF95C2-CCB1-4BF8-80B4-A310A3C96162}"/>
    <cellStyle name="Normal 8 2 3" xfId="4416" xr:uid="{00000000-0005-0000-0000-0000CC220000}"/>
    <cellStyle name="Normal 8 2 3 2" xfId="41555" xr:uid="{06CF5DD9-82A0-4514-A963-A512CA7BB276}"/>
    <cellStyle name="Normal 8 2 4" xfId="4417" xr:uid="{00000000-0005-0000-0000-0000CD220000}"/>
    <cellStyle name="Normal 8 2 4 2" xfId="41556" xr:uid="{F0C6280A-7B02-4116-9DCE-E77900A2B934}"/>
    <cellStyle name="Normal 8 2 5" xfId="4418" xr:uid="{00000000-0005-0000-0000-0000CE220000}"/>
    <cellStyle name="Normal 8 2 5 2" xfId="41557" xr:uid="{3AFD035C-A491-4910-94D0-F3880E1B4F04}"/>
    <cellStyle name="Normal 8 2 6" xfId="4419" xr:uid="{00000000-0005-0000-0000-0000CF220000}"/>
    <cellStyle name="Normal 8 2 6 2" xfId="41558" xr:uid="{5506907E-C347-489E-BB5D-2A2A2A5A62C4}"/>
    <cellStyle name="Normal 8 2 7" xfId="4420" xr:uid="{00000000-0005-0000-0000-0000D0220000}"/>
    <cellStyle name="Normal 8 2 7 2" xfId="41559" xr:uid="{E42D1E19-C257-4A63-A656-E282F2DDBB14}"/>
    <cellStyle name="Normal 8 2 8" xfId="4421" xr:uid="{00000000-0005-0000-0000-0000D1220000}"/>
    <cellStyle name="Normal 8 2 8 2" xfId="41560" xr:uid="{DFEC5009-4FCD-4E27-9FFF-BB5C85CADA27}"/>
    <cellStyle name="Normal 8 2 9" xfId="4422" xr:uid="{00000000-0005-0000-0000-0000D2220000}"/>
    <cellStyle name="Normal 8 2 9 2" xfId="41561" xr:uid="{603F485B-BBED-4DA5-9EFE-81CD79559F94}"/>
    <cellStyle name="Normal 8 3" xfId="2298" xr:uid="{00000000-0005-0000-0000-0000D3220000}"/>
    <cellStyle name="Normal 8 3 2" xfId="4423" xr:uid="{00000000-0005-0000-0000-0000D4220000}"/>
    <cellStyle name="Normal 8 3 2 2" xfId="41563" xr:uid="{49796914-F152-4DB6-9D13-F67046340C3D}"/>
    <cellStyle name="Normal 8 3 3" xfId="4424" xr:uid="{00000000-0005-0000-0000-0000D5220000}"/>
    <cellStyle name="Normal 8 3 3 2" xfId="41564" xr:uid="{14E98569-6D5B-4110-AAEC-199FB5D47289}"/>
    <cellStyle name="Normal 8 3 4" xfId="4425" xr:uid="{00000000-0005-0000-0000-0000D6220000}"/>
    <cellStyle name="Normal 8 3 4 2" xfId="41565" xr:uid="{97AB4316-328B-4167-AF3A-BB7F053145DE}"/>
    <cellStyle name="Normal 8 3 5" xfId="4426" xr:uid="{00000000-0005-0000-0000-0000D7220000}"/>
    <cellStyle name="Normal 8 3 5 2" xfId="41566" xr:uid="{30E1CDCA-E372-4238-81E2-281CFB03435B}"/>
    <cellStyle name="Normal 8 3 6" xfId="4427" xr:uid="{00000000-0005-0000-0000-0000D8220000}"/>
    <cellStyle name="Normal 8 3 6 2" xfId="41567" xr:uid="{D4291660-2CF0-4BF7-A73D-DFA0B40DD00B}"/>
    <cellStyle name="Normal 8 3 7" xfId="4428" xr:uid="{00000000-0005-0000-0000-0000D9220000}"/>
    <cellStyle name="Normal 8 3 7 2" xfId="41568" xr:uid="{471B1FC4-98D1-40B5-A955-A488FD8D4A77}"/>
    <cellStyle name="Normal 8 3 8" xfId="4429" xr:uid="{00000000-0005-0000-0000-0000DA220000}"/>
    <cellStyle name="Normal 8 3 8 2" xfId="41569" xr:uid="{934E1B7A-AD1D-4B4D-B5F0-998E536C552F}"/>
    <cellStyle name="Normal 8 3 9" xfId="41562" xr:uid="{3C4E600F-BF5F-4E3D-90BC-10777318A327}"/>
    <cellStyle name="Normal 8 4" xfId="2299" xr:uid="{00000000-0005-0000-0000-0000DB220000}"/>
    <cellStyle name="Normal 8 4 2" xfId="4430" xr:uid="{00000000-0005-0000-0000-0000DC220000}"/>
    <cellStyle name="Normal 8 4 2 2" xfId="41571" xr:uid="{D2C91A41-85F9-4A83-BA48-6CFE90CF6893}"/>
    <cellStyle name="Normal 8 4 3" xfId="4431" xr:uid="{00000000-0005-0000-0000-0000DD220000}"/>
    <cellStyle name="Normal 8 4 3 2" xfId="41572" xr:uid="{507AF7E1-D099-473A-A06B-62BB7935D4D6}"/>
    <cellStyle name="Normal 8 4 4" xfId="4432" xr:uid="{00000000-0005-0000-0000-0000DE220000}"/>
    <cellStyle name="Normal 8 4 4 2" xfId="41573" xr:uid="{630E3E70-CAE4-44B9-B3DE-A060EFAC87EC}"/>
    <cellStyle name="Normal 8 4 5" xfId="4433" xr:uid="{00000000-0005-0000-0000-0000DF220000}"/>
    <cellStyle name="Normal 8 4 5 2" xfId="41574" xr:uid="{E945B22C-D759-4B31-8113-50F374E9F242}"/>
    <cellStyle name="Normal 8 4 6" xfId="4434" xr:uid="{00000000-0005-0000-0000-0000E0220000}"/>
    <cellStyle name="Normal 8 4 6 2" xfId="41575" xr:uid="{D166B26D-9E7D-4DFE-BD8B-7F3346A9C07B}"/>
    <cellStyle name="Normal 8 4 7" xfId="4435" xr:uid="{00000000-0005-0000-0000-0000E1220000}"/>
    <cellStyle name="Normal 8 4 7 2" xfId="41576" xr:uid="{A619670D-7053-46AB-B1AF-E65B87492C77}"/>
    <cellStyle name="Normal 8 4 8" xfId="4436" xr:uid="{00000000-0005-0000-0000-0000E2220000}"/>
    <cellStyle name="Normal 8 4 8 2" xfId="41577" xr:uid="{55795D98-D865-4DC2-9A77-AF238F643240}"/>
    <cellStyle name="Normal 8 4 9" xfId="41570" xr:uid="{30092106-8A32-4B5E-A758-80E666A57484}"/>
    <cellStyle name="Normal 8 5" xfId="2300" xr:uid="{00000000-0005-0000-0000-0000E3220000}"/>
    <cellStyle name="Normal 8 5 2" xfId="4437" xr:uid="{00000000-0005-0000-0000-0000E4220000}"/>
    <cellStyle name="Normal 8 5 2 2" xfId="41579" xr:uid="{F90098CA-B179-44A1-B5A9-3879EB5DC6D0}"/>
    <cellStyle name="Normal 8 5 3" xfId="4438" xr:uid="{00000000-0005-0000-0000-0000E5220000}"/>
    <cellStyle name="Normal 8 5 3 2" xfId="41580" xr:uid="{73EB704D-188D-4610-94AA-BEEF51DF110B}"/>
    <cellStyle name="Normal 8 5 4" xfId="4439" xr:uid="{00000000-0005-0000-0000-0000E6220000}"/>
    <cellStyle name="Normal 8 5 4 2" xfId="41581" xr:uid="{AD738AAB-6E70-49BF-882B-389B8809ABAD}"/>
    <cellStyle name="Normal 8 5 5" xfId="4440" xr:uid="{00000000-0005-0000-0000-0000E7220000}"/>
    <cellStyle name="Normal 8 5 5 2" xfId="41582" xr:uid="{C606685C-9BAB-4A09-932C-FCDEE77AA4D6}"/>
    <cellStyle name="Normal 8 5 6" xfId="4441" xr:uid="{00000000-0005-0000-0000-0000E8220000}"/>
    <cellStyle name="Normal 8 5 6 2" xfId="41583" xr:uid="{96E135BA-5869-48D4-A15D-77F73EF0D5EC}"/>
    <cellStyle name="Normal 8 5 7" xfId="4442" xr:uid="{00000000-0005-0000-0000-0000E9220000}"/>
    <cellStyle name="Normal 8 5 7 2" xfId="41584" xr:uid="{D44EA91B-2176-4AA9-8A6D-B86823AD4F03}"/>
    <cellStyle name="Normal 8 5 8" xfId="4443" xr:uid="{00000000-0005-0000-0000-0000EA220000}"/>
    <cellStyle name="Normal 8 5 8 2" xfId="41585" xr:uid="{89E260AD-A7B0-49ED-892A-E2CA79DB8A4C}"/>
    <cellStyle name="Normal 8 5 9" xfId="41578" xr:uid="{856A222C-6BA5-4FE1-AAA3-CA68257FC987}"/>
    <cellStyle name="Normal 8 6" xfId="2301" xr:uid="{00000000-0005-0000-0000-0000EB220000}"/>
    <cellStyle name="Normal 8 6 2" xfId="41586" xr:uid="{5A452B27-F42F-48C2-919D-23AC8D6D87A4}"/>
    <cellStyle name="Normal 8 7" xfId="2302" xr:uid="{00000000-0005-0000-0000-0000EC220000}"/>
    <cellStyle name="Normal 8 7 2" xfId="41587" xr:uid="{386E77DC-3F12-4591-9109-DADD2E04B91A}"/>
    <cellStyle name="Normal 8 8" xfId="2303" xr:uid="{00000000-0005-0000-0000-0000ED220000}"/>
    <cellStyle name="Normal 8 8 2" xfId="41588" xr:uid="{7847FE81-C3AE-4956-862E-2A23626220C0}"/>
    <cellStyle name="Normal 8 9" xfId="2304" xr:uid="{00000000-0005-0000-0000-0000EE220000}"/>
    <cellStyle name="Normal 8 9 2" xfId="41589" xr:uid="{1E36E1C8-F2B3-4C86-96EE-18ACD852AB9C}"/>
    <cellStyle name="Normal 9" xfId="189" xr:uid="{00000000-0005-0000-0000-0000EF220000}"/>
    <cellStyle name="Normal 9 10" xfId="2305" xr:uid="{00000000-0005-0000-0000-0000F0220000}"/>
    <cellStyle name="Normal 9 10 10" xfId="41591" xr:uid="{08F88AAA-28D4-42BE-B876-CE7C7D18FC9A}"/>
    <cellStyle name="Normal 9 10 2" xfId="4878" xr:uid="{00000000-0005-0000-0000-0000F1220000}"/>
    <cellStyle name="Normal 9 10 2 2" xfId="5297" xr:uid="{00000000-0005-0000-0000-0000F2220000}"/>
    <cellStyle name="Normal 9 10 2 2 2" xfId="7160" xr:uid="{00000000-0005-0000-0000-0000F3220000}"/>
    <cellStyle name="Normal 9 10 2 2 2 2" xfId="15593" xr:uid="{00000000-0005-0000-0000-0000F4220000}"/>
    <cellStyle name="Normal 9 10 2 2 2 2 2" xfId="27487" xr:uid="{25767812-5202-43BB-A4FA-E9A1E51E4E6F}"/>
    <cellStyle name="Normal 9 10 2 2 2 2 3" xfId="21827" xr:uid="{2B5F2B3D-25A3-4315-801D-39F520616E82}"/>
    <cellStyle name="Normal 9 10 2 2 2 2 4" xfId="32867" xr:uid="{EC3B40C9-A989-4A5A-BA20-713355309529}"/>
    <cellStyle name="Normal 9 10 2 2 2 2 5" xfId="41595" xr:uid="{19DEABCD-A69C-473B-9749-9CD48A045F47}"/>
    <cellStyle name="Normal 9 10 2 2 2 3" xfId="24654" xr:uid="{770F8FAB-EE7B-41B4-A190-3DC11E03645C}"/>
    <cellStyle name="Normal 9 10 2 2 2 4" xfId="18994" xr:uid="{D9A5A570-996B-4469-BFAE-9AB2765C8C1F}"/>
    <cellStyle name="Normal 9 10 2 2 2 5" xfId="30315" xr:uid="{202E8C25-9092-4201-8ACA-F5B86001204B}"/>
    <cellStyle name="Normal 9 10 2 2 2 6" xfId="41594" xr:uid="{56373079-4238-4404-8817-E8A8A20F7196}"/>
    <cellStyle name="Normal 9 10 2 2 3" xfId="14183" xr:uid="{00000000-0005-0000-0000-0000F5220000}"/>
    <cellStyle name="Normal 9 10 2 2 3 2" xfId="26222" xr:uid="{ACDCC783-ABF6-4982-8C40-B94E40451F96}"/>
    <cellStyle name="Normal 9 10 2 2 3 3" xfId="20562" xr:uid="{10BE07B3-3EDE-4F46-9E12-77299C090C0C}"/>
    <cellStyle name="Normal 9 10 2 2 3 4" xfId="31602" xr:uid="{14C57638-AEE7-4E5D-A387-AF0AC9CE9B8C}"/>
    <cellStyle name="Normal 9 10 2 2 3 5" xfId="41596" xr:uid="{3F70C0D7-C522-4F6A-9B75-54A0778B874F}"/>
    <cellStyle name="Normal 9 10 2 2 4" xfId="23092" xr:uid="{3113AFCA-F4C6-4E58-8D99-D517E062F891}"/>
    <cellStyle name="Normal 9 10 2 2 5" xfId="17432" xr:uid="{C5D724A5-EF36-4B8E-85FB-6FD2CAE38627}"/>
    <cellStyle name="Normal 9 10 2 2 6" xfId="28753" xr:uid="{B8FC0C94-CB92-4B67-A628-24BB85E8B68B}"/>
    <cellStyle name="Normal 9 10 2 2 7" xfId="41593" xr:uid="{BB915166-6087-49A3-A098-718C6E82A66E}"/>
    <cellStyle name="Normal 9 10 2 3" xfId="6368" xr:uid="{00000000-0005-0000-0000-0000F6220000}"/>
    <cellStyle name="Normal 9 10 2 3 2" xfId="7687" xr:uid="{00000000-0005-0000-0000-0000F7220000}"/>
    <cellStyle name="Normal 9 10 2 3 2 2" xfId="16120" xr:uid="{00000000-0005-0000-0000-0000F8220000}"/>
    <cellStyle name="Normal 9 10 2 3 2 2 2" xfId="28014" xr:uid="{78696680-6F2B-496D-ADDB-8BB97389B633}"/>
    <cellStyle name="Normal 9 10 2 3 2 2 3" xfId="22354" xr:uid="{55E12FD6-7D59-4588-83F8-33AFF44247AD}"/>
    <cellStyle name="Normal 9 10 2 3 2 2 4" xfId="33394" xr:uid="{8590C8BC-58A7-44AF-9D3F-605F326400CB}"/>
    <cellStyle name="Normal 9 10 2 3 2 2 5" xfId="41599" xr:uid="{10B5CEB8-7958-4003-890E-255D1C5C277C}"/>
    <cellStyle name="Normal 9 10 2 3 2 3" xfId="25181" xr:uid="{AA47D1F8-540A-4F63-8784-A4F788483BFB}"/>
    <cellStyle name="Normal 9 10 2 3 2 4" xfId="19521" xr:uid="{7CCEC2B0-1912-478F-BA3D-11C293B76D38}"/>
    <cellStyle name="Normal 9 10 2 3 2 5" xfId="30842" xr:uid="{57B1809F-C5ED-4E5A-B2D1-84001441A9FE}"/>
    <cellStyle name="Normal 9 10 2 3 2 6" xfId="41598" xr:uid="{A4831646-C568-4829-9659-DA40CC1844E7}"/>
    <cellStyle name="Normal 9 10 2 3 3" xfId="14803" xr:uid="{00000000-0005-0000-0000-0000F9220000}"/>
    <cellStyle name="Normal 9 10 2 3 3 2" xfId="26758" xr:uid="{142B095C-D8B8-4AEA-82C4-F6DE78173C6C}"/>
    <cellStyle name="Normal 9 10 2 3 3 3" xfId="21098" xr:uid="{65180FFC-33C1-4749-9AF5-121AE38257DD}"/>
    <cellStyle name="Normal 9 10 2 3 3 4" xfId="32138" xr:uid="{926DEE81-839B-4C73-B578-C865D216B7B8}"/>
    <cellStyle name="Normal 9 10 2 3 3 5" xfId="41600" xr:uid="{F7B3E751-9F0E-49CD-95A0-0F6B0A271F0E}"/>
    <cellStyle name="Normal 9 10 2 3 4" xfId="23925" xr:uid="{804D39CF-2578-455A-8E35-0BE4FE40F9EE}"/>
    <cellStyle name="Normal 9 10 2 3 5" xfId="18265" xr:uid="{75FCEAB3-1130-4EFC-871D-B5D795BFB38C}"/>
    <cellStyle name="Normal 9 10 2 3 6" xfId="29586" xr:uid="{4DA421B5-43DC-49B9-B429-59AE50649E7B}"/>
    <cellStyle name="Normal 9 10 2 3 7" xfId="41597" xr:uid="{0BA049CA-512A-4AF4-8A57-06FC96163E70}"/>
    <cellStyle name="Normal 9 10 2 4" xfId="6742" xr:uid="{00000000-0005-0000-0000-0000FA220000}"/>
    <cellStyle name="Normal 9 10 2 4 2" xfId="15175" xr:uid="{00000000-0005-0000-0000-0000FB220000}"/>
    <cellStyle name="Normal 9 10 2 4 2 2" xfId="27069" xr:uid="{96DA858A-9003-4EEF-80F2-4247E3217AF9}"/>
    <cellStyle name="Normal 9 10 2 4 2 3" xfId="21409" xr:uid="{A1EC98C1-3901-478C-B62F-CAE4017ED7D8}"/>
    <cellStyle name="Normal 9 10 2 4 2 4" xfId="32449" xr:uid="{EB5BF53E-37C9-44AC-B15D-886DCE9A6617}"/>
    <cellStyle name="Normal 9 10 2 4 2 5" xfId="41602" xr:uid="{97C4E744-5F9A-42E8-9851-BA6C40E046A7}"/>
    <cellStyle name="Normal 9 10 2 4 3" xfId="24236" xr:uid="{BAC68FAA-F0F3-46D4-9534-77C2D351DABA}"/>
    <cellStyle name="Normal 9 10 2 4 4" xfId="18576" xr:uid="{A9A2BE36-4A7D-429B-89E8-E056674EDD6F}"/>
    <cellStyle name="Normal 9 10 2 4 5" xfId="29897" xr:uid="{F67D624B-6671-4E70-A648-268910647ACE}"/>
    <cellStyle name="Normal 9 10 2 4 6" xfId="41601" xr:uid="{4453E291-B0DD-45B5-85A6-1C29D1BCF90F}"/>
    <cellStyle name="Normal 9 10 2 5" xfId="8137" xr:uid="{00000000-0005-0000-0000-0000FC220000}"/>
    <cellStyle name="Normal 9 10 2 5 2" xfId="25613" xr:uid="{28E65002-228B-4E91-A510-D41E7521A2BA}"/>
    <cellStyle name="Normal 9 10 2 5 3" xfId="19953" xr:uid="{0F571485-FB88-42BD-BE18-7F24ECBC626C}"/>
    <cellStyle name="Normal 9 10 2 5 4" xfId="31274" xr:uid="{95D2A6E9-F298-49F4-B5EE-4D314D482A8B}"/>
    <cellStyle name="Normal 9 10 2 5 5" xfId="41603" xr:uid="{C2ADFCDC-1D7E-493F-921F-A4D78A5EA849}"/>
    <cellStyle name="Normal 9 10 2 6" xfId="22674" xr:uid="{76F6E7F7-D73A-4D52-8322-C04988B9DA14}"/>
    <cellStyle name="Normal 9 10 2 7" xfId="17014" xr:uid="{56A4158E-6FAA-4BD8-B0F9-CF891CF19185}"/>
    <cellStyle name="Normal 9 10 2 8" xfId="28335" xr:uid="{FD62334A-365B-4F84-9862-7614ECBE76F0}"/>
    <cellStyle name="Normal 9 10 2 9" xfId="41592" xr:uid="{4CE22DF2-5900-4823-A04C-545E30498694}"/>
    <cellStyle name="Normal 9 10 3" xfId="5088" xr:uid="{00000000-0005-0000-0000-0000FD220000}"/>
    <cellStyle name="Normal 9 10 3 2" xfId="6951" xr:uid="{00000000-0005-0000-0000-0000FE220000}"/>
    <cellStyle name="Normal 9 10 3 2 2" xfId="15384" xr:uid="{00000000-0005-0000-0000-0000FF220000}"/>
    <cellStyle name="Normal 9 10 3 2 2 2" xfId="27278" xr:uid="{FACC49C6-99B2-4882-B8F8-C2BFAD7E53EB}"/>
    <cellStyle name="Normal 9 10 3 2 2 3" xfId="21618" xr:uid="{0913E92B-A467-4692-8815-1E85B8876419}"/>
    <cellStyle name="Normal 9 10 3 2 2 4" xfId="32658" xr:uid="{F57795D3-F39E-4089-9A7A-5DF70AF87047}"/>
    <cellStyle name="Normal 9 10 3 2 2 5" xfId="41606" xr:uid="{0AED5949-FC38-4751-BD62-70120B70C111}"/>
    <cellStyle name="Normal 9 10 3 2 3" xfId="24445" xr:uid="{CB68627A-474E-46FF-8189-8D9618ECA3C2}"/>
    <cellStyle name="Normal 9 10 3 2 4" xfId="18785" xr:uid="{86D89754-CFA5-44F6-9AD9-272B212040F0}"/>
    <cellStyle name="Normal 9 10 3 2 5" xfId="30106" xr:uid="{3BBDE92D-6345-4BA9-A4FB-4149EE5AAFE6}"/>
    <cellStyle name="Normal 9 10 3 2 6" xfId="41605" xr:uid="{714AC7C3-77EF-406D-9BCE-9F63ED1BFC53}"/>
    <cellStyle name="Normal 9 10 3 3" xfId="13975" xr:uid="{00000000-0005-0000-0000-000000230000}"/>
    <cellStyle name="Normal 9 10 3 3 2" xfId="26014" xr:uid="{5D8F7D8C-2BE2-408D-A184-344F4C568946}"/>
    <cellStyle name="Normal 9 10 3 3 3" xfId="20354" xr:uid="{32807F6B-A3B6-4D86-8297-253B1CF586E0}"/>
    <cellStyle name="Normal 9 10 3 3 4" xfId="31394" xr:uid="{FE7F2398-90C6-44D8-8B63-1BF0B532A0A8}"/>
    <cellStyle name="Normal 9 10 3 3 5" xfId="41607" xr:uid="{21335206-F25B-4831-A134-73FE6047E199}"/>
    <cellStyle name="Normal 9 10 3 4" xfId="22883" xr:uid="{DB142ACD-2E63-4920-9FDA-F89CF5EEB8D4}"/>
    <cellStyle name="Normal 9 10 3 5" xfId="17223" xr:uid="{4A4A2AEE-B634-47B4-9FC9-D5C27EB87A65}"/>
    <cellStyle name="Normal 9 10 3 6" xfId="28544" xr:uid="{A0FECB48-2DDB-43A1-92F6-E4CB861155C1}"/>
    <cellStyle name="Normal 9 10 3 7" xfId="41604" xr:uid="{16CD4CFE-B764-4D34-ADE2-A4869FC53445}"/>
    <cellStyle name="Normal 9 10 4" xfId="6367" xr:uid="{00000000-0005-0000-0000-000001230000}"/>
    <cellStyle name="Normal 9 10 4 2" xfId="7686" xr:uid="{00000000-0005-0000-0000-000002230000}"/>
    <cellStyle name="Normal 9 10 4 2 2" xfId="16119" xr:uid="{00000000-0005-0000-0000-000003230000}"/>
    <cellStyle name="Normal 9 10 4 2 2 2" xfId="28013" xr:uid="{7F22E1D1-C22A-47CD-8C83-486EC0BB3520}"/>
    <cellStyle name="Normal 9 10 4 2 2 3" xfId="22353" xr:uid="{36C7FBD1-C522-4171-B902-FE409B172C87}"/>
    <cellStyle name="Normal 9 10 4 2 2 4" xfId="33393" xr:uid="{89877F4A-22DE-4E44-BAF9-07A6A0508C26}"/>
    <cellStyle name="Normal 9 10 4 2 2 5" xfId="41610" xr:uid="{6217B4F7-E8C0-41A1-9E0C-78B74A794958}"/>
    <cellStyle name="Normal 9 10 4 2 3" xfId="25180" xr:uid="{383B3696-0C9D-42BE-A234-EC58BAA96C04}"/>
    <cellStyle name="Normal 9 10 4 2 4" xfId="19520" xr:uid="{38242ECF-FA9B-4618-92E7-092D0CE8941A}"/>
    <cellStyle name="Normal 9 10 4 2 5" xfId="30841" xr:uid="{C140D224-D911-4B00-9AF8-19F9D6F10F4E}"/>
    <cellStyle name="Normal 9 10 4 2 6" xfId="41609" xr:uid="{494C6AC6-13C6-4E2B-A8B0-52A6EA27431E}"/>
    <cellStyle name="Normal 9 10 4 3" xfId="14802" xr:uid="{00000000-0005-0000-0000-000004230000}"/>
    <cellStyle name="Normal 9 10 4 3 2" xfId="26757" xr:uid="{DF4B3D39-2B67-4ED1-BD00-F6F577D338D9}"/>
    <cellStyle name="Normal 9 10 4 3 3" xfId="21097" xr:uid="{C16DBC42-528B-42E0-8016-E1C52FFED7B9}"/>
    <cellStyle name="Normal 9 10 4 3 4" xfId="32137" xr:uid="{6B942D0D-D18C-45B9-8D3D-4FABC41EC269}"/>
    <cellStyle name="Normal 9 10 4 3 5" xfId="41611" xr:uid="{026CDCA8-A94F-48BE-95F2-CC9DA6372B16}"/>
    <cellStyle name="Normal 9 10 4 4" xfId="23924" xr:uid="{A6B5660C-0362-4E4C-AFAE-C909328E097E}"/>
    <cellStyle name="Normal 9 10 4 5" xfId="18264" xr:uid="{C11FEF5E-6A10-465D-8B5A-CED5BC22718B}"/>
    <cellStyle name="Normal 9 10 4 6" xfId="29585" xr:uid="{EC4853F2-7ACD-45D3-8734-59EFE206B2CB}"/>
    <cellStyle name="Normal 9 10 4 7" xfId="41608" xr:uid="{BCB79FE0-EF23-4BDB-862C-4335951D7232}"/>
    <cellStyle name="Normal 9 10 5" xfId="6533" xr:uid="{00000000-0005-0000-0000-000005230000}"/>
    <cellStyle name="Normal 9 10 5 2" xfId="14966" xr:uid="{00000000-0005-0000-0000-000006230000}"/>
    <cellStyle name="Normal 9 10 5 2 2" xfId="26860" xr:uid="{E175D61A-0EDC-4276-9189-1E94C9F85A08}"/>
    <cellStyle name="Normal 9 10 5 2 3" xfId="21200" xr:uid="{D706DC95-7F0B-4ABF-8F1B-DE694958BDF5}"/>
    <cellStyle name="Normal 9 10 5 2 4" xfId="32240" xr:uid="{56DC3F63-266A-4FBA-B7C9-0CDE6E0CA054}"/>
    <cellStyle name="Normal 9 10 5 2 5" xfId="41613" xr:uid="{DB0DAD3C-9665-4D9A-9D3C-90D6A63EF272}"/>
    <cellStyle name="Normal 9 10 5 3" xfId="24027" xr:uid="{27658BF5-3B64-470D-993C-864A90E77E53}"/>
    <cellStyle name="Normal 9 10 5 4" xfId="18367" xr:uid="{44909F55-E50D-4C8D-B9BD-506DDC163E9E}"/>
    <cellStyle name="Normal 9 10 5 5" xfId="29688" xr:uid="{6094281D-008B-4DB9-AF54-8C4AFC87993F}"/>
    <cellStyle name="Normal 9 10 5 6" xfId="41612" xr:uid="{94ADC36A-0304-422F-BBC7-45522B28AC5D}"/>
    <cellStyle name="Normal 9 10 6" xfId="8136" xr:uid="{00000000-0005-0000-0000-000007230000}"/>
    <cellStyle name="Normal 9 10 6 2" xfId="25612" xr:uid="{F5789D48-35DF-4743-95E4-EA50CFAADCC9}"/>
    <cellStyle name="Normal 9 10 6 3" xfId="19952" xr:uid="{78E3F23D-788E-4CAD-B64D-513D22D5E2E7}"/>
    <cellStyle name="Normal 9 10 6 4" xfId="31273" xr:uid="{AA78AB14-9145-453B-97C0-1494C38278E1}"/>
    <cellStyle name="Normal 9 10 6 5" xfId="41614" xr:uid="{7A67E3D9-2DED-4F8A-BF67-40552A1F4798}"/>
    <cellStyle name="Normal 9 10 7" xfId="22465" xr:uid="{9EE9EA97-5896-4662-9D11-875DACAA9110}"/>
    <cellStyle name="Normal 9 10 7 2" xfId="41615" xr:uid="{E7A9D393-BDA1-446B-BC9D-AD4B6F9A7453}"/>
    <cellStyle name="Normal 9 10 8" xfId="16805" xr:uid="{039E3471-2970-4908-A253-ECCC19E10DA3}"/>
    <cellStyle name="Normal 9 10 9" xfId="28126" xr:uid="{CA3115B1-35EA-497B-AB6C-9174526E7300}"/>
    <cellStyle name="Normal 9 11" xfId="4791" xr:uid="{00000000-0005-0000-0000-000008230000}"/>
    <cellStyle name="Normal 9 11 10" xfId="41616" xr:uid="{9277E3FA-BCFE-4BB7-9E45-D0066E819631}"/>
    <cellStyle name="Normal 9 11 2" xfId="5005" xr:uid="{00000000-0005-0000-0000-000009230000}"/>
    <cellStyle name="Normal 9 11 2 2" xfId="5423" xr:uid="{00000000-0005-0000-0000-00000A230000}"/>
    <cellStyle name="Normal 9 11 2 2 2" xfId="7286" xr:uid="{00000000-0005-0000-0000-00000B230000}"/>
    <cellStyle name="Normal 9 11 2 2 2 2" xfId="15719" xr:uid="{00000000-0005-0000-0000-00000C230000}"/>
    <cellStyle name="Normal 9 11 2 2 2 2 2" xfId="27613" xr:uid="{8F2DA671-0845-4941-BAD8-158AFA321571}"/>
    <cellStyle name="Normal 9 11 2 2 2 2 3" xfId="21953" xr:uid="{5F709AEB-ACF2-4707-AC62-F8C816A71B2B}"/>
    <cellStyle name="Normal 9 11 2 2 2 2 4" xfId="32993" xr:uid="{2B867607-F30D-44AF-9F64-A0C838997D1B}"/>
    <cellStyle name="Normal 9 11 2 2 2 2 5" xfId="41620" xr:uid="{0FB28894-463D-424D-BDF2-59327AC9D46E}"/>
    <cellStyle name="Normal 9 11 2 2 2 3" xfId="24780" xr:uid="{38B4AACB-2EC8-4D33-A3A4-0BCA2DFD4720}"/>
    <cellStyle name="Normal 9 11 2 2 2 4" xfId="19120" xr:uid="{36D617D9-DBBC-469B-BD54-36D12CE6B628}"/>
    <cellStyle name="Normal 9 11 2 2 2 5" xfId="30441" xr:uid="{1BF2BC00-25AE-450D-A383-34FF0E795026}"/>
    <cellStyle name="Normal 9 11 2 2 2 6" xfId="41619" xr:uid="{9F2E75F3-1012-4BFC-B6B3-F125F733D351}"/>
    <cellStyle name="Normal 9 11 2 2 3" xfId="14309" xr:uid="{00000000-0005-0000-0000-00000D230000}"/>
    <cellStyle name="Normal 9 11 2 2 3 2" xfId="26348" xr:uid="{4DDB43B4-35AA-4DEA-BF43-1AAA85274099}"/>
    <cellStyle name="Normal 9 11 2 2 3 3" xfId="20688" xr:uid="{680D18C6-1602-405A-95FF-5471F2D48737}"/>
    <cellStyle name="Normal 9 11 2 2 3 4" xfId="31728" xr:uid="{3C0F2B98-68DA-46EF-9353-27B7B9B9A3A2}"/>
    <cellStyle name="Normal 9 11 2 2 3 5" xfId="41621" xr:uid="{FBF6DFB8-DADC-4C5D-9D89-BD91826232F0}"/>
    <cellStyle name="Normal 9 11 2 2 4" xfId="23218" xr:uid="{7BF723C8-13CA-497C-BAB0-51351E7AFF30}"/>
    <cellStyle name="Normal 9 11 2 2 5" xfId="17558" xr:uid="{6A393137-C169-4160-AAE9-239E67714067}"/>
    <cellStyle name="Normal 9 11 2 2 6" xfId="28879" xr:uid="{FFE2B48D-B027-4EE9-BE86-1AA9BD3C4322}"/>
    <cellStyle name="Normal 9 11 2 2 7" xfId="41618" xr:uid="{33B96C43-5C12-4330-BABF-A1992C685E0B}"/>
    <cellStyle name="Normal 9 11 2 3" xfId="6370" xr:uid="{00000000-0005-0000-0000-00000E230000}"/>
    <cellStyle name="Normal 9 11 2 3 2" xfId="7689" xr:uid="{00000000-0005-0000-0000-00000F230000}"/>
    <cellStyle name="Normal 9 11 2 3 2 2" xfId="16122" xr:uid="{00000000-0005-0000-0000-000010230000}"/>
    <cellStyle name="Normal 9 11 2 3 2 2 2" xfId="28016" xr:uid="{E744FD78-B32A-4E17-BD96-2F023C43996C}"/>
    <cellStyle name="Normal 9 11 2 3 2 2 3" xfId="22356" xr:uid="{7C292F4A-9409-491A-B948-C013E0646CB4}"/>
    <cellStyle name="Normal 9 11 2 3 2 2 4" xfId="33396" xr:uid="{5BA795B7-EE06-4BBD-B4A7-AD5868733910}"/>
    <cellStyle name="Normal 9 11 2 3 2 2 5" xfId="41624" xr:uid="{B053D15C-47BE-4664-87B2-BA93B307E367}"/>
    <cellStyle name="Normal 9 11 2 3 2 3" xfId="25183" xr:uid="{0C5511A2-79AE-4DC6-9BF0-182E8EB83747}"/>
    <cellStyle name="Normal 9 11 2 3 2 4" xfId="19523" xr:uid="{F984428F-91B7-416A-B3F6-F939BADD4E9C}"/>
    <cellStyle name="Normal 9 11 2 3 2 5" xfId="30844" xr:uid="{201054DE-00E0-4771-AF6C-04A25C732B2A}"/>
    <cellStyle name="Normal 9 11 2 3 2 6" xfId="41623" xr:uid="{6890F1D4-A20B-4BD3-A36A-DADDD9BCDF20}"/>
    <cellStyle name="Normal 9 11 2 3 3" xfId="14805" xr:uid="{00000000-0005-0000-0000-000011230000}"/>
    <cellStyle name="Normal 9 11 2 3 3 2" xfId="26760" xr:uid="{EDCF2FC6-F2AE-44FF-B064-2DF6EB0CF682}"/>
    <cellStyle name="Normal 9 11 2 3 3 3" xfId="21100" xr:uid="{54AE26CC-2976-4B63-837E-87EDB5E9C300}"/>
    <cellStyle name="Normal 9 11 2 3 3 4" xfId="32140" xr:uid="{F80AE04E-E773-4728-B499-992FE7A6B921}"/>
    <cellStyle name="Normal 9 11 2 3 3 5" xfId="41625" xr:uid="{08B12B12-1F4C-49D1-8E22-92790DDFE792}"/>
    <cellStyle name="Normal 9 11 2 3 4" xfId="23927" xr:uid="{F1D050CD-3A53-47FD-9E86-3C541FD577F0}"/>
    <cellStyle name="Normal 9 11 2 3 5" xfId="18267" xr:uid="{F81DBB98-7BBC-4516-927F-8C582E0D8ED6}"/>
    <cellStyle name="Normal 9 11 2 3 6" xfId="29588" xr:uid="{EF171618-9126-4016-9183-2F679C518485}"/>
    <cellStyle name="Normal 9 11 2 3 7" xfId="41622" xr:uid="{C37AB7C5-21D2-477A-9F4D-6292E7C20D24}"/>
    <cellStyle name="Normal 9 11 2 4" xfId="6868" xr:uid="{00000000-0005-0000-0000-000012230000}"/>
    <cellStyle name="Normal 9 11 2 4 2" xfId="15301" xr:uid="{00000000-0005-0000-0000-000013230000}"/>
    <cellStyle name="Normal 9 11 2 4 2 2" xfId="27195" xr:uid="{E62CAAFA-BEC4-4D1A-9EA2-2F190F679BBF}"/>
    <cellStyle name="Normal 9 11 2 4 2 3" xfId="21535" xr:uid="{DEC101C1-24EC-4C45-BC7E-4F33B5DD301A}"/>
    <cellStyle name="Normal 9 11 2 4 2 4" xfId="32575" xr:uid="{4AB18845-7B22-42B6-924B-11A613567EB1}"/>
    <cellStyle name="Normal 9 11 2 4 2 5" xfId="41627" xr:uid="{3A39C1C6-5E61-4531-A466-CA3C140911A2}"/>
    <cellStyle name="Normal 9 11 2 4 3" xfId="24362" xr:uid="{B1AB63E0-A2EF-4F66-BFD0-50562C63677E}"/>
    <cellStyle name="Normal 9 11 2 4 4" xfId="18702" xr:uid="{79404B8D-9E5F-4F58-AE5E-A5F099AEA441}"/>
    <cellStyle name="Normal 9 11 2 4 5" xfId="30023" xr:uid="{9DCF49B1-9376-4127-AC60-27AB00E35517}"/>
    <cellStyle name="Normal 9 11 2 4 6" xfId="41626" xr:uid="{B799CBD4-7462-4D2E-B07C-C440E48A323F}"/>
    <cellStyle name="Normal 9 11 2 5" xfId="8139" xr:uid="{00000000-0005-0000-0000-000014230000}"/>
    <cellStyle name="Normal 9 11 2 5 2" xfId="25615" xr:uid="{7A17D0BC-31CE-4BF2-8858-7DD03E2310E3}"/>
    <cellStyle name="Normal 9 11 2 5 3" xfId="19955" xr:uid="{FBC5EE58-A8D0-4F79-A45C-9AB0F01419B3}"/>
    <cellStyle name="Normal 9 11 2 5 4" xfId="31276" xr:uid="{6B8BD908-EFBF-485C-B1B8-31D1DBBC66E8}"/>
    <cellStyle name="Normal 9 11 2 5 5" xfId="41628" xr:uid="{0F347347-8EE6-4A7B-9A4E-6755E8B0C1E2}"/>
    <cellStyle name="Normal 9 11 2 6" xfId="22800" xr:uid="{45B04DD8-8FE2-49B4-A2E1-DDF0BCD38F0A}"/>
    <cellStyle name="Normal 9 11 2 7" xfId="17140" xr:uid="{6A191DBD-23AA-4AF8-9674-811841934F85}"/>
    <cellStyle name="Normal 9 11 2 8" xfId="28461" xr:uid="{8D65F0A0-FDF4-4088-B6AA-3674177593E0}"/>
    <cellStyle name="Normal 9 11 2 9" xfId="41617" xr:uid="{9A2D1DED-0A28-456B-A72C-B82C015BCBC2}"/>
    <cellStyle name="Normal 9 11 3" xfId="5214" xr:uid="{00000000-0005-0000-0000-000015230000}"/>
    <cellStyle name="Normal 9 11 3 2" xfId="7077" xr:uid="{00000000-0005-0000-0000-000016230000}"/>
    <cellStyle name="Normal 9 11 3 2 2" xfId="15510" xr:uid="{00000000-0005-0000-0000-000017230000}"/>
    <cellStyle name="Normal 9 11 3 2 2 2" xfId="27404" xr:uid="{BC1D6B1D-AE04-4749-B582-F7D83392E222}"/>
    <cellStyle name="Normal 9 11 3 2 2 3" xfId="21744" xr:uid="{5C25653C-F52E-402C-BD85-85599760CE87}"/>
    <cellStyle name="Normal 9 11 3 2 2 4" xfId="32784" xr:uid="{A10F4C23-FC08-41F4-9940-4D9C015D3D66}"/>
    <cellStyle name="Normal 9 11 3 2 2 5" xfId="41631" xr:uid="{98F99B13-DB08-4E1F-AFD2-47CC52BAA3E2}"/>
    <cellStyle name="Normal 9 11 3 2 3" xfId="24571" xr:uid="{21A46774-5F35-42C3-B6C2-F1B7EB64A8D7}"/>
    <cellStyle name="Normal 9 11 3 2 4" xfId="18911" xr:uid="{9B6F99BB-D526-4145-BF1F-4E839E82CD0A}"/>
    <cellStyle name="Normal 9 11 3 2 5" xfId="30232" xr:uid="{3D491BBD-064C-46FA-9A50-75BBBCFAD5FF}"/>
    <cellStyle name="Normal 9 11 3 2 6" xfId="41630" xr:uid="{4D5B67C4-9A94-411F-ACBD-61F4DF751724}"/>
    <cellStyle name="Normal 9 11 3 3" xfId="14100" xr:uid="{00000000-0005-0000-0000-000018230000}"/>
    <cellStyle name="Normal 9 11 3 3 2" xfId="26139" xr:uid="{BE985014-EBDE-4E36-B404-C5FE95E7F17D}"/>
    <cellStyle name="Normal 9 11 3 3 3" xfId="20479" xr:uid="{0644098D-45C6-4DB0-A85C-01CBBBE512F2}"/>
    <cellStyle name="Normal 9 11 3 3 4" xfId="31519" xr:uid="{0F2D1C62-446C-4AB5-BC6C-AD315A577C1D}"/>
    <cellStyle name="Normal 9 11 3 3 5" xfId="41632" xr:uid="{37C23FA3-F026-4024-80C8-23F18CB38295}"/>
    <cellStyle name="Normal 9 11 3 4" xfId="23009" xr:uid="{A0835D3F-AF04-4094-8EFE-8B73E9A63C55}"/>
    <cellStyle name="Normal 9 11 3 5" xfId="17349" xr:uid="{1185A483-4294-42EF-9712-16C71FE39C12}"/>
    <cellStyle name="Normal 9 11 3 6" xfId="28670" xr:uid="{289AB255-BBB8-45EA-95B7-3A48B5C8CE27}"/>
    <cellStyle name="Normal 9 11 3 7" xfId="41629" xr:uid="{0531B66B-3F55-4A5A-A28C-6FD2D3F523B0}"/>
    <cellStyle name="Normal 9 11 4" xfId="6369" xr:uid="{00000000-0005-0000-0000-000019230000}"/>
    <cellStyle name="Normal 9 11 4 2" xfId="7688" xr:uid="{00000000-0005-0000-0000-00001A230000}"/>
    <cellStyle name="Normal 9 11 4 2 2" xfId="16121" xr:uid="{00000000-0005-0000-0000-00001B230000}"/>
    <cellStyle name="Normal 9 11 4 2 2 2" xfId="28015" xr:uid="{4B58C80B-C9BF-4F37-A5F7-52DB0B9D3015}"/>
    <cellStyle name="Normal 9 11 4 2 2 3" xfId="22355" xr:uid="{82DFF7DB-A8D9-4CB8-8BAE-86FE1D6E74A7}"/>
    <cellStyle name="Normal 9 11 4 2 2 4" xfId="33395" xr:uid="{832705D9-B9E5-40AC-8CFA-4D5451509E67}"/>
    <cellStyle name="Normal 9 11 4 2 2 5" xfId="41635" xr:uid="{0B1CBD3C-41DB-4CFA-AB65-FB68988024BC}"/>
    <cellStyle name="Normal 9 11 4 2 3" xfId="25182" xr:uid="{55AAF653-4DE5-46D6-982B-380C71DF2972}"/>
    <cellStyle name="Normal 9 11 4 2 4" xfId="19522" xr:uid="{67402764-9976-409F-9726-0DF835485C01}"/>
    <cellStyle name="Normal 9 11 4 2 5" xfId="30843" xr:uid="{F80A2087-D853-46E4-A71C-22F6A39CFB77}"/>
    <cellStyle name="Normal 9 11 4 2 6" xfId="41634" xr:uid="{4CF1A679-538F-4DA4-86E5-881C11B05382}"/>
    <cellStyle name="Normal 9 11 4 3" xfId="14804" xr:uid="{00000000-0005-0000-0000-00001C230000}"/>
    <cellStyle name="Normal 9 11 4 3 2" xfId="26759" xr:uid="{A889673D-110A-4292-8028-7EF8F61EDCBC}"/>
    <cellStyle name="Normal 9 11 4 3 3" xfId="21099" xr:uid="{0B4C5222-F015-4B99-BD61-CFC807A4D2E8}"/>
    <cellStyle name="Normal 9 11 4 3 4" xfId="32139" xr:uid="{5D7091C3-98B2-4DA0-AEA8-94C9C9D59197}"/>
    <cellStyle name="Normal 9 11 4 3 5" xfId="41636" xr:uid="{4AA66E9D-5DF9-4C5E-BF35-3C1657C41B8F}"/>
    <cellStyle name="Normal 9 11 4 4" xfId="23926" xr:uid="{5914BF96-E937-413C-9479-C52383FFFF0D}"/>
    <cellStyle name="Normal 9 11 4 5" xfId="18266" xr:uid="{3B93FA89-89C0-4677-89C6-B58F9CAB56B6}"/>
    <cellStyle name="Normal 9 11 4 6" xfId="29587" xr:uid="{D2512D69-62DD-4E06-9FB1-36C8E1CA7EB2}"/>
    <cellStyle name="Normal 9 11 4 7" xfId="41633" xr:uid="{859B57F5-B115-4919-B156-C9E9F83375BD}"/>
    <cellStyle name="Normal 9 11 5" xfId="6659" xr:uid="{00000000-0005-0000-0000-00001D230000}"/>
    <cellStyle name="Normal 9 11 5 2" xfId="15092" xr:uid="{00000000-0005-0000-0000-00001E230000}"/>
    <cellStyle name="Normal 9 11 5 2 2" xfId="26986" xr:uid="{B57051CD-5DD4-41CF-8BEA-EE861170BAE9}"/>
    <cellStyle name="Normal 9 11 5 2 3" xfId="21326" xr:uid="{ADECDD8A-569F-4985-B95D-2FB51243F332}"/>
    <cellStyle name="Normal 9 11 5 2 4" xfId="32366" xr:uid="{3D143B44-03D9-42DF-893E-E8C6C7D109C9}"/>
    <cellStyle name="Normal 9 11 5 2 5" xfId="41638" xr:uid="{5C3058FB-ACD0-4FBA-AF0C-6099C10CB0CF}"/>
    <cellStyle name="Normal 9 11 5 3" xfId="24153" xr:uid="{2DACC775-DAA8-40BC-AA83-5F40C7CF1D63}"/>
    <cellStyle name="Normal 9 11 5 4" xfId="18493" xr:uid="{EF26C785-218A-48BA-A31F-2001DC3536A5}"/>
    <cellStyle name="Normal 9 11 5 5" xfId="29814" xr:uid="{62A4DB80-91FB-4B1D-A75A-216ED7669110}"/>
    <cellStyle name="Normal 9 11 5 6" xfId="41637" xr:uid="{0D6DD343-26F0-4937-A8D7-B3E23B9A2C32}"/>
    <cellStyle name="Normal 9 11 6" xfId="8138" xr:uid="{00000000-0005-0000-0000-00001F230000}"/>
    <cellStyle name="Normal 9 11 6 2" xfId="25614" xr:uid="{1020C96A-8D10-40D2-8F9C-2C37F211DB18}"/>
    <cellStyle name="Normal 9 11 6 3" xfId="19954" xr:uid="{3F89BBC7-B49F-4AB0-ADCE-27D245EB62C6}"/>
    <cellStyle name="Normal 9 11 6 4" xfId="31275" xr:uid="{3B746AE4-5692-45D9-B652-E87FDE271F16}"/>
    <cellStyle name="Normal 9 11 6 5" xfId="41639" xr:uid="{96EEF4D5-5D15-46E5-9D21-52A13DF0DFC2}"/>
    <cellStyle name="Normal 9 11 7" xfId="22591" xr:uid="{8A38F7B5-2813-4DE6-B845-F4C2E66D4C54}"/>
    <cellStyle name="Normal 9 11 8" xfId="16931" xr:uid="{831004E4-8632-4B54-AFF4-2F20EE03DAA7}"/>
    <cellStyle name="Normal 9 11 9" xfId="28252" xr:uid="{D488C24C-92E4-4503-91EB-EF51F76B6E89}"/>
    <cellStyle name="Normal 9 12" xfId="4808" xr:uid="{00000000-0005-0000-0000-000020230000}"/>
    <cellStyle name="Normal 9 12 2" xfId="5230" xr:uid="{00000000-0005-0000-0000-000021230000}"/>
    <cellStyle name="Normal 9 12 2 2" xfId="7093" xr:uid="{00000000-0005-0000-0000-000022230000}"/>
    <cellStyle name="Normal 9 12 2 2 2" xfId="15526" xr:uid="{00000000-0005-0000-0000-000023230000}"/>
    <cellStyle name="Normal 9 12 2 2 2 2" xfId="27420" xr:uid="{90D037F9-6603-47BB-953C-E531AECD6069}"/>
    <cellStyle name="Normal 9 12 2 2 2 3" xfId="21760" xr:uid="{B00EED62-6587-4449-A420-E06CC1885911}"/>
    <cellStyle name="Normal 9 12 2 2 2 4" xfId="32800" xr:uid="{A761EE1D-E6F3-44B8-BB99-3BFBEA0EECA0}"/>
    <cellStyle name="Normal 9 12 2 2 2 5" xfId="41643" xr:uid="{BA4495A9-37E7-478D-B905-657F8015104B}"/>
    <cellStyle name="Normal 9 12 2 2 3" xfId="24587" xr:uid="{927994EE-683E-4872-A18E-8A343815A32C}"/>
    <cellStyle name="Normal 9 12 2 2 4" xfId="18927" xr:uid="{E91BAE7C-D9CB-40E6-BB94-C1E0AD371670}"/>
    <cellStyle name="Normal 9 12 2 2 5" xfId="30248" xr:uid="{9EA29B7E-80A8-4623-AF40-CCA2EF24CCA1}"/>
    <cellStyle name="Normal 9 12 2 2 6" xfId="41642" xr:uid="{66B64FEA-A77F-4F81-86CB-D67B00CA1F61}"/>
    <cellStyle name="Normal 9 12 2 3" xfId="14116" xr:uid="{00000000-0005-0000-0000-000024230000}"/>
    <cellStyle name="Normal 9 12 2 3 2" xfId="26155" xr:uid="{6547FC0B-38CA-4DF9-8033-18EAC5B69CB8}"/>
    <cellStyle name="Normal 9 12 2 3 3" xfId="20495" xr:uid="{F46E75E9-2713-405D-8902-6BE096225995}"/>
    <cellStyle name="Normal 9 12 2 3 4" xfId="31535" xr:uid="{002A66C3-E939-42AC-BB9A-BF00EB0F8F5C}"/>
    <cellStyle name="Normal 9 12 2 3 5" xfId="41644" xr:uid="{53D1ACA6-C245-4295-8F46-4206182A95A4}"/>
    <cellStyle name="Normal 9 12 2 4" xfId="23025" xr:uid="{831BD382-FA93-46DF-9B73-DCCDD7B76077}"/>
    <cellStyle name="Normal 9 12 2 5" xfId="17365" xr:uid="{93E32C6E-99DA-4C64-A993-2A8D6EA11B06}"/>
    <cellStyle name="Normal 9 12 2 6" xfId="28686" xr:uid="{DD8FC2CA-3CCC-4189-97BF-97781DE3C6DF}"/>
    <cellStyle name="Normal 9 12 2 7" xfId="41641" xr:uid="{0FAF8402-D9CA-4C43-881C-B756B8A98FB0}"/>
    <cellStyle name="Normal 9 12 3" xfId="6371" xr:uid="{00000000-0005-0000-0000-000025230000}"/>
    <cellStyle name="Normal 9 12 3 2" xfId="7690" xr:uid="{00000000-0005-0000-0000-000026230000}"/>
    <cellStyle name="Normal 9 12 3 2 2" xfId="16123" xr:uid="{00000000-0005-0000-0000-000027230000}"/>
    <cellStyle name="Normal 9 12 3 2 2 2" xfId="28017" xr:uid="{1D0D0923-2629-48A5-B7FA-B847EE90FF9B}"/>
    <cellStyle name="Normal 9 12 3 2 2 3" xfId="22357" xr:uid="{26F2ACFE-E6CC-4D00-915A-46A5F1346D43}"/>
    <cellStyle name="Normal 9 12 3 2 2 4" xfId="33397" xr:uid="{1F81F163-8E3E-4FF9-B2E7-EC216C75F995}"/>
    <cellStyle name="Normal 9 12 3 2 2 5" xfId="41647" xr:uid="{C5D77B20-2225-44ED-891F-22789994B298}"/>
    <cellStyle name="Normal 9 12 3 2 3" xfId="25184" xr:uid="{878CF5FB-7D33-47F6-93CE-5119A4A2E61A}"/>
    <cellStyle name="Normal 9 12 3 2 4" xfId="19524" xr:uid="{919B57C8-BDB4-4937-936C-FBC170C3E1B6}"/>
    <cellStyle name="Normal 9 12 3 2 5" xfId="30845" xr:uid="{C88B3371-310B-48FD-8E27-8EC7CCEE9C2C}"/>
    <cellStyle name="Normal 9 12 3 2 6" xfId="41646" xr:uid="{6229ED05-B7C3-4DBA-BB2E-5835ED26343B}"/>
    <cellStyle name="Normal 9 12 3 3" xfId="14806" xr:uid="{00000000-0005-0000-0000-000028230000}"/>
    <cellStyle name="Normal 9 12 3 3 2" xfId="26761" xr:uid="{37D919E9-9813-4B16-A1A3-2721FC0886B4}"/>
    <cellStyle name="Normal 9 12 3 3 3" xfId="21101" xr:uid="{CFD76FD0-24FA-43FD-9560-2490ECA96B33}"/>
    <cellStyle name="Normal 9 12 3 3 4" xfId="32141" xr:uid="{DDA7C16F-F3EE-4EF2-AD07-98868A64ED3D}"/>
    <cellStyle name="Normal 9 12 3 3 5" xfId="41648" xr:uid="{C9821671-1410-4D53-8576-0E150D6B367E}"/>
    <cellStyle name="Normal 9 12 3 4" xfId="23928" xr:uid="{1B64F8C4-7260-4D43-AFDC-F1D36A8BD81D}"/>
    <cellStyle name="Normal 9 12 3 5" xfId="18268" xr:uid="{36527C40-52B9-4AC1-B259-7DD73A7965C3}"/>
    <cellStyle name="Normal 9 12 3 6" xfId="29589" xr:uid="{4A33E49A-4FD1-4ED6-A318-3C614B382BF2}"/>
    <cellStyle name="Normal 9 12 3 7" xfId="41645" xr:uid="{A39CB1D2-CF5B-4AB8-BC28-3A931DA00E6C}"/>
    <cellStyle name="Normal 9 12 4" xfId="6675" xr:uid="{00000000-0005-0000-0000-000029230000}"/>
    <cellStyle name="Normal 9 12 4 2" xfId="15108" xr:uid="{00000000-0005-0000-0000-00002A230000}"/>
    <cellStyle name="Normal 9 12 4 2 2" xfId="27002" xr:uid="{A82BD0FC-AF89-41E7-84D6-2E7971458E84}"/>
    <cellStyle name="Normal 9 12 4 2 3" xfId="21342" xr:uid="{1EBE2D88-EAEC-4AAB-84AD-2A6A205BD2D2}"/>
    <cellStyle name="Normal 9 12 4 2 4" xfId="32382" xr:uid="{01D6DA9B-B6AD-491A-919C-AFD46CBE7DB2}"/>
    <cellStyle name="Normal 9 12 4 2 5" xfId="41650" xr:uid="{81FA55E0-3A45-4FA4-B34B-7E7622083601}"/>
    <cellStyle name="Normal 9 12 4 3" xfId="24169" xr:uid="{AAFFE3E7-5A76-4492-A792-44E6869026A3}"/>
    <cellStyle name="Normal 9 12 4 4" xfId="18509" xr:uid="{7E260CE5-A20B-4A29-A151-6FE28EE57076}"/>
    <cellStyle name="Normal 9 12 4 5" xfId="29830" xr:uid="{A2421BA7-0AA8-4C74-BDE3-50EA3FB2B233}"/>
    <cellStyle name="Normal 9 12 4 6" xfId="41649" xr:uid="{C9F9A700-D77B-49DF-9BCF-A26456194C40}"/>
    <cellStyle name="Normal 9 12 5" xfId="8140" xr:uid="{00000000-0005-0000-0000-00002B230000}"/>
    <cellStyle name="Normal 9 12 5 2" xfId="25616" xr:uid="{C2F815E7-C72B-4448-AAA8-36EC8A5F5E0B}"/>
    <cellStyle name="Normal 9 12 5 3" xfId="19956" xr:uid="{FDBD99C4-D3AA-4BC1-A724-F052FF6709D5}"/>
    <cellStyle name="Normal 9 12 5 4" xfId="31277" xr:uid="{C4589769-F2CE-46F9-9EB4-48B0270399B6}"/>
    <cellStyle name="Normal 9 12 5 5" xfId="41651" xr:uid="{7332B7B2-1DE4-43ED-8062-01D57A6BA3D6}"/>
    <cellStyle name="Normal 9 12 6" xfId="22607" xr:uid="{0DBF08A7-8F49-4834-A670-C6251AF811E5}"/>
    <cellStyle name="Normal 9 12 7" xfId="16947" xr:uid="{D478BD1B-B06C-417C-9D5D-BCAFFB30463C}"/>
    <cellStyle name="Normal 9 12 8" xfId="28268" xr:uid="{B1DF86B1-4AF6-4C42-B309-4EF6010BAE24}"/>
    <cellStyle name="Normal 9 12 9" xfId="41640" xr:uid="{767D227A-CFF5-4C4C-9900-DAA9DA86C217}"/>
    <cellStyle name="Normal 9 13" xfId="5021" xr:uid="{00000000-0005-0000-0000-00002C230000}"/>
    <cellStyle name="Normal 9 13 2" xfId="5804" xr:uid="{00000000-0005-0000-0000-00002D230000}"/>
    <cellStyle name="Normal 9 13 2 2" xfId="7304" xr:uid="{00000000-0005-0000-0000-00002E230000}"/>
    <cellStyle name="Normal 9 13 2 2 2" xfId="15737" xr:uid="{00000000-0005-0000-0000-00002F230000}"/>
    <cellStyle name="Normal 9 13 2 2 2 2" xfId="27631" xr:uid="{D5BB9D09-FD01-4020-8BA0-C0C881051C21}"/>
    <cellStyle name="Normal 9 13 2 2 2 3" xfId="21971" xr:uid="{BEBC2AB0-9CAD-4E76-8B5E-8DA3156BFAC2}"/>
    <cellStyle name="Normal 9 13 2 2 2 4" xfId="33011" xr:uid="{FC7BE17A-CD59-415E-A57A-B701D8B0C9D3}"/>
    <cellStyle name="Normal 9 13 2 2 2 5" xfId="41655" xr:uid="{44D7BE1D-F232-4F82-87E9-E0C6451CB741}"/>
    <cellStyle name="Normal 9 13 2 2 3" xfId="24798" xr:uid="{1A33CD04-7BC8-442E-8029-D7362FA16361}"/>
    <cellStyle name="Normal 9 13 2 2 4" xfId="19138" xr:uid="{24EED093-8142-474F-AC3A-CBC94E6C7D34}"/>
    <cellStyle name="Normal 9 13 2 2 5" xfId="30459" xr:uid="{7BF3AC57-AC19-4920-90A0-A9524B1C0843}"/>
    <cellStyle name="Normal 9 13 2 2 6" xfId="41654" xr:uid="{F6DE9BB9-227F-4052-BC51-39BDBF142FAC}"/>
    <cellStyle name="Normal 9 13 2 3" xfId="14382" xr:uid="{00000000-0005-0000-0000-000030230000}"/>
    <cellStyle name="Normal 9 13 2 3 2" xfId="26373" xr:uid="{9CD3944B-0CF8-4D4B-B9E8-E0D54FB67E19}"/>
    <cellStyle name="Normal 9 13 2 3 3" xfId="20713" xr:uid="{0DC24B70-24AB-4498-9F00-BB96B36D5AFF}"/>
    <cellStyle name="Normal 9 13 2 3 4" xfId="31753" xr:uid="{071A2759-CE8F-4835-BC31-44AA1C2C72C9}"/>
    <cellStyle name="Normal 9 13 2 3 5" xfId="41656" xr:uid="{51EFB9EF-958B-4DBC-B85D-A0B098A18C9B}"/>
    <cellStyle name="Normal 9 13 2 4" xfId="23457" xr:uid="{E0B7C25A-72CC-48B6-9AEA-F113DA210DBD}"/>
    <cellStyle name="Normal 9 13 2 5" xfId="17797" xr:uid="{54E75995-4FCE-4CDE-A3F3-BC568EC0FF9A}"/>
    <cellStyle name="Normal 9 13 2 6" xfId="29118" xr:uid="{29A727E2-0B5D-4587-A65C-19B9C9A935A4}"/>
    <cellStyle name="Normal 9 13 2 7" xfId="41653" xr:uid="{D97EA13A-DA7A-45D8-B04C-A479915AF38A}"/>
    <cellStyle name="Normal 9 13 3" xfId="6884" xr:uid="{00000000-0005-0000-0000-000031230000}"/>
    <cellStyle name="Normal 9 13 3 2" xfId="15317" xr:uid="{00000000-0005-0000-0000-000032230000}"/>
    <cellStyle name="Normal 9 13 3 2 2" xfId="27211" xr:uid="{7F69056E-66B9-4666-B234-3EF662C3F7FC}"/>
    <cellStyle name="Normal 9 13 3 2 3" xfId="21551" xr:uid="{647EB7A6-0D8C-4DB3-A3B7-02BEFC27C73B}"/>
    <cellStyle name="Normal 9 13 3 2 4" xfId="32591" xr:uid="{387D45DC-9CDE-41E3-86AC-D1E0F0A374FF}"/>
    <cellStyle name="Normal 9 13 3 2 5" xfId="41658" xr:uid="{499A8DBE-1354-4DB5-9AAE-94D169464447}"/>
    <cellStyle name="Normal 9 13 3 3" xfId="24378" xr:uid="{9813DE9F-7AFD-4242-8145-370CAA4C87A2}"/>
    <cellStyle name="Normal 9 13 3 4" xfId="18718" xr:uid="{56E1C15C-73C1-4755-9DAD-361E51A02D19}"/>
    <cellStyle name="Normal 9 13 3 5" xfId="30039" xr:uid="{B7FBD22F-D322-402D-B10A-746F64CB1C3E}"/>
    <cellStyle name="Normal 9 13 3 6" xfId="41657" xr:uid="{73945A73-DF2E-4346-AA3B-3523B6709B0E}"/>
    <cellStyle name="Normal 9 13 4" xfId="8141" xr:uid="{00000000-0005-0000-0000-000033230000}"/>
    <cellStyle name="Normal 9 13 4 2" xfId="25617" xr:uid="{35CBBA30-8E75-41A6-813B-591C12C1EAB8}"/>
    <cellStyle name="Normal 9 13 4 3" xfId="19957" xr:uid="{69675B8E-7B9F-44FE-8F92-A8F1BDFE622F}"/>
    <cellStyle name="Normal 9 13 4 4" xfId="31278" xr:uid="{956E0DC0-959B-4A23-8D43-AE4B3D2BEFBC}"/>
    <cellStyle name="Normal 9 13 4 5" xfId="41659" xr:uid="{DB87EF84-0D05-4CA4-8C90-1CE271B4B0BF}"/>
    <cellStyle name="Normal 9 13 5" xfId="22816" xr:uid="{30B3CDE0-47F9-4219-9738-163DC4BE49F1}"/>
    <cellStyle name="Normal 9 13 6" xfId="17156" xr:uid="{8BE0121E-755D-447A-8D2F-1CA0F8BC4C4A}"/>
    <cellStyle name="Normal 9 13 7" xfId="28477" xr:uid="{CE2B414E-9B5B-4798-862D-381DE7F0BCD4}"/>
    <cellStyle name="Normal 9 13 8" xfId="41652" xr:uid="{D31E8D81-7D0E-4535-AFC2-3340B9FF3ACD}"/>
    <cellStyle name="Normal 9 14" xfId="6466" xr:uid="{00000000-0005-0000-0000-000034230000}"/>
    <cellStyle name="Normal 9 14 2" xfId="14899" xr:uid="{00000000-0005-0000-0000-000035230000}"/>
    <cellStyle name="Normal 9 14 2 2" xfId="26793" xr:uid="{74DAFA85-9DB2-4BC9-9420-1C454C3E36DE}"/>
    <cellStyle name="Normal 9 14 2 3" xfId="21133" xr:uid="{77BBF4CA-480A-4D7E-897A-D61B472AACD7}"/>
    <cellStyle name="Normal 9 14 2 4" xfId="32173" xr:uid="{3A8B031A-6FA9-4E1F-B033-1332A74C4F41}"/>
    <cellStyle name="Normal 9 14 2 5" xfId="41661" xr:uid="{D77FFD2D-B140-4C18-BB9C-433E76F91A19}"/>
    <cellStyle name="Normal 9 14 3" xfId="23960" xr:uid="{A6483A9C-E9B2-42BE-85C5-0BE55DAB8416}"/>
    <cellStyle name="Normal 9 14 4" xfId="18300" xr:uid="{F4D8B3B3-B704-4066-B304-2FD4AB7F526F}"/>
    <cellStyle name="Normal 9 14 5" xfId="29621" xr:uid="{51A00FAB-5EB7-4D47-A863-22C3E7F9329B}"/>
    <cellStyle name="Normal 9 14 6" xfId="41660" xr:uid="{CF465277-5078-4ABE-BEF0-DCFC34C15FAF}"/>
    <cellStyle name="Normal 9 15" xfId="22398" xr:uid="{A1DBAF15-ABB2-4EE1-BA07-FE57C730F8B8}"/>
    <cellStyle name="Normal 9 16" xfId="16738" xr:uid="{0F588F61-82A8-4B84-9686-192D19781474}"/>
    <cellStyle name="Normal 9 17" xfId="28059" xr:uid="{26B9A178-3007-4A45-BB2A-298927EAE33E}"/>
    <cellStyle name="Normal 9 18" xfId="41590" xr:uid="{F3ACBAF2-6A16-4211-9196-0DC05AC501BF}"/>
    <cellStyle name="Normal 9 2" xfId="190" xr:uid="{00000000-0005-0000-0000-000036230000}"/>
    <cellStyle name="Normal 9 2 10" xfId="28060" xr:uid="{BCD1D163-BA75-48D9-A4DB-40C50A5E4448}"/>
    <cellStyle name="Normal 9 2 11" xfId="41662" xr:uid="{AB1C0535-C56E-4A24-92E8-0A1081287C2C}"/>
    <cellStyle name="Normal 9 2 2" xfId="325" xr:uid="{00000000-0005-0000-0000-000037230000}"/>
    <cellStyle name="Normal 9 2 2 10" xfId="28086" xr:uid="{4F694E25-7E32-4292-9C2C-56CA3375B035}"/>
    <cellStyle name="Normal 9 2 2 11" xfId="41663" xr:uid="{85117859-5F1E-47B8-841F-FB28A02CC61D}"/>
    <cellStyle name="Normal 9 2 2 2" xfId="2307" xr:uid="{00000000-0005-0000-0000-000038230000}"/>
    <cellStyle name="Normal 9 2 2 2 2" xfId="41664" xr:uid="{1E49323C-00F4-41EF-B6FA-F3C83E418D68}"/>
    <cellStyle name="Normal 9 2 2 3" xfId="4836" xr:uid="{00000000-0005-0000-0000-000039230000}"/>
    <cellStyle name="Normal 9 2 2 3 2" xfId="5257" xr:uid="{00000000-0005-0000-0000-00003A230000}"/>
    <cellStyle name="Normal 9 2 2 3 2 2" xfId="7120" xr:uid="{00000000-0005-0000-0000-00003B230000}"/>
    <cellStyle name="Normal 9 2 2 3 2 2 2" xfId="15553" xr:uid="{00000000-0005-0000-0000-00003C230000}"/>
    <cellStyle name="Normal 9 2 2 3 2 2 2 2" xfId="27447" xr:uid="{C54799B0-8556-434D-A718-7B5D0C3DA0BC}"/>
    <cellStyle name="Normal 9 2 2 3 2 2 2 3" xfId="21787" xr:uid="{954A05ED-8E42-4D04-AD4A-7DFCFC92ACF5}"/>
    <cellStyle name="Normal 9 2 2 3 2 2 2 4" xfId="32827" xr:uid="{CE933BD2-0827-4CF9-84F4-C0F10C81BB36}"/>
    <cellStyle name="Normal 9 2 2 3 2 2 2 5" xfId="41668" xr:uid="{F4EF707F-FC30-4863-BFF7-52E317399981}"/>
    <cellStyle name="Normal 9 2 2 3 2 2 3" xfId="24614" xr:uid="{3211CD96-BE68-4D08-8C3E-41E8FDF18716}"/>
    <cellStyle name="Normal 9 2 2 3 2 2 4" xfId="18954" xr:uid="{FAE09D8F-1A81-41FF-AB0C-7579CE82C52A}"/>
    <cellStyle name="Normal 9 2 2 3 2 2 5" xfId="30275" xr:uid="{D586F6B7-9D22-4FCB-95CB-BB44C62D042E}"/>
    <cellStyle name="Normal 9 2 2 3 2 2 6" xfId="41667" xr:uid="{7CD73C38-181A-4495-819C-8531603DD59E}"/>
    <cellStyle name="Normal 9 2 2 3 2 3" xfId="14143" xr:uid="{00000000-0005-0000-0000-00003D230000}"/>
    <cellStyle name="Normal 9 2 2 3 2 3 2" xfId="26182" xr:uid="{202FBA53-A300-4ABF-8038-7028BBCA2814}"/>
    <cellStyle name="Normal 9 2 2 3 2 3 3" xfId="20522" xr:uid="{976712F6-D0D0-44F4-877B-FE2724BA09F3}"/>
    <cellStyle name="Normal 9 2 2 3 2 3 4" xfId="31562" xr:uid="{749BF354-D2F1-4EFC-B1A3-911DD4598DDA}"/>
    <cellStyle name="Normal 9 2 2 3 2 3 5" xfId="41669" xr:uid="{B61E3FA4-1201-4CE6-AF0A-F4A43124776B}"/>
    <cellStyle name="Normal 9 2 2 3 2 4" xfId="23052" xr:uid="{22BF84DC-8D02-4A40-8658-7A746ED625DE}"/>
    <cellStyle name="Normal 9 2 2 3 2 5" xfId="17392" xr:uid="{EC655BB9-B3DA-4EDB-9295-663D05412422}"/>
    <cellStyle name="Normal 9 2 2 3 2 6" xfId="28713" xr:uid="{9CD6A0AC-64A5-4A9E-9C59-AAC9D14BFBBC}"/>
    <cellStyle name="Normal 9 2 2 3 2 7" xfId="41666" xr:uid="{C41A07C2-DD51-42C8-87DB-2320649FF281}"/>
    <cellStyle name="Normal 9 2 2 3 3" xfId="6373" xr:uid="{00000000-0005-0000-0000-00003E230000}"/>
    <cellStyle name="Normal 9 2 2 3 3 2" xfId="7692" xr:uid="{00000000-0005-0000-0000-00003F230000}"/>
    <cellStyle name="Normal 9 2 2 3 3 2 2" xfId="16125" xr:uid="{00000000-0005-0000-0000-000040230000}"/>
    <cellStyle name="Normal 9 2 2 3 3 2 2 2" xfId="28019" xr:uid="{4383B81A-43CC-414B-B1A4-593ED1354543}"/>
    <cellStyle name="Normal 9 2 2 3 3 2 2 3" xfId="22359" xr:uid="{1B542FED-C713-43BF-B7F1-4A5C6F496085}"/>
    <cellStyle name="Normal 9 2 2 3 3 2 2 4" xfId="33399" xr:uid="{9D7ECED7-5EF9-428F-92AB-B9B27D5B62D4}"/>
    <cellStyle name="Normal 9 2 2 3 3 2 2 5" xfId="41672" xr:uid="{B9F5C579-64AB-45E8-9C69-08FDB1086DF6}"/>
    <cellStyle name="Normal 9 2 2 3 3 2 3" xfId="25186" xr:uid="{EB23C204-5B44-45EE-8F29-A63C21BAA7C7}"/>
    <cellStyle name="Normal 9 2 2 3 3 2 4" xfId="19526" xr:uid="{10C04720-6A47-406E-BE80-848FAA1A0125}"/>
    <cellStyle name="Normal 9 2 2 3 3 2 5" xfId="30847" xr:uid="{35FC78BD-CC62-4296-8006-E5DD52C24110}"/>
    <cellStyle name="Normal 9 2 2 3 3 2 6" xfId="41671" xr:uid="{12EEEB2D-FD21-4526-8F5E-07934027774F}"/>
    <cellStyle name="Normal 9 2 2 3 3 3" xfId="14808" xr:uid="{00000000-0005-0000-0000-000041230000}"/>
    <cellStyle name="Normal 9 2 2 3 3 3 2" xfId="26763" xr:uid="{5BB0B6D1-19ED-4A90-94C4-7542939B11BB}"/>
    <cellStyle name="Normal 9 2 2 3 3 3 3" xfId="21103" xr:uid="{BA4FA37A-6927-41F6-9EA9-E5D9BF664BC2}"/>
    <cellStyle name="Normal 9 2 2 3 3 3 4" xfId="32143" xr:uid="{49FA3C66-0E92-4F50-A0A3-83B76AB287A8}"/>
    <cellStyle name="Normal 9 2 2 3 3 3 5" xfId="41673" xr:uid="{2227E6B3-9790-4F2F-BDEF-A3DE35F2B154}"/>
    <cellStyle name="Normal 9 2 2 3 3 4" xfId="23930" xr:uid="{1054F377-361B-44FF-9F0A-93FE21E8EA8A}"/>
    <cellStyle name="Normal 9 2 2 3 3 5" xfId="18270" xr:uid="{153233A3-CE75-42BC-8846-8A0E6618EF63}"/>
    <cellStyle name="Normal 9 2 2 3 3 6" xfId="29591" xr:uid="{BF2983FD-5B20-4821-A86A-9C1D1FBC4519}"/>
    <cellStyle name="Normal 9 2 2 3 3 7" xfId="41670" xr:uid="{E225FAEA-FCFD-4E05-9BFA-7E71BF619332}"/>
    <cellStyle name="Normal 9 2 2 3 4" xfId="6702" xr:uid="{00000000-0005-0000-0000-000042230000}"/>
    <cellStyle name="Normal 9 2 2 3 4 2" xfId="15135" xr:uid="{00000000-0005-0000-0000-000043230000}"/>
    <cellStyle name="Normal 9 2 2 3 4 2 2" xfId="27029" xr:uid="{B51C2A73-9154-401F-B353-A796E2482B0F}"/>
    <cellStyle name="Normal 9 2 2 3 4 2 3" xfId="21369" xr:uid="{3FD52913-AD81-4529-8C48-B8671833E6B0}"/>
    <cellStyle name="Normal 9 2 2 3 4 2 4" xfId="32409" xr:uid="{9794F89F-AD55-4BE5-B0B9-2C1E5099809F}"/>
    <cellStyle name="Normal 9 2 2 3 4 2 5" xfId="41675" xr:uid="{73244021-B1B7-4657-A393-C98CBD5084BA}"/>
    <cellStyle name="Normal 9 2 2 3 4 3" xfId="24196" xr:uid="{FFBA1543-27B0-4201-8DDA-4D748A6D52D7}"/>
    <cellStyle name="Normal 9 2 2 3 4 4" xfId="18536" xr:uid="{6057E4AD-A29F-4852-B455-E6497E7D11C2}"/>
    <cellStyle name="Normal 9 2 2 3 4 5" xfId="29857" xr:uid="{935A27E9-BD50-427B-B411-7508A5F249D4}"/>
    <cellStyle name="Normal 9 2 2 3 4 6" xfId="41674" xr:uid="{D059895A-64EC-4F2C-BB08-2F308194711F}"/>
    <cellStyle name="Normal 9 2 2 3 5" xfId="8143" xr:uid="{00000000-0005-0000-0000-000044230000}"/>
    <cellStyle name="Normal 9 2 2 3 5 2" xfId="25619" xr:uid="{36CA6437-4392-4A1C-BCFE-B119618F8D37}"/>
    <cellStyle name="Normal 9 2 2 3 5 3" xfId="19959" xr:uid="{BD6AC501-78EF-4943-98FC-9296A9D5773C}"/>
    <cellStyle name="Normal 9 2 2 3 5 4" xfId="31280" xr:uid="{3D2DA2DA-AAB0-4DE0-BBC4-022BACA6DE9F}"/>
    <cellStyle name="Normal 9 2 2 3 5 5" xfId="41676" xr:uid="{4F0344A7-1695-4D16-A1EE-FF82FC074ADC}"/>
    <cellStyle name="Normal 9 2 2 3 6" xfId="22634" xr:uid="{18016F3F-8B97-42FA-A36D-B891568C9F35}"/>
    <cellStyle name="Normal 9 2 2 3 7" xfId="16974" xr:uid="{F169D6B5-D5DC-40A7-B91E-081ED666656B}"/>
    <cellStyle name="Normal 9 2 2 3 8" xfId="28295" xr:uid="{2AE97037-AEDE-4A0C-AA23-38EC150C381E}"/>
    <cellStyle name="Normal 9 2 2 3 9" xfId="41665" xr:uid="{E641F3E4-2F81-4EDF-A380-F72DA79D3C6F}"/>
    <cellStyle name="Normal 9 2 2 4" xfId="5048" xr:uid="{00000000-0005-0000-0000-000045230000}"/>
    <cellStyle name="Normal 9 2 2 4 2" xfId="6911" xr:uid="{00000000-0005-0000-0000-000046230000}"/>
    <cellStyle name="Normal 9 2 2 4 2 2" xfId="15344" xr:uid="{00000000-0005-0000-0000-000047230000}"/>
    <cellStyle name="Normal 9 2 2 4 2 2 2" xfId="27238" xr:uid="{699582A5-CAAE-43D6-AA8F-7C90DA30D8C9}"/>
    <cellStyle name="Normal 9 2 2 4 2 2 3" xfId="21578" xr:uid="{9D23F0D5-25C9-4CEA-A6A9-0ACE9095A38D}"/>
    <cellStyle name="Normal 9 2 2 4 2 2 4" xfId="32618" xr:uid="{8E52560F-5973-41F4-A7E0-320689FB31A2}"/>
    <cellStyle name="Normal 9 2 2 4 2 2 5" xfId="41679" xr:uid="{71CAB8C8-1455-4960-AF18-C0422D88613D}"/>
    <cellStyle name="Normal 9 2 2 4 2 3" xfId="24405" xr:uid="{AA371757-CCF2-47BF-B006-2A78E6AEE7FA}"/>
    <cellStyle name="Normal 9 2 2 4 2 4" xfId="18745" xr:uid="{9553085D-21D1-4433-9F9A-821B8A3D33D5}"/>
    <cellStyle name="Normal 9 2 2 4 2 5" xfId="30066" xr:uid="{096D1097-C521-493C-92B4-3CCC824A6A19}"/>
    <cellStyle name="Normal 9 2 2 4 2 6" xfId="41678" xr:uid="{5A184B53-C55F-43E4-944A-DF7A96FC1506}"/>
    <cellStyle name="Normal 9 2 2 4 3" xfId="13944" xr:uid="{00000000-0005-0000-0000-000048230000}"/>
    <cellStyle name="Normal 9 2 2 4 3 2" xfId="25985" xr:uid="{1E2F97B6-0900-40F3-9525-95F7035FAC10}"/>
    <cellStyle name="Normal 9 2 2 4 3 3" xfId="20325" xr:uid="{CD18C85E-11B5-4E53-B749-CBEBB3940EA9}"/>
    <cellStyle name="Normal 9 2 2 4 3 4" xfId="31365" xr:uid="{6BD2D1EC-5347-43ED-B611-B38DDC936EA1}"/>
    <cellStyle name="Normal 9 2 2 4 3 5" xfId="41680" xr:uid="{F171AAE1-BBC7-4ECD-8018-9C6A2D1E68D7}"/>
    <cellStyle name="Normal 9 2 2 4 4" xfId="22843" xr:uid="{D720B952-A319-4773-AB51-EA13E969EF6D}"/>
    <cellStyle name="Normal 9 2 2 4 5" xfId="17183" xr:uid="{723EAC28-69AB-4147-973F-6D7758EF166A}"/>
    <cellStyle name="Normal 9 2 2 4 6" xfId="28504" xr:uid="{CC3E07F2-D04B-4CCC-87FA-4EE90C40B5C1}"/>
    <cellStyle name="Normal 9 2 2 4 7" xfId="41677" xr:uid="{38C32F67-77B2-49CA-A9DB-3AA610C1154C}"/>
    <cellStyle name="Normal 9 2 2 5" xfId="6372" xr:uid="{00000000-0005-0000-0000-000049230000}"/>
    <cellStyle name="Normal 9 2 2 5 2" xfId="7691" xr:uid="{00000000-0005-0000-0000-00004A230000}"/>
    <cellStyle name="Normal 9 2 2 5 2 2" xfId="16124" xr:uid="{00000000-0005-0000-0000-00004B230000}"/>
    <cellStyle name="Normal 9 2 2 5 2 2 2" xfId="28018" xr:uid="{9E8E3ADE-1E3F-43DB-986F-1FF64D62DD7F}"/>
    <cellStyle name="Normal 9 2 2 5 2 2 3" xfId="22358" xr:uid="{7DB5A53C-EDDC-4345-A394-BA9A149ED0DD}"/>
    <cellStyle name="Normal 9 2 2 5 2 2 4" xfId="33398" xr:uid="{34084CAF-AC64-44B4-8FEF-ED203CA887B5}"/>
    <cellStyle name="Normal 9 2 2 5 2 2 5" xfId="41683" xr:uid="{981A0968-4B69-4D41-BA01-69C6DDDF670E}"/>
    <cellStyle name="Normal 9 2 2 5 2 3" xfId="25185" xr:uid="{306485A5-6E8E-4824-971E-C92CB2EF8C34}"/>
    <cellStyle name="Normal 9 2 2 5 2 4" xfId="19525" xr:uid="{16B05690-9B4A-4006-A889-C01DAE81F2E4}"/>
    <cellStyle name="Normal 9 2 2 5 2 5" xfId="30846" xr:uid="{F8CD4735-A622-4155-942F-BB7D4BA0A90C}"/>
    <cellStyle name="Normal 9 2 2 5 2 6" xfId="41682" xr:uid="{312FD2DB-D08F-476E-BEA7-E988BDE83D69}"/>
    <cellStyle name="Normal 9 2 2 5 3" xfId="14807" xr:uid="{00000000-0005-0000-0000-00004C230000}"/>
    <cellStyle name="Normal 9 2 2 5 3 2" xfId="26762" xr:uid="{D84473DC-70D0-47FB-9B45-438F6CA65715}"/>
    <cellStyle name="Normal 9 2 2 5 3 3" xfId="21102" xr:uid="{61EF78EE-9D23-4C54-B6AC-DBD0282F7AC0}"/>
    <cellStyle name="Normal 9 2 2 5 3 4" xfId="32142" xr:uid="{B10AD417-1ADF-408C-8CD0-D571E387049A}"/>
    <cellStyle name="Normal 9 2 2 5 3 5" xfId="41684" xr:uid="{7E4F5F86-A94E-42FA-9793-204BB79F619F}"/>
    <cellStyle name="Normal 9 2 2 5 4" xfId="23929" xr:uid="{2CBB8646-E9DF-471A-9BBF-0815CC030AAE}"/>
    <cellStyle name="Normal 9 2 2 5 5" xfId="18269" xr:uid="{C2B74A1D-E490-496B-A78E-A1EED17B6C1C}"/>
    <cellStyle name="Normal 9 2 2 5 6" xfId="29590" xr:uid="{B8CA9445-3004-4978-9C58-F699C6961407}"/>
    <cellStyle name="Normal 9 2 2 5 7" xfId="41681" xr:uid="{CF8D3D67-4900-46E3-9638-19E21B0F3F47}"/>
    <cellStyle name="Normal 9 2 2 6" xfId="6493" xr:uid="{00000000-0005-0000-0000-00004D230000}"/>
    <cellStyle name="Normal 9 2 2 6 2" xfId="14926" xr:uid="{00000000-0005-0000-0000-00004E230000}"/>
    <cellStyle name="Normal 9 2 2 6 2 2" xfId="26820" xr:uid="{10BE96F3-3098-44BE-8EFC-E01C7AADA42B}"/>
    <cellStyle name="Normal 9 2 2 6 2 3" xfId="21160" xr:uid="{E4A8ADC3-80BD-4E0F-99E0-6E48CFB1151E}"/>
    <cellStyle name="Normal 9 2 2 6 2 4" xfId="32200" xr:uid="{15785DE9-06D7-4A49-8062-E09DCDC49A1C}"/>
    <cellStyle name="Normal 9 2 2 6 2 5" xfId="41686" xr:uid="{F02FD418-811F-4A43-A5E6-88A53036DCE2}"/>
    <cellStyle name="Normal 9 2 2 6 3" xfId="23987" xr:uid="{8E6713B1-BA71-4CE5-B746-FBF069CB1E3E}"/>
    <cellStyle name="Normal 9 2 2 6 4" xfId="18327" xr:uid="{69BA3838-C0A8-4B33-B32C-CFB218764061}"/>
    <cellStyle name="Normal 9 2 2 6 5" xfId="29648" xr:uid="{4495CFD6-F4CB-4286-83F3-33E786051025}"/>
    <cellStyle name="Normal 9 2 2 6 6" xfId="41685" xr:uid="{1FD9798E-2AEA-4C13-8889-3909EDE304D5}"/>
    <cellStyle name="Normal 9 2 2 7" xfId="8142" xr:uid="{00000000-0005-0000-0000-00004F230000}"/>
    <cellStyle name="Normal 9 2 2 7 2" xfId="25618" xr:uid="{904DF1ED-EE0B-4356-9E64-38ADF5DBC4DE}"/>
    <cellStyle name="Normal 9 2 2 7 3" xfId="19958" xr:uid="{8A9772E1-43E6-4C74-BF2F-DD1A15A8FA1C}"/>
    <cellStyle name="Normal 9 2 2 7 4" xfId="31279" xr:uid="{04EAA9A1-54BE-4ADC-9127-7FF62749A6B9}"/>
    <cellStyle name="Normal 9 2 2 7 5" xfId="41687" xr:uid="{DAABD0A0-1A78-4365-9DA2-F7FBAF6BBB4A}"/>
    <cellStyle name="Normal 9 2 2 8" xfId="22425" xr:uid="{B8E05016-741F-4AC1-86E5-24594C920FE9}"/>
    <cellStyle name="Normal 9 2 2 8 2" xfId="41688" xr:uid="{3EE859C7-F118-44A4-9BDE-FA93F7B296DD}"/>
    <cellStyle name="Normal 9 2 2 9" xfId="16765" xr:uid="{0C685F7D-3E2E-4715-9F55-B10FB47E5FF0}"/>
    <cellStyle name="Normal 9 2 3" xfId="2306" xr:uid="{00000000-0005-0000-0000-000050230000}"/>
    <cellStyle name="Normal 9 2 3 10" xfId="41689" xr:uid="{1F7B4C10-A917-485A-8C77-AD9FEF973636}"/>
    <cellStyle name="Normal 9 2 3 2" xfId="4879" xr:uid="{00000000-0005-0000-0000-000051230000}"/>
    <cellStyle name="Normal 9 2 3 2 2" xfId="5298" xr:uid="{00000000-0005-0000-0000-000052230000}"/>
    <cellStyle name="Normal 9 2 3 2 2 2" xfId="7161" xr:uid="{00000000-0005-0000-0000-000053230000}"/>
    <cellStyle name="Normal 9 2 3 2 2 2 2" xfId="15594" xr:uid="{00000000-0005-0000-0000-000054230000}"/>
    <cellStyle name="Normal 9 2 3 2 2 2 2 2" xfId="27488" xr:uid="{99F9D9B0-E252-4F1B-8621-E5CB186E6846}"/>
    <cellStyle name="Normal 9 2 3 2 2 2 2 3" xfId="21828" xr:uid="{F6B67A11-D78D-4ACD-B2F9-C26AF49AC3C2}"/>
    <cellStyle name="Normal 9 2 3 2 2 2 2 4" xfId="32868" xr:uid="{5884E4BF-2834-447C-A490-2630D4F207C9}"/>
    <cellStyle name="Normal 9 2 3 2 2 2 2 5" xfId="41693" xr:uid="{DD5EAC1A-D53D-4A7E-9845-03855834C4B1}"/>
    <cellStyle name="Normal 9 2 3 2 2 2 3" xfId="24655" xr:uid="{0381DF20-AA7F-4D87-88C5-986806E0D442}"/>
    <cellStyle name="Normal 9 2 3 2 2 2 4" xfId="18995" xr:uid="{12E9FBF9-2F22-40C7-95A9-F2F34672D44B}"/>
    <cellStyle name="Normal 9 2 3 2 2 2 5" xfId="30316" xr:uid="{D668A361-87FE-443A-B233-84C5A4719570}"/>
    <cellStyle name="Normal 9 2 3 2 2 2 6" xfId="41692" xr:uid="{9DCCABCA-3B2A-42D2-B808-D94E966370B7}"/>
    <cellStyle name="Normal 9 2 3 2 2 3" xfId="14184" xr:uid="{00000000-0005-0000-0000-000055230000}"/>
    <cellStyle name="Normal 9 2 3 2 2 3 2" xfId="26223" xr:uid="{0B0C8821-4D3E-4627-B419-68364983F440}"/>
    <cellStyle name="Normal 9 2 3 2 2 3 3" xfId="20563" xr:uid="{FCA316CA-6CCF-4328-8571-D4D7BC01FA9E}"/>
    <cellStyle name="Normal 9 2 3 2 2 3 4" xfId="31603" xr:uid="{B27FF7D3-9DD4-4565-869D-CBB61FE54816}"/>
    <cellStyle name="Normal 9 2 3 2 2 3 5" xfId="41694" xr:uid="{BBDAC057-A29D-432E-B933-08E1BC4A622E}"/>
    <cellStyle name="Normal 9 2 3 2 2 4" xfId="23093" xr:uid="{BCD430A9-80CA-4C30-8109-CD7B60557C50}"/>
    <cellStyle name="Normal 9 2 3 2 2 5" xfId="17433" xr:uid="{982EC0DB-A7E8-4037-B6DF-151C23245BAB}"/>
    <cellStyle name="Normal 9 2 3 2 2 6" xfId="28754" xr:uid="{75A2F935-7334-4DAE-AD20-1BFD4763BD38}"/>
    <cellStyle name="Normal 9 2 3 2 2 7" xfId="41691" xr:uid="{7CD1900F-DEB7-4843-8521-200CECACFB55}"/>
    <cellStyle name="Normal 9 2 3 2 3" xfId="6375" xr:uid="{00000000-0005-0000-0000-000056230000}"/>
    <cellStyle name="Normal 9 2 3 2 3 2" xfId="7694" xr:uid="{00000000-0005-0000-0000-000057230000}"/>
    <cellStyle name="Normal 9 2 3 2 3 2 2" xfId="16127" xr:uid="{00000000-0005-0000-0000-000058230000}"/>
    <cellStyle name="Normal 9 2 3 2 3 2 2 2" xfId="28021" xr:uid="{2B4BBC25-C56E-46D1-9DE7-701B2AECA646}"/>
    <cellStyle name="Normal 9 2 3 2 3 2 2 3" xfId="22361" xr:uid="{15089A68-369E-475D-B379-324A76B66EE3}"/>
    <cellStyle name="Normal 9 2 3 2 3 2 2 4" xfId="33401" xr:uid="{5CF9673A-B170-49EF-BB59-FAA1A69DC73C}"/>
    <cellStyle name="Normal 9 2 3 2 3 2 2 5" xfId="41697" xr:uid="{14A1E9AC-AE8B-4322-8ED2-41DF0C8BDA63}"/>
    <cellStyle name="Normal 9 2 3 2 3 2 3" xfId="25188" xr:uid="{F874276E-D5B6-4440-9FA8-428B5F6F6665}"/>
    <cellStyle name="Normal 9 2 3 2 3 2 4" xfId="19528" xr:uid="{4EC0BD75-C48E-4D7C-8940-C2E902B15857}"/>
    <cellStyle name="Normal 9 2 3 2 3 2 5" xfId="30849" xr:uid="{6D46DDA3-820C-4608-A81C-45CA8617164B}"/>
    <cellStyle name="Normal 9 2 3 2 3 2 6" xfId="41696" xr:uid="{A85A4C4D-04D2-46C0-B1EB-EBBA97C88875}"/>
    <cellStyle name="Normal 9 2 3 2 3 3" xfId="14810" xr:uid="{00000000-0005-0000-0000-000059230000}"/>
    <cellStyle name="Normal 9 2 3 2 3 3 2" xfId="26765" xr:uid="{667017BC-F1E0-44D0-BDAB-2F0BB4E6EFB4}"/>
    <cellStyle name="Normal 9 2 3 2 3 3 3" xfId="21105" xr:uid="{6205A733-BF3D-41F3-B694-C6E9CB2B266D}"/>
    <cellStyle name="Normal 9 2 3 2 3 3 4" xfId="32145" xr:uid="{41AA23D2-5B7E-4A8E-811E-D333458AD593}"/>
    <cellStyle name="Normal 9 2 3 2 3 3 5" xfId="41698" xr:uid="{1FDB8AA9-0C36-47CC-BFA4-EC18C80066E8}"/>
    <cellStyle name="Normal 9 2 3 2 3 4" xfId="23932" xr:uid="{56D274E3-2826-495B-827A-8695B02957DE}"/>
    <cellStyle name="Normal 9 2 3 2 3 5" xfId="18272" xr:uid="{87C8F202-9D0A-4D06-BC66-5A419F8FF83C}"/>
    <cellStyle name="Normal 9 2 3 2 3 6" xfId="29593" xr:uid="{3730BAFC-6587-4E15-8014-A831878B3E6A}"/>
    <cellStyle name="Normal 9 2 3 2 3 7" xfId="41695" xr:uid="{2AB94C2E-DCB0-4F6B-8896-9F80849F4F60}"/>
    <cellStyle name="Normal 9 2 3 2 4" xfId="6743" xr:uid="{00000000-0005-0000-0000-00005A230000}"/>
    <cellStyle name="Normal 9 2 3 2 4 2" xfId="15176" xr:uid="{00000000-0005-0000-0000-00005B230000}"/>
    <cellStyle name="Normal 9 2 3 2 4 2 2" xfId="27070" xr:uid="{BF03DA1E-F454-440F-843B-AFFF53C8BFA7}"/>
    <cellStyle name="Normal 9 2 3 2 4 2 3" xfId="21410" xr:uid="{78E40738-BAAA-4EFF-9F16-0D9840F2D4FD}"/>
    <cellStyle name="Normal 9 2 3 2 4 2 4" xfId="32450" xr:uid="{39135268-4E6B-44A4-90ED-7055B289FF0C}"/>
    <cellStyle name="Normal 9 2 3 2 4 2 5" xfId="41700" xr:uid="{E289D1B2-CCAF-4B0A-BAD1-9F5F5B36D42A}"/>
    <cellStyle name="Normal 9 2 3 2 4 3" xfId="24237" xr:uid="{062C56F0-6E26-461C-89B6-D3C8F60B9EEE}"/>
    <cellStyle name="Normal 9 2 3 2 4 4" xfId="18577" xr:uid="{BDBB7473-4BE7-4387-8080-18121C38EFD4}"/>
    <cellStyle name="Normal 9 2 3 2 4 5" xfId="29898" xr:uid="{2FC5436F-2E00-4D14-9587-CA26339C8CD6}"/>
    <cellStyle name="Normal 9 2 3 2 4 6" xfId="41699" xr:uid="{DA1C8932-4654-417F-BED4-EDDFAFCD5BFE}"/>
    <cellStyle name="Normal 9 2 3 2 5" xfId="8145" xr:uid="{00000000-0005-0000-0000-00005C230000}"/>
    <cellStyle name="Normal 9 2 3 2 5 2" xfId="25621" xr:uid="{CF024247-F1B4-4422-B61F-B68DA8747E4C}"/>
    <cellStyle name="Normal 9 2 3 2 5 3" xfId="19961" xr:uid="{393B934C-E988-47D1-92A5-DF0BEAD199B3}"/>
    <cellStyle name="Normal 9 2 3 2 5 4" xfId="31282" xr:uid="{86600027-430F-4363-8421-81BD84544F0A}"/>
    <cellStyle name="Normal 9 2 3 2 5 5" xfId="41701" xr:uid="{E20F2D5C-05B7-458E-862B-35B300CE303D}"/>
    <cellStyle name="Normal 9 2 3 2 6" xfId="22675" xr:uid="{6538D403-A37D-4373-8D03-BEBBEBBE77E5}"/>
    <cellStyle name="Normal 9 2 3 2 7" xfId="17015" xr:uid="{8BF1ABC7-2E51-4A54-B6AC-7FF4BF58F05E}"/>
    <cellStyle name="Normal 9 2 3 2 8" xfId="28336" xr:uid="{61DD67F8-DC66-454F-BAF7-360C31C63204}"/>
    <cellStyle name="Normal 9 2 3 2 9" xfId="41690" xr:uid="{96EB3F7B-6F8B-4E95-9B28-D5F821A92F3D}"/>
    <cellStyle name="Normal 9 2 3 3" xfId="5089" xr:uid="{00000000-0005-0000-0000-00005D230000}"/>
    <cellStyle name="Normal 9 2 3 3 2" xfId="6952" xr:uid="{00000000-0005-0000-0000-00005E230000}"/>
    <cellStyle name="Normal 9 2 3 3 2 2" xfId="15385" xr:uid="{00000000-0005-0000-0000-00005F230000}"/>
    <cellStyle name="Normal 9 2 3 3 2 2 2" xfId="27279" xr:uid="{1BDA704B-130C-472B-94FC-86A6C8F073D7}"/>
    <cellStyle name="Normal 9 2 3 3 2 2 3" xfId="21619" xr:uid="{4B72BC66-E2FB-404A-BF21-C4E054D29F7B}"/>
    <cellStyle name="Normal 9 2 3 3 2 2 4" xfId="32659" xr:uid="{8C1B096E-13BD-4D4E-AE5D-7362E416698D}"/>
    <cellStyle name="Normal 9 2 3 3 2 2 5" xfId="41704" xr:uid="{D42B99E0-74C4-473D-ADB7-EDB8F9C1735D}"/>
    <cellStyle name="Normal 9 2 3 3 2 3" xfId="24446" xr:uid="{FD508789-025A-4E2A-B861-BB5F6288F2D1}"/>
    <cellStyle name="Normal 9 2 3 3 2 4" xfId="18786" xr:uid="{A126532E-56C4-48C9-857F-5187E1D4F651}"/>
    <cellStyle name="Normal 9 2 3 3 2 5" xfId="30107" xr:uid="{09267388-9361-4B9C-BB85-75BA540DC3FD}"/>
    <cellStyle name="Normal 9 2 3 3 2 6" xfId="41703" xr:uid="{1147FA80-6DC4-4D0D-988B-A8DF00AF284E}"/>
    <cellStyle name="Normal 9 2 3 3 3" xfId="13976" xr:uid="{00000000-0005-0000-0000-000060230000}"/>
    <cellStyle name="Normal 9 2 3 3 3 2" xfId="26015" xr:uid="{A96E5F8A-6F0C-40C7-BD7A-A3838D8A3E62}"/>
    <cellStyle name="Normal 9 2 3 3 3 3" xfId="20355" xr:uid="{3238714B-01FB-44D0-8081-7A4E417F0E39}"/>
    <cellStyle name="Normal 9 2 3 3 3 4" xfId="31395" xr:uid="{7B739B1E-3B41-4813-844C-7E37460DEF0C}"/>
    <cellStyle name="Normal 9 2 3 3 3 5" xfId="41705" xr:uid="{3FEE8118-3B01-4A0C-BCEF-2592AD897926}"/>
    <cellStyle name="Normal 9 2 3 3 4" xfId="22884" xr:uid="{ECF0825D-F9F0-4C1D-8F08-F1556BC2519D}"/>
    <cellStyle name="Normal 9 2 3 3 5" xfId="17224" xr:uid="{D1E61C37-9F54-498A-9F2B-8E87391264CE}"/>
    <cellStyle name="Normal 9 2 3 3 6" xfId="28545" xr:uid="{8DE3B574-24AD-46E5-B310-472CA857E1BE}"/>
    <cellStyle name="Normal 9 2 3 3 7" xfId="41702" xr:uid="{22BC49B7-248F-466C-BF32-4F105D46AE54}"/>
    <cellStyle name="Normal 9 2 3 4" xfId="6374" xr:uid="{00000000-0005-0000-0000-000061230000}"/>
    <cellStyle name="Normal 9 2 3 4 2" xfId="7693" xr:uid="{00000000-0005-0000-0000-000062230000}"/>
    <cellStyle name="Normal 9 2 3 4 2 2" xfId="16126" xr:uid="{00000000-0005-0000-0000-000063230000}"/>
    <cellStyle name="Normal 9 2 3 4 2 2 2" xfId="28020" xr:uid="{1268DC3C-F088-45DB-9CA3-90F599326A53}"/>
    <cellStyle name="Normal 9 2 3 4 2 2 3" xfId="22360" xr:uid="{2D7725AF-5119-49A0-BDEA-F9A5A21C2724}"/>
    <cellStyle name="Normal 9 2 3 4 2 2 4" xfId="33400" xr:uid="{B61A62CD-DD45-4EEE-BFBE-2D9FDC6081E8}"/>
    <cellStyle name="Normal 9 2 3 4 2 2 5" xfId="41708" xr:uid="{400D4A6A-84B8-42AA-BDC2-A9E34D982EF2}"/>
    <cellStyle name="Normal 9 2 3 4 2 3" xfId="25187" xr:uid="{0F5DF33A-1958-49A8-A3C8-68BB9EE32534}"/>
    <cellStyle name="Normal 9 2 3 4 2 4" xfId="19527" xr:uid="{FF9B8794-C9B4-4B8C-A943-B96B13AC3C3F}"/>
    <cellStyle name="Normal 9 2 3 4 2 5" xfId="30848" xr:uid="{4DD5E6A2-C3A9-4282-B516-D58520FD85E0}"/>
    <cellStyle name="Normal 9 2 3 4 2 6" xfId="41707" xr:uid="{01540697-F150-4401-B9DA-E60CE36EEB2E}"/>
    <cellStyle name="Normal 9 2 3 4 3" xfId="14809" xr:uid="{00000000-0005-0000-0000-000064230000}"/>
    <cellStyle name="Normal 9 2 3 4 3 2" xfId="26764" xr:uid="{DAC72F5C-E326-496D-BB8B-474C221C14B0}"/>
    <cellStyle name="Normal 9 2 3 4 3 3" xfId="21104" xr:uid="{080FCADF-183A-4753-B98F-638ADBE4D4AE}"/>
    <cellStyle name="Normal 9 2 3 4 3 4" xfId="32144" xr:uid="{16160B83-B827-4321-8F1C-0782D7E69C3D}"/>
    <cellStyle name="Normal 9 2 3 4 3 5" xfId="41709" xr:uid="{FB430297-7E95-4935-B967-ED4ECC4B32AC}"/>
    <cellStyle name="Normal 9 2 3 4 4" xfId="23931" xr:uid="{F4CD5C41-3D71-4D1B-A53D-0E224E914882}"/>
    <cellStyle name="Normal 9 2 3 4 5" xfId="18271" xr:uid="{EB2B8D80-5688-4AE8-8BFD-A8DB7C3884C7}"/>
    <cellStyle name="Normal 9 2 3 4 6" xfId="29592" xr:uid="{76F89235-3CF1-40BE-AD54-35CFD6628338}"/>
    <cellStyle name="Normal 9 2 3 4 7" xfId="41706" xr:uid="{934418C0-FB1F-46C4-BAEF-234136D6DF82}"/>
    <cellStyle name="Normal 9 2 3 5" xfId="6534" xr:uid="{00000000-0005-0000-0000-000065230000}"/>
    <cellStyle name="Normal 9 2 3 5 2" xfId="14967" xr:uid="{00000000-0005-0000-0000-000066230000}"/>
    <cellStyle name="Normal 9 2 3 5 2 2" xfId="26861" xr:uid="{4BB83FD7-099D-4F0B-BFAB-E2ECB8901F76}"/>
    <cellStyle name="Normal 9 2 3 5 2 3" xfId="21201" xr:uid="{9A1413A1-EF85-496F-A55E-D010B1DE7E8E}"/>
    <cellStyle name="Normal 9 2 3 5 2 4" xfId="32241" xr:uid="{200970B4-FFF5-4599-AEF3-4D635BFA9B86}"/>
    <cellStyle name="Normal 9 2 3 5 2 5" xfId="41711" xr:uid="{E671C052-211A-4654-9BD7-2DB001BD083C}"/>
    <cellStyle name="Normal 9 2 3 5 3" xfId="24028" xr:uid="{30725DB9-7F2E-432B-9395-47F1FE056B53}"/>
    <cellStyle name="Normal 9 2 3 5 4" xfId="18368" xr:uid="{10F3A8EA-5FC3-4BD9-B4AA-404CA2C6064C}"/>
    <cellStyle name="Normal 9 2 3 5 5" xfId="29689" xr:uid="{2AE953B4-934D-4F55-A62E-65338DC14E49}"/>
    <cellStyle name="Normal 9 2 3 5 6" xfId="41710" xr:uid="{0F85CF20-FAA0-4B40-A004-95F7142C4301}"/>
    <cellStyle name="Normal 9 2 3 6" xfId="8144" xr:uid="{00000000-0005-0000-0000-000067230000}"/>
    <cellStyle name="Normal 9 2 3 6 2" xfId="25620" xr:uid="{DAAFDCF1-4E11-44F3-8244-FDC06FE32813}"/>
    <cellStyle name="Normal 9 2 3 6 3" xfId="19960" xr:uid="{CC746EFF-8765-4DFB-ADC6-82A33988B05B}"/>
    <cellStyle name="Normal 9 2 3 6 4" xfId="31281" xr:uid="{1D974A62-A05F-43F2-B797-0C9CC5207F55}"/>
    <cellStyle name="Normal 9 2 3 6 5" xfId="41712" xr:uid="{434023F5-AF60-4BF0-B762-8508A423F4C2}"/>
    <cellStyle name="Normal 9 2 3 7" xfId="22466" xr:uid="{EC2D04C2-58F1-4C37-8191-6ECF3D663DBF}"/>
    <cellStyle name="Normal 9 2 3 8" xfId="16806" xr:uid="{3429DFB0-3FA7-4B0A-80F3-3B641256B0D8}"/>
    <cellStyle name="Normal 9 2 3 9" xfId="28127" xr:uid="{8092F343-14D6-41F6-8424-3F6299DBE58B}"/>
    <cellStyle name="Normal 9 2 4" xfId="4792" xr:uid="{00000000-0005-0000-0000-000068230000}"/>
    <cellStyle name="Normal 9 2 4 10" xfId="41713" xr:uid="{00F27623-A73B-4B50-806E-6AD8DC002998}"/>
    <cellStyle name="Normal 9 2 4 2" xfId="5006" xr:uid="{00000000-0005-0000-0000-000069230000}"/>
    <cellStyle name="Normal 9 2 4 2 2" xfId="5424" xr:uid="{00000000-0005-0000-0000-00006A230000}"/>
    <cellStyle name="Normal 9 2 4 2 2 2" xfId="7287" xr:uid="{00000000-0005-0000-0000-00006B230000}"/>
    <cellStyle name="Normal 9 2 4 2 2 2 2" xfId="15720" xr:uid="{00000000-0005-0000-0000-00006C230000}"/>
    <cellStyle name="Normal 9 2 4 2 2 2 2 2" xfId="27614" xr:uid="{F79EDD2B-3FB7-47FB-8419-38CEEE8466BF}"/>
    <cellStyle name="Normal 9 2 4 2 2 2 2 3" xfId="21954" xr:uid="{094A641B-0E4C-40E5-A398-3134D47C15B4}"/>
    <cellStyle name="Normal 9 2 4 2 2 2 2 4" xfId="32994" xr:uid="{CBDA6EC0-0495-4747-A1EB-9CB3A13B6A0B}"/>
    <cellStyle name="Normal 9 2 4 2 2 2 2 5" xfId="41717" xr:uid="{5C6A686A-4D93-4474-8B4B-6B140954F321}"/>
    <cellStyle name="Normal 9 2 4 2 2 2 3" xfId="24781" xr:uid="{94101D9D-C91A-4BAF-80C5-99D9E3ED7783}"/>
    <cellStyle name="Normal 9 2 4 2 2 2 4" xfId="19121" xr:uid="{455C2227-4093-4420-ABB6-973A7BF29127}"/>
    <cellStyle name="Normal 9 2 4 2 2 2 5" xfId="30442" xr:uid="{972C7B49-F247-415A-8661-BB6B5FCD524C}"/>
    <cellStyle name="Normal 9 2 4 2 2 2 6" xfId="41716" xr:uid="{5FE190AE-DD4D-4336-885F-E346D229C017}"/>
    <cellStyle name="Normal 9 2 4 2 2 3" xfId="14310" xr:uid="{00000000-0005-0000-0000-00006D230000}"/>
    <cellStyle name="Normal 9 2 4 2 2 3 2" xfId="26349" xr:uid="{34D068E7-E176-479B-A66D-8060D1279F7A}"/>
    <cellStyle name="Normal 9 2 4 2 2 3 3" xfId="20689" xr:uid="{F2255A72-45A4-42AE-89DA-4E28D012751E}"/>
    <cellStyle name="Normal 9 2 4 2 2 3 4" xfId="31729" xr:uid="{CF6ED4B2-B690-45D9-96F6-7B6C5A5F2FA9}"/>
    <cellStyle name="Normal 9 2 4 2 2 3 5" xfId="41718" xr:uid="{475AE1C1-77ED-4F1E-B8EB-380C158312E4}"/>
    <cellStyle name="Normal 9 2 4 2 2 4" xfId="23219" xr:uid="{4983B3D5-73C0-4E88-8333-5F43134F48F8}"/>
    <cellStyle name="Normal 9 2 4 2 2 5" xfId="17559" xr:uid="{0F81DA0B-7781-4AAA-82D9-018CDF56C139}"/>
    <cellStyle name="Normal 9 2 4 2 2 6" xfId="28880" xr:uid="{59E60D07-4C2E-49FE-8664-300F335E9448}"/>
    <cellStyle name="Normal 9 2 4 2 2 7" xfId="41715" xr:uid="{59476338-4DA9-48F7-A60B-5EB66D59E991}"/>
    <cellStyle name="Normal 9 2 4 2 3" xfId="6377" xr:uid="{00000000-0005-0000-0000-00006E230000}"/>
    <cellStyle name="Normal 9 2 4 2 3 2" xfId="7696" xr:uid="{00000000-0005-0000-0000-00006F230000}"/>
    <cellStyle name="Normal 9 2 4 2 3 2 2" xfId="16129" xr:uid="{00000000-0005-0000-0000-000070230000}"/>
    <cellStyle name="Normal 9 2 4 2 3 2 2 2" xfId="28023" xr:uid="{B889565C-01D0-4BE7-9030-38D74101FEF3}"/>
    <cellStyle name="Normal 9 2 4 2 3 2 2 3" xfId="22363" xr:uid="{CB02A684-DA12-4DEA-BE72-A4F95198AB7F}"/>
    <cellStyle name="Normal 9 2 4 2 3 2 2 4" xfId="33403" xr:uid="{88FC0415-C7E1-423C-B8BF-03C63E043E43}"/>
    <cellStyle name="Normal 9 2 4 2 3 2 2 5" xfId="41721" xr:uid="{5FD2530C-794F-4885-ABCD-F0F7053578A6}"/>
    <cellStyle name="Normal 9 2 4 2 3 2 3" xfId="25190" xr:uid="{0D41634A-DDB1-46E6-9F61-0079EF9C65D6}"/>
    <cellStyle name="Normal 9 2 4 2 3 2 4" xfId="19530" xr:uid="{990BE1FA-37A7-423F-8B96-465ACA6D4645}"/>
    <cellStyle name="Normal 9 2 4 2 3 2 5" xfId="30851" xr:uid="{D82DB427-50B4-4752-BA9C-FBD84C77935F}"/>
    <cellStyle name="Normal 9 2 4 2 3 2 6" xfId="41720" xr:uid="{A7AEC4B4-692C-4491-8B3F-C7143C088BC2}"/>
    <cellStyle name="Normal 9 2 4 2 3 3" xfId="14812" xr:uid="{00000000-0005-0000-0000-000071230000}"/>
    <cellStyle name="Normal 9 2 4 2 3 3 2" xfId="26767" xr:uid="{96C16441-06A1-4584-AA40-E547B20720E9}"/>
    <cellStyle name="Normal 9 2 4 2 3 3 3" xfId="21107" xr:uid="{286BD0BF-42DD-4A9C-9469-E07B1C4575B3}"/>
    <cellStyle name="Normal 9 2 4 2 3 3 4" xfId="32147" xr:uid="{A9EE63EB-018F-4093-8FC8-6A77B29BC61C}"/>
    <cellStyle name="Normal 9 2 4 2 3 3 5" xfId="41722" xr:uid="{1BA2ED8E-CAB5-4680-8322-F31AEFB4BAB9}"/>
    <cellStyle name="Normal 9 2 4 2 3 4" xfId="23934" xr:uid="{77B8562E-AA6E-48A4-96D8-7F3F13C5E9F7}"/>
    <cellStyle name="Normal 9 2 4 2 3 5" xfId="18274" xr:uid="{C0CA376C-FA43-4A32-BFAD-86A0D666041C}"/>
    <cellStyle name="Normal 9 2 4 2 3 6" xfId="29595" xr:uid="{15AA40D8-6A81-4FBE-B382-9059FF43C3F5}"/>
    <cellStyle name="Normal 9 2 4 2 3 7" xfId="41719" xr:uid="{C65C604E-CE82-461E-B237-41312F2A9530}"/>
    <cellStyle name="Normal 9 2 4 2 4" xfId="6869" xr:uid="{00000000-0005-0000-0000-000072230000}"/>
    <cellStyle name="Normal 9 2 4 2 4 2" xfId="15302" xr:uid="{00000000-0005-0000-0000-000073230000}"/>
    <cellStyle name="Normal 9 2 4 2 4 2 2" xfId="27196" xr:uid="{B14D3439-A526-4980-8A9E-A8FB6C667919}"/>
    <cellStyle name="Normal 9 2 4 2 4 2 3" xfId="21536" xr:uid="{5EC423A3-A5DE-41F2-AD26-7A9982A74D44}"/>
    <cellStyle name="Normal 9 2 4 2 4 2 4" xfId="32576" xr:uid="{B20E5A44-671D-4610-8462-3CE625FEDAA2}"/>
    <cellStyle name="Normal 9 2 4 2 4 2 5" xfId="41724" xr:uid="{222BFC10-263C-4E1E-BB0A-5020F1189C2C}"/>
    <cellStyle name="Normal 9 2 4 2 4 3" xfId="24363" xr:uid="{BDE8E637-53F0-471E-AFAD-F1D468D58D51}"/>
    <cellStyle name="Normal 9 2 4 2 4 4" xfId="18703" xr:uid="{6DB72F16-F267-420D-9459-5ED1130C4426}"/>
    <cellStyle name="Normal 9 2 4 2 4 5" xfId="30024" xr:uid="{FDBDE4D6-28FC-44BC-A491-BDD1DE87A41D}"/>
    <cellStyle name="Normal 9 2 4 2 4 6" xfId="41723" xr:uid="{76734BB0-4D27-461B-9F83-032CEBD91717}"/>
    <cellStyle name="Normal 9 2 4 2 5" xfId="8147" xr:uid="{00000000-0005-0000-0000-000074230000}"/>
    <cellStyle name="Normal 9 2 4 2 5 2" xfId="25623" xr:uid="{D3580178-6CE2-4B75-A0B6-B8C75B328C2C}"/>
    <cellStyle name="Normal 9 2 4 2 5 3" xfId="19963" xr:uid="{4FA4C492-1F91-4A04-A2A8-3A6AD81AA9C2}"/>
    <cellStyle name="Normal 9 2 4 2 5 4" xfId="31284" xr:uid="{ED12F6B7-E75F-4FB3-BF40-F5C3F4A46ADE}"/>
    <cellStyle name="Normal 9 2 4 2 5 5" xfId="41725" xr:uid="{CB7AA290-FF92-4E57-B5D9-3A6CBC19C112}"/>
    <cellStyle name="Normal 9 2 4 2 6" xfId="22801" xr:uid="{6A4E46E5-246C-4305-B966-9AC1DF83245D}"/>
    <cellStyle name="Normal 9 2 4 2 7" xfId="17141" xr:uid="{72AAE078-580C-4B38-807B-06C401877EF8}"/>
    <cellStyle name="Normal 9 2 4 2 8" xfId="28462" xr:uid="{7C4B6D3D-4024-4A69-A481-E5B7880E8EDC}"/>
    <cellStyle name="Normal 9 2 4 2 9" xfId="41714" xr:uid="{D21AA9CC-1B97-48DE-996F-3A4249EE9641}"/>
    <cellStyle name="Normal 9 2 4 3" xfId="5215" xr:uid="{00000000-0005-0000-0000-000075230000}"/>
    <cellStyle name="Normal 9 2 4 3 2" xfId="7078" xr:uid="{00000000-0005-0000-0000-000076230000}"/>
    <cellStyle name="Normal 9 2 4 3 2 2" xfId="15511" xr:uid="{00000000-0005-0000-0000-000077230000}"/>
    <cellStyle name="Normal 9 2 4 3 2 2 2" xfId="27405" xr:uid="{6DFF3B6D-0F92-455F-BA6D-AE969528FAB5}"/>
    <cellStyle name="Normal 9 2 4 3 2 2 3" xfId="21745" xr:uid="{6029FF1F-6786-4AC9-9B79-81860C8B1E6E}"/>
    <cellStyle name="Normal 9 2 4 3 2 2 4" xfId="32785" xr:uid="{1247698F-C6FC-42C4-986E-FBB60DE644AF}"/>
    <cellStyle name="Normal 9 2 4 3 2 2 5" xfId="41728" xr:uid="{362BD9B1-7B24-46F0-BE86-ECEEE07B3262}"/>
    <cellStyle name="Normal 9 2 4 3 2 3" xfId="24572" xr:uid="{741368C8-7BED-44B3-BC8D-4E4A180FF4B5}"/>
    <cellStyle name="Normal 9 2 4 3 2 4" xfId="18912" xr:uid="{C481F219-EDF5-427B-99A9-82B14B1E9C3D}"/>
    <cellStyle name="Normal 9 2 4 3 2 5" xfId="30233" xr:uid="{1F1A773A-D54A-41A1-89AE-B6F4C4152F4C}"/>
    <cellStyle name="Normal 9 2 4 3 2 6" xfId="41727" xr:uid="{D523634F-7FCD-4622-9509-B484162FEBFF}"/>
    <cellStyle name="Normal 9 2 4 3 3" xfId="14101" xr:uid="{00000000-0005-0000-0000-000078230000}"/>
    <cellStyle name="Normal 9 2 4 3 3 2" xfId="26140" xr:uid="{A6FAFB3D-ADF9-42E1-8C61-0715286CE032}"/>
    <cellStyle name="Normal 9 2 4 3 3 3" xfId="20480" xr:uid="{76D7768B-35C2-4045-8760-349E95160909}"/>
    <cellStyle name="Normal 9 2 4 3 3 4" xfId="31520" xr:uid="{DA25CDE9-A7E1-450C-9791-A6D42F1DEE56}"/>
    <cellStyle name="Normal 9 2 4 3 3 5" xfId="41729" xr:uid="{4F134543-7EB0-4696-BBE8-73082D508ABE}"/>
    <cellStyle name="Normal 9 2 4 3 4" xfId="23010" xr:uid="{5D3711CC-8771-4F38-A313-B01E8E655DDD}"/>
    <cellStyle name="Normal 9 2 4 3 5" xfId="17350" xr:uid="{7BFCC595-E4B1-4DFD-84A6-6BC731134414}"/>
    <cellStyle name="Normal 9 2 4 3 6" xfId="28671" xr:uid="{5C1BEE20-E2C2-4A22-9BC4-070F7A3FAE75}"/>
    <cellStyle name="Normal 9 2 4 3 7" xfId="41726" xr:uid="{44B01C7F-0D14-4D31-B72F-156E72001405}"/>
    <cellStyle name="Normal 9 2 4 4" xfId="6376" xr:uid="{00000000-0005-0000-0000-000079230000}"/>
    <cellStyle name="Normal 9 2 4 4 2" xfId="7695" xr:uid="{00000000-0005-0000-0000-00007A230000}"/>
    <cellStyle name="Normal 9 2 4 4 2 2" xfId="16128" xr:uid="{00000000-0005-0000-0000-00007B230000}"/>
    <cellStyle name="Normal 9 2 4 4 2 2 2" xfId="28022" xr:uid="{28A3172D-CC56-4F8B-A8C9-33146F60677D}"/>
    <cellStyle name="Normal 9 2 4 4 2 2 3" xfId="22362" xr:uid="{C3DD39CE-367E-4F1F-8F9E-32A6720F1536}"/>
    <cellStyle name="Normal 9 2 4 4 2 2 4" xfId="33402" xr:uid="{765786E7-7651-427D-958C-C2878C34B3DC}"/>
    <cellStyle name="Normal 9 2 4 4 2 2 5" xfId="41732" xr:uid="{108DDA77-A193-4475-B9D7-45D89D98EF82}"/>
    <cellStyle name="Normal 9 2 4 4 2 3" xfId="25189" xr:uid="{7CC89819-2C7F-4CFF-8C2C-E1942461355D}"/>
    <cellStyle name="Normal 9 2 4 4 2 4" xfId="19529" xr:uid="{7DD52D28-D99E-4E90-B4EF-EF6022153349}"/>
    <cellStyle name="Normal 9 2 4 4 2 5" xfId="30850" xr:uid="{F4DE97BB-318B-4C63-A235-1510985C09FE}"/>
    <cellStyle name="Normal 9 2 4 4 2 6" xfId="41731" xr:uid="{1C8C574F-FA8D-46B9-9BDF-AB17ACF4FA75}"/>
    <cellStyle name="Normal 9 2 4 4 3" xfId="14811" xr:uid="{00000000-0005-0000-0000-00007C230000}"/>
    <cellStyle name="Normal 9 2 4 4 3 2" xfId="26766" xr:uid="{B4509B11-0134-4058-8E86-03C8369980E8}"/>
    <cellStyle name="Normal 9 2 4 4 3 3" xfId="21106" xr:uid="{E562D284-9566-485A-B6B8-FCA819C6BBDA}"/>
    <cellStyle name="Normal 9 2 4 4 3 4" xfId="32146" xr:uid="{11380099-9732-408F-8980-F47F637B02A9}"/>
    <cellStyle name="Normal 9 2 4 4 3 5" xfId="41733" xr:uid="{59B95DDE-044C-43CB-A182-6EFBF79C14CF}"/>
    <cellStyle name="Normal 9 2 4 4 4" xfId="23933" xr:uid="{8A49E434-D447-4E6C-80FC-9162BEF7BBE7}"/>
    <cellStyle name="Normal 9 2 4 4 5" xfId="18273" xr:uid="{F8E67771-140B-4BA5-A850-F5956C8FA724}"/>
    <cellStyle name="Normal 9 2 4 4 6" xfId="29594" xr:uid="{37C6F55B-E55F-4894-85C5-514251A20B3A}"/>
    <cellStyle name="Normal 9 2 4 4 7" xfId="41730" xr:uid="{F53516AF-3D0A-4BA5-ADB3-7CEE7B28C5BE}"/>
    <cellStyle name="Normal 9 2 4 5" xfId="6660" xr:uid="{00000000-0005-0000-0000-00007D230000}"/>
    <cellStyle name="Normal 9 2 4 5 2" xfId="15093" xr:uid="{00000000-0005-0000-0000-00007E230000}"/>
    <cellStyle name="Normal 9 2 4 5 2 2" xfId="26987" xr:uid="{D2EF8669-10F5-4195-AA33-BEBDFC5F6826}"/>
    <cellStyle name="Normal 9 2 4 5 2 3" xfId="21327" xr:uid="{7A3A869F-39CC-44AE-81CB-F30478C78C99}"/>
    <cellStyle name="Normal 9 2 4 5 2 4" xfId="32367" xr:uid="{D5A09177-5BC5-4647-82B6-9F05C4D58DE0}"/>
    <cellStyle name="Normal 9 2 4 5 2 5" xfId="41735" xr:uid="{1BF88BF8-AE97-4056-9B94-65F35D6EFE97}"/>
    <cellStyle name="Normal 9 2 4 5 3" xfId="24154" xr:uid="{554D3085-6605-4F88-90A7-0353D2D506F2}"/>
    <cellStyle name="Normal 9 2 4 5 4" xfId="18494" xr:uid="{401AB36C-FD27-4C42-83C9-3B1AEBC87D8A}"/>
    <cellStyle name="Normal 9 2 4 5 5" xfId="29815" xr:uid="{24001E48-9FAF-4EF3-8143-218F517ABFEC}"/>
    <cellStyle name="Normal 9 2 4 5 6" xfId="41734" xr:uid="{1E856DFD-26ED-4A65-BEF1-05EEB2F5CC16}"/>
    <cellStyle name="Normal 9 2 4 6" xfId="8146" xr:uid="{00000000-0005-0000-0000-00007F230000}"/>
    <cellStyle name="Normal 9 2 4 6 2" xfId="25622" xr:uid="{2BD7BE02-5958-428C-97C9-66ED32C40F07}"/>
    <cellStyle name="Normal 9 2 4 6 3" xfId="19962" xr:uid="{E4B78AD4-F9AA-4D2A-90BA-A9A6724C6052}"/>
    <cellStyle name="Normal 9 2 4 6 4" xfId="31283" xr:uid="{4278D4CC-A577-4CEC-BCFF-A1CE06DCBA89}"/>
    <cellStyle name="Normal 9 2 4 6 5" xfId="41736" xr:uid="{B930FC70-E547-4548-986D-69330DF4FAAF}"/>
    <cellStyle name="Normal 9 2 4 7" xfId="22592" xr:uid="{F562B96D-F5AF-491E-9E6A-8210BB1FB944}"/>
    <cellStyle name="Normal 9 2 4 8" xfId="16932" xr:uid="{12ED3370-73B3-4200-991B-F33E438259C6}"/>
    <cellStyle name="Normal 9 2 4 9" xfId="28253" xr:uid="{E0A99421-E034-4FB4-9566-DE599EAF6DA5}"/>
    <cellStyle name="Normal 9 2 5" xfId="4809" xr:uid="{00000000-0005-0000-0000-000080230000}"/>
    <cellStyle name="Normal 9 2 5 2" xfId="5231" xr:uid="{00000000-0005-0000-0000-000081230000}"/>
    <cellStyle name="Normal 9 2 5 2 2" xfId="7094" xr:uid="{00000000-0005-0000-0000-000082230000}"/>
    <cellStyle name="Normal 9 2 5 2 2 2" xfId="15527" xr:uid="{00000000-0005-0000-0000-000083230000}"/>
    <cellStyle name="Normal 9 2 5 2 2 2 2" xfId="27421" xr:uid="{744811F6-F81F-4A41-A8FE-CB36CDED5E84}"/>
    <cellStyle name="Normal 9 2 5 2 2 2 3" xfId="21761" xr:uid="{6A9D6E2C-E108-4020-9C51-79F71F4D9B98}"/>
    <cellStyle name="Normal 9 2 5 2 2 2 4" xfId="32801" xr:uid="{FA45FA07-7242-44A9-A0DB-5217BDFE417E}"/>
    <cellStyle name="Normal 9 2 5 2 2 2 5" xfId="41740" xr:uid="{24E28591-3BE6-4354-89A5-FA6BA90D4513}"/>
    <cellStyle name="Normal 9 2 5 2 2 3" xfId="24588" xr:uid="{DAC30727-91E7-4573-B4DE-155351259DE5}"/>
    <cellStyle name="Normal 9 2 5 2 2 4" xfId="18928" xr:uid="{659E4BA7-3ED2-4C72-8B16-0E4CF7465630}"/>
    <cellStyle name="Normal 9 2 5 2 2 5" xfId="30249" xr:uid="{4ACEB3B1-0FA9-44AB-BABD-B2C2C10F003B}"/>
    <cellStyle name="Normal 9 2 5 2 2 6" xfId="41739" xr:uid="{D7D74A7F-19A5-4334-8AA7-3BD92BDC01B2}"/>
    <cellStyle name="Normal 9 2 5 2 3" xfId="14117" xr:uid="{00000000-0005-0000-0000-000084230000}"/>
    <cellStyle name="Normal 9 2 5 2 3 2" xfId="26156" xr:uid="{98CF403F-6D9C-49D9-9B8C-C5FC0AF6320E}"/>
    <cellStyle name="Normal 9 2 5 2 3 3" xfId="20496" xr:uid="{11EBA9BE-DE5B-42FD-A882-750A59204668}"/>
    <cellStyle name="Normal 9 2 5 2 3 4" xfId="31536" xr:uid="{C1B57095-84F8-4A09-8A3A-8D867246AAA8}"/>
    <cellStyle name="Normal 9 2 5 2 3 5" xfId="41741" xr:uid="{682DF234-3B6F-47C1-9471-5FB63F616039}"/>
    <cellStyle name="Normal 9 2 5 2 4" xfId="23026" xr:uid="{AB50E88E-E000-428F-9E55-72220E524168}"/>
    <cellStyle name="Normal 9 2 5 2 5" xfId="17366" xr:uid="{C9117E6D-8446-4260-B122-9F53D77EA639}"/>
    <cellStyle name="Normal 9 2 5 2 6" xfId="28687" xr:uid="{3E7D46A0-6CB5-432E-AEED-1F4359801FE0}"/>
    <cellStyle name="Normal 9 2 5 2 7" xfId="41738" xr:uid="{B4156570-89AE-45EF-B047-85534FDCF99A}"/>
    <cellStyle name="Normal 9 2 5 3" xfId="6378" xr:uid="{00000000-0005-0000-0000-000085230000}"/>
    <cellStyle name="Normal 9 2 5 3 2" xfId="7697" xr:uid="{00000000-0005-0000-0000-000086230000}"/>
    <cellStyle name="Normal 9 2 5 3 2 2" xfId="16130" xr:uid="{00000000-0005-0000-0000-000087230000}"/>
    <cellStyle name="Normal 9 2 5 3 2 2 2" xfId="28024" xr:uid="{259AF010-3A46-4F39-BAAB-D6478770DDBC}"/>
    <cellStyle name="Normal 9 2 5 3 2 2 3" xfId="22364" xr:uid="{FBB28CCE-A973-48FA-AE45-A30C0580E415}"/>
    <cellStyle name="Normal 9 2 5 3 2 2 4" xfId="33404" xr:uid="{4BC5D577-7940-4F25-BE52-775D29CA5371}"/>
    <cellStyle name="Normal 9 2 5 3 2 2 5" xfId="41744" xr:uid="{067D9C3D-5040-45C0-89C7-0ED594F4C8A6}"/>
    <cellStyle name="Normal 9 2 5 3 2 3" xfId="25191" xr:uid="{DAB89F78-52B3-4351-A9B8-EE67D8B8A6E1}"/>
    <cellStyle name="Normal 9 2 5 3 2 4" xfId="19531" xr:uid="{B9F67728-64CE-4ABA-AAD4-B4969EA5CD10}"/>
    <cellStyle name="Normal 9 2 5 3 2 5" xfId="30852" xr:uid="{6CD2583D-8593-469D-98A2-BECA2E743953}"/>
    <cellStyle name="Normal 9 2 5 3 2 6" xfId="41743" xr:uid="{D9604506-5506-4A70-9404-E0D2350D84A4}"/>
    <cellStyle name="Normal 9 2 5 3 3" xfId="14813" xr:uid="{00000000-0005-0000-0000-000088230000}"/>
    <cellStyle name="Normal 9 2 5 3 3 2" xfId="26768" xr:uid="{7D47D759-02BA-4488-BAC0-D358E0053CFE}"/>
    <cellStyle name="Normal 9 2 5 3 3 3" xfId="21108" xr:uid="{508E5671-D448-434D-86DB-034FE85A8098}"/>
    <cellStyle name="Normal 9 2 5 3 3 4" xfId="32148" xr:uid="{55E96B1D-378D-4126-8F4B-B5648C07DE47}"/>
    <cellStyle name="Normal 9 2 5 3 3 5" xfId="41745" xr:uid="{01099880-8197-467F-B7CB-23DC7BB72262}"/>
    <cellStyle name="Normal 9 2 5 3 4" xfId="23935" xr:uid="{3AEC00CD-BD88-49D7-8E5E-BBF517E5CB30}"/>
    <cellStyle name="Normal 9 2 5 3 5" xfId="18275" xr:uid="{6734800D-C204-4A45-81A6-A8F1C0E6E87F}"/>
    <cellStyle name="Normal 9 2 5 3 6" xfId="29596" xr:uid="{F169E2B8-D05F-4D9D-B93D-71F76B2B24A7}"/>
    <cellStyle name="Normal 9 2 5 3 7" xfId="41742" xr:uid="{41A04398-1F91-4057-BA5F-D4B2FA6FA0EF}"/>
    <cellStyle name="Normal 9 2 5 4" xfId="6676" xr:uid="{00000000-0005-0000-0000-000089230000}"/>
    <cellStyle name="Normal 9 2 5 4 2" xfId="15109" xr:uid="{00000000-0005-0000-0000-00008A230000}"/>
    <cellStyle name="Normal 9 2 5 4 2 2" xfId="27003" xr:uid="{FAB9E018-D823-4B2A-9A98-189F86364774}"/>
    <cellStyle name="Normal 9 2 5 4 2 3" xfId="21343" xr:uid="{947C0643-4481-44AC-BBA6-3D761194A6E1}"/>
    <cellStyle name="Normal 9 2 5 4 2 4" xfId="32383" xr:uid="{AF30C5E6-0C5A-4EED-9646-66912288EE33}"/>
    <cellStyle name="Normal 9 2 5 4 2 5" xfId="41747" xr:uid="{F6FCA5D0-8212-48D2-AB9E-E84E2CFE5C64}"/>
    <cellStyle name="Normal 9 2 5 4 3" xfId="24170" xr:uid="{E1A84A00-CA83-49F9-860F-13488DDA2505}"/>
    <cellStyle name="Normal 9 2 5 4 4" xfId="18510" xr:uid="{C1DF72AB-1150-4530-B50D-1CAD7ACCF844}"/>
    <cellStyle name="Normal 9 2 5 4 5" xfId="29831" xr:uid="{8A257D10-FAFF-4E8C-9EF2-E1CFFE179B32}"/>
    <cellStyle name="Normal 9 2 5 4 6" xfId="41746" xr:uid="{7227502B-2F55-49EC-A5C7-8D431106F321}"/>
    <cellStyle name="Normal 9 2 5 5" xfId="8148" xr:uid="{00000000-0005-0000-0000-00008B230000}"/>
    <cellStyle name="Normal 9 2 5 5 2" xfId="25624" xr:uid="{5287317F-50CE-42CA-A76F-DD38EA8D2D89}"/>
    <cellStyle name="Normal 9 2 5 5 3" xfId="19964" xr:uid="{5538E1B1-0876-4816-A1F8-B063626571D6}"/>
    <cellStyle name="Normal 9 2 5 5 4" xfId="31285" xr:uid="{5764AAF6-3196-413A-89C3-E104516A08AB}"/>
    <cellStyle name="Normal 9 2 5 5 5" xfId="41748" xr:uid="{DB26EDF2-31E4-469B-8EE1-6A91226B3332}"/>
    <cellStyle name="Normal 9 2 5 6" xfId="22608" xr:uid="{3C6F6242-4A67-4F8B-84E1-09469B4306B4}"/>
    <cellStyle name="Normal 9 2 5 7" xfId="16948" xr:uid="{EC6E75BC-A924-4820-95B5-2AF6FA08EB43}"/>
    <cellStyle name="Normal 9 2 5 8" xfId="28269" xr:uid="{7FC39227-AAD9-4B13-AD87-AA74852347C0}"/>
    <cellStyle name="Normal 9 2 5 9" xfId="41737" xr:uid="{BC168FC4-2C6C-4B4B-9540-95173F6EC335}"/>
    <cellStyle name="Normal 9 2 6" xfId="5022" xr:uid="{00000000-0005-0000-0000-00008C230000}"/>
    <cellStyle name="Normal 9 2 6 2" xfId="5805" xr:uid="{00000000-0005-0000-0000-00008D230000}"/>
    <cellStyle name="Normal 9 2 6 2 2" xfId="7305" xr:uid="{00000000-0005-0000-0000-00008E230000}"/>
    <cellStyle name="Normal 9 2 6 2 2 2" xfId="15738" xr:uid="{00000000-0005-0000-0000-00008F230000}"/>
    <cellStyle name="Normal 9 2 6 2 2 2 2" xfId="27632" xr:uid="{1D4515FB-27D9-4F82-9FEC-15062443398A}"/>
    <cellStyle name="Normal 9 2 6 2 2 2 3" xfId="21972" xr:uid="{4E7E2976-326D-4A58-BAFE-1DC643BD70DA}"/>
    <cellStyle name="Normal 9 2 6 2 2 2 4" xfId="33012" xr:uid="{D1225853-1AC9-4173-933D-7C2312F1D550}"/>
    <cellStyle name="Normal 9 2 6 2 2 2 5" xfId="41752" xr:uid="{478EE1BA-92DA-458D-8343-1E9FB5A8A0B8}"/>
    <cellStyle name="Normal 9 2 6 2 2 3" xfId="24799" xr:uid="{E3D5FD93-EE39-4192-BF8D-167511CE36EB}"/>
    <cellStyle name="Normal 9 2 6 2 2 4" xfId="19139" xr:uid="{FFDCCF89-3EAE-42C7-BDAA-2D2E5591560E}"/>
    <cellStyle name="Normal 9 2 6 2 2 5" xfId="30460" xr:uid="{B44AB267-E297-49C9-A8BC-75124B35EF15}"/>
    <cellStyle name="Normal 9 2 6 2 2 6" xfId="41751" xr:uid="{8E0C5D0C-5E8D-4409-B366-E8938B3B3806}"/>
    <cellStyle name="Normal 9 2 6 2 3" xfId="14383" xr:uid="{00000000-0005-0000-0000-000090230000}"/>
    <cellStyle name="Normal 9 2 6 2 3 2" xfId="26374" xr:uid="{E354492E-60E2-466C-A519-4D98AD38C0BF}"/>
    <cellStyle name="Normal 9 2 6 2 3 3" xfId="20714" xr:uid="{AB0A9C7F-108D-42F2-B5A3-62CBA04C38C0}"/>
    <cellStyle name="Normal 9 2 6 2 3 4" xfId="31754" xr:uid="{A2C64963-B4E9-4030-A36F-78C181EE07F5}"/>
    <cellStyle name="Normal 9 2 6 2 3 5" xfId="41753" xr:uid="{CBAF4DFB-2426-41B0-9451-35B15B4677E6}"/>
    <cellStyle name="Normal 9 2 6 2 4" xfId="23458" xr:uid="{398C45AF-818D-4D47-BA71-DD75A75A45CB}"/>
    <cellStyle name="Normal 9 2 6 2 5" xfId="17798" xr:uid="{3BEF2595-792A-4D19-B336-7731E3B1D361}"/>
    <cellStyle name="Normal 9 2 6 2 6" xfId="29119" xr:uid="{DA728BC7-8E32-4FC1-9858-5B67EDDA76EE}"/>
    <cellStyle name="Normal 9 2 6 2 7" xfId="41750" xr:uid="{ECC74DAF-A5E0-4517-A708-A541CC7D8297}"/>
    <cellStyle name="Normal 9 2 6 3" xfId="6885" xr:uid="{00000000-0005-0000-0000-000091230000}"/>
    <cellStyle name="Normal 9 2 6 3 2" xfId="15318" xr:uid="{00000000-0005-0000-0000-000092230000}"/>
    <cellStyle name="Normal 9 2 6 3 2 2" xfId="27212" xr:uid="{66C3ADE0-AB5C-4525-B1FF-F44D48C7406E}"/>
    <cellStyle name="Normal 9 2 6 3 2 3" xfId="21552" xr:uid="{35283810-0E22-4B17-B8AC-A67E3E00293E}"/>
    <cellStyle name="Normal 9 2 6 3 2 4" xfId="32592" xr:uid="{7227EF92-6E11-4C92-8A40-FB0FB939A74A}"/>
    <cellStyle name="Normal 9 2 6 3 2 5" xfId="41755" xr:uid="{2743B75D-672F-4106-AE99-743FDE2914FC}"/>
    <cellStyle name="Normal 9 2 6 3 3" xfId="24379" xr:uid="{13111B90-937F-4F8E-8C2F-3A2502615C2A}"/>
    <cellStyle name="Normal 9 2 6 3 4" xfId="18719" xr:uid="{EE68515C-B289-482B-B34E-5EBEBF480A01}"/>
    <cellStyle name="Normal 9 2 6 3 5" xfId="30040" xr:uid="{8BE3BD7A-78CD-4945-BB59-BEA51BE094FB}"/>
    <cellStyle name="Normal 9 2 6 3 6" xfId="41754" xr:uid="{EBB944B7-266C-4881-BCA5-D1521A5744B0}"/>
    <cellStyle name="Normal 9 2 6 4" xfId="8149" xr:uid="{00000000-0005-0000-0000-000093230000}"/>
    <cellStyle name="Normal 9 2 6 4 2" xfId="25625" xr:uid="{EB344BA5-276E-4B78-998F-70A49977FDBA}"/>
    <cellStyle name="Normal 9 2 6 4 3" xfId="19965" xr:uid="{D88E34E6-6C5A-47C9-A4F4-4E845DE8B9CD}"/>
    <cellStyle name="Normal 9 2 6 4 4" xfId="31286" xr:uid="{15275333-87A3-4178-9075-30F2F016FC7C}"/>
    <cellStyle name="Normal 9 2 6 4 5" xfId="41756" xr:uid="{219DC831-2D5A-41FC-84B2-0DEB93835D18}"/>
    <cellStyle name="Normal 9 2 6 5" xfId="22817" xr:uid="{2C0E498A-B12B-4986-A3A9-F10F609F312B}"/>
    <cellStyle name="Normal 9 2 6 6" xfId="17157" xr:uid="{6166D85C-80B9-4D92-AD9B-77618B240A87}"/>
    <cellStyle name="Normal 9 2 6 7" xfId="28478" xr:uid="{789F157B-B26C-460C-853A-4AFD1BB55736}"/>
    <cellStyle name="Normal 9 2 6 8" xfId="41749" xr:uid="{C9F3A619-1DFB-49BB-8333-F987A49D0926}"/>
    <cellStyle name="Normal 9 2 7" xfId="6467" xr:uid="{00000000-0005-0000-0000-000094230000}"/>
    <cellStyle name="Normal 9 2 7 2" xfId="14900" xr:uid="{00000000-0005-0000-0000-000095230000}"/>
    <cellStyle name="Normal 9 2 7 2 2" xfId="26794" xr:uid="{3383B810-EF09-4A7D-A5A8-36FB128D0297}"/>
    <cellStyle name="Normal 9 2 7 2 3" xfId="21134" xr:uid="{5D1E985F-912B-41C8-BB91-A3C245D099E1}"/>
    <cellStyle name="Normal 9 2 7 2 4" xfId="32174" xr:uid="{AF6AAED2-B3BA-4CD2-8074-06D6E246B5B3}"/>
    <cellStyle name="Normal 9 2 7 2 5" xfId="41758" xr:uid="{A607DE52-746E-4A49-9336-4F935235E9DA}"/>
    <cellStyle name="Normal 9 2 7 3" xfId="23961" xr:uid="{4B6B40A4-B308-4E59-AB33-90BD67E336C8}"/>
    <cellStyle name="Normal 9 2 7 4" xfId="18301" xr:uid="{BEA565BC-13E9-40A6-A144-57AA6E76A8E7}"/>
    <cellStyle name="Normal 9 2 7 5" xfId="29622" xr:uid="{2B9F4B9C-12A3-415C-ABF2-59D1AB426C99}"/>
    <cellStyle name="Normal 9 2 7 6" xfId="41757" xr:uid="{65FF451D-C2F1-44D4-8A82-720BFF7CA9B7}"/>
    <cellStyle name="Normal 9 2 8" xfId="22399" xr:uid="{C3E5496C-4369-4B74-8E3C-BF7A87768CA3}"/>
    <cellStyle name="Normal 9 2 9" xfId="16739" xr:uid="{89506C39-1D5A-4D03-A87F-DBD517A92543}"/>
    <cellStyle name="Normal 9 3" xfId="324" xr:uid="{00000000-0005-0000-0000-000096230000}"/>
    <cellStyle name="Normal 9 3 2" xfId="2308" xr:uid="{00000000-0005-0000-0000-000097230000}"/>
    <cellStyle name="Normal 9 3 2 2" xfId="41760" xr:uid="{48B7EAD2-EF3A-410D-AF7B-58A0D0EBD9BC}"/>
    <cellStyle name="Normal 9 3 3" xfId="4835" xr:uid="{00000000-0005-0000-0000-000098230000}"/>
    <cellStyle name="Normal 9 3 3 2" xfId="5256" xr:uid="{00000000-0005-0000-0000-000099230000}"/>
    <cellStyle name="Normal 9 3 3 2 2" xfId="7119" xr:uid="{00000000-0005-0000-0000-00009A230000}"/>
    <cellStyle name="Normal 9 3 3 2 2 2" xfId="15552" xr:uid="{00000000-0005-0000-0000-00009B230000}"/>
    <cellStyle name="Normal 9 3 3 2 2 2 2" xfId="27446" xr:uid="{9F0B76D9-84E8-4A62-B0A1-38F5665F4046}"/>
    <cellStyle name="Normal 9 3 3 2 2 2 3" xfId="21786" xr:uid="{B38DEBFC-B0F0-4E32-868C-B1BE3ACDB80E}"/>
    <cellStyle name="Normal 9 3 3 2 2 2 4" xfId="32826" xr:uid="{1D599CE7-FD51-43B6-9AC1-CF01DCB65F26}"/>
    <cellStyle name="Normal 9 3 3 2 2 2 5" xfId="41764" xr:uid="{B54986B6-4552-431B-A8BD-3EFB06AA4DE2}"/>
    <cellStyle name="Normal 9 3 3 2 2 3" xfId="24613" xr:uid="{1206C860-DB41-41AE-A8CA-0DD0BB040C14}"/>
    <cellStyle name="Normal 9 3 3 2 2 4" xfId="18953" xr:uid="{141F5872-FEEB-47B2-AC93-2DA77A51ECAC}"/>
    <cellStyle name="Normal 9 3 3 2 2 5" xfId="30274" xr:uid="{E23A21DD-02ED-4259-ACC0-08FEEEC3CA5D}"/>
    <cellStyle name="Normal 9 3 3 2 2 6" xfId="41763" xr:uid="{E59295D1-84E6-4E99-8A4D-7962BEF5D508}"/>
    <cellStyle name="Normal 9 3 3 2 3" xfId="14142" xr:uid="{00000000-0005-0000-0000-00009C230000}"/>
    <cellStyle name="Normal 9 3 3 2 3 2" xfId="26181" xr:uid="{84D383C2-1AE1-4888-99A9-77AE7DA26BB1}"/>
    <cellStyle name="Normal 9 3 3 2 3 3" xfId="20521" xr:uid="{2C8B43B2-0159-4FBC-B0A4-4DA81A2F824A}"/>
    <cellStyle name="Normal 9 3 3 2 3 4" xfId="31561" xr:uid="{B182CE07-688F-4D15-B9A9-451007CE7093}"/>
    <cellStyle name="Normal 9 3 3 2 3 5" xfId="41765" xr:uid="{E7092448-5159-4114-AE92-A40BD8A40481}"/>
    <cellStyle name="Normal 9 3 3 2 4" xfId="23051" xr:uid="{BD3BBCE7-8A4F-4336-B212-83032AD19F89}"/>
    <cellStyle name="Normal 9 3 3 2 5" xfId="17391" xr:uid="{C4D3948C-01EA-48BA-9303-3FE7EF493419}"/>
    <cellStyle name="Normal 9 3 3 2 6" xfId="28712" xr:uid="{17D6994A-E515-43BB-ADE1-7AE81C77ADAA}"/>
    <cellStyle name="Normal 9 3 3 2 7" xfId="41762" xr:uid="{7C45056E-9897-4739-9C0E-C27C80F1A59C}"/>
    <cellStyle name="Normal 9 3 3 3" xfId="6380" xr:uid="{00000000-0005-0000-0000-00009D230000}"/>
    <cellStyle name="Normal 9 3 3 3 2" xfId="7699" xr:uid="{00000000-0005-0000-0000-00009E230000}"/>
    <cellStyle name="Normal 9 3 3 3 2 2" xfId="16132" xr:uid="{00000000-0005-0000-0000-00009F230000}"/>
    <cellStyle name="Normal 9 3 3 3 2 2 2" xfId="28026" xr:uid="{57B62EA3-DAEC-4C90-AC34-4A1F178A3CB6}"/>
    <cellStyle name="Normal 9 3 3 3 2 2 3" xfId="22366" xr:uid="{2895E358-3908-4D65-85F1-F768E2E90D98}"/>
    <cellStyle name="Normal 9 3 3 3 2 2 4" xfId="33406" xr:uid="{31E85B4C-C206-492F-A8D2-D58A8C4B9E2E}"/>
    <cellStyle name="Normal 9 3 3 3 2 2 5" xfId="41768" xr:uid="{E738B629-AB55-47E0-89DF-0FC1D584D939}"/>
    <cellStyle name="Normal 9 3 3 3 2 3" xfId="25193" xr:uid="{3F458E99-121C-4CEB-A763-E93321BB1624}"/>
    <cellStyle name="Normal 9 3 3 3 2 4" xfId="19533" xr:uid="{B95E8857-1E5D-4982-9F0E-9B067334BEA6}"/>
    <cellStyle name="Normal 9 3 3 3 2 5" xfId="30854" xr:uid="{AA7E1F35-1B53-4E60-A84C-3C6778737D19}"/>
    <cellStyle name="Normal 9 3 3 3 2 6" xfId="41767" xr:uid="{1CB1C45C-AE56-4A54-AFAC-6CB41956361F}"/>
    <cellStyle name="Normal 9 3 3 3 3" xfId="14815" xr:uid="{00000000-0005-0000-0000-0000A0230000}"/>
    <cellStyle name="Normal 9 3 3 3 3 2" xfId="26770" xr:uid="{CE2F3B8C-4630-43D8-86CB-64C724C154AC}"/>
    <cellStyle name="Normal 9 3 3 3 3 3" xfId="21110" xr:uid="{A0AD1736-1520-4A9E-83A9-53AE71F8D480}"/>
    <cellStyle name="Normal 9 3 3 3 3 4" xfId="32150" xr:uid="{306E1A86-2BFB-4833-B880-3BE84D529EBD}"/>
    <cellStyle name="Normal 9 3 3 3 3 5" xfId="41769" xr:uid="{B6DABA9B-7696-4F5A-A5BE-9C22861197B7}"/>
    <cellStyle name="Normal 9 3 3 3 4" xfId="23937" xr:uid="{4001813A-2806-43B1-9F45-F4EF2EF3A88D}"/>
    <cellStyle name="Normal 9 3 3 3 5" xfId="18277" xr:uid="{155FC67E-DCE2-42CE-97B6-D0A2E2993DEE}"/>
    <cellStyle name="Normal 9 3 3 3 6" xfId="29598" xr:uid="{B229BA4E-E50E-4218-B662-A6304C229271}"/>
    <cellStyle name="Normal 9 3 3 3 7" xfId="41766" xr:uid="{79D0751E-6FFE-42A4-9CD7-C63628E7D39C}"/>
    <cellStyle name="Normal 9 3 3 4" xfId="6701" xr:uid="{00000000-0005-0000-0000-0000A1230000}"/>
    <cellStyle name="Normal 9 3 3 4 2" xfId="15134" xr:uid="{00000000-0005-0000-0000-0000A2230000}"/>
    <cellStyle name="Normal 9 3 3 4 2 2" xfId="27028" xr:uid="{F080EC35-3835-468A-B0EB-F6D7716007AC}"/>
    <cellStyle name="Normal 9 3 3 4 2 3" xfId="21368" xr:uid="{70044693-917C-426A-A4CB-107218004F65}"/>
    <cellStyle name="Normal 9 3 3 4 2 4" xfId="32408" xr:uid="{204A84BB-B0F5-4DAD-B857-089858E59F12}"/>
    <cellStyle name="Normal 9 3 3 4 2 5" xfId="41771" xr:uid="{3CF4A4FD-DE70-439D-A3A9-BE74DE0CAC46}"/>
    <cellStyle name="Normal 9 3 3 4 3" xfId="24195" xr:uid="{455A008A-5D6C-4E39-B197-DFB6E2D97E45}"/>
    <cellStyle name="Normal 9 3 3 4 4" xfId="18535" xr:uid="{D367A4B7-33A5-4B6B-A246-37374EE49EF0}"/>
    <cellStyle name="Normal 9 3 3 4 5" xfId="29856" xr:uid="{21FA615A-C544-4B7F-A4C0-A427E62237B7}"/>
    <cellStyle name="Normal 9 3 3 4 6" xfId="41770" xr:uid="{12D29A1E-143A-4BEC-97EC-E0279DC30970}"/>
    <cellStyle name="Normal 9 3 3 5" xfId="8150" xr:uid="{00000000-0005-0000-0000-0000A3230000}"/>
    <cellStyle name="Normal 9 3 3 5 2" xfId="25626" xr:uid="{4D662188-2A2A-4F17-ACC2-C60355999B43}"/>
    <cellStyle name="Normal 9 3 3 5 3" xfId="19966" xr:uid="{917A475B-AFA3-4381-8256-53A150A4B27D}"/>
    <cellStyle name="Normal 9 3 3 5 4" xfId="31287" xr:uid="{DA77097C-2295-4DF6-A469-AA858F133F53}"/>
    <cellStyle name="Normal 9 3 3 5 5" xfId="41772" xr:uid="{CCCF8040-73F2-4001-8ECA-9731396A8066}"/>
    <cellStyle name="Normal 9 3 3 6" xfId="22633" xr:uid="{99810777-A5EF-4740-AE48-B0915D465ED1}"/>
    <cellStyle name="Normal 9 3 3 7" xfId="16973" xr:uid="{2F442681-5A47-4F85-80E0-AA5C3B231BEB}"/>
    <cellStyle name="Normal 9 3 3 8" xfId="28294" xr:uid="{1CFED2A8-B871-4D3E-B40A-2C89E473FC17}"/>
    <cellStyle name="Normal 9 3 3 9" xfId="41761" xr:uid="{79C69547-18DD-49D6-9CD9-592C6F1010E4}"/>
    <cellStyle name="Normal 9 3 4" xfId="5047" xr:uid="{00000000-0005-0000-0000-0000A4230000}"/>
    <cellStyle name="Normal 9 3 4 2" xfId="6379" xr:uid="{00000000-0005-0000-0000-0000A5230000}"/>
    <cellStyle name="Normal 9 3 4 2 2" xfId="7698" xr:uid="{00000000-0005-0000-0000-0000A6230000}"/>
    <cellStyle name="Normal 9 3 4 2 2 2" xfId="16131" xr:uid="{00000000-0005-0000-0000-0000A7230000}"/>
    <cellStyle name="Normal 9 3 4 2 2 2 2" xfId="28025" xr:uid="{E4BB7C4A-61DD-4963-BB45-74B262C56D83}"/>
    <cellStyle name="Normal 9 3 4 2 2 2 3" xfId="22365" xr:uid="{7F38D3DC-4F6E-4F96-91A8-AD81775BFEF7}"/>
    <cellStyle name="Normal 9 3 4 2 2 2 4" xfId="33405" xr:uid="{6F42B9FE-10E6-47D0-852C-0888833E0AC2}"/>
    <cellStyle name="Normal 9 3 4 2 2 2 5" xfId="41776" xr:uid="{B4DFD298-79D2-4BD5-A623-BF4E913498C0}"/>
    <cellStyle name="Normal 9 3 4 2 2 3" xfId="25192" xr:uid="{33A948B9-B522-4F41-9DC2-9B8C06CF2671}"/>
    <cellStyle name="Normal 9 3 4 2 2 4" xfId="19532" xr:uid="{4D1A75BF-6C4C-4E84-88FE-53957C26B608}"/>
    <cellStyle name="Normal 9 3 4 2 2 5" xfId="30853" xr:uid="{8A8F1BAD-977B-47A0-B3AB-254C13DDEB09}"/>
    <cellStyle name="Normal 9 3 4 2 2 6" xfId="41775" xr:uid="{4FC6D91A-B12C-464F-B8F3-702014F56E32}"/>
    <cellStyle name="Normal 9 3 4 2 3" xfId="14814" xr:uid="{00000000-0005-0000-0000-0000A8230000}"/>
    <cellStyle name="Normal 9 3 4 2 3 2" xfId="26769" xr:uid="{9BCE5FA1-D2AA-4B45-A27E-3CFF76DDFA98}"/>
    <cellStyle name="Normal 9 3 4 2 3 3" xfId="21109" xr:uid="{BDA21217-F88A-4AFD-AD58-1C689FE91317}"/>
    <cellStyle name="Normal 9 3 4 2 3 4" xfId="32149" xr:uid="{8F000BD0-E929-48AE-9AC4-81693BB40BF2}"/>
    <cellStyle name="Normal 9 3 4 2 3 5" xfId="41777" xr:uid="{DB993E6E-582C-47D1-A1C8-47A8E308D0F4}"/>
    <cellStyle name="Normal 9 3 4 2 4" xfId="23936" xr:uid="{A94C12E9-5E18-46F0-AF51-B4FAB35CE9E4}"/>
    <cellStyle name="Normal 9 3 4 2 5" xfId="18276" xr:uid="{8ED51632-DF3B-42C8-830E-5E528D441A98}"/>
    <cellStyle name="Normal 9 3 4 2 6" xfId="29597" xr:uid="{D1E500ED-1043-49CD-A5C8-C1A51E565748}"/>
    <cellStyle name="Normal 9 3 4 2 7" xfId="41774" xr:uid="{5A70717E-C16B-405C-801C-D7719397CEF1}"/>
    <cellStyle name="Normal 9 3 4 3" xfId="6910" xr:uid="{00000000-0005-0000-0000-0000A9230000}"/>
    <cellStyle name="Normal 9 3 4 3 2" xfId="15343" xr:uid="{00000000-0005-0000-0000-0000AA230000}"/>
    <cellStyle name="Normal 9 3 4 3 2 2" xfId="27237" xr:uid="{ED14DE9B-8A65-4036-8962-F9AF1C95A6ED}"/>
    <cellStyle name="Normal 9 3 4 3 2 3" xfId="21577" xr:uid="{765468A1-3F6C-4A75-BA82-1D7822F6D39F}"/>
    <cellStyle name="Normal 9 3 4 3 2 4" xfId="32617" xr:uid="{4D890111-5337-43E0-ACEF-A2AE972C0F8C}"/>
    <cellStyle name="Normal 9 3 4 3 2 5" xfId="41779" xr:uid="{44378EB9-8065-4C8D-A613-8800FAF95DAB}"/>
    <cellStyle name="Normal 9 3 4 3 3" xfId="24404" xr:uid="{4EEDC7C0-0AD8-4433-B919-C3D43294ECAF}"/>
    <cellStyle name="Normal 9 3 4 3 4" xfId="18744" xr:uid="{6AF2D14D-7005-47E8-BE70-5C773605BD87}"/>
    <cellStyle name="Normal 9 3 4 3 5" xfId="30065" xr:uid="{DC728098-365E-4376-9890-911CDB9B6714}"/>
    <cellStyle name="Normal 9 3 4 3 6" xfId="41778" xr:uid="{699337BF-67EB-4909-BBE0-9235C015D388}"/>
    <cellStyle name="Normal 9 3 4 4" xfId="8151" xr:uid="{00000000-0005-0000-0000-0000AB230000}"/>
    <cellStyle name="Normal 9 3 4 4 2" xfId="25627" xr:uid="{54E385D2-3ED1-483D-B459-49AE4296A5F5}"/>
    <cellStyle name="Normal 9 3 4 4 3" xfId="19967" xr:uid="{E964F217-138D-47E7-9E31-1738F6ECA6A1}"/>
    <cellStyle name="Normal 9 3 4 4 4" xfId="31288" xr:uid="{075146DA-BB1E-4998-867F-BDBC7944764E}"/>
    <cellStyle name="Normal 9 3 4 4 5" xfId="41780" xr:uid="{B13D5464-CA22-4480-8086-0C3407062DFA}"/>
    <cellStyle name="Normal 9 3 4 5" xfId="22842" xr:uid="{5208D7C4-37A0-4102-B259-C0402517F9D5}"/>
    <cellStyle name="Normal 9 3 4 6" xfId="17182" xr:uid="{6A8FA225-8C3B-41DA-9200-C6CC978EDB36}"/>
    <cellStyle name="Normal 9 3 4 7" xfId="28503" xr:uid="{C2D51969-CCFD-40A4-A69C-CA54ADBA59CE}"/>
    <cellStyle name="Normal 9 3 4 8" xfId="41773" xr:uid="{22BEB282-C2C8-497B-8BBB-18A6B15DA8CD}"/>
    <cellStyle name="Normal 9 3 5" xfId="6492" xr:uid="{00000000-0005-0000-0000-0000AC230000}"/>
    <cellStyle name="Normal 9 3 5 2" xfId="14925" xr:uid="{00000000-0005-0000-0000-0000AD230000}"/>
    <cellStyle name="Normal 9 3 5 2 2" xfId="26819" xr:uid="{8DDC84A5-E527-4401-99AE-C54BA8B1A393}"/>
    <cellStyle name="Normal 9 3 5 2 3" xfId="21159" xr:uid="{F2E3DC22-D4B9-40FE-BAA4-A046ADD06D36}"/>
    <cellStyle name="Normal 9 3 5 2 4" xfId="32199" xr:uid="{383325EA-DFB7-4B66-8A5A-E887862CB1D3}"/>
    <cellStyle name="Normal 9 3 5 2 5" xfId="41782" xr:uid="{4EA47CC5-B7DE-4728-B332-E61CA1E7381F}"/>
    <cellStyle name="Normal 9 3 5 3" xfId="23986" xr:uid="{E393A6D6-FAFD-4DC3-8068-05F22D256AD4}"/>
    <cellStyle name="Normal 9 3 5 4" xfId="18326" xr:uid="{2E99B4CB-3713-489B-B294-911F64A7E7E6}"/>
    <cellStyle name="Normal 9 3 5 5" xfId="29647" xr:uid="{478DCB18-2BCA-436B-A6C8-1D15F3BB16C5}"/>
    <cellStyle name="Normal 9 3 5 6" xfId="41781" xr:uid="{2910C04D-191B-4E27-8F55-5FE81340D086}"/>
    <cellStyle name="Normal 9 3 6" xfId="22424" xr:uid="{B1C8A1CC-4311-43ED-844C-169656B3257F}"/>
    <cellStyle name="Normal 9 3 6 2" xfId="41783" xr:uid="{321D8EC9-4EBD-47FC-843F-3719DE8BA531}"/>
    <cellStyle name="Normal 9 3 7" xfId="16764" xr:uid="{A624B773-AD6A-415A-A9B6-98376EE433D1}"/>
    <cellStyle name="Normal 9 3 8" xfId="28085" xr:uid="{73306A84-9807-4F1C-A966-788790146CE8}"/>
    <cellStyle name="Normal 9 3 9" xfId="41759" xr:uid="{964D3F3D-CDC6-48F0-93B6-7A4E879E03CF}"/>
    <cellStyle name="Normal 9 4" xfId="2309" xr:uid="{00000000-0005-0000-0000-0000AE230000}"/>
    <cellStyle name="Normal 9 4 2" xfId="41784" xr:uid="{E7C4F88C-C39D-45BC-BD59-F242298FC1F9}"/>
    <cellStyle name="Normal 9 5" xfId="2310" xr:uid="{00000000-0005-0000-0000-0000AF230000}"/>
    <cellStyle name="Normal 9 5 2" xfId="41785" xr:uid="{7FAFD6C0-EF49-471F-A778-BFC682E6A92D}"/>
    <cellStyle name="Normal 9 6" xfId="2311" xr:uid="{00000000-0005-0000-0000-0000B0230000}"/>
    <cellStyle name="Normal 9 6 2" xfId="41786" xr:uid="{0909A15E-D1C0-44AE-B45D-65121058CA50}"/>
    <cellStyle name="Normal 9 7" xfId="2312" xr:uid="{00000000-0005-0000-0000-0000B1230000}"/>
    <cellStyle name="Normal 9 7 2" xfId="41787" xr:uid="{1CE7DA08-9A85-4EF7-A4C4-BA5E5B672EB5}"/>
    <cellStyle name="Normal 9 8" xfId="2313" xr:uid="{00000000-0005-0000-0000-0000B2230000}"/>
    <cellStyle name="Normal 9 8 2" xfId="41788" xr:uid="{966C432B-1AF5-4975-855F-88231EFCEB70}"/>
    <cellStyle name="Normal 9 9" xfId="2314" xr:uid="{00000000-0005-0000-0000-0000B3230000}"/>
    <cellStyle name="Normal 9 9 2" xfId="41790" xr:uid="{F7B159CD-57AA-4F99-B059-7248EB9C640D}"/>
    <cellStyle name="Normal 9 9 3" xfId="41789" xr:uid="{B09B27A5-6C8D-4AC4-8B89-013B0E0F4438}"/>
    <cellStyle name="Normal 9 9 4" xfId="49832" xr:uid="{4FFC1772-4B0F-433A-8691-27BD1BC635C0}"/>
    <cellStyle name="Normal GHG Numbers (0.00)" xfId="2315" xr:uid="{00000000-0005-0000-0000-0000B4230000}"/>
    <cellStyle name="Normal GHG Numbers (0.00) 2" xfId="41792" xr:uid="{3006EB68-0401-41E5-88E6-E20710EA0DE8}"/>
    <cellStyle name="Normal GHG Numbers (0.00) 3" xfId="41793" xr:uid="{B94622F6-034C-4932-B35D-DBD8E434B61D}"/>
    <cellStyle name="Normal GHG Numbers (0.00) 3 2" xfId="41794" xr:uid="{DB5EB8D3-998B-4E79-AE8E-32405E69B157}"/>
    <cellStyle name="Normal GHG Numbers (0.00) 3 2 2" xfId="41795" xr:uid="{B014E315-A299-4DBC-9C62-3FFBE4914C44}"/>
    <cellStyle name="Normal GHG Numbers (0.00) 3 2 2 2" xfId="41796" xr:uid="{C9F3B80E-9FA2-4DCD-B082-8C7C0FDB9812}"/>
    <cellStyle name="Normal GHG Numbers (0.00) 3 2 3" xfId="41797" xr:uid="{4CBF557C-D4B1-4E35-B3B3-D42B8F20E979}"/>
    <cellStyle name="Normal GHG Numbers (0.00) 3 3" xfId="41798" xr:uid="{D177CD55-B392-4017-8C13-19E579F72C74}"/>
    <cellStyle name="Normal GHG Numbers (0.00) 3 3 2" xfId="41799" xr:uid="{2930CC5B-405E-4F3F-A143-8A7EFC360ECB}"/>
    <cellStyle name="Normal GHG Numbers (0.00) 3 3 2 2" xfId="41800" xr:uid="{195C1A7C-28C6-40EA-8D06-94DB619010ED}"/>
    <cellStyle name="Normal GHG Numbers (0.00) 3 3 3" xfId="41801" xr:uid="{FD3DCA37-C10A-4F14-96D1-7C70D4F47BD1}"/>
    <cellStyle name="Normal GHG Numbers (0.00) 3 3 3 2" xfId="41802" xr:uid="{95D7A3A8-991E-4C42-8E31-A5C013703DA5}"/>
    <cellStyle name="Normal GHG Numbers (0.00) 3 3 4" xfId="41803" xr:uid="{F5103630-7FC3-4607-AED6-BFC7FBD2C3E2}"/>
    <cellStyle name="Normal GHG Numbers (0.00) 3 3 4 2" xfId="41804" xr:uid="{6C5BE03E-AAB9-4AD5-8689-B6EC626D620E}"/>
    <cellStyle name="Normal GHG Numbers (0.00) 3 4" xfId="41805" xr:uid="{818D4C82-490E-4413-BFDA-00D41E95074F}"/>
    <cellStyle name="Normal GHG Numbers (0.00) 4" xfId="41791" xr:uid="{53D3AF75-29A4-443C-9241-DB8C995C2EB6}"/>
    <cellStyle name="Normal GHG Textfiels Bold" xfId="2316" xr:uid="{00000000-0005-0000-0000-0000B5230000}"/>
    <cellStyle name="Normal GHG Textfiels Bold 2" xfId="41807" xr:uid="{DBEC1068-DDC5-4307-AF9E-BCAA100FEDBD}"/>
    <cellStyle name="Normal GHG Textfiels Bold 2 2" xfId="49834" xr:uid="{20E4C242-4CD1-407A-B1B6-CB2881C627DD}"/>
    <cellStyle name="Normal GHG Textfiels Bold 3" xfId="41808" xr:uid="{AE8D9498-1713-4305-977A-61E1427AC7C4}"/>
    <cellStyle name="Normal GHG Textfiels Bold 3 2" xfId="41809" xr:uid="{AEAC35E5-2BF9-414A-9CC1-2CF64F6A713F}"/>
    <cellStyle name="Normal GHG Textfiels Bold 3 2 2" xfId="41810" xr:uid="{D0B069FC-8B47-45E2-B8A2-E356B39A86B2}"/>
    <cellStyle name="Normal GHG Textfiels Bold 3 2 2 2" xfId="41811" xr:uid="{7EA6F96F-0009-4A48-A1C6-AA58662E46B9}"/>
    <cellStyle name="Normal GHG Textfiels Bold 3 2 3" xfId="41812" xr:uid="{DC5F7294-8EF7-422D-8ADE-DC0FD02AAD77}"/>
    <cellStyle name="Normal GHG Textfiels Bold 3 3" xfId="41813" xr:uid="{13C18327-035D-4C59-B3CA-8ABA0612F3FF}"/>
    <cellStyle name="Normal GHG Textfiels Bold 3 3 2" xfId="41814" xr:uid="{522187C3-A177-4412-A2E2-90DD26CD3A90}"/>
    <cellStyle name="Normal GHG Textfiels Bold 3 3 2 2" xfId="41815" xr:uid="{3FAA632D-5903-4F46-8719-44E9F0C5E7BF}"/>
    <cellStyle name="Normal GHG Textfiels Bold 3 3 3" xfId="41816" xr:uid="{DFFA6CE2-C001-43F1-A154-A9020B14615A}"/>
    <cellStyle name="Normal GHG Textfiels Bold 3 3 3 2" xfId="41817" xr:uid="{9AA3C0A5-C196-4343-9D0A-84259A6D3506}"/>
    <cellStyle name="Normal GHG Textfiels Bold 3 3 4" xfId="41818" xr:uid="{8C1AEF5F-3C49-4E04-A412-5DAC2335734F}"/>
    <cellStyle name="Normal GHG Textfiels Bold 3 3 4 2" xfId="41819" xr:uid="{250D65AB-3A9E-4C8D-9B65-244E3DF1EB4E}"/>
    <cellStyle name="Normal GHG Textfiels Bold 4" xfId="41806" xr:uid="{ECD1E91B-54F3-4A50-BC35-FDB405F8131F}"/>
    <cellStyle name="Normal GHG Textfiels Bold 5" xfId="49833" xr:uid="{9E3AD69A-B78F-4D61-9A13-AF8DDCB58612}"/>
    <cellStyle name="Normal GHG whole table" xfId="2317" xr:uid="{00000000-0005-0000-0000-0000B6230000}"/>
    <cellStyle name="Normal GHG whole table 2" xfId="41821" xr:uid="{7CC48660-8E51-4EAD-8445-8C778B0A02F4}"/>
    <cellStyle name="Normal GHG whole table 2 2" xfId="41822" xr:uid="{134801DA-9E22-4EBB-B5E1-F91787ABC992}"/>
    <cellStyle name="Normal GHG whole table 2 2 2" xfId="41823" xr:uid="{E1EA5F5F-CF88-4EEC-841E-5DA708AC6CE2}"/>
    <cellStyle name="Normal GHG whole table 2 3" xfId="41824" xr:uid="{ADFD7819-E535-4E2B-94D1-4EF25AD00089}"/>
    <cellStyle name="Normal GHG whole table 3" xfId="41825" xr:uid="{F10BD967-5C00-46A1-942A-4847074C2597}"/>
    <cellStyle name="Normal GHG whole table 3 2" xfId="41826" xr:uid="{8D69768B-0873-4371-92F7-D45A842B8AE2}"/>
    <cellStyle name="Normal GHG whole table 3 2 2" xfId="41827" xr:uid="{9066A0D9-CD98-432B-869F-7E0A4271887E}"/>
    <cellStyle name="Normal GHG whole table 3 3" xfId="41828" xr:uid="{6C21153E-2B16-429A-A95D-AAEC8FF31197}"/>
    <cellStyle name="Normal GHG whole table 3 3 2" xfId="41829" xr:uid="{50D22CEF-2B83-4397-8695-DA837677D4E7}"/>
    <cellStyle name="Normal GHG whole table 3 4" xfId="41830" xr:uid="{684ECF43-F0F8-464E-8E5A-C59F258E1902}"/>
    <cellStyle name="Normal GHG whole table 3 4 2" xfId="41831" xr:uid="{6A82C299-63DA-4349-915F-F88CC8D3F509}"/>
    <cellStyle name="Normal GHG whole table 4" xfId="41832" xr:uid="{534D3809-8749-40FA-881E-9A141C33B5B8}"/>
    <cellStyle name="Normal GHG whole table 5" xfId="41820" xr:uid="{AAAB649C-8B12-4A19-8C0D-B49875483D86}"/>
    <cellStyle name="Normal GHG-Shade" xfId="2318" xr:uid="{00000000-0005-0000-0000-0000B7230000}"/>
    <cellStyle name="Normal GHG-Shade 2" xfId="41834" xr:uid="{9D3DBE7C-7254-4244-A3D4-CEB001A2E778}"/>
    <cellStyle name="Normal GHG-Shade 2 2" xfId="41835" xr:uid="{D74CA272-540D-49FD-99C1-285A7DC2E29F}"/>
    <cellStyle name="Normal GHG-Shade 2 3" xfId="41836" xr:uid="{535B8F3F-276B-4DB4-9E9B-BDB0CAABBA08}"/>
    <cellStyle name="Normal GHG-Shade 2 4" xfId="41837" xr:uid="{E4EC5DDE-2452-49DF-ACFA-0BD13A9E6A61}"/>
    <cellStyle name="Normal GHG-Shade 2 5" xfId="41838" xr:uid="{82EB53F3-FA5E-4B6B-9011-D8C971C56F66}"/>
    <cellStyle name="Normal GHG-Shade 2 6" xfId="49836" xr:uid="{67588672-2380-4AA1-87A7-B1092F034513}"/>
    <cellStyle name="Normal GHG-Shade 3" xfId="41839" xr:uid="{B87906E0-F82A-47F6-96DE-4D587561502D}"/>
    <cellStyle name="Normal GHG-Shade 3 2" xfId="41840" xr:uid="{3339D032-A173-4058-B3B8-F024C1C331FC}"/>
    <cellStyle name="Normal GHG-Shade 4" xfId="41841" xr:uid="{264D759C-1123-4343-81C6-DEC3FF6C982B}"/>
    <cellStyle name="Normal GHG-Shade 4 2" xfId="41842" xr:uid="{380A76DB-64FA-46B8-AE93-A2D33C04703F}"/>
    <cellStyle name="Normal GHG-Shade 5" xfId="41833" xr:uid="{942682E1-B8A2-4403-B8EB-F27C1006AE3D}"/>
    <cellStyle name="Normal GHG-Shade 6" xfId="49835" xr:uid="{E4083823-C80C-4129-A5E9-9EB86418EB02}"/>
    <cellStyle name="Normál_Munka1" xfId="41843" xr:uid="{6B209152-96D2-41D7-9573-0E923775B605}"/>
    <cellStyle name="Normal_SUBRES_B-NTech-BE" xfId="4796" xr:uid="{00000000-0005-0000-0000-0000B8230000}"/>
    <cellStyle name="Normale_B2020" xfId="2" xr:uid="{00000000-0005-0000-0000-0000B9230000}"/>
    <cellStyle name="Note 10" xfId="2319" xr:uid="{00000000-0005-0000-0000-0000BA230000}"/>
    <cellStyle name="Note 10 2" xfId="2320" xr:uid="{00000000-0005-0000-0000-0000BB230000}"/>
    <cellStyle name="Note 10 2 2" xfId="41845" xr:uid="{24526F0C-F780-421D-B004-094A6F98C21B}"/>
    <cellStyle name="Note 10 3" xfId="2321" xr:uid="{00000000-0005-0000-0000-0000BC230000}"/>
    <cellStyle name="Note 10 3 2" xfId="2322" xr:uid="{00000000-0005-0000-0000-0000BD230000}"/>
    <cellStyle name="Note 10 3 2 2" xfId="41847" xr:uid="{AA7DF965-C0F0-46A9-A081-CE70B310A224}"/>
    <cellStyle name="Note 10 3 3" xfId="41846" xr:uid="{29D759DF-D362-4BCC-B7DF-F2A3C00B584D}"/>
    <cellStyle name="Note 10 3_ELC_final" xfId="2323" xr:uid="{00000000-0005-0000-0000-0000BE230000}"/>
    <cellStyle name="Note 10 4" xfId="41844" xr:uid="{B6D32EF0-2598-4561-B8BA-8F949A8BA325}"/>
    <cellStyle name="Note 10_ELC_final" xfId="2324" xr:uid="{00000000-0005-0000-0000-0000BF230000}"/>
    <cellStyle name="Note 11" xfId="2325" xr:uid="{00000000-0005-0000-0000-0000C0230000}"/>
    <cellStyle name="Note 11 2" xfId="2326" xr:uid="{00000000-0005-0000-0000-0000C1230000}"/>
    <cellStyle name="Note 11 2 2" xfId="41849" xr:uid="{07452B7A-E105-4532-9D69-473E7FE13A08}"/>
    <cellStyle name="Note 11 3" xfId="41848" xr:uid="{4C586757-483B-4BA6-8B28-E0C6E26C4D15}"/>
    <cellStyle name="Note 11_ELC_final" xfId="2327" xr:uid="{00000000-0005-0000-0000-0000C2230000}"/>
    <cellStyle name="Note 12" xfId="2328" xr:uid="{00000000-0005-0000-0000-0000C3230000}"/>
    <cellStyle name="Note 12 2" xfId="2329" xr:uid="{00000000-0005-0000-0000-0000C4230000}"/>
    <cellStyle name="Note 12 2 2" xfId="41851" xr:uid="{D8231A62-1FFF-4BCA-9117-090AF658EDC6}"/>
    <cellStyle name="Note 12 3" xfId="41850" xr:uid="{24E93058-7185-4869-8681-A9403A734DA0}"/>
    <cellStyle name="Note 12_ELC_final" xfId="2330" xr:uid="{00000000-0005-0000-0000-0000C5230000}"/>
    <cellStyle name="Note 13" xfId="2331" xr:uid="{00000000-0005-0000-0000-0000C6230000}"/>
    <cellStyle name="Note 13 2" xfId="2332" xr:uid="{00000000-0005-0000-0000-0000C7230000}"/>
    <cellStyle name="Note 13 2 2" xfId="41853" xr:uid="{1E25462B-8050-4B74-BC59-1100CD7B62A2}"/>
    <cellStyle name="Note 13 3" xfId="41852" xr:uid="{41DABCB9-3E79-4D73-B144-7A7758A61789}"/>
    <cellStyle name="Note 13_ELC_final" xfId="2333" xr:uid="{00000000-0005-0000-0000-0000C8230000}"/>
    <cellStyle name="Note 14" xfId="2334" xr:uid="{00000000-0005-0000-0000-0000C9230000}"/>
    <cellStyle name="Note 14 2" xfId="2335" xr:uid="{00000000-0005-0000-0000-0000CA230000}"/>
    <cellStyle name="Note 14 2 2" xfId="41855" xr:uid="{D6CEB0FA-ECEB-43B9-B694-D84351E3CDE4}"/>
    <cellStyle name="Note 14 3" xfId="41854" xr:uid="{3C1EC68A-A573-4186-8DCA-70473F39BF9B}"/>
    <cellStyle name="Note 14_ELC_final" xfId="2336" xr:uid="{00000000-0005-0000-0000-0000CB230000}"/>
    <cellStyle name="Note 15" xfId="2337" xr:uid="{00000000-0005-0000-0000-0000CC230000}"/>
    <cellStyle name="Note 15 2" xfId="2338" xr:uid="{00000000-0005-0000-0000-0000CD230000}"/>
    <cellStyle name="Note 15 2 2" xfId="41857" xr:uid="{AEE8295E-0978-412C-BA1A-DEA01A9FE977}"/>
    <cellStyle name="Note 15 3" xfId="41856" xr:uid="{03128D7D-AC6D-488B-B3A4-5235161B75EB}"/>
    <cellStyle name="Note 15_ELC_final" xfId="2339" xr:uid="{00000000-0005-0000-0000-0000CE230000}"/>
    <cellStyle name="Note 16" xfId="2340" xr:uid="{00000000-0005-0000-0000-0000CF230000}"/>
    <cellStyle name="Note 16 2" xfId="2341" xr:uid="{00000000-0005-0000-0000-0000D0230000}"/>
    <cellStyle name="Note 16 2 2" xfId="41859" xr:uid="{69F0F734-F209-4E08-B8F6-D2DA60C72CE6}"/>
    <cellStyle name="Note 16 3" xfId="41858" xr:uid="{F5B8D84F-B88E-48A2-9AA5-C97E171172AE}"/>
    <cellStyle name="Note 16_ELC_final" xfId="2342" xr:uid="{00000000-0005-0000-0000-0000D1230000}"/>
    <cellStyle name="Note 17" xfId="2343" xr:uid="{00000000-0005-0000-0000-0000D2230000}"/>
    <cellStyle name="Note 17 2" xfId="2344" xr:uid="{00000000-0005-0000-0000-0000D3230000}"/>
    <cellStyle name="Note 17 2 2" xfId="41861" xr:uid="{29A36576-12BC-4B6D-B66A-00D8398B0609}"/>
    <cellStyle name="Note 17 3" xfId="41860" xr:uid="{D6219DA8-1A26-4D92-B474-10522ABAD849}"/>
    <cellStyle name="Note 17_ELC_final" xfId="2345" xr:uid="{00000000-0005-0000-0000-0000D4230000}"/>
    <cellStyle name="Note 18" xfId="2346" xr:uid="{00000000-0005-0000-0000-0000D5230000}"/>
    <cellStyle name="Note 18 2" xfId="2347" xr:uid="{00000000-0005-0000-0000-0000D6230000}"/>
    <cellStyle name="Note 18 2 2" xfId="41863" xr:uid="{88E77772-0CF0-4862-B064-2B42AEAC6273}"/>
    <cellStyle name="Note 18 3" xfId="41862" xr:uid="{85E111C0-7291-4D15-B441-4418453DC6A9}"/>
    <cellStyle name="Note 18_ELC_final" xfId="2348" xr:uid="{00000000-0005-0000-0000-0000D7230000}"/>
    <cellStyle name="Note 19" xfId="2349" xr:uid="{00000000-0005-0000-0000-0000D8230000}"/>
    <cellStyle name="Note 19 2" xfId="41864" xr:uid="{4CDBB65C-29A3-44D7-AC6E-D53E45EBF89D}"/>
    <cellStyle name="Note 2" xfId="191" xr:uid="{00000000-0005-0000-0000-0000D9230000}"/>
    <cellStyle name="Note 2 10" xfId="4444" xr:uid="{00000000-0005-0000-0000-0000DA230000}"/>
    <cellStyle name="Note 2 10 2" xfId="41866" xr:uid="{8DD6B344-9186-42CB-A3B9-4739DEDD7901}"/>
    <cellStyle name="Note 2 11" xfId="4445" xr:uid="{00000000-0005-0000-0000-0000DB230000}"/>
    <cellStyle name="Note 2 11 2" xfId="41867" xr:uid="{4D5DDD2D-0CE6-4C35-8164-94E4C1CB2C98}"/>
    <cellStyle name="Note 2 12" xfId="4446" xr:uid="{00000000-0005-0000-0000-0000DC230000}"/>
    <cellStyle name="Note 2 12 2" xfId="41868" xr:uid="{5DF968FE-76E6-44DA-9A93-FA20B3623969}"/>
    <cellStyle name="Note 2 13" xfId="4447" xr:uid="{00000000-0005-0000-0000-0000DD230000}"/>
    <cellStyle name="Note 2 13 2" xfId="41869" xr:uid="{39629327-53EE-4E6E-ABE9-B6B4A93299ED}"/>
    <cellStyle name="Note 2 14" xfId="4448" xr:uid="{00000000-0005-0000-0000-0000DE230000}"/>
    <cellStyle name="Note 2 14 2" xfId="41870" xr:uid="{6E06AFB1-B62F-470F-AB14-E6A3A8A9C9C6}"/>
    <cellStyle name="Note 2 15" xfId="4449" xr:uid="{00000000-0005-0000-0000-0000DF230000}"/>
    <cellStyle name="Note 2 15 2" xfId="41871" xr:uid="{55BAE45F-867A-4257-BEF6-83E6ADC63DC6}"/>
    <cellStyle name="Note 2 16" xfId="9685" xr:uid="{00000000-0005-0000-0000-0000E0230000}"/>
    <cellStyle name="Note 2 16 2" xfId="41872" xr:uid="{E24F74D7-66F9-4FA1-AB23-4E01BCD5E203}"/>
    <cellStyle name="Note 2 17" xfId="41865" xr:uid="{FA62BCE9-4006-4A95-853E-66235555F82C}"/>
    <cellStyle name="Note 2 2" xfId="271" xr:uid="{00000000-0005-0000-0000-0000E1230000}"/>
    <cellStyle name="Note 2 2 2" xfId="2350" xr:uid="{00000000-0005-0000-0000-0000E2230000}"/>
    <cellStyle name="Note 2 2 2 2" xfId="9686" xr:uid="{00000000-0005-0000-0000-0000E3230000}"/>
    <cellStyle name="Note 2 2 2 2 2" xfId="41876" xr:uid="{27AF3929-49CE-4BB2-9D1B-346BC4E801B0}"/>
    <cellStyle name="Note 2 2 2 2 3" xfId="41875" xr:uid="{DC41D04B-AD1A-4519-B031-EA1748E773A3}"/>
    <cellStyle name="Note 2 2 2 3" xfId="41874" xr:uid="{10E66E33-DAC2-483E-B808-3F6C9DA62624}"/>
    <cellStyle name="Note 2 2 3" xfId="41877" xr:uid="{80159092-7715-441A-A7BF-4D2A3D4EC7EB}"/>
    <cellStyle name="Note 2 2 4" xfId="41878" xr:uid="{9292E0E0-5CEB-4A76-B388-A44D7E7983F6}"/>
    <cellStyle name="Note 2 2 5" xfId="41873" xr:uid="{17731F6B-9E8D-4FBA-A2E1-BEC939BA5395}"/>
    <cellStyle name="Note 2 3" xfId="2351" xr:uid="{00000000-0005-0000-0000-0000E4230000}"/>
    <cellStyle name="Note 2 3 2" xfId="41880" xr:uid="{E4012166-27FC-4B1E-9487-85312E7A1DAA}"/>
    <cellStyle name="Note 2 3 3" xfId="41881" xr:uid="{17831998-F641-4DAF-BB33-003BD45E7D4C}"/>
    <cellStyle name="Note 2 3 4" xfId="41879" xr:uid="{63B936B9-E35A-41C8-9532-73FF6A13117C}"/>
    <cellStyle name="Note 2 4" xfId="2352" xr:uid="{00000000-0005-0000-0000-0000E5230000}"/>
    <cellStyle name="Note 2 4 2" xfId="41883" xr:uid="{690C88B1-D123-4F5D-93D5-71889F322971}"/>
    <cellStyle name="Note 2 4 3" xfId="41884" xr:uid="{74D1D609-74A2-47D3-A0D3-64885BEF6E1C}"/>
    <cellStyle name="Note 2 4 4" xfId="41882" xr:uid="{81C4A1E1-26AD-4224-A42A-6AB8ED316D55}"/>
    <cellStyle name="Note 2 5" xfId="4450" xr:uid="{00000000-0005-0000-0000-0000E6230000}"/>
    <cellStyle name="Note 2 5 2" xfId="41886" xr:uid="{4B732904-B1F1-47DF-BB42-D960E1DA3616}"/>
    <cellStyle name="Note 2 5 3" xfId="41885" xr:uid="{F6F1C2CC-9145-4CB6-9100-AB09C7BCEF86}"/>
    <cellStyle name="Note 2 6" xfId="4451" xr:uid="{00000000-0005-0000-0000-0000E7230000}"/>
    <cellStyle name="Note 2 6 2" xfId="41888" xr:uid="{57DC1319-708C-47AC-90C0-ABC49143919C}"/>
    <cellStyle name="Note 2 6 3" xfId="41887" xr:uid="{ADF0352B-0AF8-45F2-B835-5721BCE27FBA}"/>
    <cellStyle name="Note 2 7" xfId="4452" xr:uid="{00000000-0005-0000-0000-0000E8230000}"/>
    <cellStyle name="Note 2 7 2" xfId="41889" xr:uid="{DAFE5B39-B9DF-47EC-B026-D0752E00A823}"/>
    <cellStyle name="Note 2 8" xfId="4453" xr:uid="{00000000-0005-0000-0000-0000E9230000}"/>
    <cellStyle name="Note 2 8 2" xfId="41890" xr:uid="{E41DCF11-69A3-4DD2-9AEE-17EFF1478233}"/>
    <cellStyle name="Note 2 9" xfId="4454" xr:uid="{00000000-0005-0000-0000-0000EA230000}"/>
    <cellStyle name="Note 2 9 2" xfId="41891" xr:uid="{51F42DA7-E593-4407-B2FC-2C78E43E0503}"/>
    <cellStyle name="Note 2_PrimaryEnergyPrices_TIMES" xfId="2353" xr:uid="{00000000-0005-0000-0000-0000EB230000}"/>
    <cellStyle name="Note 20" xfId="2354" xr:uid="{00000000-0005-0000-0000-0000EC230000}"/>
    <cellStyle name="Note 20 2" xfId="41892" xr:uid="{BFAF05BE-F3B2-409F-84CF-33D90C733AB7}"/>
    <cellStyle name="Note 21" xfId="2355" xr:uid="{00000000-0005-0000-0000-0000ED230000}"/>
    <cellStyle name="Note 21 2" xfId="41893" xr:uid="{69B02843-EF8F-4133-9570-256DAE331350}"/>
    <cellStyle name="Note 22" xfId="2356" xr:uid="{00000000-0005-0000-0000-0000EE230000}"/>
    <cellStyle name="Note 22 2" xfId="41894" xr:uid="{CC096CF8-5303-4CE4-89CA-7A5EAF5A0891}"/>
    <cellStyle name="Note 23" xfId="2357" xr:uid="{00000000-0005-0000-0000-0000EF230000}"/>
    <cellStyle name="Note 23 2" xfId="41895" xr:uid="{303551BD-488B-4A4B-9272-C075C9D471D9}"/>
    <cellStyle name="Note 24" xfId="2358" xr:uid="{00000000-0005-0000-0000-0000F0230000}"/>
    <cellStyle name="Note 24 2" xfId="41896" xr:uid="{3E72D877-154B-4D23-A2B4-9F1889DDFAAA}"/>
    <cellStyle name="Note 25" xfId="2359" xr:uid="{00000000-0005-0000-0000-0000F1230000}"/>
    <cellStyle name="Note 25 2" xfId="41897" xr:uid="{D2347EF3-76D1-474F-9462-BEF860F418E2}"/>
    <cellStyle name="Note 26" xfId="2360" xr:uid="{00000000-0005-0000-0000-0000F2230000}"/>
    <cellStyle name="Note 26 2" xfId="41898" xr:uid="{D554F859-7E17-43A6-B059-7DF21CD21074}"/>
    <cellStyle name="Note 27" xfId="2361" xr:uid="{00000000-0005-0000-0000-0000F3230000}"/>
    <cellStyle name="Note 27 2" xfId="41899" xr:uid="{6A408813-CEFC-43C6-8856-B0EC364CA318}"/>
    <cellStyle name="Note 28" xfId="2362" xr:uid="{00000000-0005-0000-0000-0000F4230000}"/>
    <cellStyle name="Note 28 2" xfId="41900" xr:uid="{235C1B7D-0AAE-40AC-A010-B3D56A2EEF82}"/>
    <cellStyle name="Note 29" xfId="2363" xr:uid="{00000000-0005-0000-0000-0000F5230000}"/>
    <cellStyle name="Note 29 2" xfId="41901" xr:uid="{E713D09D-A46B-49FC-8784-FB7D8674E810}"/>
    <cellStyle name="Note 3" xfId="192" xr:uid="{00000000-0005-0000-0000-0000F6230000}"/>
    <cellStyle name="Note 3 2" xfId="193" xr:uid="{00000000-0005-0000-0000-0000F7230000}"/>
    <cellStyle name="Note 3 2 2" xfId="2365" xr:uid="{00000000-0005-0000-0000-0000F8230000}"/>
    <cellStyle name="Note 3 2 2 2" xfId="41905" xr:uid="{C2E8A858-60B8-4C7A-A713-E6A8848D7CB4}"/>
    <cellStyle name="Note 3 2 2 3" xfId="41906" xr:uid="{DF908B02-9B1C-483D-9BB1-3E052E350699}"/>
    <cellStyle name="Note 3 2 2 4" xfId="41904" xr:uid="{07AA823F-AC83-4AAC-8C37-E05970B61802}"/>
    <cellStyle name="Note 3 2 3" xfId="41907" xr:uid="{7C574DB7-AF0F-4512-859D-8581F92B6108}"/>
    <cellStyle name="Note 3 2 4" xfId="41908" xr:uid="{E24BC39C-24BF-4492-88F0-7A2393CBD3CB}"/>
    <cellStyle name="Note 3 2 5" xfId="41903" xr:uid="{D3601DE6-DE33-4BD5-A7BB-9459EF1DE7BE}"/>
    <cellStyle name="Note 3 3" xfId="194" xr:uid="{00000000-0005-0000-0000-0000F9230000}"/>
    <cellStyle name="Note 3 3 2" xfId="41910" xr:uid="{ACE64485-DC24-412A-9B6C-411EDBB57B39}"/>
    <cellStyle name="Note 3 3 3" xfId="41911" xr:uid="{54E2A782-88CD-40CC-B034-1FDB9B985584}"/>
    <cellStyle name="Note 3 3 4" xfId="41909" xr:uid="{E88ABEFE-1CA9-4BF7-B846-69E802717400}"/>
    <cellStyle name="Note 3 4" xfId="326" xr:uid="{00000000-0005-0000-0000-0000FA230000}"/>
    <cellStyle name="Note 3 4 2" xfId="2366" xr:uid="{00000000-0005-0000-0000-0000FB230000}"/>
    <cellStyle name="Note 3 4 2 2" xfId="41914" xr:uid="{81E58F63-F779-4897-92B8-36DB325182F5}"/>
    <cellStyle name="Note 3 4 2 3" xfId="41913" xr:uid="{6E2B583C-3106-42EC-9A50-21D06AD52EB8}"/>
    <cellStyle name="Note 3 4 3" xfId="4837" xr:uid="{00000000-0005-0000-0000-0000FC230000}"/>
    <cellStyle name="Note 3 4 3 2" xfId="41915" xr:uid="{808FC3D5-AF06-4AA5-BC7F-7F0A648EB85F}"/>
    <cellStyle name="Note 3 4 4" xfId="41916" xr:uid="{FE8D2556-2050-4E93-B353-6F1FB033BD82}"/>
    <cellStyle name="Note 3 4 5" xfId="41912" xr:uid="{597D21A5-5D85-4382-85B0-57709B632A65}"/>
    <cellStyle name="Note 3 5" xfId="2367" xr:uid="{00000000-0005-0000-0000-0000FD230000}"/>
    <cellStyle name="Note 3 5 2" xfId="41918" xr:uid="{D9E16938-C117-4AFB-8809-99FED190070A}"/>
    <cellStyle name="Note 3 5 3" xfId="41917" xr:uid="{35568814-F474-4584-8E27-D383A607AA43}"/>
    <cellStyle name="Note 3 6" xfId="2368" xr:uid="{00000000-0005-0000-0000-0000FE230000}"/>
    <cellStyle name="Note 3 6 2" xfId="41920" xr:uid="{E74BC82A-7489-4DAC-AEFD-AF2919377D1D}"/>
    <cellStyle name="Note 3 6 3" xfId="41919" xr:uid="{A4FD922D-D208-4CE6-B3A1-67EA7E82E7E0}"/>
    <cellStyle name="Note 3 7" xfId="2364" xr:uid="{00000000-0005-0000-0000-0000FF230000}"/>
    <cellStyle name="Note 3 7 2" xfId="41921" xr:uid="{5B26E006-13F8-472B-831A-202BDC84D759}"/>
    <cellStyle name="Note 3 8" xfId="41902" xr:uid="{8E89CEFA-01EC-4BB2-AC03-65B560F1E077}"/>
    <cellStyle name="Note 3_PrimaryEnergyPrices_TIMES" xfId="9687" xr:uid="{00000000-0005-0000-0000-000000240000}"/>
    <cellStyle name="Note 30" xfId="2369" xr:uid="{00000000-0005-0000-0000-000001240000}"/>
    <cellStyle name="Note 30 2" xfId="41922" xr:uid="{0BBD5953-9CE6-4572-A59D-ED5F1D920266}"/>
    <cellStyle name="Note 31" xfId="2370" xr:uid="{00000000-0005-0000-0000-000002240000}"/>
    <cellStyle name="Note 31 2" xfId="41923" xr:uid="{3E72CD98-BBFF-4781-945E-45BE5D1CE4BC}"/>
    <cellStyle name="Note 32" xfId="2371" xr:uid="{00000000-0005-0000-0000-000003240000}"/>
    <cellStyle name="Note 32 2" xfId="41924" xr:uid="{305841F0-444D-4A9E-BC65-F01C36C82CE8}"/>
    <cellStyle name="Note 33" xfId="2372" xr:uid="{00000000-0005-0000-0000-000004240000}"/>
    <cellStyle name="Note 33 2" xfId="41925" xr:uid="{3C63E601-947C-4926-9DE4-F416C155E5F8}"/>
    <cellStyle name="Note 34" xfId="2373" xr:uid="{00000000-0005-0000-0000-000005240000}"/>
    <cellStyle name="Note 34 2" xfId="41926" xr:uid="{CE9AF74F-3815-4617-B45A-FC2570DFADF4}"/>
    <cellStyle name="Note 35" xfId="2374" xr:uid="{00000000-0005-0000-0000-000006240000}"/>
    <cellStyle name="Note 35 2" xfId="41927" xr:uid="{B34B7A73-810C-4CDD-9851-399585313EDE}"/>
    <cellStyle name="Note 36" xfId="2375" xr:uid="{00000000-0005-0000-0000-000007240000}"/>
    <cellStyle name="Note 36 2" xfId="41928" xr:uid="{76E7C713-44E6-4BB2-B8E1-2828F08AD6E6}"/>
    <cellStyle name="Note 37" xfId="2376" xr:uid="{00000000-0005-0000-0000-000008240000}"/>
    <cellStyle name="Note 37 2" xfId="41929" xr:uid="{B7F95456-7E6C-443E-AE65-DFADAECF865C}"/>
    <cellStyle name="Note 38" xfId="2377" xr:uid="{00000000-0005-0000-0000-000009240000}"/>
    <cellStyle name="Note 38 2" xfId="41930" xr:uid="{1100029E-0268-4F08-899F-E7A405C0AFD8}"/>
    <cellStyle name="Note 39" xfId="2378" xr:uid="{00000000-0005-0000-0000-00000A240000}"/>
    <cellStyle name="Note 39 2" xfId="41931" xr:uid="{3C692B7E-FDA7-4CA2-B098-3B3E06BDC4ED}"/>
    <cellStyle name="Note 4" xfId="2379" xr:uid="{00000000-0005-0000-0000-00000B240000}"/>
    <cellStyle name="Note 4 2" xfId="2380" xr:uid="{00000000-0005-0000-0000-00000C240000}"/>
    <cellStyle name="Note 4 2 2" xfId="41933" xr:uid="{411BA9C9-6F94-4150-A7D2-948F5CC66D3C}"/>
    <cellStyle name="Note 4 3" xfId="2381" xr:uid="{00000000-0005-0000-0000-00000D240000}"/>
    <cellStyle name="Note 4 3 2" xfId="2382" xr:uid="{00000000-0005-0000-0000-00000E240000}"/>
    <cellStyle name="Note 4 3 2 2" xfId="41935" xr:uid="{DA452EC5-BA99-498C-AF6F-88A97E6D9E9C}"/>
    <cellStyle name="Note 4 3 3" xfId="41934" xr:uid="{873B1A97-EDA5-44AB-8EAF-9C423018CB68}"/>
    <cellStyle name="Note 4 3_ELC_final" xfId="2383" xr:uid="{00000000-0005-0000-0000-00000F240000}"/>
    <cellStyle name="Note 4 4" xfId="2384" xr:uid="{00000000-0005-0000-0000-000010240000}"/>
    <cellStyle name="Note 4 4 2" xfId="41937" xr:uid="{6D80C8FC-8F12-4CE0-8EBE-85ABC2BAD006}"/>
    <cellStyle name="Note 4 4 3" xfId="41936" xr:uid="{028B6049-F454-4714-ABAE-C45120F81B46}"/>
    <cellStyle name="Note 4 5" xfId="41932" xr:uid="{306271FA-1A4C-4BA4-A361-5886A399D532}"/>
    <cellStyle name="Note 4_ELC_final" xfId="2385" xr:uid="{00000000-0005-0000-0000-000011240000}"/>
    <cellStyle name="Note 40" xfId="2386" xr:uid="{00000000-0005-0000-0000-000012240000}"/>
    <cellStyle name="Note 40 2" xfId="41938" xr:uid="{9E48D76C-A25B-454B-91F5-7F4A11474B22}"/>
    <cellStyle name="Note 41" xfId="2387" xr:uid="{00000000-0005-0000-0000-000013240000}"/>
    <cellStyle name="Note 41 2" xfId="41939" xr:uid="{45C7DC55-C6E4-4D2E-B4E2-5A51FC73DDEC}"/>
    <cellStyle name="Note 42" xfId="41940" xr:uid="{DEDE0D1D-4497-47B7-8A72-8D402F643B65}"/>
    <cellStyle name="Note 5" xfId="2388" xr:uid="{00000000-0005-0000-0000-000014240000}"/>
    <cellStyle name="Note 5 2" xfId="2389" xr:uid="{00000000-0005-0000-0000-000015240000}"/>
    <cellStyle name="Note 5 2 2" xfId="41942" xr:uid="{1B190CB1-E7ED-4359-99D3-007F9386B238}"/>
    <cellStyle name="Note 5 3" xfId="2390" xr:uid="{00000000-0005-0000-0000-000016240000}"/>
    <cellStyle name="Note 5 3 2" xfId="2391" xr:uid="{00000000-0005-0000-0000-000017240000}"/>
    <cellStyle name="Note 5 3 2 2" xfId="41944" xr:uid="{757F438B-7E7C-49BC-9532-224C1E8B7C30}"/>
    <cellStyle name="Note 5 3 3" xfId="41943" xr:uid="{A647700B-CCE5-457E-BB34-5FCC5424F323}"/>
    <cellStyle name="Note 5 3_ELC_final" xfId="2392" xr:uid="{00000000-0005-0000-0000-000018240000}"/>
    <cellStyle name="Note 5 4" xfId="2393" xr:uid="{00000000-0005-0000-0000-000019240000}"/>
    <cellStyle name="Note 5 4 2" xfId="41946" xr:uid="{1C26E12F-3E6F-45F4-984C-999D3B685D7D}"/>
    <cellStyle name="Note 5 4 3" xfId="41945" xr:uid="{AFFC6636-EB5B-4FAB-B610-39E20AC97B09}"/>
    <cellStyle name="Note 5 5" xfId="41941" xr:uid="{B2D41B65-FBEA-4407-9D0D-CA672ED8C578}"/>
    <cellStyle name="Note 5_ELC_final" xfId="2394" xr:uid="{00000000-0005-0000-0000-00001A240000}"/>
    <cellStyle name="Note 6" xfId="2395" xr:uid="{00000000-0005-0000-0000-00001B240000}"/>
    <cellStyle name="Note 6 2" xfId="2396" xr:uid="{00000000-0005-0000-0000-00001C240000}"/>
    <cellStyle name="Note 6 2 2" xfId="41948" xr:uid="{0D146597-5DB1-4676-AABD-1D4F7C3B903B}"/>
    <cellStyle name="Note 6 3" xfId="2397" xr:uid="{00000000-0005-0000-0000-00001D240000}"/>
    <cellStyle name="Note 6 3 2" xfId="2398" xr:uid="{00000000-0005-0000-0000-00001E240000}"/>
    <cellStyle name="Note 6 3 2 2" xfId="41950" xr:uid="{33A46135-A7C2-47B0-BFB0-3D47494C28C9}"/>
    <cellStyle name="Note 6 3 3" xfId="41949" xr:uid="{40EB0E3F-66D8-4554-A0E1-CCAD653B3971}"/>
    <cellStyle name="Note 6 3_ELC_final" xfId="2399" xr:uid="{00000000-0005-0000-0000-00001F240000}"/>
    <cellStyle name="Note 6 4" xfId="2400" xr:uid="{00000000-0005-0000-0000-000020240000}"/>
    <cellStyle name="Note 6 4 2" xfId="41952" xr:uid="{D005C983-B1BE-4635-94A8-82DE79778643}"/>
    <cellStyle name="Note 6 4 3" xfId="41951" xr:uid="{0D404794-4FDC-435C-89FE-88E97CF70684}"/>
    <cellStyle name="Note 6 5" xfId="41947" xr:uid="{2F2A75DE-DB91-4DEF-B406-6E65A350727A}"/>
    <cellStyle name="Note 6_ELC_final" xfId="2401" xr:uid="{00000000-0005-0000-0000-000021240000}"/>
    <cellStyle name="Note 7" xfId="2402" xr:uid="{00000000-0005-0000-0000-000022240000}"/>
    <cellStyle name="Note 7 2" xfId="2403" xr:uid="{00000000-0005-0000-0000-000023240000}"/>
    <cellStyle name="Note 7 2 2" xfId="41954" xr:uid="{0D7B204B-1904-4928-9407-CB7DF485275E}"/>
    <cellStyle name="Note 7 3" xfId="2404" xr:uid="{00000000-0005-0000-0000-000024240000}"/>
    <cellStyle name="Note 7 3 2" xfId="2405" xr:uid="{00000000-0005-0000-0000-000025240000}"/>
    <cellStyle name="Note 7 3 2 2" xfId="41956" xr:uid="{4C92DB0F-4D0D-4819-949C-9841A2A6FB66}"/>
    <cellStyle name="Note 7 3 3" xfId="41955" xr:uid="{5EF549B6-B7B9-411D-8751-56AD66D5C7A0}"/>
    <cellStyle name="Note 7 3_ELC_final" xfId="2406" xr:uid="{00000000-0005-0000-0000-000026240000}"/>
    <cellStyle name="Note 7 4" xfId="2407" xr:uid="{00000000-0005-0000-0000-000027240000}"/>
    <cellStyle name="Note 7 4 2" xfId="41958" xr:uid="{5A8C6D60-D898-4A52-A1F8-D3B54B8C9C06}"/>
    <cellStyle name="Note 7 4 3" xfId="41957" xr:uid="{AED328EA-40FE-44CD-BAF3-C3459129E9E7}"/>
    <cellStyle name="Note 7 5" xfId="41953" xr:uid="{B6E1FBD3-9D85-49FF-8A42-41F9ED257490}"/>
    <cellStyle name="Note 7_ELC_final" xfId="2408" xr:uid="{00000000-0005-0000-0000-000028240000}"/>
    <cellStyle name="Note 8" xfId="2409" xr:uid="{00000000-0005-0000-0000-000029240000}"/>
    <cellStyle name="Note 8 2" xfId="2410" xr:uid="{00000000-0005-0000-0000-00002A240000}"/>
    <cellStyle name="Note 8 2 2" xfId="41960" xr:uid="{EE224C9A-18EB-466A-ADA6-9E6A8045F29B}"/>
    <cellStyle name="Note 8 3" xfId="2411" xr:uid="{00000000-0005-0000-0000-00002B240000}"/>
    <cellStyle name="Note 8 3 2" xfId="2412" xr:uid="{00000000-0005-0000-0000-00002C240000}"/>
    <cellStyle name="Note 8 3 2 2" xfId="41962" xr:uid="{75F2263A-7F24-474B-BD87-61E71731866B}"/>
    <cellStyle name="Note 8 3 3" xfId="41961" xr:uid="{A2E4E7E5-605E-4929-9B0B-ACA08C77CFBA}"/>
    <cellStyle name="Note 8 3_ELC_final" xfId="2413" xr:uid="{00000000-0005-0000-0000-00002D240000}"/>
    <cellStyle name="Note 8 4" xfId="2414" xr:uid="{00000000-0005-0000-0000-00002E240000}"/>
    <cellStyle name="Note 8 4 2" xfId="41964" xr:uid="{0D0AA889-C5EF-4BC1-B616-8B4730F6A83E}"/>
    <cellStyle name="Note 8 4 3" xfId="41963" xr:uid="{0BEAB9A9-A20F-430E-9C80-01A8DACDB48D}"/>
    <cellStyle name="Note 8 5" xfId="41959" xr:uid="{1447D999-54C2-4AA4-953C-D02CC3787E28}"/>
    <cellStyle name="Note 8_ELC_final" xfId="2415" xr:uid="{00000000-0005-0000-0000-00002F240000}"/>
    <cellStyle name="Note 9" xfId="2416" xr:uid="{00000000-0005-0000-0000-000030240000}"/>
    <cellStyle name="Note 9 2" xfId="2417" xr:uid="{00000000-0005-0000-0000-000031240000}"/>
    <cellStyle name="Note 9 2 2" xfId="41966" xr:uid="{E5E307CC-67EB-4292-B8E3-9035202D3F86}"/>
    <cellStyle name="Note 9 3" xfId="2418" xr:uid="{00000000-0005-0000-0000-000032240000}"/>
    <cellStyle name="Note 9 3 2" xfId="2419" xr:uid="{00000000-0005-0000-0000-000033240000}"/>
    <cellStyle name="Note 9 3 2 2" xfId="41968" xr:uid="{9FE6255B-99FE-409B-B76E-3F2D1A579B5E}"/>
    <cellStyle name="Note 9 3 3" xfId="41967" xr:uid="{3CBD1ED2-6DC7-4479-945B-09ECD85D8D51}"/>
    <cellStyle name="Note 9 3_ELC_final" xfId="2420" xr:uid="{00000000-0005-0000-0000-000034240000}"/>
    <cellStyle name="Note 9 4" xfId="2421" xr:uid="{00000000-0005-0000-0000-000035240000}"/>
    <cellStyle name="Note 9 4 2" xfId="41970" xr:uid="{149A24DF-EDF6-4E8C-9817-53010588E644}"/>
    <cellStyle name="Note 9 4 3" xfId="41969" xr:uid="{8BC4D5AB-7C4D-4C0C-A0AA-D3F03A7E84C4}"/>
    <cellStyle name="Note 9 5" xfId="41965" xr:uid="{FE2A92F9-7772-4EB0-8DE5-0CE37AB4C11A}"/>
    <cellStyle name="Note 9_ELC_final" xfId="2422" xr:uid="{00000000-0005-0000-0000-000036240000}"/>
    <cellStyle name="Notiz" xfId="2423" xr:uid="{00000000-0005-0000-0000-000037240000}"/>
    <cellStyle name="Notiz 2" xfId="2424" xr:uid="{00000000-0005-0000-0000-000038240000}"/>
    <cellStyle name="Notiz 2 2" xfId="41973" xr:uid="{AD8DA2C6-CD0D-4013-9EBC-5DEEE0E75905}"/>
    <cellStyle name="Notiz 2 3" xfId="41972" xr:uid="{A31E8D8D-65EE-4F8D-906D-1359DEB66A9F}"/>
    <cellStyle name="Notiz 3" xfId="2425" xr:uid="{00000000-0005-0000-0000-000039240000}"/>
    <cellStyle name="Notiz 3 2" xfId="41975" xr:uid="{CC6099AC-FAE9-49CF-A763-F7854A3318A7}"/>
    <cellStyle name="Notiz 3 3" xfId="41976" xr:uid="{70A07A68-7686-4038-9409-BD0274551E36}"/>
    <cellStyle name="Notiz 3 4" xfId="41974" xr:uid="{77A859C7-B6C7-4732-8281-9F52905B6646}"/>
    <cellStyle name="Notiz 4" xfId="41977" xr:uid="{3AB6EFB5-6560-4FC8-A83C-8AFF4C08846D}"/>
    <cellStyle name="Notiz 4 2" xfId="41978" xr:uid="{19DFA20C-1BC2-48C7-AC06-42389D57E28A}"/>
    <cellStyle name="Notiz 5" xfId="41979" xr:uid="{DB38CCD9-B2D4-4F2C-AECC-5B51947D07B4}"/>
    <cellStyle name="Notiz 6" xfId="41980" xr:uid="{810383AE-3CCE-440A-BCC9-C79B2F07993E}"/>
    <cellStyle name="Notiz 7" xfId="41971" xr:uid="{0AC7CFA9-BB61-46C3-9B2C-41F34BAE626E}"/>
    <cellStyle name="num_note" xfId="272" xr:uid="{00000000-0005-0000-0000-00003A240000}"/>
    <cellStyle name="Nuovo" xfId="195" xr:uid="{00000000-0005-0000-0000-00003B240000}"/>
    <cellStyle name="Nuovo 10" xfId="2426" xr:uid="{00000000-0005-0000-0000-00003C240000}"/>
    <cellStyle name="Nuovo 10 2" xfId="41982" xr:uid="{7AD28CD1-62D2-440D-B6C0-D35545F9C0C2}"/>
    <cellStyle name="Nuovo 11" xfId="2427" xr:uid="{00000000-0005-0000-0000-00003D240000}"/>
    <cellStyle name="Nuovo 11 2" xfId="41983" xr:uid="{46C2BA71-E44D-4197-BA63-7C588EBC575F}"/>
    <cellStyle name="Nuovo 12" xfId="2428" xr:uid="{00000000-0005-0000-0000-00003E240000}"/>
    <cellStyle name="Nuovo 12 2" xfId="41984" xr:uid="{13193D30-7E1B-43C9-8891-B1D32437917E}"/>
    <cellStyle name="Nuovo 13" xfId="2429" xr:uid="{00000000-0005-0000-0000-00003F240000}"/>
    <cellStyle name="Nuovo 13 2" xfId="41985" xr:uid="{35D11D81-B6E6-4315-9BF1-FA72B22CDFE1}"/>
    <cellStyle name="Nuovo 14" xfId="2430" xr:uid="{00000000-0005-0000-0000-000040240000}"/>
    <cellStyle name="Nuovo 14 2" xfId="41986" xr:uid="{B4D8779E-0E61-44C1-90A8-1AB0D588096F}"/>
    <cellStyle name="Nuovo 15" xfId="2431" xr:uid="{00000000-0005-0000-0000-000041240000}"/>
    <cellStyle name="Nuovo 15 2" xfId="41987" xr:uid="{A693C419-B349-49B6-9853-973F26231673}"/>
    <cellStyle name="Nuovo 16" xfId="2432" xr:uid="{00000000-0005-0000-0000-000042240000}"/>
    <cellStyle name="Nuovo 16 2" xfId="41988" xr:uid="{1430AF64-9182-4170-A379-67DC929406AE}"/>
    <cellStyle name="Nuovo 17" xfId="2433" xr:uid="{00000000-0005-0000-0000-000043240000}"/>
    <cellStyle name="Nuovo 17 2" xfId="41989" xr:uid="{6C242F59-EEA7-43AE-B981-2D3E50AA22F1}"/>
    <cellStyle name="Nuovo 18" xfId="2434" xr:uid="{00000000-0005-0000-0000-000044240000}"/>
    <cellStyle name="Nuovo 18 2" xfId="41990" xr:uid="{8B65E2D8-2D41-43A4-BD6D-932B0044FE47}"/>
    <cellStyle name="Nuovo 19" xfId="2435" xr:uid="{00000000-0005-0000-0000-000045240000}"/>
    <cellStyle name="Nuovo 19 2" xfId="41991" xr:uid="{B4E483C8-4765-4898-908D-8926374E3880}"/>
    <cellStyle name="Nuovo 2" xfId="196" xr:uid="{00000000-0005-0000-0000-000046240000}"/>
    <cellStyle name="Nuovo 2 2" xfId="12206" xr:uid="{00000000-0005-0000-0000-000047240000}"/>
    <cellStyle name="Nuovo 2 2 2" xfId="41993" xr:uid="{6CC90420-7112-4D9B-B2DA-DB35DCE25A55}"/>
    <cellStyle name="Nuovo 2 3" xfId="41992" xr:uid="{94269FA6-CA58-4545-B82D-269A782F076D}"/>
    <cellStyle name="Nuovo 20" xfId="2436" xr:uid="{00000000-0005-0000-0000-000048240000}"/>
    <cellStyle name="Nuovo 20 2" xfId="41994" xr:uid="{C1221767-03E0-4E71-AEDA-4DECD673F49D}"/>
    <cellStyle name="Nuovo 21" xfId="2437" xr:uid="{00000000-0005-0000-0000-000049240000}"/>
    <cellStyle name="Nuovo 21 2" xfId="41995" xr:uid="{FF4F71D1-A371-4C28-8B44-592BC4FB02B8}"/>
    <cellStyle name="Nuovo 22" xfId="2438" xr:uid="{00000000-0005-0000-0000-00004A240000}"/>
    <cellStyle name="Nuovo 22 2" xfId="41996" xr:uid="{B3FC0BE3-0F44-49CD-BFD1-A28B6C443EBA}"/>
    <cellStyle name="Nuovo 23" xfId="2439" xr:uid="{00000000-0005-0000-0000-00004B240000}"/>
    <cellStyle name="Nuovo 23 2" xfId="41997" xr:uid="{F07D8F88-2738-42F8-9BE0-F6FB73BC00B8}"/>
    <cellStyle name="Nuovo 24" xfId="2440" xr:uid="{00000000-0005-0000-0000-00004C240000}"/>
    <cellStyle name="Nuovo 24 2" xfId="41998" xr:uid="{190C83F0-8D0B-4F52-B177-5D05772E086E}"/>
    <cellStyle name="Nuovo 25" xfId="2441" xr:uid="{00000000-0005-0000-0000-00004D240000}"/>
    <cellStyle name="Nuovo 25 2" xfId="41999" xr:uid="{204A29DE-B3AD-45D1-A554-F7DA14C4304B}"/>
    <cellStyle name="Nuovo 26" xfId="2442" xr:uid="{00000000-0005-0000-0000-00004E240000}"/>
    <cellStyle name="Nuovo 26 2" xfId="42000" xr:uid="{8F284C64-3309-49F5-B11F-3A75A2C3F989}"/>
    <cellStyle name="Nuovo 27" xfId="2443" xr:uid="{00000000-0005-0000-0000-00004F240000}"/>
    <cellStyle name="Nuovo 27 2" xfId="42001" xr:uid="{11EB08FC-A296-4A95-8E7A-122B558DD433}"/>
    <cellStyle name="Nuovo 28" xfId="2444" xr:uid="{00000000-0005-0000-0000-000050240000}"/>
    <cellStyle name="Nuovo 28 2" xfId="42002" xr:uid="{B2EDD733-50AD-40E1-892C-D8B9737CB4AC}"/>
    <cellStyle name="Nuovo 29" xfId="2445" xr:uid="{00000000-0005-0000-0000-000051240000}"/>
    <cellStyle name="Nuovo 29 2" xfId="42003" xr:uid="{185F9B12-5A2E-4BB2-8F07-7D25C21303FA}"/>
    <cellStyle name="Nuovo 3" xfId="197" xr:uid="{00000000-0005-0000-0000-000052240000}"/>
    <cellStyle name="Nuovo 3 2" xfId="42004" xr:uid="{3F50434D-55A0-4C11-929B-38F990FFD263}"/>
    <cellStyle name="Nuovo 30" xfId="2446" xr:uid="{00000000-0005-0000-0000-000053240000}"/>
    <cellStyle name="Nuovo 30 2" xfId="42005" xr:uid="{FAE32D56-C05C-4C93-87A1-542B2F756FED}"/>
    <cellStyle name="Nuovo 31" xfId="2447" xr:uid="{00000000-0005-0000-0000-000054240000}"/>
    <cellStyle name="Nuovo 31 2" xfId="42006" xr:uid="{8AC19416-F1AB-458B-A003-0DD1C6ECF2D9}"/>
    <cellStyle name="Nuovo 32" xfId="2448" xr:uid="{00000000-0005-0000-0000-000055240000}"/>
    <cellStyle name="Nuovo 32 2" xfId="42007" xr:uid="{EDF0A757-7198-40AD-BB92-CFD9246DE969}"/>
    <cellStyle name="Nuovo 33" xfId="2449" xr:uid="{00000000-0005-0000-0000-000056240000}"/>
    <cellStyle name="Nuovo 33 2" xfId="42008" xr:uid="{D7F90F46-BE53-4DF0-B52B-16F7425AEA15}"/>
    <cellStyle name="Nuovo 34" xfId="2450" xr:uid="{00000000-0005-0000-0000-000057240000}"/>
    <cellStyle name="Nuovo 34 2" xfId="42009" xr:uid="{C3A6A0BE-C168-4406-8543-A5F1D2D922ED}"/>
    <cellStyle name="Nuovo 35" xfId="2451" xr:uid="{00000000-0005-0000-0000-000058240000}"/>
    <cellStyle name="Nuovo 35 2" xfId="42010" xr:uid="{66DF49F2-F7FC-4FF7-9E1F-A4C85E5BBAFD}"/>
    <cellStyle name="Nuovo 36" xfId="2452" xr:uid="{00000000-0005-0000-0000-000059240000}"/>
    <cellStyle name="Nuovo 36 2" xfId="42011" xr:uid="{B616C6F7-D1F8-4F8B-A85D-BD6127BE9788}"/>
    <cellStyle name="Nuovo 37" xfId="2453" xr:uid="{00000000-0005-0000-0000-00005A240000}"/>
    <cellStyle name="Nuovo 37 2" xfId="42012" xr:uid="{B261654E-13C0-44EB-A418-FF795A2794C4}"/>
    <cellStyle name="Nuovo 38" xfId="2454" xr:uid="{00000000-0005-0000-0000-00005B240000}"/>
    <cellStyle name="Nuovo 38 2" xfId="9688" xr:uid="{00000000-0005-0000-0000-00005C240000}"/>
    <cellStyle name="Nuovo 38 2 2" xfId="42014" xr:uid="{067A774C-8FD6-4372-8D42-E0ADB474C66A}"/>
    <cellStyle name="Nuovo 38 3" xfId="9689" xr:uid="{00000000-0005-0000-0000-00005D240000}"/>
    <cellStyle name="Nuovo 38 3 2" xfId="42015" xr:uid="{3E5395B2-BFA1-4238-9968-A3638BE5D7CA}"/>
    <cellStyle name="Nuovo 38 4" xfId="9690" xr:uid="{00000000-0005-0000-0000-00005E240000}"/>
    <cellStyle name="Nuovo 38 4 2" xfId="42016" xr:uid="{3D5C0E12-D09C-412A-90B9-E57E92170C88}"/>
    <cellStyle name="Nuovo 38 5" xfId="42013" xr:uid="{66F2D120-FAE4-4BF7-87F5-CA8200C458E5}"/>
    <cellStyle name="Nuovo 39" xfId="5806" xr:uid="{00000000-0005-0000-0000-00005F240000}"/>
    <cellStyle name="Nuovo 39 2" xfId="14384" xr:uid="{00000000-0005-0000-0000-000060240000}"/>
    <cellStyle name="Nuovo 39 2 2" xfId="42018" xr:uid="{3AF0D4B0-A3E0-4CA6-BEBB-782B6C43D568}"/>
    <cellStyle name="Nuovo 39 3" xfId="42017" xr:uid="{158804FA-1CF8-4826-8D1F-6307BD371AB7}"/>
    <cellStyle name="Nuovo 4" xfId="327" xr:uid="{00000000-0005-0000-0000-000061240000}"/>
    <cellStyle name="Nuovo 4 2" xfId="2455" xr:uid="{00000000-0005-0000-0000-000062240000}"/>
    <cellStyle name="Nuovo 4 2 2" xfId="42020" xr:uid="{8F78C147-F528-472F-8F11-BC754866F4EF}"/>
    <cellStyle name="Nuovo 4 3" xfId="42019" xr:uid="{F147DF1E-88CE-43CB-9536-B74910DA30CB}"/>
    <cellStyle name="Nuovo 40" xfId="5718" xr:uid="{00000000-0005-0000-0000-000063240000}"/>
    <cellStyle name="Nuovo 40 2" xfId="14351" xr:uid="{00000000-0005-0000-0000-000064240000}"/>
    <cellStyle name="Nuovo 40 2 2" xfId="42022" xr:uid="{158E4B25-50DA-4A20-BEA4-EC0E15A719D0}"/>
    <cellStyle name="Nuovo 40 3" xfId="42021" xr:uid="{A0709226-DD2E-4806-88F8-35213EDD3BB2}"/>
    <cellStyle name="Nuovo 41" xfId="41981" xr:uid="{03B775D9-9DFF-4253-B8CE-36D6F140C4B4}"/>
    <cellStyle name="Nuovo 5" xfId="2456" xr:uid="{00000000-0005-0000-0000-000065240000}"/>
    <cellStyle name="Nuovo 5 2" xfId="42023" xr:uid="{FD2EA81D-1BF5-4816-ADD4-1747FE5244F9}"/>
    <cellStyle name="Nuovo 6" xfId="2457" xr:uid="{00000000-0005-0000-0000-000066240000}"/>
    <cellStyle name="Nuovo 6 2" xfId="42024" xr:uid="{722E5CE1-D495-4ABE-809E-8E11CC676475}"/>
    <cellStyle name="Nuovo 7" xfId="2458" xr:uid="{00000000-0005-0000-0000-000067240000}"/>
    <cellStyle name="Nuovo 7 2" xfId="42025" xr:uid="{A472E978-2A6F-428A-9219-7B4B3BB9B62D}"/>
    <cellStyle name="Nuovo 8" xfId="2459" xr:uid="{00000000-0005-0000-0000-000068240000}"/>
    <cellStyle name="Nuovo 8 2" xfId="42026" xr:uid="{54973669-29EE-4272-B62F-DB2F48509FF3}"/>
    <cellStyle name="Nuovo 9" xfId="2460" xr:uid="{00000000-0005-0000-0000-000069240000}"/>
    <cellStyle name="Nuovo 9 2" xfId="42027" xr:uid="{47B7634D-E93E-4452-BA4B-3E32ADB4BB40}"/>
    <cellStyle name="Output 10" xfId="2461" xr:uid="{00000000-0005-0000-0000-00006A240000}"/>
    <cellStyle name="Output 10 2" xfId="42028" xr:uid="{D3A2724B-0E71-4435-88D5-9D229B585068}"/>
    <cellStyle name="Output 11" xfId="2462" xr:uid="{00000000-0005-0000-0000-00006B240000}"/>
    <cellStyle name="Output 11 2" xfId="42029" xr:uid="{2142B962-13FD-4D34-B8E1-81F10992456D}"/>
    <cellStyle name="Output 12" xfId="2463" xr:uid="{00000000-0005-0000-0000-00006C240000}"/>
    <cellStyle name="Output 12 2" xfId="42030" xr:uid="{AF8AA5B4-4BEA-444D-855C-8A7D61556CA0}"/>
    <cellStyle name="Output 13" xfId="2464" xr:uid="{00000000-0005-0000-0000-00006D240000}"/>
    <cellStyle name="Output 13 2" xfId="42031" xr:uid="{3C1C51C4-FC16-4636-9830-A4C9542985C0}"/>
    <cellStyle name="Output 14" xfId="2465" xr:uid="{00000000-0005-0000-0000-00006E240000}"/>
    <cellStyle name="Output 14 2" xfId="42032" xr:uid="{5AEA5D55-15AE-4359-B114-5CE6CF1EF212}"/>
    <cellStyle name="Output 15" xfId="2466" xr:uid="{00000000-0005-0000-0000-00006F240000}"/>
    <cellStyle name="Output 15 2" xfId="42033" xr:uid="{BA19434D-61A8-423F-AA70-0F2AC6A8DC48}"/>
    <cellStyle name="Output 16" xfId="2467" xr:uid="{00000000-0005-0000-0000-000070240000}"/>
    <cellStyle name="Output 16 2" xfId="42034" xr:uid="{F02F58B1-1C4A-4E9B-8334-DA4C2E5BF5B6}"/>
    <cellStyle name="Output 17" xfId="2468" xr:uid="{00000000-0005-0000-0000-000071240000}"/>
    <cellStyle name="Output 17 2" xfId="42035" xr:uid="{6FD9BEE9-75CF-4127-9410-0FB8454C4F69}"/>
    <cellStyle name="Output 18" xfId="2469" xr:uid="{00000000-0005-0000-0000-000072240000}"/>
    <cellStyle name="Output 18 2" xfId="42036" xr:uid="{6B8CFD97-3B57-428E-8343-AC94F11C3D4D}"/>
    <cellStyle name="Output 19" xfId="2470" xr:uid="{00000000-0005-0000-0000-000073240000}"/>
    <cellStyle name="Output 19 2" xfId="42037" xr:uid="{0002A9E4-A655-4B3B-8A09-A57499ADADE8}"/>
    <cellStyle name="Output 2" xfId="198" xr:uid="{00000000-0005-0000-0000-000074240000}"/>
    <cellStyle name="Output 2 10" xfId="4455" xr:uid="{00000000-0005-0000-0000-000075240000}"/>
    <cellStyle name="Output 2 10 2" xfId="42039" xr:uid="{C0AD2814-916A-4437-9022-706DB8B14E4B}"/>
    <cellStyle name="Output 2 11" xfId="9691" xr:uid="{00000000-0005-0000-0000-000076240000}"/>
    <cellStyle name="Output 2 11 2" xfId="42040" xr:uid="{F1DF006D-74D7-43E7-ADF8-74517367A7B3}"/>
    <cellStyle name="Output 2 12" xfId="42038" xr:uid="{57760D5A-91D8-4592-846B-A0CB529B90BB}"/>
    <cellStyle name="Output 2 2" xfId="4456" xr:uid="{00000000-0005-0000-0000-000077240000}"/>
    <cellStyle name="Output 2 2 2" xfId="42042" xr:uid="{D2E92F37-5B8C-4702-A93B-B8CB7FFC7BB9}"/>
    <cellStyle name="Output 2 2 3" xfId="42043" xr:uid="{E1929B73-7B20-4E05-AC2E-C86AD100B177}"/>
    <cellStyle name="Output 2 2 4" xfId="42041" xr:uid="{D8017826-45E8-401A-B336-A3FF1AB2E1B9}"/>
    <cellStyle name="Output 2 3" xfId="4457" xr:uid="{00000000-0005-0000-0000-000078240000}"/>
    <cellStyle name="Output 2 3 2" xfId="42045" xr:uid="{75704EFE-9664-4CA1-8CF4-9EF4AB4D0FC9}"/>
    <cellStyle name="Output 2 3 3" xfId="42046" xr:uid="{F0CB9ABE-080C-4929-8AAD-7A273E3207BD}"/>
    <cellStyle name="Output 2 3 4" xfId="42044" xr:uid="{550AF447-B2AA-4CC7-808B-B758CD24D9E1}"/>
    <cellStyle name="Output 2 4" xfId="4458" xr:uid="{00000000-0005-0000-0000-000079240000}"/>
    <cellStyle name="Output 2 4 2" xfId="42048" xr:uid="{EE40B51B-28F0-4382-ACF1-A699CD61B0F8}"/>
    <cellStyle name="Output 2 4 3" xfId="42047" xr:uid="{4EE102CD-98F1-4D63-A4BE-D817C8E18DA7}"/>
    <cellStyle name="Output 2 5" xfId="4459" xr:uid="{00000000-0005-0000-0000-00007A240000}"/>
    <cellStyle name="Output 2 5 2" xfId="42050" xr:uid="{C2551405-813E-4BE9-BC57-3C2F9B34CA1D}"/>
    <cellStyle name="Output 2 5 3" xfId="42049" xr:uid="{BA1438AE-BBB5-4026-B519-1AEE8C9DD901}"/>
    <cellStyle name="Output 2 6" xfId="4460" xr:uid="{00000000-0005-0000-0000-00007B240000}"/>
    <cellStyle name="Output 2 6 2" xfId="42051" xr:uid="{291151EA-64F0-4ADB-8086-0886153F8BB9}"/>
    <cellStyle name="Output 2 7" xfId="4461" xr:uid="{00000000-0005-0000-0000-00007C240000}"/>
    <cellStyle name="Output 2 7 2" xfId="42052" xr:uid="{15B1DE36-D728-4F33-B38D-B36EDD94F4E5}"/>
    <cellStyle name="Output 2 8" xfId="4462" xr:uid="{00000000-0005-0000-0000-00007D240000}"/>
    <cellStyle name="Output 2 8 2" xfId="42053" xr:uid="{0E70CDD9-2E80-4E28-ADF1-9B2A22AAEABE}"/>
    <cellStyle name="Output 2 9" xfId="4463" xr:uid="{00000000-0005-0000-0000-00007E240000}"/>
    <cellStyle name="Output 2 9 2" xfId="42054" xr:uid="{D06A3DBC-6DFC-4493-93DD-00BD7D7548B7}"/>
    <cellStyle name="Output 20" xfId="2471" xr:uid="{00000000-0005-0000-0000-00007F240000}"/>
    <cellStyle name="Output 20 2" xfId="42055" xr:uid="{B2820002-5ADF-4117-AEE5-11109CBA0712}"/>
    <cellStyle name="Output 21" xfId="2472" xr:uid="{00000000-0005-0000-0000-000080240000}"/>
    <cellStyle name="Output 21 2" xfId="42056" xr:uid="{50DA142A-554B-4FFB-A292-5CB97196D3A8}"/>
    <cellStyle name="Output 22" xfId="2473" xr:uid="{00000000-0005-0000-0000-000081240000}"/>
    <cellStyle name="Output 22 2" xfId="42057" xr:uid="{7C516C2F-6EEC-4387-91F2-99AC88701BD0}"/>
    <cellStyle name="Output 23" xfId="2474" xr:uid="{00000000-0005-0000-0000-000082240000}"/>
    <cellStyle name="Output 23 2" xfId="42058" xr:uid="{696BCB71-4AD3-423D-81F9-812E4E123580}"/>
    <cellStyle name="Output 24" xfId="2475" xr:uid="{00000000-0005-0000-0000-000083240000}"/>
    <cellStyle name="Output 24 2" xfId="42059" xr:uid="{2833C35D-ADB9-4DD5-8003-0868C45F81B9}"/>
    <cellStyle name="Output 25" xfId="2476" xr:uid="{00000000-0005-0000-0000-000084240000}"/>
    <cellStyle name="Output 25 2" xfId="42060" xr:uid="{6A2235E1-14D0-4C65-918C-C57E3FB4311E}"/>
    <cellStyle name="Output 26" xfId="2477" xr:uid="{00000000-0005-0000-0000-000085240000}"/>
    <cellStyle name="Output 26 2" xfId="42061" xr:uid="{AED328E2-CFB6-4DEA-84EC-E36804B9F0AB}"/>
    <cellStyle name="Output 27" xfId="2478" xr:uid="{00000000-0005-0000-0000-000086240000}"/>
    <cellStyle name="Output 27 2" xfId="42062" xr:uid="{74A47617-67B6-4A8B-9B65-3D973E2F9D0B}"/>
    <cellStyle name="Output 28" xfId="2479" xr:uid="{00000000-0005-0000-0000-000087240000}"/>
    <cellStyle name="Output 28 2" xfId="42063" xr:uid="{2EE202B7-CAE2-411E-913A-85C094731C25}"/>
    <cellStyle name="Output 29" xfId="2480" xr:uid="{00000000-0005-0000-0000-000088240000}"/>
    <cellStyle name="Output 29 2" xfId="42064" xr:uid="{588FE66E-DA12-44E0-B264-5B3B2EC51052}"/>
    <cellStyle name="Output 3" xfId="199" xr:uid="{00000000-0005-0000-0000-000089240000}"/>
    <cellStyle name="Output 3 2" xfId="2481" xr:uid="{00000000-0005-0000-0000-00008A240000}"/>
    <cellStyle name="Output 3 2 2" xfId="9692" xr:uid="{00000000-0005-0000-0000-00008B240000}"/>
    <cellStyle name="Output 3 2 2 2" xfId="42068" xr:uid="{0C874B9D-226B-4B5B-BAEC-9A01405C36E1}"/>
    <cellStyle name="Output 3 2 2 3" xfId="42067" xr:uid="{A8C43213-94D9-4C7D-BA55-5C636A1DC519}"/>
    <cellStyle name="Output 3 2 3" xfId="42069" xr:uid="{2E6F6D23-95B3-446B-AEC4-10D76E565EAC}"/>
    <cellStyle name="Output 3 2 4" xfId="42066" xr:uid="{A4D6EA7E-537F-4707-B00E-05CC49840908}"/>
    <cellStyle name="Output 3 3" xfId="4464" xr:uid="{00000000-0005-0000-0000-00008C240000}"/>
    <cellStyle name="Output 3 3 2" xfId="42071" xr:uid="{AE8BEC4E-FCA5-4B20-BD63-ECEDC257739F}"/>
    <cellStyle name="Output 3 3 3" xfId="42072" xr:uid="{FF39D6D3-AE25-4C81-B26B-4441C94B3230}"/>
    <cellStyle name="Output 3 3 4" xfId="42070" xr:uid="{526C7549-77A9-4F00-9915-8A8DE869D976}"/>
    <cellStyle name="Output 3 4" xfId="5807" xr:uid="{00000000-0005-0000-0000-00008D240000}"/>
    <cellStyle name="Output 3 4 2" xfId="42074" xr:uid="{5DEBDF8B-6C55-4607-898C-986DC86BE0F1}"/>
    <cellStyle name="Output 3 4 3" xfId="42073" xr:uid="{66C3C22A-E394-40D8-92AF-4D79999C681E}"/>
    <cellStyle name="Output 3 5" xfId="42075" xr:uid="{3E0855EB-AE1A-4E7A-955C-3AAC19B029E8}"/>
    <cellStyle name="Output 3 6" xfId="42065" xr:uid="{3F7F2C03-2B9E-4CF9-AE87-41D7B9626F96}"/>
    <cellStyle name="Output 30" xfId="2482" xr:uid="{00000000-0005-0000-0000-00008E240000}"/>
    <cellStyle name="Output 30 2" xfId="42076" xr:uid="{C73E4740-5D9F-478C-BD87-78051086A535}"/>
    <cellStyle name="Output 31" xfId="2483" xr:uid="{00000000-0005-0000-0000-00008F240000}"/>
    <cellStyle name="Output 31 2" xfId="42077" xr:uid="{91730085-8EB3-4B7C-A8EE-DACC4D9C6ED6}"/>
    <cellStyle name="Output 32" xfId="2484" xr:uid="{00000000-0005-0000-0000-000090240000}"/>
    <cellStyle name="Output 32 2" xfId="42078" xr:uid="{F33FCD24-38C8-4336-9631-C5449B7C01E1}"/>
    <cellStyle name="Output 33" xfId="2485" xr:uid="{00000000-0005-0000-0000-000091240000}"/>
    <cellStyle name="Output 33 2" xfId="42079" xr:uid="{C2E73FEF-A575-44F0-A172-116E1F9D1E49}"/>
    <cellStyle name="Output 34" xfId="2486" xr:uid="{00000000-0005-0000-0000-000092240000}"/>
    <cellStyle name="Output 34 2" xfId="42080" xr:uid="{B1CAA708-9E93-4400-AE8A-FAB0C1452FFA}"/>
    <cellStyle name="Output 35" xfId="2487" xr:uid="{00000000-0005-0000-0000-000093240000}"/>
    <cellStyle name="Output 35 2" xfId="42081" xr:uid="{AD6A9F3D-0841-404F-B937-C3D2B3A0B0C0}"/>
    <cellStyle name="Output 36" xfId="2488" xr:uid="{00000000-0005-0000-0000-000094240000}"/>
    <cellStyle name="Output 36 2" xfId="42082" xr:uid="{C767FFD8-5A7A-46E4-B0BF-6B10CAB466D7}"/>
    <cellStyle name="Output 37" xfId="2489" xr:uid="{00000000-0005-0000-0000-000095240000}"/>
    <cellStyle name="Output 37 2" xfId="42083" xr:uid="{F25E7BA6-590F-4AF8-B579-F65B37B9CF0C}"/>
    <cellStyle name="Output 38" xfId="2490" xr:uid="{00000000-0005-0000-0000-000096240000}"/>
    <cellStyle name="Output 38 2" xfId="42084" xr:uid="{66557369-C9C0-4164-AA9E-BF43FB775DE2}"/>
    <cellStyle name="Output 39" xfId="2491" xr:uid="{00000000-0005-0000-0000-000097240000}"/>
    <cellStyle name="Output 39 2" xfId="42085" xr:uid="{165B69CF-ECBE-4560-8F2B-4B929418376D}"/>
    <cellStyle name="Output 4" xfId="2492" xr:uid="{00000000-0005-0000-0000-000098240000}"/>
    <cellStyle name="Output 4 2" xfId="9693" xr:uid="{00000000-0005-0000-0000-000099240000}"/>
    <cellStyle name="Output 4 2 2" xfId="42087" xr:uid="{BBC26F25-26B2-471D-B2E9-65C356D5F1E4}"/>
    <cellStyle name="Output 4 3" xfId="42086" xr:uid="{705F7445-033B-444C-AB1E-B6FD13BE6FC0}"/>
    <cellStyle name="Output 40" xfId="2493" xr:uid="{00000000-0005-0000-0000-00009A240000}"/>
    <cellStyle name="Output 40 2" xfId="42088" xr:uid="{C5DF8614-A0F0-4E4C-9538-8E0A87904D19}"/>
    <cellStyle name="Output 41" xfId="2494" xr:uid="{00000000-0005-0000-0000-00009B240000}"/>
    <cellStyle name="Output 41 2" xfId="42089" xr:uid="{0E9553E8-D666-4EEB-A61C-20EE6572CCF1}"/>
    <cellStyle name="Output 42" xfId="2495" xr:uid="{00000000-0005-0000-0000-00009C240000}"/>
    <cellStyle name="Output 42 2" xfId="42090" xr:uid="{3E6F9F2B-8BC1-4281-8549-40FBEEFDFE34}"/>
    <cellStyle name="Output 43" xfId="2496" xr:uid="{00000000-0005-0000-0000-00009D240000}"/>
    <cellStyle name="Output 43 2" xfId="42091" xr:uid="{D5492DDC-F5EC-4914-BEFC-6EA5739200B3}"/>
    <cellStyle name="Output 5" xfId="2497" xr:uid="{00000000-0005-0000-0000-00009E240000}"/>
    <cellStyle name="Output 5 2" xfId="9694" xr:uid="{00000000-0005-0000-0000-00009F240000}"/>
    <cellStyle name="Output 5 2 2" xfId="42093" xr:uid="{E81E05AF-28A2-4740-BF15-9AD787307678}"/>
    <cellStyle name="Output 5 3" xfId="42092" xr:uid="{CC92F40A-66A0-4F60-8015-A17FC9DFCD55}"/>
    <cellStyle name="Output 6" xfId="2498" xr:uid="{00000000-0005-0000-0000-0000A0240000}"/>
    <cellStyle name="Output 6 2" xfId="9695" xr:uid="{00000000-0005-0000-0000-0000A1240000}"/>
    <cellStyle name="Output 6 2 2" xfId="42095" xr:uid="{972545C2-2B7F-49D4-91CA-7FC2C41D5469}"/>
    <cellStyle name="Output 6 3" xfId="42094" xr:uid="{47F1EC83-8078-44CD-A2D1-4D1C5EDC51C4}"/>
    <cellStyle name="Output 7" xfId="2499" xr:uid="{00000000-0005-0000-0000-0000A2240000}"/>
    <cellStyle name="Output 7 2" xfId="42096" xr:uid="{293F7B9C-8773-440B-B15D-9011AA2AD353}"/>
    <cellStyle name="Output 8" xfId="2500" xr:uid="{00000000-0005-0000-0000-0000A3240000}"/>
    <cellStyle name="Output 8 2" xfId="42097" xr:uid="{D0D40EE9-0F2A-45A1-8574-F19D22C17E9E}"/>
    <cellStyle name="Output 9" xfId="2501" xr:uid="{00000000-0005-0000-0000-0000A4240000}"/>
    <cellStyle name="Output 9 2" xfId="42098" xr:uid="{B85EE798-2E03-4E87-8791-9CD6D89B817A}"/>
    <cellStyle name="Pattern" xfId="2502" xr:uid="{00000000-0005-0000-0000-0000A5240000}"/>
    <cellStyle name="Pattern 2" xfId="42100" xr:uid="{078AD691-0501-470F-AB61-D27D77A754E5}"/>
    <cellStyle name="Pattern 2 2" xfId="42101" xr:uid="{8D2BF3A4-C4EA-4379-BFA0-D462AD7145F8}"/>
    <cellStyle name="Pattern 2 2 2" xfId="42102" xr:uid="{648D3C42-EB1A-4788-83F1-E621A082D485}"/>
    <cellStyle name="Pattern 2 3" xfId="42103" xr:uid="{EFDFC433-8941-40F6-9664-E08211D51B37}"/>
    <cellStyle name="Pattern 3" xfId="42104" xr:uid="{7DF74533-0251-4725-ADE8-8B358176AC08}"/>
    <cellStyle name="Pattern 3 2" xfId="42105" xr:uid="{E227B47B-D2E4-48CC-8086-63372BA630C6}"/>
    <cellStyle name="Pattern 3 2 2" xfId="42106" xr:uid="{314AB8C7-E17C-409D-B66C-7BDE2F53A8C1}"/>
    <cellStyle name="Pattern 3 3" xfId="42107" xr:uid="{C420301C-F293-4782-BFE9-BE031DBCF66B}"/>
    <cellStyle name="Pattern 3 3 2" xfId="42108" xr:uid="{9AC2DC34-BE28-4F65-8AA4-718555E0C348}"/>
    <cellStyle name="Pattern 3 4" xfId="42109" xr:uid="{3A541CFE-8C9B-4DD1-B4F4-1047C4DFB2E6}"/>
    <cellStyle name="Pattern 3 4 2" xfId="42110" xr:uid="{126F6E48-B59E-44BD-8900-C676726D66F6}"/>
    <cellStyle name="Pattern 4" xfId="42099" xr:uid="{7E5B9F8B-9E77-4601-8D22-B37B48A9D447}"/>
    <cellStyle name="Percent" xfId="3" builtinId="5"/>
    <cellStyle name="Percent 10" xfId="4466" xr:uid="{00000000-0005-0000-0000-0000A7240000}"/>
    <cellStyle name="Percent 10 10" xfId="2504" xr:uid="{00000000-0005-0000-0000-0000A8240000}"/>
    <cellStyle name="Percent 10 10 2" xfId="42113" xr:uid="{38A9D304-755E-4A06-B172-219C4E0D9E94}"/>
    <cellStyle name="Percent 10 10 3" xfId="42112" xr:uid="{0A592CF8-626E-44C7-96DC-5ADE7BE31EED}"/>
    <cellStyle name="Percent 10 11" xfId="2505" xr:uid="{00000000-0005-0000-0000-0000A9240000}"/>
    <cellStyle name="Percent 10 11 2" xfId="9696" xr:uid="{00000000-0005-0000-0000-0000AA240000}"/>
    <cellStyle name="Percent 10 11 2 2" xfId="42115" xr:uid="{6264BFC9-13E0-41B9-9CE6-A5120A627E1C}"/>
    <cellStyle name="Percent 10 11 3" xfId="8152" xr:uid="{00000000-0005-0000-0000-0000AB240000}"/>
    <cellStyle name="Percent 10 11 3 2" xfId="42116" xr:uid="{7BC8AC3C-99EC-427B-83DF-06F0D456946D}"/>
    <cellStyle name="Percent 10 11 4" xfId="42114" xr:uid="{FEE529CE-D6DF-4A95-9CA6-5A21C51E24F6}"/>
    <cellStyle name="Percent 10 12" xfId="2506" xr:uid="{00000000-0005-0000-0000-0000AC240000}"/>
    <cellStyle name="Percent 10 12 2" xfId="9697" xr:uid="{00000000-0005-0000-0000-0000AD240000}"/>
    <cellStyle name="Percent 10 12 2 2" xfId="42118" xr:uid="{FA8535B5-E0EB-443E-88C9-4B7040F52C39}"/>
    <cellStyle name="Percent 10 12 3" xfId="8153" xr:uid="{00000000-0005-0000-0000-0000AE240000}"/>
    <cellStyle name="Percent 10 12 3 2" xfId="42119" xr:uid="{EBEA8466-4140-4A38-9974-1263EBEAE91A}"/>
    <cellStyle name="Percent 10 12 4" xfId="42117" xr:uid="{7A86CB52-CB3B-40A1-B3E0-5DD6AEFC9075}"/>
    <cellStyle name="Percent 10 13" xfId="2507" xr:uid="{00000000-0005-0000-0000-0000AF240000}"/>
    <cellStyle name="Percent 10 13 2" xfId="9698" xr:uid="{00000000-0005-0000-0000-0000B0240000}"/>
    <cellStyle name="Percent 10 13 2 2" xfId="42121" xr:uid="{0C06970A-0CE5-4A4D-A3D0-15CA8F6E6DA4}"/>
    <cellStyle name="Percent 10 13 3" xfId="8154" xr:uid="{00000000-0005-0000-0000-0000B1240000}"/>
    <cellStyle name="Percent 10 13 3 2" xfId="42122" xr:uid="{A67FE0F3-F583-4D07-8AFA-8A46F1466075}"/>
    <cellStyle name="Percent 10 13 4" xfId="42120" xr:uid="{FE2778A4-0078-43D6-8C55-CD1654B54E58}"/>
    <cellStyle name="Percent 10 14" xfId="2508" xr:uid="{00000000-0005-0000-0000-0000B2240000}"/>
    <cellStyle name="Percent 10 14 2" xfId="9699" xr:uid="{00000000-0005-0000-0000-0000B3240000}"/>
    <cellStyle name="Percent 10 14 2 2" xfId="42124" xr:uid="{3E953E41-AC67-447B-BA9F-64E90620BF23}"/>
    <cellStyle name="Percent 10 14 3" xfId="16369" xr:uid="{00000000-0005-0000-0000-0000B4240000}"/>
    <cellStyle name="Percent 10 14 3 2" xfId="42125" xr:uid="{6A6BEC50-3B30-43CF-B7CC-4C6629EA646D}"/>
    <cellStyle name="Percent 10 14 4" xfId="8155" xr:uid="{00000000-0005-0000-0000-0000B5240000}"/>
    <cellStyle name="Percent 10 14 4 2" xfId="42126" xr:uid="{79E251F4-978F-4A44-B9C7-5739EE36740F}"/>
    <cellStyle name="Percent 10 14 5" xfId="42123" xr:uid="{196C07DF-B333-407B-AD24-7BFB02760A9A}"/>
    <cellStyle name="Percent 10 15" xfId="2509" xr:uid="{00000000-0005-0000-0000-0000B6240000}"/>
    <cellStyle name="Percent 10 15 2" xfId="9700" xr:uid="{00000000-0005-0000-0000-0000B7240000}"/>
    <cellStyle name="Percent 10 15 2 2" xfId="42128" xr:uid="{6FEA43BA-0707-446D-B131-63AED1DE40D0}"/>
    <cellStyle name="Percent 10 15 3" xfId="12769" xr:uid="{00000000-0005-0000-0000-0000B8240000}"/>
    <cellStyle name="Percent 10 15 3 2" xfId="42129" xr:uid="{2211DD20-2BF0-496A-B445-48D41AE78F61}"/>
    <cellStyle name="Percent 10 15 4" xfId="8156" xr:uid="{00000000-0005-0000-0000-0000B9240000}"/>
    <cellStyle name="Percent 10 15 4 2" xfId="42130" xr:uid="{EFE75FD7-54A0-42CD-9331-C95C27E37615}"/>
    <cellStyle name="Percent 10 15 5" xfId="42127" xr:uid="{97CD0F4F-2351-4954-86A1-72FEB13EFF65}"/>
    <cellStyle name="Percent 10 16" xfId="2510" xr:uid="{00000000-0005-0000-0000-0000BA240000}"/>
    <cellStyle name="Percent 10 16 2" xfId="9701" xr:uid="{00000000-0005-0000-0000-0000BB240000}"/>
    <cellStyle name="Percent 10 16 2 2" xfId="42132" xr:uid="{CA628AC0-C06B-490B-8454-569291AB4AF0}"/>
    <cellStyle name="Percent 10 16 3" xfId="12903" xr:uid="{00000000-0005-0000-0000-0000BC240000}"/>
    <cellStyle name="Percent 10 16 3 2" xfId="42133" xr:uid="{2034CCAB-AAB3-466B-BEA1-89A151347921}"/>
    <cellStyle name="Percent 10 16 4" xfId="8157" xr:uid="{00000000-0005-0000-0000-0000BD240000}"/>
    <cellStyle name="Percent 10 16 4 2" xfId="42134" xr:uid="{96EAE913-43C1-4FC1-ADE2-6E9AED8724DF}"/>
    <cellStyle name="Percent 10 16 5" xfId="42131" xr:uid="{C8CCB73A-D223-4827-8212-1ABBD891A30A}"/>
    <cellStyle name="Percent 10 17" xfId="2511" xr:uid="{00000000-0005-0000-0000-0000BE240000}"/>
    <cellStyle name="Percent 10 17 2" xfId="9702" xr:uid="{00000000-0005-0000-0000-0000BF240000}"/>
    <cellStyle name="Percent 10 17 2 2" xfId="42136" xr:uid="{3AE933F9-18F6-487B-9139-ABACA09FB8B5}"/>
    <cellStyle name="Percent 10 17 3" xfId="16235" xr:uid="{00000000-0005-0000-0000-0000C0240000}"/>
    <cellStyle name="Percent 10 17 3 2" xfId="42137" xr:uid="{3F596153-4589-4B89-A331-94991E7B48C8}"/>
    <cellStyle name="Percent 10 17 4" xfId="8158" xr:uid="{00000000-0005-0000-0000-0000C1240000}"/>
    <cellStyle name="Percent 10 17 4 2" xfId="42138" xr:uid="{E5877E71-AD44-42E6-9861-974FD6B7C169}"/>
    <cellStyle name="Percent 10 17 5" xfId="42135" xr:uid="{855BE2B2-E12E-4F96-9FCF-F17FAEBB61AE}"/>
    <cellStyle name="Percent 10 18" xfId="2512" xr:uid="{00000000-0005-0000-0000-0000C2240000}"/>
    <cellStyle name="Percent 10 18 2" xfId="9703" xr:uid="{00000000-0005-0000-0000-0000C3240000}"/>
    <cellStyle name="Percent 10 18 2 2" xfId="42140" xr:uid="{3405B0F7-2351-4C36-B92E-345F8FEF7FE0}"/>
    <cellStyle name="Percent 10 18 3" xfId="12517" xr:uid="{00000000-0005-0000-0000-0000C4240000}"/>
    <cellStyle name="Percent 10 18 3 2" xfId="42141" xr:uid="{DE54D14F-AED2-4650-9C1A-0C4A5EF68093}"/>
    <cellStyle name="Percent 10 18 4" xfId="8159" xr:uid="{00000000-0005-0000-0000-0000C5240000}"/>
    <cellStyle name="Percent 10 18 4 2" xfId="42142" xr:uid="{CA59A19B-0B28-443B-B30A-611B8E25FF53}"/>
    <cellStyle name="Percent 10 18 5" xfId="42139" xr:uid="{F6D1006B-DD17-40EF-A75B-1C3D96EDC813}"/>
    <cellStyle name="Percent 10 19" xfId="2513" xr:uid="{00000000-0005-0000-0000-0000C6240000}"/>
    <cellStyle name="Percent 10 19 2" xfId="9704" xr:uid="{00000000-0005-0000-0000-0000C7240000}"/>
    <cellStyle name="Percent 10 19 2 2" xfId="42144" xr:uid="{69167AB9-4415-484F-A7F4-1D2D429BB050}"/>
    <cellStyle name="Percent 10 19 3" xfId="13832" xr:uid="{00000000-0005-0000-0000-0000C8240000}"/>
    <cellStyle name="Percent 10 19 3 2" xfId="42145" xr:uid="{02EAB96F-1DF4-4CB9-8AF2-27C74EEE278F}"/>
    <cellStyle name="Percent 10 19 4" xfId="8160" xr:uid="{00000000-0005-0000-0000-0000C9240000}"/>
    <cellStyle name="Percent 10 19 4 2" xfId="42146" xr:uid="{F0F6DEF2-8B15-42A9-A950-5532EF55FBCA}"/>
    <cellStyle name="Percent 10 19 5" xfId="42143" xr:uid="{45581ED5-8F3E-48C7-B3AB-8FBE8267E9EA}"/>
    <cellStyle name="Percent 10 2" xfId="2514" xr:uid="{00000000-0005-0000-0000-0000CA240000}"/>
    <cellStyle name="Percent 10 2 2" xfId="4467" xr:uid="{00000000-0005-0000-0000-0000CB240000}"/>
    <cellStyle name="Percent 10 2 2 2" xfId="9706" xr:uid="{00000000-0005-0000-0000-0000CC240000}"/>
    <cellStyle name="Percent 10 2 2 2 2" xfId="42149" xr:uid="{A46C367C-65F6-4BCC-97CE-45BC51AB8CD8}"/>
    <cellStyle name="Percent 10 2 2 3" xfId="16609" xr:uid="{00000000-0005-0000-0000-0000CD240000}"/>
    <cellStyle name="Percent 10 2 2 3 2" xfId="42150" xr:uid="{7564CD52-8015-49F5-B11F-512A4CD7BF7A}"/>
    <cellStyle name="Percent 10 2 2 4" xfId="8162" xr:uid="{00000000-0005-0000-0000-0000CE240000}"/>
    <cellStyle name="Percent 10 2 2 4 2" xfId="42151" xr:uid="{28595870-5B9D-48ED-9CBB-79CFF848651C}"/>
    <cellStyle name="Percent 10 2 2 5" xfId="42152" xr:uid="{BFCC142F-40FF-4C16-9E1C-1C6FAC98A17E}"/>
    <cellStyle name="Percent 10 2 2 6" xfId="42148" xr:uid="{BB4A954F-D9E5-49FB-9967-911F024BAB05}"/>
    <cellStyle name="Percent 10 2 3" xfId="6381" xr:uid="{00000000-0005-0000-0000-0000CF240000}"/>
    <cellStyle name="Percent 10 2 3 2" xfId="14816" xr:uid="{00000000-0005-0000-0000-0000D0240000}"/>
    <cellStyle name="Percent 10 2 3 2 2" xfId="42154" xr:uid="{9C2C960C-A462-4642-BA15-4BA285752D08}"/>
    <cellStyle name="Percent 10 2 3 3" xfId="14329" xr:uid="{00000000-0005-0000-0000-0000D1240000}"/>
    <cellStyle name="Percent 10 2 3 3 2" xfId="42155" xr:uid="{9877C5F4-16FB-4E0F-ADA1-7756C946E49D}"/>
    <cellStyle name="Percent 10 2 3 4" xfId="8163" xr:uid="{00000000-0005-0000-0000-0000D2240000}"/>
    <cellStyle name="Percent 10 2 3 4 2" xfId="42156" xr:uid="{DBFF87AC-E3C0-4EDF-A34D-9E6DDFCC5907}"/>
    <cellStyle name="Percent 10 2 3 5" xfId="42153" xr:uid="{D2695EAF-BE95-4417-B1D7-05007BFBFA2A}"/>
    <cellStyle name="Percent 10 2 4" xfId="9705" xr:uid="{00000000-0005-0000-0000-0000D3240000}"/>
    <cellStyle name="Percent 10 2 4 2" xfId="42157" xr:uid="{69751081-E023-479F-99F7-FBA1B9742595}"/>
    <cellStyle name="Percent 10 2 5" xfId="12524" xr:uid="{00000000-0005-0000-0000-0000D4240000}"/>
    <cellStyle name="Percent 10 2 5 2" xfId="42158" xr:uid="{734374A2-768C-468A-8B0E-9D1A3C37628B}"/>
    <cellStyle name="Percent 10 2 6" xfId="8161" xr:uid="{00000000-0005-0000-0000-0000D5240000}"/>
    <cellStyle name="Percent 10 2 6 2" xfId="42159" xr:uid="{F2250F84-7671-4C3A-9407-C3B782BE7712}"/>
    <cellStyle name="Percent 10 2 7" xfId="42147" xr:uid="{976D8B4E-139A-4D18-AEEF-E3241F7A38DE}"/>
    <cellStyle name="Percent 10 20" xfId="2515" xr:uid="{00000000-0005-0000-0000-0000D6240000}"/>
    <cellStyle name="Percent 10 20 2" xfId="9707" xr:uid="{00000000-0005-0000-0000-0000D7240000}"/>
    <cellStyle name="Percent 10 20 2 2" xfId="42161" xr:uid="{B669CF27-2D52-4D7E-8A4A-0A1E0221065E}"/>
    <cellStyle name="Percent 10 20 3" xfId="16328" xr:uid="{00000000-0005-0000-0000-0000D8240000}"/>
    <cellStyle name="Percent 10 20 3 2" xfId="42162" xr:uid="{EFB7F2B4-539B-4D34-BB90-2D40B9971911}"/>
    <cellStyle name="Percent 10 20 4" xfId="8164" xr:uid="{00000000-0005-0000-0000-0000D9240000}"/>
    <cellStyle name="Percent 10 20 4 2" xfId="42163" xr:uid="{99D29C0F-BA72-480B-BEEB-C4D2807A0F94}"/>
    <cellStyle name="Percent 10 20 5" xfId="42160" xr:uid="{70E7CA44-1C59-4509-8DDF-490AB73AD716}"/>
    <cellStyle name="Percent 10 21" xfId="42164" xr:uid="{814E5A33-458D-474D-B3DB-F26C6ECA3AFC}"/>
    <cellStyle name="Percent 10 22" xfId="42165" xr:uid="{5F08819F-A712-4C9F-B8F7-F0B99BF65EF8}"/>
    <cellStyle name="Percent 10 23" xfId="42111" xr:uid="{1AA4FD3E-BE41-44A4-98C7-24E87D53FDE9}"/>
    <cellStyle name="Percent 10 3" xfId="2516" xr:uid="{00000000-0005-0000-0000-0000DA240000}"/>
    <cellStyle name="Percent 10 3 2" xfId="4468" xr:uid="{00000000-0005-0000-0000-0000DB240000}"/>
    <cellStyle name="Percent 10 3 2 2" xfId="9709" xr:uid="{00000000-0005-0000-0000-0000DC240000}"/>
    <cellStyle name="Percent 10 3 2 2 2" xfId="42168" xr:uid="{1AA4ACEE-00E3-4009-BC35-60281D2AD4BD}"/>
    <cellStyle name="Percent 10 3 2 3" xfId="12496" xr:uid="{00000000-0005-0000-0000-0000DD240000}"/>
    <cellStyle name="Percent 10 3 2 3 2" xfId="42169" xr:uid="{7EC69AB6-5D6E-459B-AC61-24DEDA44A773}"/>
    <cellStyle name="Percent 10 3 2 4" xfId="8166" xr:uid="{00000000-0005-0000-0000-0000DE240000}"/>
    <cellStyle name="Percent 10 3 2 4 2" xfId="42170" xr:uid="{670DC720-4829-4F10-A805-FDDD575530C4}"/>
    <cellStyle name="Percent 10 3 2 5" xfId="42171" xr:uid="{A7402177-7706-4EF0-BAED-B49DD1C88B67}"/>
    <cellStyle name="Percent 10 3 2 6" xfId="42167" xr:uid="{3AE09E02-C416-4D36-BCC0-A4EEB6A0FEF4}"/>
    <cellStyle name="Percent 10 3 3" xfId="6382" xr:uid="{00000000-0005-0000-0000-0000DF240000}"/>
    <cellStyle name="Percent 10 3 3 2" xfId="14817" xr:uid="{00000000-0005-0000-0000-0000E0240000}"/>
    <cellStyle name="Percent 10 3 3 2 2" xfId="42173" xr:uid="{6DB5B6DC-9B1D-45FE-8DD8-C99BA2BDA140}"/>
    <cellStyle name="Percent 10 3 3 3" xfId="16245" xr:uid="{00000000-0005-0000-0000-0000E1240000}"/>
    <cellStyle name="Percent 10 3 3 3 2" xfId="42174" xr:uid="{A19A9311-B7BE-44F8-AB37-E919F6D7E8FF}"/>
    <cellStyle name="Percent 10 3 3 4" xfId="8167" xr:uid="{00000000-0005-0000-0000-0000E2240000}"/>
    <cellStyle name="Percent 10 3 3 4 2" xfId="42175" xr:uid="{47585528-1825-4ED0-BBA8-EDE55A943A0A}"/>
    <cellStyle name="Percent 10 3 3 5" xfId="42172" xr:uid="{7C16DB7C-5AE9-42CE-9F8D-4058ABCC78AD}"/>
    <cellStyle name="Percent 10 3 4" xfId="9708" xr:uid="{00000000-0005-0000-0000-0000E3240000}"/>
    <cellStyle name="Percent 10 3 4 2" xfId="42176" xr:uid="{DF3099C4-FF7E-4153-A41B-1EC2386DF553}"/>
    <cellStyle name="Percent 10 3 5" xfId="16591" xr:uid="{00000000-0005-0000-0000-0000E4240000}"/>
    <cellStyle name="Percent 10 3 5 2" xfId="42177" xr:uid="{C6F8058F-7159-4DE9-BB95-3602039ACC52}"/>
    <cellStyle name="Percent 10 3 6" xfId="8165" xr:uid="{00000000-0005-0000-0000-0000E5240000}"/>
    <cellStyle name="Percent 10 3 6 2" xfId="42178" xr:uid="{F563EC18-58DB-4848-BF2E-3101F487139D}"/>
    <cellStyle name="Percent 10 3 7" xfId="42166" xr:uid="{BD706C1B-2CEC-4E3F-966C-5AFFDD01946F}"/>
    <cellStyle name="Percent 10 4" xfId="2517" xr:uid="{00000000-0005-0000-0000-0000E6240000}"/>
    <cellStyle name="Percent 10 4 2" xfId="4469" xr:uid="{00000000-0005-0000-0000-0000E7240000}"/>
    <cellStyle name="Percent 10 4 2 2" xfId="9711" xr:uid="{00000000-0005-0000-0000-0000E8240000}"/>
    <cellStyle name="Percent 10 4 2 2 2" xfId="42181" xr:uid="{B946C161-C06D-4CBA-A8E1-A18220414120}"/>
    <cellStyle name="Percent 10 4 2 3" xfId="16530" xr:uid="{00000000-0005-0000-0000-0000E9240000}"/>
    <cellStyle name="Percent 10 4 2 3 2" xfId="42182" xr:uid="{72C5E730-5BB6-465C-92BB-421707D011FD}"/>
    <cellStyle name="Percent 10 4 2 4" xfId="8169" xr:uid="{00000000-0005-0000-0000-0000EA240000}"/>
    <cellStyle name="Percent 10 4 2 4 2" xfId="42183" xr:uid="{DE9F29DB-4800-4D32-BAF0-92D86A3E3E48}"/>
    <cellStyle name="Percent 10 4 2 5" xfId="42184" xr:uid="{9B0FA5B7-B3E5-4D20-8E3F-1C0BAF8C1D6B}"/>
    <cellStyle name="Percent 10 4 2 6" xfId="42180" xr:uid="{D2BCB23B-6C44-4702-8E2B-0ECAA1501444}"/>
    <cellStyle name="Percent 10 4 3" xfId="6383" xr:uid="{00000000-0005-0000-0000-0000EB240000}"/>
    <cellStyle name="Percent 10 4 3 2" xfId="14818" xr:uid="{00000000-0005-0000-0000-0000EC240000}"/>
    <cellStyle name="Percent 10 4 3 2 2" xfId="42186" xr:uid="{AD5BA5B6-EFD9-4BFF-9CBC-3AA682E383FE}"/>
    <cellStyle name="Percent 10 4 3 3" xfId="16259" xr:uid="{00000000-0005-0000-0000-0000ED240000}"/>
    <cellStyle name="Percent 10 4 3 3 2" xfId="42187" xr:uid="{2DBD92DD-6F14-422F-A548-4BE7E6B458B7}"/>
    <cellStyle name="Percent 10 4 3 4" xfId="8170" xr:uid="{00000000-0005-0000-0000-0000EE240000}"/>
    <cellStyle name="Percent 10 4 3 4 2" xfId="42188" xr:uid="{D147761B-8DBE-4799-8069-0C555BD1E045}"/>
    <cellStyle name="Percent 10 4 3 5" xfId="42185" xr:uid="{40EBBBDA-FA12-41F0-8B46-52CDAC7364E3}"/>
    <cellStyle name="Percent 10 4 4" xfId="9710" xr:uid="{00000000-0005-0000-0000-0000EF240000}"/>
    <cellStyle name="Percent 10 4 4 2" xfId="42189" xr:uid="{1F8CE2DA-9ADB-4F31-B02B-0EA8DF9156F6}"/>
    <cellStyle name="Percent 10 4 5" xfId="16429" xr:uid="{00000000-0005-0000-0000-0000F0240000}"/>
    <cellStyle name="Percent 10 4 5 2" xfId="42190" xr:uid="{D9BB072F-27AE-4A7D-A88F-7330A0AAB4B0}"/>
    <cellStyle name="Percent 10 4 6" xfId="8168" xr:uid="{00000000-0005-0000-0000-0000F1240000}"/>
    <cellStyle name="Percent 10 4 6 2" xfId="42191" xr:uid="{4B24A853-F98E-4DE8-8CD9-CB0FE88E0174}"/>
    <cellStyle name="Percent 10 4 7" xfId="42179" xr:uid="{45A5D0F5-23C3-44F3-B547-B54E62F2A98E}"/>
    <cellStyle name="Percent 10 5" xfId="2518" xr:uid="{00000000-0005-0000-0000-0000F2240000}"/>
    <cellStyle name="Percent 10 5 2" xfId="4470" xr:uid="{00000000-0005-0000-0000-0000F3240000}"/>
    <cellStyle name="Percent 10 5 2 2" xfId="9713" xr:uid="{00000000-0005-0000-0000-0000F4240000}"/>
    <cellStyle name="Percent 10 5 2 2 2" xfId="42194" xr:uid="{844CD9F9-0B88-43D9-A86F-2EA70248086E}"/>
    <cellStyle name="Percent 10 5 2 3" xfId="12813" xr:uid="{00000000-0005-0000-0000-0000F5240000}"/>
    <cellStyle name="Percent 10 5 2 3 2" xfId="42195" xr:uid="{39EA1970-552B-4C85-A14E-C038093AEE8D}"/>
    <cellStyle name="Percent 10 5 2 4" xfId="8172" xr:uid="{00000000-0005-0000-0000-0000F6240000}"/>
    <cellStyle name="Percent 10 5 2 4 2" xfId="42196" xr:uid="{F06D90F7-AE44-4120-BD9F-E3BD023D4F17}"/>
    <cellStyle name="Percent 10 5 2 5" xfId="42197" xr:uid="{B0B45AF3-77B3-41F9-8C61-2052136CE4EC}"/>
    <cellStyle name="Percent 10 5 2 6" xfId="42193" xr:uid="{B145B64A-0294-47EE-AB69-0B21FA905593}"/>
    <cellStyle name="Percent 10 5 3" xfId="6384" xr:uid="{00000000-0005-0000-0000-0000F7240000}"/>
    <cellStyle name="Percent 10 5 3 2" xfId="14819" xr:uid="{00000000-0005-0000-0000-0000F8240000}"/>
    <cellStyle name="Percent 10 5 3 2 2" xfId="42199" xr:uid="{C5F93CF9-EB32-416B-BB99-9AE0BBEDA979}"/>
    <cellStyle name="Percent 10 5 3 3" xfId="13807" xr:uid="{00000000-0005-0000-0000-0000F9240000}"/>
    <cellStyle name="Percent 10 5 3 3 2" xfId="42200" xr:uid="{A3490724-C0CC-4EDE-AAD1-F58B37D46112}"/>
    <cellStyle name="Percent 10 5 3 4" xfId="8173" xr:uid="{00000000-0005-0000-0000-0000FA240000}"/>
    <cellStyle name="Percent 10 5 3 4 2" xfId="42201" xr:uid="{53CD8DB0-9512-4207-8670-06297728837E}"/>
    <cellStyle name="Percent 10 5 3 5" xfId="42198" xr:uid="{15E4EB7C-9311-481E-8B9D-8D052699370C}"/>
    <cellStyle name="Percent 10 5 4" xfId="9712" xr:uid="{00000000-0005-0000-0000-0000FB240000}"/>
    <cellStyle name="Percent 10 5 4 2" xfId="42202" xr:uid="{B235CCFC-E447-4AD3-B809-89CB2F185179}"/>
    <cellStyle name="Percent 10 5 5" xfId="12880" xr:uid="{00000000-0005-0000-0000-0000FC240000}"/>
    <cellStyle name="Percent 10 5 5 2" xfId="42203" xr:uid="{1EBE9F6B-FA2D-43FF-A707-35B51EDA9C34}"/>
    <cellStyle name="Percent 10 5 6" xfId="8171" xr:uid="{00000000-0005-0000-0000-0000FD240000}"/>
    <cellStyle name="Percent 10 5 6 2" xfId="42204" xr:uid="{B57DB685-DC8A-4025-BC88-090B76CE0A4B}"/>
    <cellStyle name="Percent 10 5 7" xfId="42192" xr:uid="{8E4F3C70-1E90-413E-9BC0-C98213C88DDA}"/>
    <cellStyle name="Percent 10 6" xfId="2519" xr:uid="{00000000-0005-0000-0000-0000FE240000}"/>
    <cellStyle name="Percent 10 6 2" xfId="4471" xr:uid="{00000000-0005-0000-0000-0000FF240000}"/>
    <cellStyle name="Percent 10 6 2 2" xfId="9715" xr:uid="{00000000-0005-0000-0000-000000250000}"/>
    <cellStyle name="Percent 10 6 2 2 2" xfId="42207" xr:uid="{873E5EDA-F359-436C-8285-2EB249DCF1ED}"/>
    <cellStyle name="Percent 10 6 2 3" xfId="12908" xr:uid="{00000000-0005-0000-0000-000001250000}"/>
    <cellStyle name="Percent 10 6 2 3 2" xfId="42208" xr:uid="{42DCD886-DBAB-4B9B-83ED-E96984F36326}"/>
    <cellStyle name="Percent 10 6 2 4" xfId="8175" xr:uid="{00000000-0005-0000-0000-000002250000}"/>
    <cellStyle name="Percent 10 6 2 4 2" xfId="42209" xr:uid="{31DF5EB5-4D69-4E0A-88B2-8C415C1E203B}"/>
    <cellStyle name="Percent 10 6 2 5" xfId="42210" xr:uid="{8B7BEBC8-3083-402A-85D1-C036E84B6E7F}"/>
    <cellStyle name="Percent 10 6 2 6" xfId="42206" xr:uid="{79C55B3D-8C37-4BB2-9630-6F167A8A2E54}"/>
    <cellStyle name="Percent 10 6 3" xfId="6385" xr:uid="{00000000-0005-0000-0000-000003250000}"/>
    <cellStyle name="Percent 10 6 3 2" xfId="14820" xr:uid="{00000000-0005-0000-0000-000004250000}"/>
    <cellStyle name="Percent 10 6 3 2 2" xfId="42212" xr:uid="{DB97E50E-6C2A-4ECB-99F7-46D16085E408}"/>
    <cellStyle name="Percent 10 6 3 3" xfId="12817" xr:uid="{00000000-0005-0000-0000-000005250000}"/>
    <cellStyle name="Percent 10 6 3 3 2" xfId="42213" xr:uid="{D6536422-F8D2-452C-8510-02378B5777CA}"/>
    <cellStyle name="Percent 10 6 3 4" xfId="8176" xr:uid="{00000000-0005-0000-0000-000006250000}"/>
    <cellStyle name="Percent 10 6 3 4 2" xfId="42214" xr:uid="{DB6637B4-D176-43D2-90A1-77EFC57988DF}"/>
    <cellStyle name="Percent 10 6 3 5" xfId="42211" xr:uid="{86B5B9D3-2224-4D9F-AAA2-A060E9EF23D8}"/>
    <cellStyle name="Percent 10 6 4" xfId="9714" xr:uid="{00000000-0005-0000-0000-000007250000}"/>
    <cellStyle name="Percent 10 6 4 2" xfId="42215" xr:uid="{A9C95125-A8A7-460D-8E68-00144DC1F5DF}"/>
    <cellStyle name="Percent 10 6 5" xfId="16504" xr:uid="{00000000-0005-0000-0000-000008250000}"/>
    <cellStyle name="Percent 10 6 5 2" xfId="42216" xr:uid="{20D2C958-6AA2-42CF-AF9F-16A1F008E666}"/>
    <cellStyle name="Percent 10 6 6" xfId="8174" xr:uid="{00000000-0005-0000-0000-000009250000}"/>
    <cellStyle name="Percent 10 6 6 2" xfId="42217" xr:uid="{EE6FD54E-FBAA-43B6-B544-C5590E01D2C8}"/>
    <cellStyle name="Percent 10 6 7" xfId="42205" xr:uid="{F06AE358-F89A-4839-B68E-A0E86D076DD0}"/>
    <cellStyle name="Percent 10 7" xfId="2520" xr:uid="{00000000-0005-0000-0000-00000A250000}"/>
    <cellStyle name="Percent 10 7 10" xfId="42218" xr:uid="{88E864B3-3C9C-496C-8777-4FF3301564C6}"/>
    <cellStyle name="Percent 10 7 2" xfId="2521" xr:uid="{00000000-0005-0000-0000-00000B250000}"/>
    <cellStyle name="Percent 10 7 2 2" xfId="9717" xr:uid="{00000000-0005-0000-0000-00000C250000}"/>
    <cellStyle name="Percent 10 7 2 2 2" xfId="42221" xr:uid="{5294FA88-A9D3-4585-BF2F-C84680035100}"/>
    <cellStyle name="Percent 10 7 2 2 3" xfId="42220" xr:uid="{40C74335-2FD2-4DFD-B65E-6EFFC40BD726}"/>
    <cellStyle name="Percent 10 7 2 3" xfId="16399" xr:uid="{00000000-0005-0000-0000-00000D250000}"/>
    <cellStyle name="Percent 10 7 2 3 2" xfId="42223" xr:uid="{61B9B9CC-93A2-444F-A690-41EE8AFD2699}"/>
    <cellStyle name="Percent 10 7 2 3 3" xfId="42222" xr:uid="{B1935350-7AC4-4507-A3CA-B4CEF938B66E}"/>
    <cellStyle name="Percent 10 7 2 4" xfId="8178" xr:uid="{00000000-0005-0000-0000-00000E250000}"/>
    <cellStyle name="Percent 10 7 2 4 2" xfId="42224" xr:uid="{5E22A785-0174-4E1E-9296-CC2DD0E5C7E0}"/>
    <cellStyle name="Percent 10 7 2 5" xfId="42219" xr:uid="{AFBDA44B-6BD1-4D6E-9941-5911C7BD47C2}"/>
    <cellStyle name="Percent 10 7 3" xfId="2522" xr:uid="{00000000-0005-0000-0000-00000F250000}"/>
    <cellStyle name="Percent 10 7 3 2" xfId="9718" xr:uid="{00000000-0005-0000-0000-000010250000}"/>
    <cellStyle name="Percent 10 7 3 2 2" xfId="42227" xr:uid="{F14CC1F1-91F5-4DE9-AE20-0D990D4BE12E}"/>
    <cellStyle name="Percent 10 7 3 2 3" xfId="42226" xr:uid="{80EBA6DF-F845-40E7-8B2C-A491A0F6153B}"/>
    <cellStyle name="Percent 10 7 3 3" xfId="16307" xr:uid="{00000000-0005-0000-0000-000011250000}"/>
    <cellStyle name="Percent 10 7 3 3 2" xfId="42229" xr:uid="{CA42C3EC-B669-43EA-B564-E06F19674F45}"/>
    <cellStyle name="Percent 10 7 3 3 3" xfId="42228" xr:uid="{9D380C82-8E27-4302-BD30-46BC5D963934}"/>
    <cellStyle name="Percent 10 7 3 4" xfId="8179" xr:uid="{00000000-0005-0000-0000-000012250000}"/>
    <cellStyle name="Percent 10 7 3 4 2" xfId="42230" xr:uid="{00E5E6F6-A138-4675-A647-D41F485BA439}"/>
    <cellStyle name="Percent 10 7 3 5" xfId="42225" xr:uid="{A2203711-3017-4931-9EC5-EDFA80199086}"/>
    <cellStyle name="Percent 10 7 4" xfId="4472" xr:uid="{00000000-0005-0000-0000-000013250000}"/>
    <cellStyle name="Percent 10 7 4 2" xfId="9719" xr:uid="{00000000-0005-0000-0000-000014250000}"/>
    <cellStyle name="Percent 10 7 4 2 2" xfId="42233" xr:uid="{B17FDA2B-45AB-440A-9569-6810B567EC69}"/>
    <cellStyle name="Percent 10 7 4 2 3" xfId="42234" xr:uid="{0EA68040-CBED-4E9A-A2B3-8CF019B50E36}"/>
    <cellStyle name="Percent 10 7 4 2 4" xfId="42232" xr:uid="{CB031607-4C36-403E-8445-ABBB0633558B}"/>
    <cellStyle name="Percent 10 7 4 2 5" xfId="49839" xr:uid="{1B7BE59C-4D7A-432D-8E7D-3691AB70CE31}"/>
    <cellStyle name="Percent 10 7 4 3" xfId="16344" xr:uid="{00000000-0005-0000-0000-000015250000}"/>
    <cellStyle name="Percent 10 7 4 3 2" xfId="42236" xr:uid="{5DF25D1D-74DB-4A31-AC5E-6BCC71B2F529}"/>
    <cellStyle name="Percent 10 7 4 3 3" xfId="42235" xr:uid="{F1134582-F588-43BD-AF08-D01086F1E227}"/>
    <cellStyle name="Percent 10 7 4 4" xfId="8180" xr:uid="{00000000-0005-0000-0000-000016250000}"/>
    <cellStyle name="Percent 10 7 4 4 2" xfId="42237" xr:uid="{CDC66F57-66F3-4BB3-BF76-DFE2E785E2F8}"/>
    <cellStyle name="Percent 10 7 4 5" xfId="42238" xr:uid="{35ED8FE1-ED61-494E-B43B-E8F5824FE809}"/>
    <cellStyle name="Percent 10 7 4 6" xfId="42231" xr:uid="{3C62FF6D-1A96-4950-AE92-A34F67257D01}"/>
    <cellStyle name="Percent 10 7 4 7" xfId="49838" xr:uid="{6F4B8B0A-B4B4-4A62-BE7B-C1C44F8A4256}"/>
    <cellStyle name="Percent 10 7 5" xfId="6386" xr:uid="{00000000-0005-0000-0000-000017250000}"/>
    <cellStyle name="Percent 10 7 5 2" xfId="14821" xr:uid="{00000000-0005-0000-0000-000018250000}"/>
    <cellStyle name="Percent 10 7 5 2 2" xfId="42240" xr:uid="{841E0F13-4B9C-4E49-940F-EA29FFF877F3}"/>
    <cellStyle name="Percent 10 7 5 3" xfId="16240" xr:uid="{00000000-0005-0000-0000-000019250000}"/>
    <cellStyle name="Percent 10 7 5 3 2" xfId="42241" xr:uid="{E7741109-83A4-4D84-80B8-931194683555}"/>
    <cellStyle name="Percent 10 7 5 4" xfId="8181" xr:uid="{00000000-0005-0000-0000-00001A250000}"/>
    <cellStyle name="Percent 10 7 5 4 2" xfId="42242" xr:uid="{F9E3A594-C2AF-4C46-9DAE-D1AD058D524A}"/>
    <cellStyle name="Percent 10 7 5 5" xfId="42239" xr:uid="{7C18B0BD-1672-4AB0-9030-ADF89AA3AD00}"/>
    <cellStyle name="Percent 10 7 6" xfId="9716" xr:uid="{00000000-0005-0000-0000-00001B250000}"/>
    <cellStyle name="Percent 10 7 6 2" xfId="42243" xr:uid="{6E7196DB-33DB-4DE2-B1E1-07A684E36CDB}"/>
    <cellStyle name="Percent 10 7 7" xfId="16652" xr:uid="{00000000-0005-0000-0000-00001C250000}"/>
    <cellStyle name="Percent 10 7 7 2" xfId="42244" xr:uid="{5953B86A-163C-40D1-8A66-899B17B1199B}"/>
    <cellStyle name="Percent 10 7 8" xfId="8177" xr:uid="{00000000-0005-0000-0000-00001D250000}"/>
    <cellStyle name="Percent 10 7 8 2" xfId="42245" xr:uid="{C08CDE65-4BA8-4B8F-8803-DD3FB4DA017F}"/>
    <cellStyle name="Percent 10 7 9" xfId="16708" xr:uid="{D3471AED-710C-4BE3-9CBC-DB4AC3596D43}"/>
    <cellStyle name="Percent 10 7 9 2" xfId="33436" xr:uid="{D4B37824-A4C2-4D04-AD45-E42582CAEDAF}"/>
    <cellStyle name="Percent 10 7 9 3" xfId="42246" xr:uid="{61CC763B-B7AA-4929-A72A-7F0157326463}"/>
    <cellStyle name="Percent 10 8" xfId="2523" xr:uid="{00000000-0005-0000-0000-00001E250000}"/>
    <cellStyle name="Percent 10 8 2" xfId="4473" xr:uid="{00000000-0005-0000-0000-00001F250000}"/>
    <cellStyle name="Percent 10 8 2 2" xfId="9721" xr:uid="{00000000-0005-0000-0000-000020250000}"/>
    <cellStyle name="Percent 10 8 2 2 2" xfId="42249" xr:uid="{B305B457-4E84-484F-BB0C-EF098ED625C3}"/>
    <cellStyle name="Percent 10 8 2 3" xfId="13755" xr:uid="{00000000-0005-0000-0000-000021250000}"/>
    <cellStyle name="Percent 10 8 2 3 2" xfId="42250" xr:uid="{5FCE9625-2933-40EA-BD95-FE802D81CF5D}"/>
    <cellStyle name="Percent 10 8 2 4" xfId="8183" xr:uid="{00000000-0005-0000-0000-000022250000}"/>
    <cellStyle name="Percent 10 8 2 4 2" xfId="42251" xr:uid="{0F007A36-3C98-47DD-9963-6EBF0A46A520}"/>
    <cellStyle name="Percent 10 8 2 5" xfId="42252" xr:uid="{6E6F787B-3371-4676-9D11-6ED48DA5F980}"/>
    <cellStyle name="Percent 10 8 2 6" xfId="42248" xr:uid="{59B9E153-6122-4BAB-B7C1-FA72DAA5B4C0}"/>
    <cellStyle name="Percent 10 8 3" xfId="6387" xr:uid="{00000000-0005-0000-0000-000023250000}"/>
    <cellStyle name="Percent 10 8 3 2" xfId="14822" xr:uid="{00000000-0005-0000-0000-000024250000}"/>
    <cellStyle name="Percent 10 8 3 2 2" xfId="42254" xr:uid="{ADF4A26E-4089-4083-8007-D716E88867A5}"/>
    <cellStyle name="Percent 10 8 3 3" xfId="16198" xr:uid="{00000000-0005-0000-0000-000025250000}"/>
    <cellStyle name="Percent 10 8 3 3 2" xfId="42255" xr:uid="{DC615869-3306-48D6-AAC4-33214F9885A4}"/>
    <cellStyle name="Percent 10 8 3 4" xfId="8184" xr:uid="{00000000-0005-0000-0000-000026250000}"/>
    <cellStyle name="Percent 10 8 3 4 2" xfId="42256" xr:uid="{4F0920BE-ACBE-4F31-8162-97A3CA1D49D2}"/>
    <cellStyle name="Percent 10 8 3 5" xfId="42253" xr:uid="{8C177E3B-1486-485F-ACF2-E1401BBCF1F1}"/>
    <cellStyle name="Percent 10 8 4" xfId="9720" xr:uid="{00000000-0005-0000-0000-000027250000}"/>
    <cellStyle name="Percent 10 8 4 2" xfId="42257" xr:uid="{EE5CAAAF-F124-4BF2-8A2F-A45F67EDFBF4}"/>
    <cellStyle name="Percent 10 8 5" xfId="12869" xr:uid="{00000000-0005-0000-0000-000028250000}"/>
    <cellStyle name="Percent 10 8 5 2" xfId="42258" xr:uid="{A34E2544-E1F7-475D-87C2-37E0B2DD9EC7}"/>
    <cellStyle name="Percent 10 8 6" xfId="8182" xr:uid="{00000000-0005-0000-0000-000029250000}"/>
    <cellStyle name="Percent 10 8 6 2" xfId="42259" xr:uid="{2BC9F2F6-17B8-4DB7-A8AF-ADEDBF371252}"/>
    <cellStyle name="Percent 10 8 7" xfId="42247" xr:uid="{03C9345B-80D4-48EF-9FFD-DE089243E387}"/>
    <cellStyle name="Percent 10 9" xfId="2524" xr:uid="{00000000-0005-0000-0000-00002A250000}"/>
    <cellStyle name="Percent 10 9 2" xfId="9722" xr:uid="{00000000-0005-0000-0000-00002B250000}"/>
    <cellStyle name="Percent 10 9 2 2" xfId="42261" xr:uid="{06A859A8-A7F2-4722-B6BF-28D291DF2D6A}"/>
    <cellStyle name="Percent 10 9 3" xfId="13794" xr:uid="{00000000-0005-0000-0000-00002C250000}"/>
    <cellStyle name="Percent 10 9 3 2" xfId="42262" xr:uid="{1F2B2DD8-7EFF-4176-B68F-45903F176A25}"/>
    <cellStyle name="Percent 10 9 4" xfId="8185" xr:uid="{00000000-0005-0000-0000-00002D250000}"/>
    <cellStyle name="Percent 10 9 4 2" xfId="42263" xr:uid="{DBD1515E-7434-4D9C-81EF-B83B4B8C54E1}"/>
    <cellStyle name="Percent 10 9 5" xfId="42260" xr:uid="{9B0508A7-03DB-431E-B5F1-EB7FEF5DA71E}"/>
    <cellStyle name="Percent 11" xfId="4474" xr:uid="{00000000-0005-0000-0000-00002E250000}"/>
    <cellStyle name="Percent 11 10" xfId="2525" xr:uid="{00000000-0005-0000-0000-00002F250000}"/>
    <cellStyle name="Percent 11 10 2" xfId="9724" xr:uid="{00000000-0005-0000-0000-000030250000}"/>
    <cellStyle name="Percent 11 10 2 2" xfId="42266" xr:uid="{C7239116-EE96-47E8-8F09-11EAE7359A57}"/>
    <cellStyle name="Percent 11 10 3" xfId="12462" xr:uid="{00000000-0005-0000-0000-000031250000}"/>
    <cellStyle name="Percent 11 10 3 2" xfId="42267" xr:uid="{C609BF3A-B2E0-4038-927A-42A134CC806A}"/>
    <cellStyle name="Percent 11 10 4" xfId="8187" xr:uid="{00000000-0005-0000-0000-000032250000}"/>
    <cellStyle name="Percent 11 10 4 2" xfId="42268" xr:uid="{BAE9139D-FB34-4600-9588-32CA66E5FE8A}"/>
    <cellStyle name="Percent 11 10 5" xfId="42265" xr:uid="{6362CE02-C0BA-443D-96E2-717830ADA9B0}"/>
    <cellStyle name="Percent 11 11" xfId="9723" xr:uid="{00000000-0005-0000-0000-000033250000}"/>
    <cellStyle name="Percent 11 11 2" xfId="42270" xr:uid="{EB2F69B1-BAC2-45BB-90F0-D0F4450DD1E2}"/>
    <cellStyle name="Percent 11 11 3" xfId="42269" xr:uid="{F0D727E2-B962-49BB-89D1-B49304F44694}"/>
    <cellStyle name="Percent 11 12" xfId="16427" xr:uid="{00000000-0005-0000-0000-000034250000}"/>
    <cellStyle name="Percent 11 12 2" xfId="42271" xr:uid="{D48174A8-DEC0-42FF-90FB-FEE93171D129}"/>
    <cellStyle name="Percent 11 13" xfId="8186" xr:uid="{00000000-0005-0000-0000-000035250000}"/>
    <cellStyle name="Percent 11 13 2" xfId="42272" xr:uid="{97D26ED1-652D-4C24-ABBD-A998F545154D}"/>
    <cellStyle name="Percent 11 14" xfId="42273" xr:uid="{8F3A5D2C-7C43-4C67-9312-4CF09B429F65}"/>
    <cellStyle name="Percent 11 15" xfId="42264" xr:uid="{8BB58D79-62C2-44D2-A40D-45315D20629C}"/>
    <cellStyle name="Percent 11 2" xfId="2526" xr:uid="{00000000-0005-0000-0000-000036250000}"/>
    <cellStyle name="Percent 11 2 2" xfId="4475" xr:uid="{00000000-0005-0000-0000-000037250000}"/>
    <cellStyle name="Percent 11 2 2 2" xfId="9726" xr:uid="{00000000-0005-0000-0000-000038250000}"/>
    <cellStyle name="Percent 11 2 2 2 2" xfId="42276" xr:uid="{CAE83DA4-95F0-4A27-921A-F23E9012A3F9}"/>
    <cellStyle name="Percent 11 2 2 3" xfId="13765" xr:uid="{00000000-0005-0000-0000-000039250000}"/>
    <cellStyle name="Percent 11 2 2 3 2" xfId="42277" xr:uid="{4C7560D9-B3D1-49A3-ADC7-91653582125E}"/>
    <cellStyle name="Percent 11 2 2 4" xfId="8189" xr:uid="{00000000-0005-0000-0000-00003A250000}"/>
    <cellStyle name="Percent 11 2 2 4 2" xfId="42278" xr:uid="{82FF1E43-3626-4032-A0AB-9D5750FA23AA}"/>
    <cellStyle name="Percent 11 2 2 5" xfId="42279" xr:uid="{0A9B87B9-69E2-47E8-BD48-001BC72CCC71}"/>
    <cellStyle name="Percent 11 2 2 6" xfId="42275" xr:uid="{6738E398-1B67-4033-9DDF-DB6DA8659892}"/>
    <cellStyle name="Percent 11 2 3" xfId="6388" xr:uid="{00000000-0005-0000-0000-00003B250000}"/>
    <cellStyle name="Percent 11 2 3 2" xfId="14823" xr:uid="{00000000-0005-0000-0000-00003C250000}"/>
    <cellStyle name="Percent 11 2 3 2 2" xfId="42281" xr:uid="{00610A6C-BE6F-4352-AE34-0E860A88B718}"/>
    <cellStyle name="Percent 11 2 3 3" xfId="13518" xr:uid="{00000000-0005-0000-0000-00003D250000}"/>
    <cellStyle name="Percent 11 2 3 3 2" xfId="42282" xr:uid="{29A53236-1066-484D-BC2C-7117BBB9EBF5}"/>
    <cellStyle name="Percent 11 2 3 4" xfId="8190" xr:uid="{00000000-0005-0000-0000-00003E250000}"/>
    <cellStyle name="Percent 11 2 3 4 2" xfId="42283" xr:uid="{E968DDD5-6C98-4220-9C6A-3BE00895461D}"/>
    <cellStyle name="Percent 11 2 3 5" xfId="42280" xr:uid="{91F7CD9B-56F5-4537-9F9F-9BB05DD7E2A2}"/>
    <cellStyle name="Percent 11 2 4" xfId="9725" xr:uid="{00000000-0005-0000-0000-00003F250000}"/>
    <cellStyle name="Percent 11 2 4 2" xfId="42284" xr:uid="{43F87F18-AAD8-47CE-A56D-F1FCFC059902}"/>
    <cellStyle name="Percent 11 2 5" xfId="16297" xr:uid="{00000000-0005-0000-0000-000040250000}"/>
    <cellStyle name="Percent 11 2 5 2" xfId="42285" xr:uid="{450F71E6-B9E6-4B0D-9C08-93C1E0CB2C9B}"/>
    <cellStyle name="Percent 11 2 6" xfId="8188" xr:uid="{00000000-0005-0000-0000-000041250000}"/>
    <cellStyle name="Percent 11 2 6 2" xfId="42286" xr:uid="{39BB66D2-A76A-467B-A974-0DE72D74F895}"/>
    <cellStyle name="Percent 11 2 7" xfId="42274" xr:uid="{426F5763-64B2-4C7C-ACF9-0EB58374CF0E}"/>
    <cellStyle name="Percent 11 3" xfId="2527" xr:uid="{00000000-0005-0000-0000-000042250000}"/>
    <cellStyle name="Percent 11 3 2" xfId="4476" xr:uid="{00000000-0005-0000-0000-000043250000}"/>
    <cellStyle name="Percent 11 3 2 2" xfId="9728" xr:uid="{00000000-0005-0000-0000-000044250000}"/>
    <cellStyle name="Percent 11 3 2 2 2" xfId="42289" xr:uid="{67B321E2-D0AD-4B4A-8535-DBBE58CBDE28}"/>
    <cellStyle name="Percent 11 3 2 3" xfId="16638" xr:uid="{00000000-0005-0000-0000-000045250000}"/>
    <cellStyle name="Percent 11 3 2 3 2" xfId="42290" xr:uid="{252D95B7-DE4C-4B3D-8AD5-8F770AA44039}"/>
    <cellStyle name="Percent 11 3 2 4" xfId="8192" xr:uid="{00000000-0005-0000-0000-000046250000}"/>
    <cellStyle name="Percent 11 3 2 4 2" xfId="42291" xr:uid="{24BAF8A0-BF62-4648-93EB-9B9033E78487}"/>
    <cellStyle name="Percent 11 3 2 5" xfId="42292" xr:uid="{849EC4CA-0473-4D0F-B9A0-60A4AC2EC2FA}"/>
    <cellStyle name="Percent 11 3 2 6" xfId="42288" xr:uid="{0A7E73B2-BCE0-4CF9-BE93-B70A415B40F0}"/>
    <cellStyle name="Percent 11 3 3" xfId="6389" xr:uid="{00000000-0005-0000-0000-000047250000}"/>
    <cellStyle name="Percent 11 3 3 2" xfId="14824" xr:uid="{00000000-0005-0000-0000-000048250000}"/>
    <cellStyle name="Percent 11 3 3 2 2" xfId="42294" xr:uid="{1054F32D-E3FC-405E-B258-A1B5E0F335F2}"/>
    <cellStyle name="Percent 11 3 3 3" xfId="13481" xr:uid="{00000000-0005-0000-0000-000049250000}"/>
    <cellStyle name="Percent 11 3 3 3 2" xfId="42295" xr:uid="{E7C65B6F-5CB9-4791-BF54-D23C53742705}"/>
    <cellStyle name="Percent 11 3 3 4" xfId="8193" xr:uid="{00000000-0005-0000-0000-00004A250000}"/>
    <cellStyle name="Percent 11 3 3 4 2" xfId="42296" xr:uid="{36CCB549-B5F0-46C9-85CE-F9EA39D67076}"/>
    <cellStyle name="Percent 11 3 3 5" xfId="42293" xr:uid="{910A4B00-6FF1-4D43-8F8C-7B5C1A9B2D5D}"/>
    <cellStyle name="Percent 11 3 4" xfId="9727" xr:uid="{00000000-0005-0000-0000-00004B250000}"/>
    <cellStyle name="Percent 11 3 4 2" xfId="42297" xr:uid="{17E57F44-D903-4474-9F9A-AD45BCAF5A70}"/>
    <cellStyle name="Percent 11 3 5" xfId="16385" xr:uid="{00000000-0005-0000-0000-00004C250000}"/>
    <cellStyle name="Percent 11 3 5 2" xfId="42298" xr:uid="{01C4E2DF-AF25-4C12-9515-817014C6C640}"/>
    <cellStyle name="Percent 11 3 6" xfId="8191" xr:uid="{00000000-0005-0000-0000-00004D250000}"/>
    <cellStyle name="Percent 11 3 6 2" xfId="42299" xr:uid="{DCC36C1E-E262-49B4-932C-E707ACDAFAE1}"/>
    <cellStyle name="Percent 11 3 7" xfId="42287" xr:uid="{BB035046-0892-4A53-BCC3-169C33D8E77B}"/>
    <cellStyle name="Percent 11 4" xfId="2528" xr:uid="{00000000-0005-0000-0000-00004E250000}"/>
    <cellStyle name="Percent 11 4 2" xfId="4477" xr:uid="{00000000-0005-0000-0000-00004F250000}"/>
    <cellStyle name="Percent 11 4 2 2" xfId="9730" xr:uid="{00000000-0005-0000-0000-000050250000}"/>
    <cellStyle name="Percent 11 4 2 2 2" xfId="42302" xr:uid="{B5AA20C1-1787-4237-A214-FE1FD0DFEA8B}"/>
    <cellStyle name="Percent 11 4 2 3" xfId="16671" xr:uid="{00000000-0005-0000-0000-000051250000}"/>
    <cellStyle name="Percent 11 4 2 3 2" xfId="42303" xr:uid="{8D33E459-FBAA-4466-8242-90D240759337}"/>
    <cellStyle name="Percent 11 4 2 4" xfId="8195" xr:uid="{00000000-0005-0000-0000-000052250000}"/>
    <cellStyle name="Percent 11 4 2 4 2" xfId="42304" xr:uid="{7E54D975-9B5F-4C13-B91A-5B6AB12B3BB6}"/>
    <cellStyle name="Percent 11 4 2 5" xfId="42305" xr:uid="{84738180-9323-4743-973B-5C97210EA7DB}"/>
    <cellStyle name="Percent 11 4 2 6" xfId="42301" xr:uid="{F7A9AA09-D4D7-47BA-9541-1AE289C77302}"/>
    <cellStyle name="Percent 11 4 3" xfId="6390" xr:uid="{00000000-0005-0000-0000-000053250000}"/>
    <cellStyle name="Percent 11 4 3 2" xfId="14825" xr:uid="{00000000-0005-0000-0000-000054250000}"/>
    <cellStyle name="Percent 11 4 3 2 2" xfId="42307" xr:uid="{0251A267-4BC9-463E-9075-6315CC92ACB0}"/>
    <cellStyle name="Percent 11 4 3 3" xfId="13737" xr:uid="{00000000-0005-0000-0000-000055250000}"/>
    <cellStyle name="Percent 11 4 3 3 2" xfId="42308" xr:uid="{5BFEB140-0FEE-4861-9F50-72475CABD267}"/>
    <cellStyle name="Percent 11 4 3 4" xfId="8196" xr:uid="{00000000-0005-0000-0000-000056250000}"/>
    <cellStyle name="Percent 11 4 3 4 2" xfId="42309" xr:uid="{55362727-3675-44A1-9F8C-D933D43ADA79}"/>
    <cellStyle name="Percent 11 4 3 5" xfId="42306" xr:uid="{BB40EC6D-A8B5-4B2C-82BA-D39784C0CD05}"/>
    <cellStyle name="Percent 11 4 4" xfId="9729" xr:uid="{00000000-0005-0000-0000-000057250000}"/>
    <cellStyle name="Percent 11 4 4 2" xfId="42310" xr:uid="{BCDF91D3-2903-4382-BE95-034CB11214DE}"/>
    <cellStyle name="Percent 11 4 5" xfId="16457" xr:uid="{00000000-0005-0000-0000-000058250000}"/>
    <cellStyle name="Percent 11 4 5 2" xfId="42311" xr:uid="{88D53BFD-107D-416E-ACD9-1B6995066796}"/>
    <cellStyle name="Percent 11 4 6" xfId="8194" xr:uid="{00000000-0005-0000-0000-000059250000}"/>
    <cellStyle name="Percent 11 4 6 2" xfId="42312" xr:uid="{EF3AA270-C69F-4A76-A023-14E1AF0A9529}"/>
    <cellStyle name="Percent 11 4 7" xfId="42300" xr:uid="{4EC3DA9C-134A-4B2E-91AA-E6B2F6D4EE49}"/>
    <cellStyle name="Percent 11 5" xfId="2529" xr:uid="{00000000-0005-0000-0000-00005A250000}"/>
    <cellStyle name="Percent 11 5 2" xfId="4478" xr:uid="{00000000-0005-0000-0000-00005B250000}"/>
    <cellStyle name="Percent 11 5 2 2" xfId="9732" xr:uid="{00000000-0005-0000-0000-00005C250000}"/>
    <cellStyle name="Percent 11 5 2 2 2" xfId="42315" xr:uid="{989A7D55-95E0-4A53-B75D-6BC2D94AE53D}"/>
    <cellStyle name="Percent 11 5 2 3" xfId="16258" xr:uid="{00000000-0005-0000-0000-00005D250000}"/>
    <cellStyle name="Percent 11 5 2 3 2" xfId="42316" xr:uid="{B1D029CE-58D8-4CB2-A0DE-C163CB3E4A99}"/>
    <cellStyle name="Percent 11 5 2 4" xfId="8198" xr:uid="{00000000-0005-0000-0000-00005E250000}"/>
    <cellStyle name="Percent 11 5 2 4 2" xfId="42317" xr:uid="{BB61705A-3438-437F-9845-6D7A0D38AE4D}"/>
    <cellStyle name="Percent 11 5 2 5" xfId="42318" xr:uid="{030C808A-4A50-4B7E-B3F3-A10A37C16189}"/>
    <cellStyle name="Percent 11 5 2 6" xfId="42314" xr:uid="{8E4343BC-3DEE-43A7-A3AA-EAC18E33A68D}"/>
    <cellStyle name="Percent 11 5 3" xfId="6391" xr:uid="{00000000-0005-0000-0000-00005F250000}"/>
    <cellStyle name="Percent 11 5 3 2" xfId="14826" xr:uid="{00000000-0005-0000-0000-000060250000}"/>
    <cellStyle name="Percent 11 5 3 2 2" xfId="42320" xr:uid="{8DF8FA8B-11A8-4B9E-9559-BC98060D9DC8}"/>
    <cellStyle name="Percent 11 5 3 3" xfId="12519" xr:uid="{00000000-0005-0000-0000-000061250000}"/>
    <cellStyle name="Percent 11 5 3 3 2" xfId="42321" xr:uid="{9DC5A31A-126D-4F83-8A12-3E7260E358D0}"/>
    <cellStyle name="Percent 11 5 3 4" xfId="8199" xr:uid="{00000000-0005-0000-0000-000062250000}"/>
    <cellStyle name="Percent 11 5 3 4 2" xfId="42322" xr:uid="{A5E8638D-EAA2-4676-A6CB-442A1661276E}"/>
    <cellStyle name="Percent 11 5 3 5" xfId="42319" xr:uid="{862B805A-5A57-4B43-A350-FC8CC3669DFE}"/>
    <cellStyle name="Percent 11 5 4" xfId="9731" xr:uid="{00000000-0005-0000-0000-000063250000}"/>
    <cellStyle name="Percent 11 5 4 2" xfId="42323" xr:uid="{CFC7DB66-5B25-4DDE-9DCF-A7350EBB8A19}"/>
    <cellStyle name="Percent 11 5 5" xfId="13463" xr:uid="{00000000-0005-0000-0000-000064250000}"/>
    <cellStyle name="Percent 11 5 5 2" xfId="42324" xr:uid="{2DC0F826-C764-467A-B0F3-F1F234F84458}"/>
    <cellStyle name="Percent 11 5 6" xfId="8197" xr:uid="{00000000-0005-0000-0000-000065250000}"/>
    <cellStyle name="Percent 11 5 6 2" xfId="42325" xr:uid="{06A27D79-5CE2-46ED-A2DB-3D2799CF16D3}"/>
    <cellStyle name="Percent 11 5 7" xfId="42313" xr:uid="{5919B374-8F92-468E-A4E0-30A108F853A4}"/>
    <cellStyle name="Percent 11 6" xfId="2530" xr:uid="{00000000-0005-0000-0000-000066250000}"/>
    <cellStyle name="Percent 11 6 2" xfId="4479" xr:uid="{00000000-0005-0000-0000-000067250000}"/>
    <cellStyle name="Percent 11 6 2 2" xfId="9734" xr:uid="{00000000-0005-0000-0000-000068250000}"/>
    <cellStyle name="Percent 11 6 2 2 2" xfId="42328" xr:uid="{6EC0762E-1CA0-42BB-A912-D38AB05E3331}"/>
    <cellStyle name="Percent 11 6 2 3" xfId="13484" xr:uid="{00000000-0005-0000-0000-000069250000}"/>
    <cellStyle name="Percent 11 6 2 3 2" xfId="42329" xr:uid="{F239449B-C94C-4950-AE36-101B3F778ED9}"/>
    <cellStyle name="Percent 11 6 2 4" xfId="8201" xr:uid="{00000000-0005-0000-0000-00006A250000}"/>
    <cellStyle name="Percent 11 6 2 4 2" xfId="42330" xr:uid="{2733968C-A303-491B-A5ED-8CF3C2537C67}"/>
    <cellStyle name="Percent 11 6 2 5" xfId="42331" xr:uid="{70342931-DD3C-40EE-B70D-A84D19EAD00A}"/>
    <cellStyle name="Percent 11 6 2 6" xfId="42327" xr:uid="{C0EC1AF7-2F75-4E5B-B64B-424487485E0E}"/>
    <cellStyle name="Percent 11 6 3" xfId="6392" xr:uid="{00000000-0005-0000-0000-00006B250000}"/>
    <cellStyle name="Percent 11 6 3 2" xfId="14827" xr:uid="{00000000-0005-0000-0000-00006C250000}"/>
    <cellStyle name="Percent 11 6 3 2 2" xfId="42333" xr:uid="{E9E9E9B9-D8D8-4AB0-8161-F62D434F1D10}"/>
    <cellStyle name="Percent 11 6 3 3" xfId="16459" xr:uid="{00000000-0005-0000-0000-00006D250000}"/>
    <cellStyle name="Percent 11 6 3 3 2" xfId="42334" xr:uid="{A65F99E5-2059-4F4E-BBDD-AA202060A773}"/>
    <cellStyle name="Percent 11 6 3 4" xfId="8202" xr:uid="{00000000-0005-0000-0000-00006E250000}"/>
    <cellStyle name="Percent 11 6 3 4 2" xfId="42335" xr:uid="{CC7F9D77-A3FE-4359-B919-4D7BC42D63AE}"/>
    <cellStyle name="Percent 11 6 3 5" xfId="42332" xr:uid="{2F6EADD7-F042-4400-8522-F4FE8B4D9411}"/>
    <cellStyle name="Percent 11 6 4" xfId="9733" xr:uid="{00000000-0005-0000-0000-00006F250000}"/>
    <cellStyle name="Percent 11 6 4 2" xfId="42336" xr:uid="{86FAF128-C081-4507-94E4-E36BD79AE1DD}"/>
    <cellStyle name="Percent 11 6 5" xfId="13829" xr:uid="{00000000-0005-0000-0000-000070250000}"/>
    <cellStyle name="Percent 11 6 5 2" xfId="42337" xr:uid="{9E23DB4E-638B-4428-BAEF-34EEE5E97308}"/>
    <cellStyle name="Percent 11 6 6" xfId="8200" xr:uid="{00000000-0005-0000-0000-000071250000}"/>
    <cellStyle name="Percent 11 6 6 2" xfId="42338" xr:uid="{B480BC8B-158B-4018-8E07-9A80B361406B}"/>
    <cellStyle name="Percent 11 6 7" xfId="42326" xr:uid="{52F1A1B6-91D7-499A-BC02-CB6174D0545E}"/>
    <cellStyle name="Percent 11 7" xfId="2531" xr:uid="{00000000-0005-0000-0000-000072250000}"/>
    <cellStyle name="Percent 11 7 10" xfId="42339" xr:uid="{6725C5F1-AC29-4729-83EF-B06E5D46B6CE}"/>
    <cellStyle name="Percent 11 7 2" xfId="2532" xr:uid="{00000000-0005-0000-0000-000073250000}"/>
    <cellStyle name="Percent 11 7 2 2" xfId="9736" xr:uid="{00000000-0005-0000-0000-000074250000}"/>
    <cellStyle name="Percent 11 7 2 2 2" xfId="42342" xr:uid="{933CC68C-6697-4308-92FA-A7A5272420E2}"/>
    <cellStyle name="Percent 11 7 2 2 3" xfId="42341" xr:uid="{8E82F089-51A8-4C6D-BEB1-270A6415A810}"/>
    <cellStyle name="Percent 11 7 2 3" xfId="13476" xr:uid="{00000000-0005-0000-0000-000075250000}"/>
    <cellStyle name="Percent 11 7 2 3 2" xfId="42344" xr:uid="{88C01C47-A1FB-4DF0-8EBA-9D98671F1461}"/>
    <cellStyle name="Percent 11 7 2 3 3" xfId="42343" xr:uid="{2E5E02DD-9D57-4D7C-AE53-F9A29B8E2373}"/>
    <cellStyle name="Percent 11 7 2 4" xfId="8204" xr:uid="{00000000-0005-0000-0000-000076250000}"/>
    <cellStyle name="Percent 11 7 2 4 2" xfId="42345" xr:uid="{3C9E4E5E-463E-47F4-BDBB-36E9B094798C}"/>
    <cellStyle name="Percent 11 7 2 5" xfId="42340" xr:uid="{EAC1A54D-E086-44B2-8671-BA64464FC6C7}"/>
    <cellStyle name="Percent 11 7 3" xfId="2533" xr:uid="{00000000-0005-0000-0000-000077250000}"/>
    <cellStyle name="Percent 11 7 3 2" xfId="9737" xr:uid="{00000000-0005-0000-0000-000078250000}"/>
    <cellStyle name="Percent 11 7 3 2 2" xfId="42348" xr:uid="{331B383D-B5D5-469E-BFC4-B76A01033B46}"/>
    <cellStyle name="Percent 11 7 3 2 3" xfId="42347" xr:uid="{996ACD8C-E1B5-4CA9-851B-24957CF0FE16}"/>
    <cellStyle name="Percent 11 7 3 3" xfId="12389" xr:uid="{00000000-0005-0000-0000-000079250000}"/>
    <cellStyle name="Percent 11 7 3 3 2" xfId="42350" xr:uid="{4BB1CCE8-E3CF-4ECD-911B-FDDBB1F478E0}"/>
    <cellStyle name="Percent 11 7 3 3 3" xfId="42349" xr:uid="{9B609CB1-851A-4472-A3C7-41CE71166089}"/>
    <cellStyle name="Percent 11 7 3 4" xfId="8205" xr:uid="{00000000-0005-0000-0000-00007A250000}"/>
    <cellStyle name="Percent 11 7 3 4 2" xfId="42351" xr:uid="{32789DE2-F752-4743-ACCC-89AC504B3B8F}"/>
    <cellStyle name="Percent 11 7 3 5" xfId="42346" xr:uid="{272BDDA2-72A0-4F43-8666-DED2A2342401}"/>
    <cellStyle name="Percent 11 7 4" xfId="4480" xr:uid="{00000000-0005-0000-0000-00007B250000}"/>
    <cellStyle name="Percent 11 7 4 2" xfId="9738" xr:uid="{00000000-0005-0000-0000-00007C250000}"/>
    <cellStyle name="Percent 11 7 4 2 2" xfId="42354" xr:uid="{73CB53A4-7E1C-40B4-B156-19CD0F8A1350}"/>
    <cellStyle name="Percent 11 7 4 2 3" xfId="42355" xr:uid="{382FCFB7-A544-44F5-BB70-E2A0BAEAB207}"/>
    <cellStyle name="Percent 11 7 4 2 4" xfId="42353" xr:uid="{38BDAE07-55B6-4D75-A929-0CE612B108E5}"/>
    <cellStyle name="Percent 11 7 4 2 5" xfId="49841" xr:uid="{4D607D4E-9034-4AC3-808A-243920295DFC}"/>
    <cellStyle name="Percent 11 7 4 3" xfId="13496" xr:uid="{00000000-0005-0000-0000-00007D250000}"/>
    <cellStyle name="Percent 11 7 4 3 2" xfId="42357" xr:uid="{EB944CBC-59B0-4855-A3E2-1986AEA93A18}"/>
    <cellStyle name="Percent 11 7 4 3 3" xfId="42356" xr:uid="{8590AF9B-494E-485D-A332-71B28E3006AD}"/>
    <cellStyle name="Percent 11 7 4 4" xfId="8206" xr:uid="{00000000-0005-0000-0000-00007E250000}"/>
    <cellStyle name="Percent 11 7 4 4 2" xfId="42358" xr:uid="{B4B38460-5AD5-4E18-8A6F-2B0E4F4223D4}"/>
    <cellStyle name="Percent 11 7 4 5" xfId="42359" xr:uid="{F36BE552-73E1-4A2C-8AC9-589FFE1C38BB}"/>
    <cellStyle name="Percent 11 7 4 6" xfId="42352" xr:uid="{3E522B64-6AFC-4F6A-92E9-90FECE1400FE}"/>
    <cellStyle name="Percent 11 7 4 7" xfId="49840" xr:uid="{D91F708F-1BF8-4B08-A458-4DF161BB1E84}"/>
    <cellStyle name="Percent 11 7 5" xfId="6393" xr:uid="{00000000-0005-0000-0000-00007F250000}"/>
    <cellStyle name="Percent 11 7 5 2" xfId="14828" xr:uid="{00000000-0005-0000-0000-000080250000}"/>
    <cellStyle name="Percent 11 7 5 2 2" xfId="42361" xr:uid="{32AA35CB-E913-44DD-812D-140A5E6C1BA4}"/>
    <cellStyle name="Percent 11 7 5 3" xfId="12927" xr:uid="{00000000-0005-0000-0000-000081250000}"/>
    <cellStyle name="Percent 11 7 5 3 2" xfId="42362" xr:uid="{BFD995DD-E350-46B6-A437-0CA1D68A7018}"/>
    <cellStyle name="Percent 11 7 5 4" xfId="8207" xr:uid="{00000000-0005-0000-0000-000082250000}"/>
    <cellStyle name="Percent 11 7 5 4 2" xfId="42363" xr:uid="{3E8BDCA3-C527-442B-804A-C0AEC2E84FE8}"/>
    <cellStyle name="Percent 11 7 5 5" xfId="42360" xr:uid="{851B7C32-AE7C-4AD1-A839-B551E37D80BA}"/>
    <cellStyle name="Percent 11 7 6" xfId="9735" xr:uid="{00000000-0005-0000-0000-000083250000}"/>
    <cellStyle name="Percent 11 7 6 2" xfId="42364" xr:uid="{F43AE182-8763-4795-9BBA-0ED31463EE06}"/>
    <cellStyle name="Percent 11 7 7" xfId="16293" xr:uid="{00000000-0005-0000-0000-000084250000}"/>
    <cellStyle name="Percent 11 7 7 2" xfId="42365" xr:uid="{3819F029-BCF5-4C1E-B216-B5D3C143C6F9}"/>
    <cellStyle name="Percent 11 7 8" xfId="8203" xr:uid="{00000000-0005-0000-0000-000085250000}"/>
    <cellStyle name="Percent 11 7 8 2" xfId="42366" xr:uid="{365F90D1-BBEF-4DBD-9AB3-DDFACCFC166F}"/>
    <cellStyle name="Percent 11 7 9" xfId="16709" xr:uid="{6A6392C3-D2FE-4371-9234-3E035F569BBA}"/>
    <cellStyle name="Percent 11 7 9 2" xfId="33437" xr:uid="{A8775A37-76E6-4C4C-AE1D-7B0F3C58D6C2}"/>
    <cellStyle name="Percent 11 7 9 3" xfId="42367" xr:uid="{2E733E3D-93BB-4D72-BAC7-5CBCD3652D94}"/>
    <cellStyle name="Percent 11 8" xfId="2534" xr:uid="{00000000-0005-0000-0000-000086250000}"/>
    <cellStyle name="Percent 11 8 2" xfId="4481" xr:uid="{00000000-0005-0000-0000-000087250000}"/>
    <cellStyle name="Percent 11 8 2 2" xfId="9740" xr:uid="{00000000-0005-0000-0000-000088250000}"/>
    <cellStyle name="Percent 11 8 2 2 2" xfId="42370" xr:uid="{6C9799D3-AD5E-47CF-AFF0-E994A6FC0F97}"/>
    <cellStyle name="Percent 11 8 2 3" xfId="16684" xr:uid="{00000000-0005-0000-0000-000089250000}"/>
    <cellStyle name="Percent 11 8 2 3 2" xfId="42371" xr:uid="{194D978A-BAC2-4269-94A5-E132A45FDEDF}"/>
    <cellStyle name="Percent 11 8 2 4" xfId="8209" xr:uid="{00000000-0005-0000-0000-00008A250000}"/>
    <cellStyle name="Percent 11 8 2 4 2" xfId="42372" xr:uid="{45100347-0B1A-4609-9EC4-AB14C8DCFC32}"/>
    <cellStyle name="Percent 11 8 2 5" xfId="42373" xr:uid="{9E89523C-5A09-4952-907E-BD0F621243BA}"/>
    <cellStyle name="Percent 11 8 2 6" xfId="42369" xr:uid="{A27B4326-94FB-4283-80A0-427606553486}"/>
    <cellStyle name="Percent 11 8 3" xfId="6394" xr:uid="{00000000-0005-0000-0000-00008B250000}"/>
    <cellStyle name="Percent 11 8 3 2" xfId="14829" xr:uid="{00000000-0005-0000-0000-00008C250000}"/>
    <cellStyle name="Percent 11 8 3 2 2" xfId="42375" xr:uid="{C793DC06-3953-4952-9678-63901D5FF767}"/>
    <cellStyle name="Percent 11 8 3 3" xfId="13494" xr:uid="{00000000-0005-0000-0000-00008D250000}"/>
    <cellStyle name="Percent 11 8 3 3 2" xfId="42376" xr:uid="{274A4524-3B5A-43C0-8898-F94B4D2EC02F}"/>
    <cellStyle name="Percent 11 8 3 4" xfId="8210" xr:uid="{00000000-0005-0000-0000-00008E250000}"/>
    <cellStyle name="Percent 11 8 3 4 2" xfId="42377" xr:uid="{4D7D3CC6-2B8E-4BED-865A-B016E1AC569D}"/>
    <cellStyle name="Percent 11 8 3 5" xfId="42374" xr:uid="{348F5839-5578-45FB-A266-6378AA8DD2D3}"/>
    <cellStyle name="Percent 11 8 4" xfId="9739" xr:uid="{00000000-0005-0000-0000-00008F250000}"/>
    <cellStyle name="Percent 11 8 4 2" xfId="42378" xr:uid="{53B9A0D4-3B64-4A6F-BA40-2B7043F335E3}"/>
    <cellStyle name="Percent 11 8 5" xfId="16596" xr:uid="{00000000-0005-0000-0000-000090250000}"/>
    <cellStyle name="Percent 11 8 5 2" xfId="42379" xr:uid="{EB2B1F6E-5A43-4472-B618-D21F0243F665}"/>
    <cellStyle name="Percent 11 8 6" xfId="8208" xr:uid="{00000000-0005-0000-0000-000091250000}"/>
    <cellStyle name="Percent 11 8 6 2" xfId="42380" xr:uid="{139E3654-46A1-4766-BAB0-AEC56A98F3C9}"/>
    <cellStyle name="Percent 11 8 7" xfId="42368" xr:uid="{3D1D38DF-2FA9-406C-9714-D6083B15B7AA}"/>
    <cellStyle name="Percent 11 9" xfId="2535" xr:uid="{00000000-0005-0000-0000-000092250000}"/>
    <cellStyle name="Percent 11 9 2" xfId="9741" xr:uid="{00000000-0005-0000-0000-000093250000}"/>
    <cellStyle name="Percent 11 9 2 2" xfId="42382" xr:uid="{5C0D55CD-CA24-40C3-9162-2AB5AF13E0EA}"/>
    <cellStyle name="Percent 11 9 3" xfId="16179" xr:uid="{00000000-0005-0000-0000-000094250000}"/>
    <cellStyle name="Percent 11 9 3 2" xfId="42383" xr:uid="{86FC6B55-4E1B-4BAB-860F-DEF68A197457}"/>
    <cellStyle name="Percent 11 9 4" xfId="8211" xr:uid="{00000000-0005-0000-0000-000095250000}"/>
    <cellStyle name="Percent 11 9 4 2" xfId="42384" xr:uid="{DC0D7468-2116-4237-8D6B-B59D5729075C}"/>
    <cellStyle name="Percent 11 9 5" xfId="42381" xr:uid="{9BA16F07-0722-475D-8A21-E678CD01F86B}"/>
    <cellStyle name="Percent 12" xfId="4482" xr:uid="{00000000-0005-0000-0000-000096250000}"/>
    <cellStyle name="Percent 12 10" xfId="2536" xr:uid="{00000000-0005-0000-0000-000097250000}"/>
    <cellStyle name="Percent 12 10 2" xfId="9743" xr:uid="{00000000-0005-0000-0000-000098250000}"/>
    <cellStyle name="Percent 12 10 2 2" xfId="42387" xr:uid="{9799A5B6-817F-47EF-A7E3-F77B45BE1687}"/>
    <cellStyle name="Percent 12 10 3" xfId="16538" xr:uid="{00000000-0005-0000-0000-000099250000}"/>
    <cellStyle name="Percent 12 10 3 2" xfId="42388" xr:uid="{3F752422-06FF-424B-B234-6F83A09EADBD}"/>
    <cellStyle name="Percent 12 10 4" xfId="8213" xr:uid="{00000000-0005-0000-0000-00009A250000}"/>
    <cellStyle name="Percent 12 10 4 2" xfId="42389" xr:uid="{7D2DB96A-97ED-4123-BC1F-C0EC4D4F04C9}"/>
    <cellStyle name="Percent 12 10 5" xfId="42386" xr:uid="{2EB96347-3109-479D-9934-754DA25AF44E}"/>
    <cellStyle name="Percent 12 11" xfId="9742" xr:uid="{00000000-0005-0000-0000-00009B250000}"/>
    <cellStyle name="Percent 12 11 2" xfId="42391" xr:uid="{05EA6D8F-0B1B-40BB-9244-4C4C80F681E1}"/>
    <cellStyle name="Percent 12 11 3" xfId="42390" xr:uid="{EFEF3CCD-7C70-4B1E-9791-5F429E2D6377}"/>
    <cellStyle name="Percent 12 12" xfId="16290" xr:uid="{00000000-0005-0000-0000-00009C250000}"/>
    <cellStyle name="Percent 12 12 2" xfId="42392" xr:uid="{778A75A0-D5D4-41C9-87AF-91EEF4A2E21F}"/>
    <cellStyle name="Percent 12 13" xfId="8212" xr:uid="{00000000-0005-0000-0000-00009D250000}"/>
    <cellStyle name="Percent 12 13 2" xfId="42393" xr:uid="{14B74AEE-DD64-4DF1-BB24-60E59A9E7124}"/>
    <cellStyle name="Percent 12 14" xfId="42394" xr:uid="{0B3D84D1-291E-4F24-B3F2-C6C8306446A7}"/>
    <cellStyle name="Percent 12 15" xfId="42385" xr:uid="{EDEE919D-6790-47C7-BB08-7F5297182757}"/>
    <cellStyle name="Percent 12 2" xfId="2537" xr:uid="{00000000-0005-0000-0000-00009E250000}"/>
    <cellStyle name="Percent 12 2 2" xfId="4483" xr:uid="{00000000-0005-0000-0000-00009F250000}"/>
    <cellStyle name="Percent 12 2 2 2" xfId="9745" xr:uid="{00000000-0005-0000-0000-0000A0250000}"/>
    <cellStyle name="Percent 12 2 2 2 2" xfId="42397" xr:uid="{AD9B7D98-63C2-4F5B-9E89-00FB10B0F3F0}"/>
    <cellStyle name="Percent 12 2 2 3" xfId="16446" xr:uid="{00000000-0005-0000-0000-0000A1250000}"/>
    <cellStyle name="Percent 12 2 2 3 2" xfId="42398" xr:uid="{42486FD9-8D32-44A1-9EAA-06D3407763B4}"/>
    <cellStyle name="Percent 12 2 2 4" xfId="8215" xr:uid="{00000000-0005-0000-0000-0000A2250000}"/>
    <cellStyle name="Percent 12 2 2 4 2" xfId="42399" xr:uid="{2D49C39C-85EB-4C6F-93AC-9BFCC96209B6}"/>
    <cellStyle name="Percent 12 2 2 5" xfId="42400" xr:uid="{01C991FA-5B77-4722-A615-EA70FC23453E}"/>
    <cellStyle name="Percent 12 2 2 6" xfId="42396" xr:uid="{847E85FC-B9C4-44F0-94C7-98B5836E994D}"/>
    <cellStyle name="Percent 12 2 3" xfId="6395" xr:uid="{00000000-0005-0000-0000-0000A3250000}"/>
    <cellStyle name="Percent 12 2 3 2" xfId="14830" xr:uid="{00000000-0005-0000-0000-0000A4250000}"/>
    <cellStyle name="Percent 12 2 3 2 2" xfId="42402" xr:uid="{4DA3BDC3-1ADD-4979-9CB8-E69F94E19F5C}"/>
    <cellStyle name="Percent 12 2 3 3" xfId="16582" xr:uid="{00000000-0005-0000-0000-0000A5250000}"/>
    <cellStyle name="Percent 12 2 3 3 2" xfId="42403" xr:uid="{01E6874F-CA4A-4EA3-AC48-120AD9951CE9}"/>
    <cellStyle name="Percent 12 2 3 4" xfId="8216" xr:uid="{00000000-0005-0000-0000-0000A6250000}"/>
    <cellStyle name="Percent 12 2 3 4 2" xfId="42404" xr:uid="{8CCC3AC2-3B06-4C70-BCDD-C54CB34F1444}"/>
    <cellStyle name="Percent 12 2 3 5" xfId="42401" xr:uid="{670D73F8-ACD9-4147-A0D8-150A6B603B9C}"/>
    <cellStyle name="Percent 12 2 4" xfId="9744" xr:uid="{00000000-0005-0000-0000-0000A7250000}"/>
    <cellStyle name="Percent 12 2 4 2" xfId="42405" xr:uid="{8D12EDA8-8B0D-4057-9AAF-DA6C04D54B38}"/>
    <cellStyle name="Percent 12 2 5" xfId="16519" xr:uid="{00000000-0005-0000-0000-0000A8250000}"/>
    <cellStyle name="Percent 12 2 5 2" xfId="42406" xr:uid="{8663450D-C54F-49C2-98F5-5A0EAA4F2C69}"/>
    <cellStyle name="Percent 12 2 6" xfId="8214" xr:uid="{00000000-0005-0000-0000-0000A9250000}"/>
    <cellStyle name="Percent 12 2 6 2" xfId="42407" xr:uid="{BBEFFCF1-57B6-4329-9BF6-4C24C277B101}"/>
    <cellStyle name="Percent 12 2 7" xfId="42395" xr:uid="{A6433D61-C8CC-44DB-AB66-C07DB419A07F}"/>
    <cellStyle name="Percent 12 3" xfId="2538" xr:uid="{00000000-0005-0000-0000-0000AA250000}"/>
    <cellStyle name="Percent 12 3 2" xfId="4484" xr:uid="{00000000-0005-0000-0000-0000AB250000}"/>
    <cellStyle name="Percent 12 3 2 2" xfId="9747" xr:uid="{00000000-0005-0000-0000-0000AC250000}"/>
    <cellStyle name="Percent 12 3 2 2 2" xfId="42410" xr:uid="{0CA5B1DC-6B55-4D14-93FD-174316043157}"/>
    <cellStyle name="Percent 12 3 2 3" xfId="16253" xr:uid="{00000000-0005-0000-0000-0000AD250000}"/>
    <cellStyle name="Percent 12 3 2 3 2" xfId="42411" xr:uid="{712661E8-9CB4-4560-807D-FE33803C8733}"/>
    <cellStyle name="Percent 12 3 2 4" xfId="8218" xr:uid="{00000000-0005-0000-0000-0000AE250000}"/>
    <cellStyle name="Percent 12 3 2 4 2" xfId="42412" xr:uid="{B0AB02C9-0D8D-463E-BB3E-970542FEFCD5}"/>
    <cellStyle name="Percent 12 3 2 5" xfId="42413" xr:uid="{2F4060D4-97E9-4886-8D44-CB82CA80FE6F}"/>
    <cellStyle name="Percent 12 3 2 6" xfId="42409" xr:uid="{68E151CE-3D11-4573-9CA5-F9885F3FE562}"/>
    <cellStyle name="Percent 12 3 3" xfId="6396" xr:uid="{00000000-0005-0000-0000-0000AF250000}"/>
    <cellStyle name="Percent 12 3 3 2" xfId="14831" xr:uid="{00000000-0005-0000-0000-0000B0250000}"/>
    <cellStyle name="Percent 12 3 3 2 2" xfId="42415" xr:uid="{EDF0C276-02A0-4828-A8C9-2789DF314066}"/>
    <cellStyle name="Percent 12 3 3 3" xfId="12606" xr:uid="{00000000-0005-0000-0000-0000B1250000}"/>
    <cellStyle name="Percent 12 3 3 3 2" xfId="42416" xr:uid="{99098D3A-296A-411E-A7DA-FB430EFB0442}"/>
    <cellStyle name="Percent 12 3 3 4" xfId="8219" xr:uid="{00000000-0005-0000-0000-0000B2250000}"/>
    <cellStyle name="Percent 12 3 3 4 2" xfId="42417" xr:uid="{66738044-8892-4EE0-90C1-DB7C739F412D}"/>
    <cellStyle name="Percent 12 3 3 5" xfId="42414" xr:uid="{7EA7DE32-754C-4CCD-A4AE-DB0B582C59DD}"/>
    <cellStyle name="Percent 12 3 4" xfId="9746" xr:uid="{00000000-0005-0000-0000-0000B3250000}"/>
    <cellStyle name="Percent 12 3 4 2" xfId="42418" xr:uid="{E8E45463-148C-4AC9-8214-259D8F08F13D}"/>
    <cellStyle name="Percent 12 3 5" xfId="14323" xr:uid="{00000000-0005-0000-0000-0000B4250000}"/>
    <cellStyle name="Percent 12 3 5 2" xfId="42419" xr:uid="{B1BDBECD-9A7F-4025-A017-4851B14B8C95}"/>
    <cellStyle name="Percent 12 3 6" xfId="8217" xr:uid="{00000000-0005-0000-0000-0000B5250000}"/>
    <cellStyle name="Percent 12 3 6 2" xfId="42420" xr:uid="{A727D7C8-4876-4C61-96B3-CD6DA7C0738E}"/>
    <cellStyle name="Percent 12 3 7" xfId="42408" xr:uid="{CE2C0BE0-E0A0-4E2D-94B9-6E18C17FB7B3}"/>
    <cellStyle name="Percent 12 4" xfId="2539" xr:uid="{00000000-0005-0000-0000-0000B6250000}"/>
    <cellStyle name="Percent 12 4 2" xfId="4485" xr:uid="{00000000-0005-0000-0000-0000B7250000}"/>
    <cellStyle name="Percent 12 4 2 2" xfId="9749" xr:uid="{00000000-0005-0000-0000-0000B8250000}"/>
    <cellStyle name="Percent 12 4 2 2 2" xfId="42423" xr:uid="{34BA0D2E-C86A-4660-9D47-E0D6ECB4C1F2}"/>
    <cellStyle name="Percent 12 4 2 3" xfId="16601" xr:uid="{00000000-0005-0000-0000-0000B9250000}"/>
    <cellStyle name="Percent 12 4 2 3 2" xfId="42424" xr:uid="{DF732D37-AC8C-4E38-9B75-15BF7D42FE51}"/>
    <cellStyle name="Percent 12 4 2 4" xfId="8221" xr:uid="{00000000-0005-0000-0000-0000BA250000}"/>
    <cellStyle name="Percent 12 4 2 4 2" xfId="42425" xr:uid="{2A887E52-EAAC-4F3E-9648-956B68FCEBC7}"/>
    <cellStyle name="Percent 12 4 2 5" xfId="42426" xr:uid="{6EB1459D-4475-4B87-9857-6DEE3A734C92}"/>
    <cellStyle name="Percent 12 4 2 6" xfId="42422" xr:uid="{D3D6EE4B-FC35-4C67-BB1C-FA3C316D50F5}"/>
    <cellStyle name="Percent 12 4 3" xfId="6397" xr:uid="{00000000-0005-0000-0000-0000BB250000}"/>
    <cellStyle name="Percent 12 4 3 2" xfId="14832" xr:uid="{00000000-0005-0000-0000-0000BC250000}"/>
    <cellStyle name="Percent 12 4 3 2 2" xfId="42428" xr:uid="{B049BADA-0F20-4FA3-9D14-D997D837F5AA}"/>
    <cellStyle name="Percent 12 4 3 3" xfId="16631" xr:uid="{00000000-0005-0000-0000-0000BD250000}"/>
    <cellStyle name="Percent 12 4 3 3 2" xfId="42429" xr:uid="{02C8285A-292C-493C-A269-0D32D677BE48}"/>
    <cellStyle name="Percent 12 4 3 4" xfId="8222" xr:uid="{00000000-0005-0000-0000-0000BE250000}"/>
    <cellStyle name="Percent 12 4 3 4 2" xfId="42430" xr:uid="{1C3080B6-B893-49BE-B1CD-A09255CB5703}"/>
    <cellStyle name="Percent 12 4 3 5" xfId="42427" xr:uid="{78D3BA43-8320-413C-8DB3-C882734B0116}"/>
    <cellStyle name="Percent 12 4 4" xfId="9748" xr:uid="{00000000-0005-0000-0000-0000BF250000}"/>
    <cellStyle name="Percent 12 4 4 2" xfId="42431" xr:uid="{75055572-21EF-4AA9-B240-39ECD4C91437}"/>
    <cellStyle name="Percent 12 4 5" xfId="12752" xr:uid="{00000000-0005-0000-0000-0000C0250000}"/>
    <cellStyle name="Percent 12 4 5 2" xfId="42432" xr:uid="{3165F81B-ECFE-4A7D-9DCB-DAA3206CF827}"/>
    <cellStyle name="Percent 12 4 6" xfId="8220" xr:uid="{00000000-0005-0000-0000-0000C1250000}"/>
    <cellStyle name="Percent 12 4 6 2" xfId="42433" xr:uid="{9B9555FC-F2EB-4BC9-AD06-723116EEB86D}"/>
    <cellStyle name="Percent 12 4 7" xfId="42421" xr:uid="{E12C69D8-4AB8-490A-8A30-19328B79F08B}"/>
    <cellStyle name="Percent 12 5" xfId="2540" xr:uid="{00000000-0005-0000-0000-0000C2250000}"/>
    <cellStyle name="Percent 12 5 2" xfId="4486" xr:uid="{00000000-0005-0000-0000-0000C3250000}"/>
    <cellStyle name="Percent 12 5 2 2" xfId="9751" xr:uid="{00000000-0005-0000-0000-0000C4250000}"/>
    <cellStyle name="Percent 12 5 2 2 2" xfId="42436" xr:uid="{4FE1A0FF-5D41-4816-8F90-CB0C92BF9BAB}"/>
    <cellStyle name="Percent 12 5 2 3" xfId="12774" xr:uid="{00000000-0005-0000-0000-0000C5250000}"/>
    <cellStyle name="Percent 12 5 2 3 2" xfId="42437" xr:uid="{F6275C67-A1D0-4EB9-AD5B-B13CED2ABA78}"/>
    <cellStyle name="Percent 12 5 2 4" xfId="8224" xr:uid="{00000000-0005-0000-0000-0000C6250000}"/>
    <cellStyle name="Percent 12 5 2 4 2" xfId="42438" xr:uid="{7F4CD7D8-43AD-47A9-B3A1-C71BD935275D}"/>
    <cellStyle name="Percent 12 5 2 5" xfId="42439" xr:uid="{5F007FB2-2DA4-4565-83DF-E34F56022D95}"/>
    <cellStyle name="Percent 12 5 2 6" xfId="42435" xr:uid="{45BE52EA-555E-41A2-B741-4E9BCF050338}"/>
    <cellStyle name="Percent 12 5 3" xfId="6398" xr:uid="{00000000-0005-0000-0000-0000C7250000}"/>
    <cellStyle name="Percent 12 5 3 2" xfId="14833" xr:uid="{00000000-0005-0000-0000-0000C8250000}"/>
    <cellStyle name="Percent 12 5 3 2 2" xfId="42441" xr:uid="{8774F739-8684-4772-9BE6-8CDE7DDDC823}"/>
    <cellStyle name="Percent 12 5 3 3" xfId="13503" xr:uid="{00000000-0005-0000-0000-0000C9250000}"/>
    <cellStyle name="Percent 12 5 3 3 2" xfId="42442" xr:uid="{F58C97AC-6CC6-4A61-B2D3-2A755877AE28}"/>
    <cellStyle name="Percent 12 5 3 4" xfId="8225" xr:uid="{00000000-0005-0000-0000-0000CA250000}"/>
    <cellStyle name="Percent 12 5 3 4 2" xfId="42443" xr:uid="{F7D758BB-671D-444E-AF18-CD21149C1CFA}"/>
    <cellStyle name="Percent 12 5 3 5" xfId="42440" xr:uid="{2C73A3B7-70B0-4F24-A17E-107422C1E7B8}"/>
    <cellStyle name="Percent 12 5 4" xfId="9750" xr:uid="{00000000-0005-0000-0000-0000CB250000}"/>
    <cellStyle name="Percent 12 5 4 2" xfId="42444" xr:uid="{CDEF6619-6439-4322-A92F-91F2E8643A82}"/>
    <cellStyle name="Percent 12 5 5" xfId="16580" xr:uid="{00000000-0005-0000-0000-0000CC250000}"/>
    <cellStyle name="Percent 12 5 5 2" xfId="42445" xr:uid="{CB3D8495-BCF4-43C6-AB6F-01745B00A36B}"/>
    <cellStyle name="Percent 12 5 6" xfId="8223" xr:uid="{00000000-0005-0000-0000-0000CD250000}"/>
    <cellStyle name="Percent 12 5 6 2" xfId="42446" xr:uid="{DE496152-1EA3-4E5A-833A-024A3BE085D8}"/>
    <cellStyle name="Percent 12 5 7" xfId="42434" xr:uid="{C53C38CB-DB29-4C0E-AD35-254DDDA37B7E}"/>
    <cellStyle name="Percent 12 6" xfId="2541" xr:uid="{00000000-0005-0000-0000-0000CE250000}"/>
    <cellStyle name="Percent 12 6 2" xfId="4487" xr:uid="{00000000-0005-0000-0000-0000CF250000}"/>
    <cellStyle name="Percent 12 6 2 2" xfId="9753" xr:uid="{00000000-0005-0000-0000-0000D0250000}"/>
    <cellStyle name="Percent 12 6 2 2 2" xfId="42449" xr:uid="{B577AAF7-A8E4-4049-BAA3-DCE4B5B3AC78}"/>
    <cellStyle name="Percent 12 6 2 3" xfId="12531" xr:uid="{00000000-0005-0000-0000-0000D1250000}"/>
    <cellStyle name="Percent 12 6 2 3 2" xfId="42450" xr:uid="{6AA08B17-8435-4FF3-8A64-D1833B075727}"/>
    <cellStyle name="Percent 12 6 2 4" xfId="8227" xr:uid="{00000000-0005-0000-0000-0000D2250000}"/>
    <cellStyle name="Percent 12 6 2 4 2" xfId="42451" xr:uid="{B6F78C52-6306-4EBD-BE13-9E475A7750DD}"/>
    <cellStyle name="Percent 12 6 2 5" xfId="42452" xr:uid="{E8A8AC7D-0300-4F6F-AA09-8439CEED66CF}"/>
    <cellStyle name="Percent 12 6 2 6" xfId="42448" xr:uid="{404985D8-76C6-4277-B6E2-D8BE8BB041DC}"/>
    <cellStyle name="Percent 12 6 3" xfId="6399" xr:uid="{00000000-0005-0000-0000-0000D3250000}"/>
    <cellStyle name="Percent 12 6 3 2" xfId="14834" xr:uid="{00000000-0005-0000-0000-0000D4250000}"/>
    <cellStyle name="Percent 12 6 3 2 2" xfId="42454" xr:uid="{AC8253C4-904C-48A5-8935-DC407C8E1475}"/>
    <cellStyle name="Percent 12 6 3 3" xfId="16433" xr:uid="{00000000-0005-0000-0000-0000D5250000}"/>
    <cellStyle name="Percent 12 6 3 3 2" xfId="42455" xr:uid="{722C98D2-15DD-401B-8993-F062CC708E8F}"/>
    <cellStyle name="Percent 12 6 3 4" xfId="8228" xr:uid="{00000000-0005-0000-0000-0000D6250000}"/>
    <cellStyle name="Percent 12 6 3 4 2" xfId="42456" xr:uid="{DC958442-E040-4327-B350-E288861B45D8}"/>
    <cellStyle name="Percent 12 6 3 5" xfId="42453" xr:uid="{AE6526F0-EBC1-475D-9B24-AD53D13FAEAF}"/>
    <cellStyle name="Percent 12 6 4" xfId="9752" xr:uid="{00000000-0005-0000-0000-0000D7250000}"/>
    <cellStyle name="Percent 12 6 4 2" xfId="42457" xr:uid="{80A96E03-3A9F-42AC-9038-255C8885E8EB}"/>
    <cellStyle name="Percent 12 6 5" xfId="12750" xr:uid="{00000000-0005-0000-0000-0000D8250000}"/>
    <cellStyle name="Percent 12 6 5 2" xfId="42458" xr:uid="{E2780CC0-90DE-49AC-B119-B0584340C1E2}"/>
    <cellStyle name="Percent 12 6 6" xfId="8226" xr:uid="{00000000-0005-0000-0000-0000D9250000}"/>
    <cellStyle name="Percent 12 6 6 2" xfId="42459" xr:uid="{BC0F8C4B-8285-4EEF-ABC8-3C1D4D07A228}"/>
    <cellStyle name="Percent 12 6 7" xfId="42447" xr:uid="{7CC41181-801F-4113-971D-3A7C9285C5F2}"/>
    <cellStyle name="Percent 12 7" xfId="2542" xr:uid="{00000000-0005-0000-0000-0000DA250000}"/>
    <cellStyle name="Percent 12 7 10" xfId="42460" xr:uid="{ACBC7C35-3E5F-42FC-933B-52587CFBD638}"/>
    <cellStyle name="Percent 12 7 2" xfId="2543" xr:uid="{00000000-0005-0000-0000-0000DB250000}"/>
    <cellStyle name="Percent 12 7 2 2" xfId="9755" xr:uid="{00000000-0005-0000-0000-0000DC250000}"/>
    <cellStyle name="Percent 12 7 2 2 2" xfId="42463" xr:uid="{2E485814-8EA0-4285-B38A-1F3BFA51D2D5}"/>
    <cellStyle name="Percent 12 7 2 2 3" xfId="42462" xr:uid="{DB64908A-EB3A-49FD-92AF-5E6B1A54F1F8}"/>
    <cellStyle name="Percent 12 7 2 3" xfId="16341" xr:uid="{00000000-0005-0000-0000-0000DD250000}"/>
    <cellStyle name="Percent 12 7 2 3 2" xfId="42465" xr:uid="{12909BF5-372C-4615-B337-9E25BC45058A}"/>
    <cellStyle name="Percent 12 7 2 3 3" xfId="42464" xr:uid="{295A8660-76C2-476F-8FD8-6AC8F477CC5B}"/>
    <cellStyle name="Percent 12 7 2 4" xfId="8230" xr:uid="{00000000-0005-0000-0000-0000DE250000}"/>
    <cellStyle name="Percent 12 7 2 4 2" xfId="42466" xr:uid="{C4815473-A967-46EA-9A86-2BA4F33B3388}"/>
    <cellStyle name="Percent 12 7 2 5" xfId="42461" xr:uid="{8EDB5CBF-CF7B-404F-9E4C-2D5E02AAD565}"/>
    <cellStyle name="Percent 12 7 3" xfId="2544" xr:uid="{00000000-0005-0000-0000-0000DF250000}"/>
    <cellStyle name="Percent 12 7 3 2" xfId="9756" xr:uid="{00000000-0005-0000-0000-0000E0250000}"/>
    <cellStyle name="Percent 12 7 3 2 2" xfId="42469" xr:uid="{E2420B09-D696-4614-B95F-16887E86F8EF}"/>
    <cellStyle name="Percent 12 7 3 2 3" xfId="42468" xr:uid="{1E9929D3-8B7F-4256-B828-8C15C4C656F2}"/>
    <cellStyle name="Percent 12 7 3 3" xfId="13744" xr:uid="{00000000-0005-0000-0000-0000E1250000}"/>
    <cellStyle name="Percent 12 7 3 3 2" xfId="42471" xr:uid="{1468BF41-B1F6-46E5-AA33-F327C5C885D6}"/>
    <cellStyle name="Percent 12 7 3 3 3" xfId="42470" xr:uid="{887234E0-A56B-48C5-BB66-4B525EC009AA}"/>
    <cellStyle name="Percent 12 7 3 4" xfId="8231" xr:uid="{00000000-0005-0000-0000-0000E2250000}"/>
    <cellStyle name="Percent 12 7 3 4 2" xfId="42472" xr:uid="{2093C939-D89A-4012-A739-996EBBB0F3E3}"/>
    <cellStyle name="Percent 12 7 3 5" xfId="42467" xr:uid="{F24FF58B-D293-42C8-BDDD-D262C65713CB}"/>
    <cellStyle name="Percent 12 7 4" xfId="4488" xr:uid="{00000000-0005-0000-0000-0000E3250000}"/>
    <cellStyle name="Percent 12 7 4 2" xfId="9757" xr:uid="{00000000-0005-0000-0000-0000E4250000}"/>
    <cellStyle name="Percent 12 7 4 2 2" xfId="42475" xr:uid="{DD9FFDCE-8491-4A9C-AF9A-C8366EDF906F}"/>
    <cellStyle name="Percent 12 7 4 2 3" xfId="42476" xr:uid="{9C404B4B-A93B-41B6-A016-62B61FC67D23}"/>
    <cellStyle name="Percent 12 7 4 2 4" xfId="42474" xr:uid="{AA8DB878-2BF9-41FA-98CA-516B148982A1}"/>
    <cellStyle name="Percent 12 7 4 2 5" xfId="49843" xr:uid="{B07B6494-B979-4173-8EF5-4E6DC64D99C9}"/>
    <cellStyle name="Percent 12 7 4 3" xfId="12819" xr:uid="{00000000-0005-0000-0000-0000E5250000}"/>
    <cellStyle name="Percent 12 7 4 3 2" xfId="42478" xr:uid="{87DF52C3-CB93-4050-B52D-006E88C2F3E5}"/>
    <cellStyle name="Percent 12 7 4 3 3" xfId="42477" xr:uid="{3203B3ED-C0F1-471C-BCA9-CC0FC47BA100}"/>
    <cellStyle name="Percent 12 7 4 4" xfId="8232" xr:uid="{00000000-0005-0000-0000-0000E6250000}"/>
    <cellStyle name="Percent 12 7 4 4 2" xfId="42479" xr:uid="{CAE5CE08-0728-42F7-AE70-0FEDC199F020}"/>
    <cellStyle name="Percent 12 7 4 5" xfId="42480" xr:uid="{143696F8-4438-43E6-BFCA-3566EE2194DE}"/>
    <cellStyle name="Percent 12 7 4 6" xfId="42473" xr:uid="{04783999-7578-4B0C-B411-76D222D45E6B}"/>
    <cellStyle name="Percent 12 7 4 7" xfId="49842" xr:uid="{D50F5D72-9BCA-4AA8-A4F4-FDB6ABDA3561}"/>
    <cellStyle name="Percent 12 7 5" xfId="6400" xr:uid="{00000000-0005-0000-0000-0000E7250000}"/>
    <cellStyle name="Percent 12 7 5 2" xfId="14835" xr:uid="{00000000-0005-0000-0000-0000E8250000}"/>
    <cellStyle name="Percent 12 7 5 2 2" xfId="42482" xr:uid="{1C172747-7A75-42DB-9B5B-51555DEA6C89}"/>
    <cellStyle name="Percent 12 7 5 3" xfId="16602" xr:uid="{00000000-0005-0000-0000-0000E9250000}"/>
    <cellStyle name="Percent 12 7 5 3 2" xfId="42483" xr:uid="{479022F8-1436-43BB-A8EE-D24036FDCC25}"/>
    <cellStyle name="Percent 12 7 5 4" xfId="8233" xr:uid="{00000000-0005-0000-0000-0000EA250000}"/>
    <cellStyle name="Percent 12 7 5 4 2" xfId="42484" xr:uid="{F2B6B6CE-6711-4A86-8B1C-AA50F3431DD8}"/>
    <cellStyle name="Percent 12 7 5 5" xfId="42481" xr:uid="{39364475-600E-484C-9C90-75D82C18F75B}"/>
    <cellStyle name="Percent 12 7 6" xfId="9754" xr:uid="{00000000-0005-0000-0000-0000EB250000}"/>
    <cellStyle name="Percent 12 7 6 2" xfId="42485" xr:uid="{9BC4DBD6-98AF-4583-A3FF-C69AF763B3C4}"/>
    <cellStyle name="Percent 12 7 7" xfId="16584" xr:uid="{00000000-0005-0000-0000-0000EC250000}"/>
    <cellStyle name="Percent 12 7 7 2" xfId="42486" xr:uid="{83453150-E66E-482D-8DEC-D2FA6BDA3446}"/>
    <cellStyle name="Percent 12 7 8" xfId="8229" xr:uid="{00000000-0005-0000-0000-0000ED250000}"/>
    <cellStyle name="Percent 12 7 8 2" xfId="42487" xr:uid="{1F44A717-DB02-4BD7-B6EF-303F86C45064}"/>
    <cellStyle name="Percent 12 7 9" xfId="16710" xr:uid="{178AC03D-A17F-4837-ACB8-0F987A65D129}"/>
    <cellStyle name="Percent 12 7 9 2" xfId="33438" xr:uid="{01E31AEE-93F7-48A7-9871-BE1CF91A44EC}"/>
    <cellStyle name="Percent 12 7 9 3" xfId="42488" xr:uid="{84F74442-C5F3-496E-9D91-07253162C2F1}"/>
    <cellStyle name="Percent 12 8" xfId="2545" xr:uid="{00000000-0005-0000-0000-0000EE250000}"/>
    <cellStyle name="Percent 12 8 2" xfId="4489" xr:uid="{00000000-0005-0000-0000-0000EF250000}"/>
    <cellStyle name="Percent 12 8 2 2" xfId="9759" xr:uid="{00000000-0005-0000-0000-0000F0250000}"/>
    <cellStyle name="Percent 12 8 2 2 2" xfId="42491" xr:uid="{34DF6F45-1D71-4FEC-A99C-207AA081F5C8}"/>
    <cellStyle name="Percent 12 8 2 3" xfId="16320" xr:uid="{00000000-0005-0000-0000-0000F1250000}"/>
    <cellStyle name="Percent 12 8 2 3 2" xfId="42492" xr:uid="{59BBC004-02C1-4AEB-B824-C55318E0D8E5}"/>
    <cellStyle name="Percent 12 8 2 4" xfId="8235" xr:uid="{00000000-0005-0000-0000-0000F2250000}"/>
    <cellStyle name="Percent 12 8 2 4 2" xfId="42493" xr:uid="{8D9ADA08-EEE2-44D2-89D5-81F2A20665FF}"/>
    <cellStyle name="Percent 12 8 2 5" xfId="42494" xr:uid="{21D1DA2B-3BD6-4EEE-B4ED-E56CFAB20A88}"/>
    <cellStyle name="Percent 12 8 2 6" xfId="42490" xr:uid="{0B87A667-254A-4F6F-9CB6-3C2548D80F46}"/>
    <cellStyle name="Percent 12 8 3" xfId="6401" xr:uid="{00000000-0005-0000-0000-0000F3250000}"/>
    <cellStyle name="Percent 12 8 3 2" xfId="14836" xr:uid="{00000000-0005-0000-0000-0000F4250000}"/>
    <cellStyle name="Percent 12 8 3 2 2" xfId="42496" xr:uid="{2D200B2D-7B9D-4B92-B030-2F434AD308AC}"/>
    <cellStyle name="Percent 12 8 3 3" xfId="13495" xr:uid="{00000000-0005-0000-0000-0000F5250000}"/>
    <cellStyle name="Percent 12 8 3 3 2" xfId="42497" xr:uid="{5FDFA369-98FF-4338-A28C-61357B0AA0E7}"/>
    <cellStyle name="Percent 12 8 3 4" xfId="8236" xr:uid="{00000000-0005-0000-0000-0000F6250000}"/>
    <cellStyle name="Percent 12 8 3 4 2" xfId="42498" xr:uid="{FA2CFD7E-C85F-4FC5-A4C5-EE096E2894B9}"/>
    <cellStyle name="Percent 12 8 3 5" xfId="42495" xr:uid="{1D87675D-E3D6-48DF-A80E-463D5589CFA2}"/>
    <cellStyle name="Percent 12 8 4" xfId="9758" xr:uid="{00000000-0005-0000-0000-0000F7250000}"/>
    <cellStyle name="Percent 12 8 4 2" xfId="42499" xr:uid="{A53C050F-C5CC-4297-A56A-340DAA886731}"/>
    <cellStyle name="Percent 12 8 5" xfId="13785" xr:uid="{00000000-0005-0000-0000-0000F8250000}"/>
    <cellStyle name="Percent 12 8 5 2" xfId="42500" xr:uid="{A7ED2DB5-21A8-464F-A683-19A3DFA91E67}"/>
    <cellStyle name="Percent 12 8 6" xfId="8234" xr:uid="{00000000-0005-0000-0000-0000F9250000}"/>
    <cellStyle name="Percent 12 8 6 2" xfId="42501" xr:uid="{6F4BEA01-42CC-454C-BC3D-E2EE3ABD7109}"/>
    <cellStyle name="Percent 12 8 7" xfId="42489" xr:uid="{5ABB7D84-D3D0-465F-B636-DFA407E03EED}"/>
    <cellStyle name="Percent 12 9" xfId="2546" xr:uid="{00000000-0005-0000-0000-0000FA250000}"/>
    <cellStyle name="Percent 12 9 2" xfId="9760" xr:uid="{00000000-0005-0000-0000-0000FB250000}"/>
    <cellStyle name="Percent 12 9 2 2" xfId="42503" xr:uid="{794ECCF1-17A5-4479-824A-BCE6F51013AF}"/>
    <cellStyle name="Percent 12 9 3" xfId="13741" xr:uid="{00000000-0005-0000-0000-0000FC250000}"/>
    <cellStyle name="Percent 12 9 3 2" xfId="42504" xr:uid="{15908ED7-1416-4832-8AE9-4FC7703974F2}"/>
    <cellStyle name="Percent 12 9 4" xfId="8237" xr:uid="{00000000-0005-0000-0000-0000FD250000}"/>
    <cellStyle name="Percent 12 9 4 2" xfId="42505" xr:uid="{A23EA0BE-28D6-4936-B49D-49E7444E9FF0}"/>
    <cellStyle name="Percent 12 9 5" xfId="42502" xr:uid="{069E447A-F7DC-400C-8056-B37FAB73CAE4}"/>
    <cellStyle name="Percent 13" xfId="4490" xr:uid="{00000000-0005-0000-0000-0000FE250000}"/>
    <cellStyle name="Percent 13 10" xfId="2547" xr:uid="{00000000-0005-0000-0000-0000FF250000}"/>
    <cellStyle name="Percent 13 10 2" xfId="9762" xr:uid="{00000000-0005-0000-0000-000000260000}"/>
    <cellStyle name="Percent 13 10 2 2" xfId="42508" xr:uid="{2BD12818-9ED8-4D2E-BA99-E35D77E8393D}"/>
    <cellStyle name="Percent 13 10 3" xfId="16664" xr:uid="{00000000-0005-0000-0000-000001260000}"/>
    <cellStyle name="Percent 13 10 3 2" xfId="42509" xr:uid="{B9AB94B0-BF77-4819-85C3-C4EF9F799F20}"/>
    <cellStyle name="Percent 13 10 4" xfId="8239" xr:uid="{00000000-0005-0000-0000-000002260000}"/>
    <cellStyle name="Percent 13 10 4 2" xfId="42510" xr:uid="{EBE040F8-CE8A-4704-8A54-D4A1EFB9A298}"/>
    <cellStyle name="Percent 13 10 5" xfId="42507" xr:uid="{6EF60F5D-3DD8-4418-863A-FB6186C87063}"/>
    <cellStyle name="Percent 13 11" xfId="9761" xr:uid="{00000000-0005-0000-0000-000003260000}"/>
    <cellStyle name="Percent 13 11 2" xfId="42512" xr:uid="{85A1E2A7-1E2B-4249-B377-E31A036AB263}"/>
    <cellStyle name="Percent 13 11 3" xfId="42511" xr:uid="{43B22C2F-2746-401D-BF48-32FCE4579F0C}"/>
    <cellStyle name="Percent 13 12" xfId="12724" xr:uid="{00000000-0005-0000-0000-000004260000}"/>
    <cellStyle name="Percent 13 12 2" xfId="42513" xr:uid="{3C071268-F760-4BAF-AC64-970C82B582FC}"/>
    <cellStyle name="Percent 13 13" xfId="8238" xr:uid="{00000000-0005-0000-0000-000005260000}"/>
    <cellStyle name="Percent 13 13 2" xfId="42514" xr:uid="{5F63AD25-A0B3-46F6-980D-5277C9B64358}"/>
    <cellStyle name="Percent 13 14" xfId="42515" xr:uid="{F7475028-8A60-40AF-B999-D600F7FC9FA2}"/>
    <cellStyle name="Percent 13 15" xfId="42506" xr:uid="{11A6C267-9CC5-4C22-A945-7B39302DC46E}"/>
    <cellStyle name="Percent 13 2" xfId="2548" xr:uid="{00000000-0005-0000-0000-000006260000}"/>
    <cellStyle name="Percent 13 2 2" xfId="4491" xr:uid="{00000000-0005-0000-0000-000007260000}"/>
    <cellStyle name="Percent 13 2 2 2" xfId="9764" xr:uid="{00000000-0005-0000-0000-000008260000}"/>
    <cellStyle name="Percent 13 2 2 2 2" xfId="42518" xr:uid="{2FB78605-70F0-43C7-B532-E72FF1318F6B}"/>
    <cellStyle name="Percent 13 2 2 3" xfId="12898" xr:uid="{00000000-0005-0000-0000-000009260000}"/>
    <cellStyle name="Percent 13 2 2 3 2" xfId="42519" xr:uid="{0B57F626-6B35-406B-A6BD-18BC0ED7D1B3}"/>
    <cellStyle name="Percent 13 2 2 4" xfId="8241" xr:uid="{00000000-0005-0000-0000-00000A260000}"/>
    <cellStyle name="Percent 13 2 2 4 2" xfId="42520" xr:uid="{02A9A315-146A-4CF9-90F0-861D7A0407A0}"/>
    <cellStyle name="Percent 13 2 2 5" xfId="42521" xr:uid="{AFC22646-1984-4D5E-BCB0-5ECA3E630230}"/>
    <cellStyle name="Percent 13 2 2 6" xfId="42517" xr:uid="{4CDD1156-2232-486C-BDB2-EDFAC5F72260}"/>
    <cellStyle name="Percent 13 2 3" xfId="6402" xr:uid="{00000000-0005-0000-0000-00000B260000}"/>
    <cellStyle name="Percent 13 2 3 2" xfId="14837" xr:uid="{00000000-0005-0000-0000-00000C260000}"/>
    <cellStyle name="Percent 13 2 3 2 2" xfId="42523" xr:uid="{F144B813-8066-4EC2-8842-688EFB1BB8C2}"/>
    <cellStyle name="Percent 13 2 3 3" xfId="13511" xr:uid="{00000000-0005-0000-0000-00000D260000}"/>
    <cellStyle name="Percent 13 2 3 3 2" xfId="42524" xr:uid="{BF5DA1B7-07BB-4776-84D0-EF313768920C}"/>
    <cellStyle name="Percent 13 2 3 4" xfId="8242" xr:uid="{00000000-0005-0000-0000-00000E260000}"/>
    <cellStyle name="Percent 13 2 3 4 2" xfId="42525" xr:uid="{DE4BAB59-BBEB-4DF4-B9D2-E6251B7FAAB6}"/>
    <cellStyle name="Percent 13 2 3 5" xfId="42522" xr:uid="{7AADE39C-2809-4165-B6A2-02D9F965DB3C}"/>
    <cellStyle name="Percent 13 2 4" xfId="9763" xr:uid="{00000000-0005-0000-0000-00000F260000}"/>
    <cellStyle name="Percent 13 2 4 2" xfId="42526" xr:uid="{CD449487-7724-4827-BF97-5CA7B37ECE17}"/>
    <cellStyle name="Percent 13 2 5" xfId="16675" xr:uid="{00000000-0005-0000-0000-000010260000}"/>
    <cellStyle name="Percent 13 2 5 2" xfId="42527" xr:uid="{4F7F09EF-1E9B-4318-AD1C-7D18BDB74F39}"/>
    <cellStyle name="Percent 13 2 6" xfId="8240" xr:uid="{00000000-0005-0000-0000-000011260000}"/>
    <cellStyle name="Percent 13 2 6 2" xfId="42528" xr:uid="{559E7898-214C-47FD-B3B8-72E6C6B91135}"/>
    <cellStyle name="Percent 13 2 7" xfId="42516" xr:uid="{50182CD9-3CC1-445B-B9EE-304835FD4817}"/>
    <cellStyle name="Percent 13 3" xfId="2549" xr:uid="{00000000-0005-0000-0000-000012260000}"/>
    <cellStyle name="Percent 13 3 2" xfId="4492" xr:uid="{00000000-0005-0000-0000-000013260000}"/>
    <cellStyle name="Percent 13 3 2 2" xfId="9766" xr:uid="{00000000-0005-0000-0000-000014260000}"/>
    <cellStyle name="Percent 13 3 2 2 2" xfId="42531" xr:uid="{BEB68E43-4580-48C0-9A11-B693B13B8344}"/>
    <cellStyle name="Percent 13 3 2 3" xfId="12513" xr:uid="{00000000-0005-0000-0000-000015260000}"/>
    <cellStyle name="Percent 13 3 2 3 2" xfId="42532" xr:uid="{F2DCB629-E87B-49BF-9315-629984326AA4}"/>
    <cellStyle name="Percent 13 3 2 4" xfId="8244" xr:uid="{00000000-0005-0000-0000-000016260000}"/>
    <cellStyle name="Percent 13 3 2 4 2" xfId="42533" xr:uid="{FBCFF545-649D-4547-AC9D-AE5A9D4D6E61}"/>
    <cellStyle name="Percent 13 3 2 5" xfId="42534" xr:uid="{B1EAAFD9-511F-4967-820B-59D9E50D0990}"/>
    <cellStyle name="Percent 13 3 2 6" xfId="42530" xr:uid="{5E918FF2-0A1A-429E-B4F8-F3BD7D5C6DAC}"/>
    <cellStyle name="Percent 13 3 3" xfId="6403" xr:uid="{00000000-0005-0000-0000-000017260000}"/>
    <cellStyle name="Percent 13 3 3 2" xfId="14838" xr:uid="{00000000-0005-0000-0000-000018260000}"/>
    <cellStyle name="Percent 13 3 3 2 2" xfId="42536" xr:uid="{D9141172-C749-450F-9BCF-DD81F175C3FF}"/>
    <cellStyle name="Percent 13 3 3 3" xfId="16620" xr:uid="{00000000-0005-0000-0000-000019260000}"/>
    <cellStyle name="Percent 13 3 3 3 2" xfId="42537" xr:uid="{C45C12D0-6484-4B65-BE0E-2C422C24C46C}"/>
    <cellStyle name="Percent 13 3 3 4" xfId="8245" xr:uid="{00000000-0005-0000-0000-00001A260000}"/>
    <cellStyle name="Percent 13 3 3 4 2" xfId="42538" xr:uid="{B5EA1DE6-A160-440E-B168-91799318F9B1}"/>
    <cellStyle name="Percent 13 3 3 5" xfId="42535" xr:uid="{3A438728-5DCB-48C8-8A45-CF4EB939F5A2}"/>
    <cellStyle name="Percent 13 3 4" xfId="9765" xr:uid="{00000000-0005-0000-0000-00001B260000}"/>
    <cellStyle name="Percent 13 3 4 2" xfId="42539" xr:uid="{5FE74E19-22E5-4115-A3D7-C1A759AD5673}"/>
    <cellStyle name="Percent 13 3 5" xfId="16636" xr:uid="{00000000-0005-0000-0000-00001C260000}"/>
    <cellStyle name="Percent 13 3 5 2" xfId="42540" xr:uid="{1D39159B-CC47-4602-AC5A-A11BFB459CD8}"/>
    <cellStyle name="Percent 13 3 6" xfId="8243" xr:uid="{00000000-0005-0000-0000-00001D260000}"/>
    <cellStyle name="Percent 13 3 6 2" xfId="42541" xr:uid="{EF24D7F5-515B-44A8-8BE1-865EDBC6BDEC}"/>
    <cellStyle name="Percent 13 3 7" xfId="42529" xr:uid="{6015318E-5949-4F5E-815E-6907A1665B99}"/>
    <cellStyle name="Percent 13 4" xfId="2550" xr:uid="{00000000-0005-0000-0000-00001E260000}"/>
    <cellStyle name="Percent 13 4 2" xfId="4493" xr:uid="{00000000-0005-0000-0000-00001F260000}"/>
    <cellStyle name="Percent 13 4 2 2" xfId="9768" xr:uid="{00000000-0005-0000-0000-000020260000}"/>
    <cellStyle name="Percent 13 4 2 2 2" xfId="42544" xr:uid="{03C627C7-166B-420B-ABC3-4DB8EAFC457B}"/>
    <cellStyle name="Percent 13 4 2 3" xfId="16287" xr:uid="{00000000-0005-0000-0000-000021260000}"/>
    <cellStyle name="Percent 13 4 2 3 2" xfId="42545" xr:uid="{4DE0D28A-4408-414C-8E77-AF38B10483A9}"/>
    <cellStyle name="Percent 13 4 2 4" xfId="8247" xr:uid="{00000000-0005-0000-0000-000022260000}"/>
    <cellStyle name="Percent 13 4 2 4 2" xfId="42546" xr:uid="{A0F495B1-FBF5-4648-A106-653695E58439}"/>
    <cellStyle name="Percent 13 4 2 5" xfId="42547" xr:uid="{2BCDF42F-D0DE-4945-A698-7649EFA2C527}"/>
    <cellStyle name="Percent 13 4 2 6" xfId="42543" xr:uid="{4FA85526-FD87-420C-AAD8-B1955186E275}"/>
    <cellStyle name="Percent 13 4 3" xfId="6404" xr:uid="{00000000-0005-0000-0000-000023260000}"/>
    <cellStyle name="Percent 13 4 3 2" xfId="14839" xr:uid="{00000000-0005-0000-0000-000024260000}"/>
    <cellStyle name="Percent 13 4 3 2 2" xfId="42549" xr:uid="{6CA098DE-7421-4B84-86C9-B4B0698EE624}"/>
    <cellStyle name="Percent 13 4 3 3" xfId="12789" xr:uid="{00000000-0005-0000-0000-000025260000}"/>
    <cellStyle name="Percent 13 4 3 3 2" xfId="42550" xr:uid="{84E27E4D-4155-420B-A331-775D1C19CDD0}"/>
    <cellStyle name="Percent 13 4 3 4" xfId="8248" xr:uid="{00000000-0005-0000-0000-000026260000}"/>
    <cellStyle name="Percent 13 4 3 4 2" xfId="42551" xr:uid="{248269FC-91F5-438C-82B4-1F3044AC7347}"/>
    <cellStyle name="Percent 13 4 3 5" xfId="42548" xr:uid="{68CC39E8-83D0-4A3F-A07F-6F7CA5D59B30}"/>
    <cellStyle name="Percent 13 4 4" xfId="9767" xr:uid="{00000000-0005-0000-0000-000027260000}"/>
    <cellStyle name="Percent 13 4 4 2" xfId="42552" xr:uid="{FDD50CD2-23B8-481B-B053-E056C66428B8}"/>
    <cellStyle name="Percent 13 4 5" xfId="16171" xr:uid="{00000000-0005-0000-0000-000028260000}"/>
    <cellStyle name="Percent 13 4 5 2" xfId="42553" xr:uid="{C8B1514C-8CFE-46EC-BC48-578075E4576F}"/>
    <cellStyle name="Percent 13 4 6" xfId="8246" xr:uid="{00000000-0005-0000-0000-000029260000}"/>
    <cellStyle name="Percent 13 4 6 2" xfId="42554" xr:uid="{D2A3FD01-7BBD-4F02-8FC1-36D42C594857}"/>
    <cellStyle name="Percent 13 4 7" xfId="42542" xr:uid="{01A16431-1CB6-49C6-9BD9-887225A34334}"/>
    <cellStyle name="Percent 13 5" xfId="2551" xr:uid="{00000000-0005-0000-0000-00002A260000}"/>
    <cellStyle name="Percent 13 5 2" xfId="4494" xr:uid="{00000000-0005-0000-0000-00002B260000}"/>
    <cellStyle name="Percent 13 5 2 2" xfId="9770" xr:uid="{00000000-0005-0000-0000-00002C260000}"/>
    <cellStyle name="Percent 13 5 2 2 2" xfId="42557" xr:uid="{0210EDF4-9F1D-4994-BC1C-7F968AC01822}"/>
    <cellStyle name="Percent 13 5 2 3" xfId="16329" xr:uid="{00000000-0005-0000-0000-00002D260000}"/>
    <cellStyle name="Percent 13 5 2 3 2" xfId="42558" xr:uid="{7121D1A5-1033-4C8A-989F-05661DE21BA5}"/>
    <cellStyle name="Percent 13 5 2 4" xfId="8250" xr:uid="{00000000-0005-0000-0000-00002E260000}"/>
    <cellStyle name="Percent 13 5 2 4 2" xfId="42559" xr:uid="{730A147D-2E04-4EE1-9C6D-8675C61C9D42}"/>
    <cellStyle name="Percent 13 5 2 5" xfId="42560" xr:uid="{1776A99F-6095-4117-BB14-BC0C4793FC58}"/>
    <cellStyle name="Percent 13 5 2 6" xfId="42556" xr:uid="{A149E6EE-DF37-41F0-AA94-7C307F1DB06D}"/>
    <cellStyle name="Percent 13 5 3" xfId="6405" xr:uid="{00000000-0005-0000-0000-00002F260000}"/>
    <cellStyle name="Percent 13 5 3 2" xfId="14840" xr:uid="{00000000-0005-0000-0000-000030260000}"/>
    <cellStyle name="Percent 13 5 3 2 2" xfId="42562" xr:uid="{AB7B4DD1-806A-4B4F-92DD-A04537B2896B}"/>
    <cellStyle name="Percent 13 5 3 3" xfId="12468" xr:uid="{00000000-0005-0000-0000-000031260000}"/>
    <cellStyle name="Percent 13 5 3 3 2" xfId="42563" xr:uid="{EFE359B0-7E25-4C48-A27A-B17391D0EDED}"/>
    <cellStyle name="Percent 13 5 3 4" xfId="8251" xr:uid="{00000000-0005-0000-0000-000032260000}"/>
    <cellStyle name="Percent 13 5 3 4 2" xfId="42564" xr:uid="{4F4010BE-006B-4B56-A8DD-F725D08B09B5}"/>
    <cellStyle name="Percent 13 5 3 5" xfId="42561" xr:uid="{93AA89F9-FBC4-4CF3-8DA1-94688B798863}"/>
    <cellStyle name="Percent 13 5 4" xfId="9769" xr:uid="{00000000-0005-0000-0000-000033260000}"/>
    <cellStyle name="Percent 13 5 4 2" xfId="42565" xr:uid="{6D903427-DF44-4D13-B77F-B473063EA1CC}"/>
    <cellStyle name="Percent 13 5 5" xfId="16294" xr:uid="{00000000-0005-0000-0000-000034260000}"/>
    <cellStyle name="Percent 13 5 5 2" xfId="42566" xr:uid="{AB16F429-12A0-4046-8CCE-5B96E718D676}"/>
    <cellStyle name="Percent 13 5 6" xfId="8249" xr:uid="{00000000-0005-0000-0000-000035260000}"/>
    <cellStyle name="Percent 13 5 6 2" xfId="42567" xr:uid="{092DE42D-C3B6-49C4-9758-EF8740D5CCDC}"/>
    <cellStyle name="Percent 13 5 7" xfId="42555" xr:uid="{14243CEA-198A-4DB4-8996-27F4702E67A9}"/>
    <cellStyle name="Percent 13 6" xfId="2552" xr:uid="{00000000-0005-0000-0000-000036260000}"/>
    <cellStyle name="Percent 13 6 2" xfId="4495" xr:uid="{00000000-0005-0000-0000-000037260000}"/>
    <cellStyle name="Percent 13 6 2 2" xfId="9772" xr:uid="{00000000-0005-0000-0000-000038260000}"/>
    <cellStyle name="Percent 13 6 2 2 2" xfId="42570" xr:uid="{1849B462-153F-4903-801F-A89956CAB19F}"/>
    <cellStyle name="Percent 13 6 2 3" xfId="16489" xr:uid="{00000000-0005-0000-0000-000039260000}"/>
    <cellStyle name="Percent 13 6 2 3 2" xfId="42571" xr:uid="{9C3C4344-534F-4B35-9F17-B93DAA61953F}"/>
    <cellStyle name="Percent 13 6 2 4" xfId="8253" xr:uid="{00000000-0005-0000-0000-00003A260000}"/>
    <cellStyle name="Percent 13 6 2 4 2" xfId="42572" xr:uid="{D4D8153A-6BCF-4D3B-BA8A-EAA6D38AE4D9}"/>
    <cellStyle name="Percent 13 6 2 5" xfId="42573" xr:uid="{0D2C3456-5D40-466A-886D-256738EDC313}"/>
    <cellStyle name="Percent 13 6 2 6" xfId="42569" xr:uid="{0EAF790C-F645-4AC9-BAFA-174A43669459}"/>
    <cellStyle name="Percent 13 6 3" xfId="6406" xr:uid="{00000000-0005-0000-0000-00003B260000}"/>
    <cellStyle name="Percent 13 6 3 2" xfId="14841" xr:uid="{00000000-0005-0000-0000-00003C260000}"/>
    <cellStyle name="Percent 13 6 3 2 2" xfId="42575" xr:uid="{BE0AC44E-F4AA-4EA1-A9CE-BA86B2A548B3}"/>
    <cellStyle name="Percent 13 6 3 3" xfId="13902" xr:uid="{00000000-0005-0000-0000-00003D260000}"/>
    <cellStyle name="Percent 13 6 3 3 2" xfId="42576" xr:uid="{C48FB9EB-B6D5-4E96-9B97-CE912632F5AF}"/>
    <cellStyle name="Percent 13 6 3 4" xfId="8254" xr:uid="{00000000-0005-0000-0000-00003E260000}"/>
    <cellStyle name="Percent 13 6 3 4 2" xfId="42577" xr:uid="{DBA28A41-D526-45D2-BD08-EFC2DB77A8C0}"/>
    <cellStyle name="Percent 13 6 3 5" xfId="42574" xr:uid="{65FC61EF-F55A-44CA-B907-367162273255}"/>
    <cellStyle name="Percent 13 6 4" xfId="9771" xr:uid="{00000000-0005-0000-0000-00003F260000}"/>
    <cellStyle name="Percent 13 6 4 2" xfId="42578" xr:uid="{494F654C-016F-45E1-8F7F-CB6D2082A6C2}"/>
    <cellStyle name="Percent 13 6 5" xfId="12494" xr:uid="{00000000-0005-0000-0000-000040260000}"/>
    <cellStyle name="Percent 13 6 5 2" xfId="42579" xr:uid="{778C8136-B9BA-4DFE-A252-253C06423D97}"/>
    <cellStyle name="Percent 13 6 6" xfId="8252" xr:uid="{00000000-0005-0000-0000-000041260000}"/>
    <cellStyle name="Percent 13 6 6 2" xfId="42580" xr:uid="{F9D01D28-6873-42EA-A472-47A52FEE26E1}"/>
    <cellStyle name="Percent 13 6 7" xfId="42568" xr:uid="{1CCCB092-AACF-488A-BDEB-E7FD116E0A7D}"/>
    <cellStyle name="Percent 13 7" xfId="2553" xr:uid="{00000000-0005-0000-0000-000042260000}"/>
    <cellStyle name="Percent 13 7 10" xfId="42581" xr:uid="{817A638D-DFBD-431E-A382-58915C482111}"/>
    <cellStyle name="Percent 13 7 2" xfId="2554" xr:uid="{00000000-0005-0000-0000-000043260000}"/>
    <cellStyle name="Percent 13 7 2 2" xfId="9774" xr:uid="{00000000-0005-0000-0000-000044260000}"/>
    <cellStyle name="Percent 13 7 2 2 2" xfId="42584" xr:uid="{CB52CF5A-D119-456F-9D7D-C1BDAB7A3780}"/>
    <cellStyle name="Percent 13 7 2 2 3" xfId="42583" xr:uid="{1DF5A3CF-500C-44FB-A751-266CBAEC2875}"/>
    <cellStyle name="Percent 13 7 2 3" xfId="16160" xr:uid="{00000000-0005-0000-0000-000045260000}"/>
    <cellStyle name="Percent 13 7 2 3 2" xfId="42586" xr:uid="{6FEB1345-F0D8-4E8F-BCD8-386E883F7BAE}"/>
    <cellStyle name="Percent 13 7 2 3 3" xfId="42585" xr:uid="{B48BB521-432E-4692-88C8-8EF71AB7AA13}"/>
    <cellStyle name="Percent 13 7 2 4" xfId="8256" xr:uid="{00000000-0005-0000-0000-000046260000}"/>
    <cellStyle name="Percent 13 7 2 4 2" xfId="42587" xr:uid="{98056C79-D04F-498A-A9D8-8505E0098A18}"/>
    <cellStyle name="Percent 13 7 2 5" xfId="42582" xr:uid="{1F5C5B06-ADBF-4E5F-8FB9-EC692E8B0E05}"/>
    <cellStyle name="Percent 13 7 3" xfId="2555" xr:uid="{00000000-0005-0000-0000-000047260000}"/>
    <cellStyle name="Percent 13 7 3 2" xfId="9775" xr:uid="{00000000-0005-0000-0000-000048260000}"/>
    <cellStyle name="Percent 13 7 3 2 2" xfId="42590" xr:uid="{F0E30B02-89C0-4475-8AE8-3D5CB271E50E}"/>
    <cellStyle name="Percent 13 7 3 2 3" xfId="42589" xr:uid="{3E76148C-324D-4F06-868B-3116B17D1F8C}"/>
    <cellStyle name="Percent 13 7 3 3" xfId="13769" xr:uid="{00000000-0005-0000-0000-000049260000}"/>
    <cellStyle name="Percent 13 7 3 3 2" xfId="42592" xr:uid="{2321B040-0D04-4E7E-AB84-FC0BC8FFD1CF}"/>
    <cellStyle name="Percent 13 7 3 3 3" xfId="42591" xr:uid="{A166DB81-C924-4D7E-B0DC-DE74EA8D7F98}"/>
    <cellStyle name="Percent 13 7 3 4" xfId="8257" xr:uid="{00000000-0005-0000-0000-00004A260000}"/>
    <cellStyle name="Percent 13 7 3 4 2" xfId="42593" xr:uid="{E2F33ED9-47C8-4179-B6D7-D009AB5115BE}"/>
    <cellStyle name="Percent 13 7 3 5" xfId="42588" xr:uid="{2F85F61E-E07C-4FDD-AB70-A8AE93592C4E}"/>
    <cellStyle name="Percent 13 7 4" xfId="4496" xr:uid="{00000000-0005-0000-0000-00004B260000}"/>
    <cellStyle name="Percent 13 7 4 2" xfId="9776" xr:uid="{00000000-0005-0000-0000-00004C260000}"/>
    <cellStyle name="Percent 13 7 4 2 2" xfId="42596" xr:uid="{1844AEF0-125E-42C7-BFC4-924DAA88EB95}"/>
    <cellStyle name="Percent 13 7 4 2 3" xfId="42597" xr:uid="{910D6B47-1F87-4F63-8E52-30CCB8DCD3A2}"/>
    <cellStyle name="Percent 13 7 4 2 4" xfId="42595" xr:uid="{3BD1E6A9-DD26-422C-B9D4-62B465F1B47A}"/>
    <cellStyle name="Percent 13 7 4 2 5" xfId="49845" xr:uid="{2E687E8E-CB70-4EB1-97AE-2BE59A37A7D7}"/>
    <cellStyle name="Percent 13 7 4 3" xfId="16227" xr:uid="{00000000-0005-0000-0000-00004D260000}"/>
    <cellStyle name="Percent 13 7 4 3 2" xfId="42599" xr:uid="{FF9A0377-5A83-4A79-837C-3A1798B3883B}"/>
    <cellStyle name="Percent 13 7 4 3 3" xfId="42598" xr:uid="{1933CC3F-E70C-43D6-BEE6-2FA0C1EA9222}"/>
    <cellStyle name="Percent 13 7 4 4" xfId="8258" xr:uid="{00000000-0005-0000-0000-00004E260000}"/>
    <cellStyle name="Percent 13 7 4 4 2" xfId="42600" xr:uid="{D6488CCF-C5B2-4163-BA8D-5D083A04B122}"/>
    <cellStyle name="Percent 13 7 4 5" xfId="42601" xr:uid="{390D9FC8-3420-4DB3-80D9-85E99E1A47B2}"/>
    <cellStyle name="Percent 13 7 4 6" xfId="42594" xr:uid="{182733D8-ABAF-417B-AEDE-C1C19FF4DF3A}"/>
    <cellStyle name="Percent 13 7 4 7" xfId="49844" xr:uid="{335313AF-28C2-4FF1-9AA7-201122120254}"/>
    <cellStyle name="Percent 13 7 5" xfId="6407" xr:uid="{00000000-0005-0000-0000-00004F260000}"/>
    <cellStyle name="Percent 13 7 5 2" xfId="14842" xr:uid="{00000000-0005-0000-0000-000050260000}"/>
    <cellStyle name="Percent 13 7 5 2 2" xfId="42603" xr:uid="{9C68CFA8-3167-4E6C-9998-9B5C12DBA9BB}"/>
    <cellStyle name="Percent 13 7 5 3" xfId="16370" xr:uid="{00000000-0005-0000-0000-000051260000}"/>
    <cellStyle name="Percent 13 7 5 3 2" xfId="42604" xr:uid="{685AFFF9-545D-4FAC-874E-D8AE32DDA6CC}"/>
    <cellStyle name="Percent 13 7 5 4" xfId="8259" xr:uid="{00000000-0005-0000-0000-000052260000}"/>
    <cellStyle name="Percent 13 7 5 4 2" xfId="42605" xr:uid="{FE590497-52CD-4B25-AB31-67CD7A6A7ACA}"/>
    <cellStyle name="Percent 13 7 5 5" xfId="42602" xr:uid="{5528EF77-9A29-4B9E-B8CE-9FB4CFA45DB0}"/>
    <cellStyle name="Percent 13 7 6" xfId="9773" xr:uid="{00000000-0005-0000-0000-000053260000}"/>
    <cellStyle name="Percent 13 7 6 2" xfId="42606" xr:uid="{674013B1-DB38-4F6B-9A6C-455AC3E269D6}"/>
    <cellStyle name="Percent 13 7 7" xfId="12938" xr:uid="{00000000-0005-0000-0000-000054260000}"/>
    <cellStyle name="Percent 13 7 7 2" xfId="42607" xr:uid="{F1CC975D-B458-41EF-8370-0358C6706C45}"/>
    <cellStyle name="Percent 13 7 8" xfId="8255" xr:uid="{00000000-0005-0000-0000-000055260000}"/>
    <cellStyle name="Percent 13 7 8 2" xfId="42608" xr:uid="{B8A48B41-B996-4A0E-A8C1-45920086EBB0}"/>
    <cellStyle name="Percent 13 7 9" xfId="16711" xr:uid="{25EADCD4-C7DC-4DB2-855C-5A98C90A6F61}"/>
    <cellStyle name="Percent 13 7 9 2" xfId="33439" xr:uid="{01A9F165-7B2F-4B71-8204-6AEF808C781F}"/>
    <cellStyle name="Percent 13 7 9 3" xfId="42609" xr:uid="{206C88DD-C6E0-4829-81FA-D706871F8D3C}"/>
    <cellStyle name="Percent 13 8" xfId="2556" xr:uid="{00000000-0005-0000-0000-000056260000}"/>
    <cellStyle name="Percent 13 8 2" xfId="4497" xr:uid="{00000000-0005-0000-0000-000057260000}"/>
    <cellStyle name="Percent 13 8 2 2" xfId="9778" xr:uid="{00000000-0005-0000-0000-000058260000}"/>
    <cellStyle name="Percent 13 8 2 2 2" xfId="42612" xr:uid="{83265006-9A65-4DDC-83EA-9A48D63CA29D}"/>
    <cellStyle name="Percent 13 8 2 3" xfId="16611" xr:uid="{00000000-0005-0000-0000-000059260000}"/>
    <cellStyle name="Percent 13 8 2 3 2" xfId="42613" xr:uid="{D2273469-3D9A-419C-AC29-B45FDD94C00F}"/>
    <cellStyle name="Percent 13 8 2 4" xfId="8261" xr:uid="{00000000-0005-0000-0000-00005A260000}"/>
    <cellStyle name="Percent 13 8 2 4 2" xfId="42614" xr:uid="{72642F8B-F6BC-41DE-B04A-A2ABCEDB5424}"/>
    <cellStyle name="Percent 13 8 2 5" xfId="42615" xr:uid="{DC225F59-7342-4957-BB7B-1FFECA8099C0}"/>
    <cellStyle name="Percent 13 8 2 6" xfId="42611" xr:uid="{FBCF623F-54FB-47DB-BA98-A95845C663B1}"/>
    <cellStyle name="Percent 13 8 3" xfId="6408" xr:uid="{00000000-0005-0000-0000-00005B260000}"/>
    <cellStyle name="Percent 13 8 3 2" xfId="14843" xr:uid="{00000000-0005-0000-0000-00005C260000}"/>
    <cellStyle name="Percent 13 8 3 2 2" xfId="42617" xr:uid="{F1DA984E-52F3-45B0-96AE-D5FD7EF90057}"/>
    <cellStyle name="Percent 13 8 3 3" xfId="12921" xr:uid="{00000000-0005-0000-0000-00005D260000}"/>
    <cellStyle name="Percent 13 8 3 3 2" xfId="42618" xr:uid="{9AC444C2-DE4F-47FF-B360-39E2DE9F18B2}"/>
    <cellStyle name="Percent 13 8 3 4" xfId="8262" xr:uid="{00000000-0005-0000-0000-00005E260000}"/>
    <cellStyle name="Percent 13 8 3 4 2" xfId="42619" xr:uid="{9FE3F4E8-4AF8-4EED-8298-3577DF0BE011}"/>
    <cellStyle name="Percent 13 8 3 5" xfId="42616" xr:uid="{E53DDF2F-CE4C-42E7-8C55-7DD01A757954}"/>
    <cellStyle name="Percent 13 8 4" xfId="9777" xr:uid="{00000000-0005-0000-0000-00005F260000}"/>
    <cellStyle name="Percent 13 8 4 2" xfId="42620" xr:uid="{3360FC88-174C-4106-9883-FCA4C6C3B77F}"/>
    <cellStyle name="Percent 13 8 5" xfId="12586" xr:uid="{00000000-0005-0000-0000-000060260000}"/>
    <cellStyle name="Percent 13 8 5 2" xfId="42621" xr:uid="{54F25AD6-3D0F-4E18-8F99-DD696532B02A}"/>
    <cellStyle name="Percent 13 8 6" xfId="8260" xr:uid="{00000000-0005-0000-0000-000061260000}"/>
    <cellStyle name="Percent 13 8 6 2" xfId="42622" xr:uid="{FFBA549E-BFF4-46AF-9CBE-89BBA1E22AFC}"/>
    <cellStyle name="Percent 13 8 7" xfId="42610" xr:uid="{7DE91ECF-0429-4007-AA52-6B7E32D150A3}"/>
    <cellStyle name="Percent 13 9" xfId="2557" xr:uid="{00000000-0005-0000-0000-000062260000}"/>
    <cellStyle name="Percent 13 9 2" xfId="9779" xr:uid="{00000000-0005-0000-0000-000063260000}"/>
    <cellStyle name="Percent 13 9 2 2" xfId="42624" xr:uid="{E5ADF280-86B1-441F-97B2-EA9F094F80A2}"/>
    <cellStyle name="Percent 13 9 3" xfId="16314" xr:uid="{00000000-0005-0000-0000-000064260000}"/>
    <cellStyle name="Percent 13 9 3 2" xfId="42625" xr:uid="{AA8AE8DF-FD24-4265-9CB9-2C9CCE2E00DA}"/>
    <cellStyle name="Percent 13 9 4" xfId="8263" xr:uid="{00000000-0005-0000-0000-000065260000}"/>
    <cellStyle name="Percent 13 9 4 2" xfId="42626" xr:uid="{1F7C60BB-65D8-45FE-B929-B2E861A88908}"/>
    <cellStyle name="Percent 13 9 5" xfId="42623" xr:uid="{8F9774E4-2BC4-4665-BB52-D044651E14E8}"/>
    <cellStyle name="Percent 14" xfId="4498" xr:uid="{00000000-0005-0000-0000-000066260000}"/>
    <cellStyle name="Percent 14 10" xfId="2558" xr:uid="{00000000-0005-0000-0000-000067260000}"/>
    <cellStyle name="Percent 14 10 2" xfId="9781" xr:uid="{00000000-0005-0000-0000-000068260000}"/>
    <cellStyle name="Percent 14 10 2 2" xfId="42629" xr:uid="{EB46C8CD-167F-4F59-B85A-EBC460086314}"/>
    <cellStyle name="Percent 14 10 3" xfId="12636" xr:uid="{00000000-0005-0000-0000-000069260000}"/>
    <cellStyle name="Percent 14 10 3 2" xfId="42630" xr:uid="{49228B53-C6A8-46FB-A270-906FE5E5F19A}"/>
    <cellStyle name="Percent 14 10 4" xfId="8265" xr:uid="{00000000-0005-0000-0000-00006A260000}"/>
    <cellStyle name="Percent 14 10 4 2" xfId="42631" xr:uid="{87EC5E4E-801F-4380-9461-BE1B998F9B35}"/>
    <cellStyle name="Percent 14 10 5" xfId="42628" xr:uid="{B294A838-CE51-4755-8CFC-F228DEFF9BFD}"/>
    <cellStyle name="Percent 14 11" xfId="9780" xr:uid="{00000000-0005-0000-0000-00006B260000}"/>
    <cellStyle name="Percent 14 11 2" xfId="42633" xr:uid="{C1434D67-4422-4EAA-8861-572529144E04}"/>
    <cellStyle name="Percent 14 11 3" xfId="42632" xr:uid="{1C688FA8-883E-4922-B7DD-A379E90B7D26}"/>
    <cellStyle name="Percent 14 12" xfId="12602" xr:uid="{00000000-0005-0000-0000-00006C260000}"/>
    <cellStyle name="Percent 14 12 2" xfId="42634" xr:uid="{BF2CE77E-6480-4E67-B2BA-0CFDCB0E4AC2}"/>
    <cellStyle name="Percent 14 13" xfId="8264" xr:uid="{00000000-0005-0000-0000-00006D260000}"/>
    <cellStyle name="Percent 14 13 2" xfId="42635" xr:uid="{CE112CB9-F8B4-4E2C-8660-F05C2C67082F}"/>
    <cellStyle name="Percent 14 14" xfId="42636" xr:uid="{EE679D95-538A-469C-9629-ADAE6A919975}"/>
    <cellStyle name="Percent 14 15" xfId="42627" xr:uid="{708B4055-239F-4009-960B-DEC44A166E17}"/>
    <cellStyle name="Percent 14 2" xfId="2559" xr:uid="{00000000-0005-0000-0000-00006E260000}"/>
    <cellStyle name="Percent 14 2 2" xfId="4499" xr:uid="{00000000-0005-0000-0000-00006F260000}"/>
    <cellStyle name="Percent 14 2 2 2" xfId="9783" xr:uid="{00000000-0005-0000-0000-000070260000}"/>
    <cellStyle name="Percent 14 2 2 2 2" xfId="42639" xr:uid="{06B29B05-E4DE-458C-B879-4126B629D418}"/>
    <cellStyle name="Percent 14 2 2 3" xfId="13489" xr:uid="{00000000-0005-0000-0000-000071260000}"/>
    <cellStyle name="Percent 14 2 2 3 2" xfId="42640" xr:uid="{64504AA0-2599-461D-8636-5B97F8FA4AA9}"/>
    <cellStyle name="Percent 14 2 2 4" xfId="8267" xr:uid="{00000000-0005-0000-0000-000072260000}"/>
    <cellStyle name="Percent 14 2 2 4 2" xfId="42641" xr:uid="{CF00B22B-A371-4DEC-855D-679BF0545A2E}"/>
    <cellStyle name="Percent 14 2 2 5" xfId="42642" xr:uid="{42AA8723-BEC8-4C05-A58D-9600FDEADCD2}"/>
    <cellStyle name="Percent 14 2 2 6" xfId="42638" xr:uid="{3E14A964-46CE-47CC-A890-4ACD3755D8BA}"/>
    <cellStyle name="Percent 14 2 3" xfId="6409" xr:uid="{00000000-0005-0000-0000-000073260000}"/>
    <cellStyle name="Percent 14 2 3 2" xfId="14844" xr:uid="{00000000-0005-0000-0000-000074260000}"/>
    <cellStyle name="Percent 14 2 3 2 2" xfId="42644" xr:uid="{1AABB593-83C3-4F9B-ABEC-1F43B62F3C08}"/>
    <cellStyle name="Percent 14 2 3 3" xfId="12919" xr:uid="{00000000-0005-0000-0000-000075260000}"/>
    <cellStyle name="Percent 14 2 3 3 2" xfId="42645" xr:uid="{CF5AEF9F-F6CB-4117-9318-AA676A8577A7}"/>
    <cellStyle name="Percent 14 2 3 4" xfId="8268" xr:uid="{00000000-0005-0000-0000-000076260000}"/>
    <cellStyle name="Percent 14 2 3 4 2" xfId="42646" xr:uid="{C940F35B-3825-4656-AA12-59DA03A537FF}"/>
    <cellStyle name="Percent 14 2 3 5" xfId="42643" xr:uid="{6D32A181-B704-44AA-A136-D231510F5AD4}"/>
    <cellStyle name="Percent 14 2 4" xfId="9782" xr:uid="{00000000-0005-0000-0000-000077260000}"/>
    <cellStyle name="Percent 14 2 4 2" xfId="42647" xr:uid="{F55F6B46-4286-4992-B84F-2A6BD1536830}"/>
    <cellStyle name="Percent 14 2 5" xfId="12878" xr:uid="{00000000-0005-0000-0000-000078260000}"/>
    <cellStyle name="Percent 14 2 5 2" xfId="42648" xr:uid="{5851F2A5-7E50-4436-BB65-771981B38D01}"/>
    <cellStyle name="Percent 14 2 6" xfId="8266" xr:uid="{00000000-0005-0000-0000-000079260000}"/>
    <cellStyle name="Percent 14 2 6 2" xfId="42649" xr:uid="{DB044079-2E30-43DC-A00F-BE4D2257D979}"/>
    <cellStyle name="Percent 14 2 7" xfId="42637" xr:uid="{D54FB402-A7FD-4FBF-92E6-687EA32FFCF5}"/>
    <cellStyle name="Percent 14 3" xfId="2560" xr:uid="{00000000-0005-0000-0000-00007A260000}"/>
    <cellStyle name="Percent 14 3 2" xfId="4500" xr:uid="{00000000-0005-0000-0000-00007B260000}"/>
    <cellStyle name="Percent 14 3 2 2" xfId="9785" xr:uid="{00000000-0005-0000-0000-00007C260000}"/>
    <cellStyle name="Percent 14 3 2 2 2" xfId="42652" xr:uid="{B5757C94-6EBC-4C56-B305-B69EA16E7DC5}"/>
    <cellStyle name="Percent 14 3 2 3" xfId="16676" xr:uid="{00000000-0005-0000-0000-00007D260000}"/>
    <cellStyle name="Percent 14 3 2 3 2" xfId="42653" xr:uid="{88D2E46A-C67C-4028-BB3D-25DDEC837990}"/>
    <cellStyle name="Percent 14 3 2 4" xfId="8270" xr:uid="{00000000-0005-0000-0000-00007E260000}"/>
    <cellStyle name="Percent 14 3 2 4 2" xfId="42654" xr:uid="{9493BA99-F04C-42A2-8242-30CC82708B03}"/>
    <cellStyle name="Percent 14 3 2 5" xfId="42655" xr:uid="{61CBB6B4-07B3-48E4-B7E2-7E20198B190C}"/>
    <cellStyle name="Percent 14 3 2 6" xfId="42651" xr:uid="{C62FE549-8429-4A3C-B6D2-3B55328EC1F8}"/>
    <cellStyle name="Percent 14 3 3" xfId="6410" xr:uid="{00000000-0005-0000-0000-00007F260000}"/>
    <cellStyle name="Percent 14 3 3 2" xfId="14845" xr:uid="{00000000-0005-0000-0000-000080260000}"/>
    <cellStyle name="Percent 14 3 3 2 2" xfId="42657" xr:uid="{1B093AD1-29DE-4901-8CC9-73C39F534805}"/>
    <cellStyle name="Percent 14 3 3 3" xfId="12595" xr:uid="{00000000-0005-0000-0000-000081260000}"/>
    <cellStyle name="Percent 14 3 3 3 2" xfId="42658" xr:uid="{A38037DD-2C3E-43F5-AC56-0485FDC3B234}"/>
    <cellStyle name="Percent 14 3 3 4" xfId="8271" xr:uid="{00000000-0005-0000-0000-000082260000}"/>
    <cellStyle name="Percent 14 3 3 4 2" xfId="42659" xr:uid="{C4D41999-0022-4D83-937E-182ECD8EFC43}"/>
    <cellStyle name="Percent 14 3 3 5" xfId="42656" xr:uid="{D51E7E76-3DE6-43D8-8971-00AD336F9600}"/>
    <cellStyle name="Percent 14 3 4" xfId="9784" xr:uid="{00000000-0005-0000-0000-000083260000}"/>
    <cellStyle name="Percent 14 3 4 2" xfId="42660" xr:uid="{64E9CC3A-75C1-441C-870C-0A74D1EFB134}"/>
    <cellStyle name="Percent 14 3 5" xfId="12631" xr:uid="{00000000-0005-0000-0000-000084260000}"/>
    <cellStyle name="Percent 14 3 5 2" xfId="42661" xr:uid="{5A2B6B88-8E8F-49A0-ACCA-E3C705ECF263}"/>
    <cellStyle name="Percent 14 3 6" xfId="8269" xr:uid="{00000000-0005-0000-0000-000085260000}"/>
    <cellStyle name="Percent 14 3 6 2" xfId="42662" xr:uid="{26029EC9-EAFA-4870-B83F-AB01B0290C17}"/>
    <cellStyle name="Percent 14 3 7" xfId="42650" xr:uid="{7AE74DA3-67EF-4838-AD22-60CD08974C1F}"/>
    <cellStyle name="Percent 14 4" xfId="2561" xr:uid="{00000000-0005-0000-0000-000086260000}"/>
    <cellStyle name="Percent 14 4 2" xfId="4501" xr:uid="{00000000-0005-0000-0000-000087260000}"/>
    <cellStyle name="Percent 14 4 2 2" xfId="9787" xr:uid="{00000000-0005-0000-0000-000088260000}"/>
    <cellStyle name="Percent 14 4 2 2 2" xfId="42665" xr:uid="{5577B89B-3BE5-4F14-ADE6-FC261411B9BC}"/>
    <cellStyle name="Percent 14 4 2 3" xfId="12827" xr:uid="{00000000-0005-0000-0000-000089260000}"/>
    <cellStyle name="Percent 14 4 2 3 2" xfId="42666" xr:uid="{BE0F4DA4-AD10-49A1-A61D-87942C9C9A08}"/>
    <cellStyle name="Percent 14 4 2 4" xfId="8273" xr:uid="{00000000-0005-0000-0000-00008A260000}"/>
    <cellStyle name="Percent 14 4 2 4 2" xfId="42667" xr:uid="{E1863C18-A3EE-4E86-8E2B-1B06F18FFCDD}"/>
    <cellStyle name="Percent 14 4 2 5" xfId="42668" xr:uid="{7F3931B4-80AD-4818-83EC-291762EB20B1}"/>
    <cellStyle name="Percent 14 4 2 6" xfId="42664" xr:uid="{7EE53E89-2A12-4675-85E7-73F12004E631}"/>
    <cellStyle name="Percent 14 4 3" xfId="6411" xr:uid="{00000000-0005-0000-0000-00008B260000}"/>
    <cellStyle name="Percent 14 4 3 2" xfId="14846" xr:uid="{00000000-0005-0000-0000-00008C260000}"/>
    <cellStyle name="Percent 14 4 3 2 2" xfId="42670" xr:uid="{F5A22B53-783F-4290-AB4C-54DFED2DF182}"/>
    <cellStyle name="Percent 14 4 3 3" xfId="13913" xr:uid="{00000000-0005-0000-0000-00008D260000}"/>
    <cellStyle name="Percent 14 4 3 3 2" xfId="42671" xr:uid="{605CA4AB-B22F-4A17-AF1B-8A44B36F305D}"/>
    <cellStyle name="Percent 14 4 3 4" xfId="8274" xr:uid="{00000000-0005-0000-0000-00008E260000}"/>
    <cellStyle name="Percent 14 4 3 4 2" xfId="42672" xr:uid="{FB7DDE08-CDF4-44E8-9425-BBB113D7098A}"/>
    <cellStyle name="Percent 14 4 3 5" xfId="42669" xr:uid="{1788C792-7ABE-485E-BD0E-0C16EDA19EB9}"/>
    <cellStyle name="Percent 14 4 4" xfId="9786" xr:uid="{00000000-0005-0000-0000-00008F260000}"/>
    <cellStyle name="Percent 14 4 4 2" xfId="42673" xr:uid="{C60BCFAE-8675-414B-ADBE-79FA904CB392}"/>
    <cellStyle name="Percent 14 4 5" xfId="13501" xr:uid="{00000000-0005-0000-0000-000090260000}"/>
    <cellStyle name="Percent 14 4 5 2" xfId="42674" xr:uid="{524F3E92-BFE6-4119-AC20-16B45819FE16}"/>
    <cellStyle name="Percent 14 4 6" xfId="8272" xr:uid="{00000000-0005-0000-0000-000091260000}"/>
    <cellStyle name="Percent 14 4 6 2" xfId="42675" xr:uid="{3CC11D0F-5253-4B5A-81EB-B3ADF7C33A13}"/>
    <cellStyle name="Percent 14 4 7" xfId="42663" xr:uid="{8CC727E0-EB77-4E2A-95FF-4561B23620FB}"/>
    <cellStyle name="Percent 14 5" xfId="2562" xr:uid="{00000000-0005-0000-0000-000092260000}"/>
    <cellStyle name="Percent 14 5 2" xfId="4502" xr:uid="{00000000-0005-0000-0000-000093260000}"/>
    <cellStyle name="Percent 14 5 2 2" xfId="9789" xr:uid="{00000000-0005-0000-0000-000094260000}"/>
    <cellStyle name="Percent 14 5 2 2 2" xfId="42678" xr:uid="{171B21F1-904E-46FA-B84C-B527C8C432E1}"/>
    <cellStyle name="Percent 14 5 2 3" xfId="13819" xr:uid="{00000000-0005-0000-0000-000095260000}"/>
    <cellStyle name="Percent 14 5 2 3 2" xfId="42679" xr:uid="{8CBDC53F-82AF-4270-B8DC-D91E97C95A83}"/>
    <cellStyle name="Percent 14 5 2 4" xfId="8276" xr:uid="{00000000-0005-0000-0000-000096260000}"/>
    <cellStyle name="Percent 14 5 2 4 2" xfId="42680" xr:uid="{55073BF5-D660-4294-A3A3-E8CBE5F567FD}"/>
    <cellStyle name="Percent 14 5 2 5" xfId="42681" xr:uid="{8E15DFF3-5874-4DE6-9B49-086462BDF223}"/>
    <cellStyle name="Percent 14 5 2 6" xfId="42677" xr:uid="{1A386112-1701-45A5-89ED-186215EF22D2}"/>
    <cellStyle name="Percent 14 5 3" xfId="6412" xr:uid="{00000000-0005-0000-0000-000097260000}"/>
    <cellStyle name="Percent 14 5 3 2" xfId="14847" xr:uid="{00000000-0005-0000-0000-000098260000}"/>
    <cellStyle name="Percent 14 5 3 2 2" xfId="42683" xr:uid="{562AF140-AF34-472A-A595-CC4996A0C071}"/>
    <cellStyle name="Percent 14 5 3 3" xfId="13728" xr:uid="{00000000-0005-0000-0000-000099260000}"/>
    <cellStyle name="Percent 14 5 3 3 2" xfId="42684" xr:uid="{9295F828-A91C-42B1-A781-88ADE829CBF9}"/>
    <cellStyle name="Percent 14 5 3 4" xfId="8277" xr:uid="{00000000-0005-0000-0000-00009A260000}"/>
    <cellStyle name="Percent 14 5 3 4 2" xfId="42685" xr:uid="{8169FBAF-74EF-43FC-BD3D-E68C9BE75F06}"/>
    <cellStyle name="Percent 14 5 3 5" xfId="42682" xr:uid="{AC65CF2D-C5ED-47F7-A84F-D6462A5E6F54}"/>
    <cellStyle name="Percent 14 5 4" xfId="9788" xr:uid="{00000000-0005-0000-0000-00009B260000}"/>
    <cellStyle name="Percent 14 5 4 2" xfId="42686" xr:uid="{68478E7D-9CA9-4CC1-89B6-B66FC1C8DE80}"/>
    <cellStyle name="Percent 14 5 5" xfId="16342" xr:uid="{00000000-0005-0000-0000-00009C260000}"/>
    <cellStyle name="Percent 14 5 5 2" xfId="42687" xr:uid="{CF76248F-CA35-4846-8A0A-E178B21FADAB}"/>
    <cellStyle name="Percent 14 5 6" xfId="8275" xr:uid="{00000000-0005-0000-0000-00009D260000}"/>
    <cellStyle name="Percent 14 5 6 2" xfId="42688" xr:uid="{0037D142-F36D-4B83-B37B-4F4B20669895}"/>
    <cellStyle name="Percent 14 5 7" xfId="42676" xr:uid="{67E00F9F-97EC-4D5B-8E4E-C2DA84E8029A}"/>
    <cellStyle name="Percent 14 6" xfId="2563" xr:uid="{00000000-0005-0000-0000-00009E260000}"/>
    <cellStyle name="Percent 14 6 2" xfId="4503" xr:uid="{00000000-0005-0000-0000-00009F260000}"/>
    <cellStyle name="Percent 14 6 2 2" xfId="9791" xr:uid="{00000000-0005-0000-0000-0000A0260000}"/>
    <cellStyle name="Percent 14 6 2 2 2" xfId="42691" xr:uid="{06B3FA96-8558-4BB0-A968-C49167C5B3E0}"/>
    <cellStyle name="Percent 14 6 2 3" xfId="16304" xr:uid="{00000000-0005-0000-0000-0000A1260000}"/>
    <cellStyle name="Percent 14 6 2 3 2" xfId="42692" xr:uid="{AFD32B64-894D-456E-B7E8-DA3A44C6E99A}"/>
    <cellStyle name="Percent 14 6 2 4" xfId="8279" xr:uid="{00000000-0005-0000-0000-0000A2260000}"/>
    <cellStyle name="Percent 14 6 2 4 2" xfId="42693" xr:uid="{8F18D6D2-8384-4DE0-AAF3-888BDEC9ABAB}"/>
    <cellStyle name="Percent 14 6 2 5" xfId="42694" xr:uid="{2B1869E8-F0BF-42EA-960F-7392766893F7}"/>
    <cellStyle name="Percent 14 6 2 6" xfId="42690" xr:uid="{1167B089-2204-4AAE-82A8-4254C4F4F743}"/>
    <cellStyle name="Percent 14 6 3" xfId="6413" xr:uid="{00000000-0005-0000-0000-0000A3260000}"/>
    <cellStyle name="Percent 14 6 3 2" xfId="14848" xr:uid="{00000000-0005-0000-0000-0000A4260000}"/>
    <cellStyle name="Percent 14 6 3 2 2" xfId="42696" xr:uid="{F5CF1E41-A8C9-49AC-A11C-48CAB2868BC5}"/>
    <cellStyle name="Percent 14 6 3 3" xfId="16670" xr:uid="{00000000-0005-0000-0000-0000A5260000}"/>
    <cellStyle name="Percent 14 6 3 3 2" xfId="42697" xr:uid="{50945FA3-FD1E-4436-883C-08CD688B9043}"/>
    <cellStyle name="Percent 14 6 3 4" xfId="8280" xr:uid="{00000000-0005-0000-0000-0000A6260000}"/>
    <cellStyle name="Percent 14 6 3 4 2" xfId="42698" xr:uid="{398DD1FB-6F89-433D-8045-712621E97D58}"/>
    <cellStyle name="Percent 14 6 3 5" xfId="42695" xr:uid="{2A5A1083-0A29-4CB8-B1E6-DE7D52748486}"/>
    <cellStyle name="Percent 14 6 4" xfId="9790" xr:uid="{00000000-0005-0000-0000-0000A7260000}"/>
    <cellStyle name="Percent 14 6 4 2" xfId="42699" xr:uid="{3E5A3424-E72E-4197-A501-2E626980320B}"/>
    <cellStyle name="Percent 14 6 5" xfId="12914" xr:uid="{00000000-0005-0000-0000-0000A8260000}"/>
    <cellStyle name="Percent 14 6 5 2" xfId="42700" xr:uid="{CFF2545D-F9BF-49F1-B053-581382766773}"/>
    <cellStyle name="Percent 14 6 6" xfId="8278" xr:uid="{00000000-0005-0000-0000-0000A9260000}"/>
    <cellStyle name="Percent 14 6 6 2" xfId="42701" xr:uid="{7B246CCE-1453-4591-A5B4-9D9AF5FF0968}"/>
    <cellStyle name="Percent 14 6 7" xfId="42689" xr:uid="{49D49674-F4E6-4FEA-8D6D-0B7012CAD703}"/>
    <cellStyle name="Percent 14 7" xfId="2564" xr:uid="{00000000-0005-0000-0000-0000AA260000}"/>
    <cellStyle name="Percent 14 7 10" xfId="42702" xr:uid="{2A4F7266-DFD7-487B-AF75-FE85264B662A}"/>
    <cellStyle name="Percent 14 7 2" xfId="2565" xr:uid="{00000000-0005-0000-0000-0000AB260000}"/>
    <cellStyle name="Percent 14 7 2 2" xfId="9793" xr:uid="{00000000-0005-0000-0000-0000AC260000}"/>
    <cellStyle name="Percent 14 7 2 2 2" xfId="42705" xr:uid="{13B3FCCF-0E32-43D4-9E95-84B430518F53}"/>
    <cellStyle name="Percent 14 7 2 2 3" xfId="42704" xr:uid="{A7525C48-03A9-4521-B61B-7739E7845708}"/>
    <cellStyle name="Percent 14 7 2 3" xfId="16191" xr:uid="{00000000-0005-0000-0000-0000AD260000}"/>
    <cellStyle name="Percent 14 7 2 3 2" xfId="42707" xr:uid="{990B0798-43F5-41A0-8BD6-CC5467BB64F2}"/>
    <cellStyle name="Percent 14 7 2 3 3" xfId="42706" xr:uid="{791E8918-1F69-4824-A9D4-6E9E3179CFB4}"/>
    <cellStyle name="Percent 14 7 2 4" xfId="8282" xr:uid="{00000000-0005-0000-0000-0000AE260000}"/>
    <cellStyle name="Percent 14 7 2 4 2" xfId="42708" xr:uid="{9FBC4833-5994-4EA4-9120-8B93AC61F7E6}"/>
    <cellStyle name="Percent 14 7 2 5" xfId="42703" xr:uid="{97487DA0-9241-4CFC-811D-B559F3A0F91E}"/>
    <cellStyle name="Percent 14 7 3" xfId="2566" xr:uid="{00000000-0005-0000-0000-0000AF260000}"/>
    <cellStyle name="Percent 14 7 3 2" xfId="9794" xr:uid="{00000000-0005-0000-0000-0000B0260000}"/>
    <cellStyle name="Percent 14 7 3 2 2" xfId="42711" xr:uid="{1C4B62B5-C4DA-4E1D-A978-84112C1EDADD}"/>
    <cellStyle name="Percent 14 7 3 2 3" xfId="42710" xr:uid="{07CC7940-CF56-40E9-A27D-A4D808EE62BC}"/>
    <cellStyle name="Percent 14 7 3 3" xfId="13797" xr:uid="{00000000-0005-0000-0000-0000B1260000}"/>
    <cellStyle name="Percent 14 7 3 3 2" xfId="42713" xr:uid="{E0FFA756-31D1-442F-8ABC-0C8CA9DDF0A1}"/>
    <cellStyle name="Percent 14 7 3 3 3" xfId="42712" xr:uid="{87B97BCB-53A0-44D4-B8DB-4D393841519A}"/>
    <cellStyle name="Percent 14 7 3 4" xfId="8283" xr:uid="{00000000-0005-0000-0000-0000B2260000}"/>
    <cellStyle name="Percent 14 7 3 4 2" xfId="42714" xr:uid="{F26DE73E-8F33-42C9-852E-5C3DDF7D2A6D}"/>
    <cellStyle name="Percent 14 7 3 5" xfId="42709" xr:uid="{BD6C2DCC-9D58-44D4-AD37-1B7585A26286}"/>
    <cellStyle name="Percent 14 7 4" xfId="4504" xr:uid="{00000000-0005-0000-0000-0000B3260000}"/>
    <cellStyle name="Percent 14 7 4 2" xfId="9795" xr:uid="{00000000-0005-0000-0000-0000B4260000}"/>
    <cellStyle name="Percent 14 7 4 2 2" xfId="42717" xr:uid="{C1349E0F-8C59-4FBF-BE9F-B1BA0A992956}"/>
    <cellStyle name="Percent 14 7 4 2 3" xfId="42718" xr:uid="{01CCE6A1-EF1E-4963-B00C-8909681B0E02}"/>
    <cellStyle name="Percent 14 7 4 2 4" xfId="42716" xr:uid="{58699B9C-F935-4D03-AFF4-76102C63F187}"/>
    <cellStyle name="Percent 14 7 4 2 5" xfId="49847" xr:uid="{4BF4FA85-B6C9-49D2-B850-6698CC4F421F}"/>
    <cellStyle name="Percent 14 7 4 3" xfId="16487" xr:uid="{00000000-0005-0000-0000-0000B5260000}"/>
    <cellStyle name="Percent 14 7 4 3 2" xfId="42720" xr:uid="{CC83B912-0EA1-4F73-8C5C-C4C9FABADC5B}"/>
    <cellStyle name="Percent 14 7 4 3 3" xfId="42719" xr:uid="{34E206C7-2FD8-40C9-82B2-27DB0949C55F}"/>
    <cellStyle name="Percent 14 7 4 4" xfId="8284" xr:uid="{00000000-0005-0000-0000-0000B6260000}"/>
    <cellStyle name="Percent 14 7 4 4 2" xfId="42721" xr:uid="{CDDA23A9-98AC-4448-AD60-B846C1094CB3}"/>
    <cellStyle name="Percent 14 7 4 5" xfId="42722" xr:uid="{96146537-07BD-44A7-8D1E-85A4AC78DAD3}"/>
    <cellStyle name="Percent 14 7 4 6" xfId="42715" xr:uid="{DC6FDC33-8FD0-4004-AA1F-3E7349EB59FE}"/>
    <cellStyle name="Percent 14 7 4 7" xfId="49846" xr:uid="{2AF6AC27-B966-4FCF-BF24-BFC3DFA3FCA3}"/>
    <cellStyle name="Percent 14 7 5" xfId="6414" xr:uid="{00000000-0005-0000-0000-0000B7260000}"/>
    <cellStyle name="Percent 14 7 5 2" xfId="14849" xr:uid="{00000000-0005-0000-0000-0000B8260000}"/>
    <cellStyle name="Percent 14 7 5 2 2" xfId="42724" xr:uid="{6D1C6DC3-9005-4F0D-99E0-417B31A5D940}"/>
    <cellStyle name="Percent 14 7 5 3" xfId="12841" xr:uid="{00000000-0005-0000-0000-0000B9260000}"/>
    <cellStyle name="Percent 14 7 5 3 2" xfId="42725" xr:uid="{232D546A-CD7B-4C00-9B23-3E627D2A8411}"/>
    <cellStyle name="Percent 14 7 5 4" xfId="8285" xr:uid="{00000000-0005-0000-0000-0000BA260000}"/>
    <cellStyle name="Percent 14 7 5 4 2" xfId="42726" xr:uid="{95445243-2C92-4477-8C27-96586236F9CA}"/>
    <cellStyle name="Percent 14 7 5 5" xfId="42723" xr:uid="{0F53BB38-0D00-4A29-B6C0-35DC6FEF3F80}"/>
    <cellStyle name="Percent 14 7 6" xfId="9792" xr:uid="{00000000-0005-0000-0000-0000BB260000}"/>
    <cellStyle name="Percent 14 7 6 2" xfId="42727" xr:uid="{00CC3D46-965A-4F01-8A0A-5D05C49C3F5E}"/>
    <cellStyle name="Percent 14 7 7" xfId="13852" xr:uid="{00000000-0005-0000-0000-0000BC260000}"/>
    <cellStyle name="Percent 14 7 7 2" xfId="42728" xr:uid="{009E7D86-92CE-41F6-92A2-B0E585A27229}"/>
    <cellStyle name="Percent 14 7 8" xfId="8281" xr:uid="{00000000-0005-0000-0000-0000BD260000}"/>
    <cellStyle name="Percent 14 7 8 2" xfId="42729" xr:uid="{1111C4A3-9541-4B1B-B2FD-3E6B6C4B7476}"/>
    <cellStyle name="Percent 14 7 9" xfId="16712" xr:uid="{EC596F11-9598-4D64-86E3-AF8088ECFFE5}"/>
    <cellStyle name="Percent 14 7 9 2" xfId="33440" xr:uid="{77B68F71-C135-4673-A2A2-81AB2DE994F1}"/>
    <cellStyle name="Percent 14 7 9 3" xfId="42730" xr:uid="{0125E310-A89B-4724-AD60-1BBD8B769818}"/>
    <cellStyle name="Percent 14 8" xfId="2567" xr:uid="{00000000-0005-0000-0000-0000BE260000}"/>
    <cellStyle name="Percent 14 8 2" xfId="4505" xr:uid="{00000000-0005-0000-0000-0000BF260000}"/>
    <cellStyle name="Percent 14 8 2 2" xfId="9797" xr:uid="{00000000-0005-0000-0000-0000C0260000}"/>
    <cellStyle name="Percent 14 8 2 2 2" xfId="42733" xr:uid="{F199B1E7-2E12-4BDE-A206-08067315938D}"/>
    <cellStyle name="Percent 14 8 2 3" xfId="16162" xr:uid="{00000000-0005-0000-0000-0000C1260000}"/>
    <cellStyle name="Percent 14 8 2 3 2" xfId="42734" xr:uid="{FD28B768-547C-4E49-85EF-AE1544CF82EF}"/>
    <cellStyle name="Percent 14 8 2 4" xfId="8287" xr:uid="{00000000-0005-0000-0000-0000C2260000}"/>
    <cellStyle name="Percent 14 8 2 4 2" xfId="42735" xr:uid="{749FD2B7-F51E-460E-A607-7118B32426BF}"/>
    <cellStyle name="Percent 14 8 2 5" xfId="42736" xr:uid="{B6B124F5-0092-4CE8-8A41-396EEC8DD23E}"/>
    <cellStyle name="Percent 14 8 2 6" xfId="42732" xr:uid="{9F1BB84B-DCD6-469C-8CEC-FEA7B3318279}"/>
    <cellStyle name="Percent 14 8 3" xfId="6415" xr:uid="{00000000-0005-0000-0000-0000C3260000}"/>
    <cellStyle name="Percent 14 8 3 2" xfId="14850" xr:uid="{00000000-0005-0000-0000-0000C4260000}"/>
    <cellStyle name="Percent 14 8 3 2 2" xfId="42738" xr:uid="{5B17F728-03DA-42FC-A473-2BE2DCFCE520}"/>
    <cellStyle name="Percent 14 8 3 3" xfId="16572" xr:uid="{00000000-0005-0000-0000-0000C5260000}"/>
    <cellStyle name="Percent 14 8 3 3 2" xfId="42739" xr:uid="{CBA14734-0AD5-4061-941A-0AA57111672B}"/>
    <cellStyle name="Percent 14 8 3 4" xfId="8288" xr:uid="{00000000-0005-0000-0000-0000C6260000}"/>
    <cellStyle name="Percent 14 8 3 4 2" xfId="42740" xr:uid="{D7302237-55ED-49C0-AC1D-27BA3E71D113}"/>
    <cellStyle name="Percent 14 8 3 5" xfId="42737" xr:uid="{88EDE56E-6EA9-49BA-91E5-308DFF9E2CFA}"/>
    <cellStyle name="Percent 14 8 4" xfId="9796" xr:uid="{00000000-0005-0000-0000-0000C7260000}"/>
    <cellStyle name="Percent 14 8 4 2" xfId="42741" xr:uid="{4771C5ED-021E-4166-9BBF-AC35EF78A599}"/>
    <cellStyle name="Percent 14 8 5" xfId="13813" xr:uid="{00000000-0005-0000-0000-0000C8260000}"/>
    <cellStyle name="Percent 14 8 5 2" xfId="42742" xr:uid="{1457E010-2384-4712-95D6-67BE1D302311}"/>
    <cellStyle name="Percent 14 8 6" xfId="8286" xr:uid="{00000000-0005-0000-0000-0000C9260000}"/>
    <cellStyle name="Percent 14 8 6 2" xfId="42743" xr:uid="{14151DEA-48E3-476C-B1CA-B8B60CD701D9}"/>
    <cellStyle name="Percent 14 8 7" xfId="42731" xr:uid="{33F49DBD-3C2D-4A2E-8796-C229D5874C17}"/>
    <cellStyle name="Percent 14 9" xfId="2568" xr:uid="{00000000-0005-0000-0000-0000CA260000}"/>
    <cellStyle name="Percent 14 9 2" xfId="9798" xr:uid="{00000000-0005-0000-0000-0000CB260000}"/>
    <cellStyle name="Percent 14 9 2 2" xfId="42745" xr:uid="{03264E11-C816-4A42-9891-555EEEEE4867}"/>
    <cellStyle name="Percent 14 9 3" xfId="12558" xr:uid="{00000000-0005-0000-0000-0000CC260000}"/>
    <cellStyle name="Percent 14 9 3 2" xfId="42746" xr:uid="{D34FFA8E-0554-4B9B-ACB8-B7FC150A8364}"/>
    <cellStyle name="Percent 14 9 4" xfId="8289" xr:uid="{00000000-0005-0000-0000-0000CD260000}"/>
    <cellStyle name="Percent 14 9 4 2" xfId="42747" xr:uid="{F4FF0E8F-B9F2-48AE-837B-69ECC7216AD6}"/>
    <cellStyle name="Percent 14 9 5" xfId="42744" xr:uid="{902D9DBD-F99A-4798-B981-8738B5811679}"/>
    <cellStyle name="Percent 15" xfId="2569" xr:uid="{00000000-0005-0000-0000-0000CE260000}"/>
    <cellStyle name="Percent 15 10" xfId="4507" xr:uid="{00000000-0005-0000-0000-0000CF260000}"/>
    <cellStyle name="Percent 15 10 2" xfId="9800" xr:uid="{00000000-0005-0000-0000-0000D0260000}"/>
    <cellStyle name="Percent 15 10 2 2" xfId="42750" xr:uid="{8BFA56DB-EFFD-4B0C-8181-6F204898178B}"/>
    <cellStyle name="Percent 15 10 3" xfId="12778" xr:uid="{00000000-0005-0000-0000-0000D1260000}"/>
    <cellStyle name="Percent 15 10 3 2" xfId="42751" xr:uid="{39AC59DF-D42C-4251-911D-D7C8BA850F5C}"/>
    <cellStyle name="Percent 15 10 4" xfId="8291" xr:uid="{00000000-0005-0000-0000-0000D2260000}"/>
    <cellStyle name="Percent 15 10 4 2" xfId="42752" xr:uid="{7B495638-B941-4367-B7E6-79D50BC70193}"/>
    <cellStyle name="Percent 15 10 5" xfId="42749" xr:uid="{2072A032-685A-40EE-995E-569F2FE6E1F0}"/>
    <cellStyle name="Percent 15 11" xfId="4508" xr:uid="{00000000-0005-0000-0000-0000D3260000}"/>
    <cellStyle name="Percent 15 11 2" xfId="9801" xr:uid="{00000000-0005-0000-0000-0000D4260000}"/>
    <cellStyle name="Percent 15 11 2 2" xfId="42754" xr:uid="{797BBD92-5516-4B09-AC6F-003B54FD9BEF}"/>
    <cellStyle name="Percent 15 11 3" xfId="16271" xr:uid="{00000000-0005-0000-0000-0000D5260000}"/>
    <cellStyle name="Percent 15 11 3 2" xfId="42755" xr:uid="{BE71BCD2-34D2-447A-BD31-C94E5D42EA7E}"/>
    <cellStyle name="Percent 15 11 4" xfId="8292" xr:uid="{00000000-0005-0000-0000-0000D6260000}"/>
    <cellStyle name="Percent 15 11 4 2" xfId="42756" xr:uid="{8CF07AF5-1136-4EC0-9F0E-858AD4A468B0}"/>
    <cellStyle name="Percent 15 11 5" xfId="42753" xr:uid="{0368CFAE-A861-4DCB-8DB2-CD12BC128960}"/>
    <cellStyle name="Percent 15 12" xfId="4509" xr:uid="{00000000-0005-0000-0000-0000D7260000}"/>
    <cellStyle name="Percent 15 12 2" xfId="9802" xr:uid="{00000000-0005-0000-0000-0000D8260000}"/>
    <cellStyle name="Percent 15 12 2 2" xfId="42758" xr:uid="{19EA5F6A-89FE-4A07-AE6E-8BD87E9140B5}"/>
    <cellStyle name="Percent 15 12 3" xfId="12748" xr:uid="{00000000-0005-0000-0000-0000D9260000}"/>
    <cellStyle name="Percent 15 12 3 2" xfId="42759" xr:uid="{169E4F0A-B8A2-4027-ADE8-549649EC351F}"/>
    <cellStyle name="Percent 15 12 4" xfId="8293" xr:uid="{00000000-0005-0000-0000-0000DA260000}"/>
    <cellStyle name="Percent 15 12 4 2" xfId="42760" xr:uid="{4400D832-1307-4E85-BCB0-341113DA5D98}"/>
    <cellStyle name="Percent 15 12 5" xfId="42757" xr:uid="{8972086E-4D72-43A9-B5BE-00A71CAEDC2E}"/>
    <cellStyle name="Percent 15 13" xfId="4510" xr:uid="{00000000-0005-0000-0000-0000DB260000}"/>
    <cellStyle name="Percent 15 13 2" xfId="9803" xr:uid="{00000000-0005-0000-0000-0000DC260000}"/>
    <cellStyle name="Percent 15 13 2 2" xfId="42762" xr:uid="{523091D1-B200-4867-8EA4-0481B6888714}"/>
    <cellStyle name="Percent 15 13 3" xfId="12623" xr:uid="{00000000-0005-0000-0000-0000DD260000}"/>
    <cellStyle name="Percent 15 13 3 2" xfId="42763" xr:uid="{9D8E0061-94FA-47D6-B5D5-CBD131C5A51C}"/>
    <cellStyle name="Percent 15 13 4" xfId="8294" xr:uid="{00000000-0005-0000-0000-0000DE260000}"/>
    <cellStyle name="Percent 15 13 4 2" xfId="42764" xr:uid="{BABE8833-B11E-4D8D-A4B2-28B621668661}"/>
    <cellStyle name="Percent 15 13 5" xfId="42761" xr:uid="{CFC03419-B0FA-4F62-B2A7-7B1AB37C3655}"/>
    <cellStyle name="Percent 15 14" xfId="4511" xr:uid="{00000000-0005-0000-0000-0000DF260000}"/>
    <cellStyle name="Percent 15 14 2" xfId="9804" xr:uid="{00000000-0005-0000-0000-0000E0260000}"/>
    <cellStyle name="Percent 15 14 2 2" xfId="42766" xr:uid="{0A479F17-34B0-4E5E-A68C-CEAD2E968058}"/>
    <cellStyle name="Percent 15 14 3" xfId="13740" xr:uid="{00000000-0005-0000-0000-0000E1260000}"/>
    <cellStyle name="Percent 15 14 3 2" xfId="42767" xr:uid="{814AE0EE-82DA-4117-81ED-9799209A5750}"/>
    <cellStyle name="Percent 15 14 4" xfId="8295" xr:uid="{00000000-0005-0000-0000-0000E2260000}"/>
    <cellStyle name="Percent 15 14 4 2" xfId="42768" xr:uid="{C96C5B8E-B866-496C-81CC-41CF98517E61}"/>
    <cellStyle name="Percent 15 14 5" xfId="42765" xr:uid="{6CAAE81C-A416-411C-8D7B-0071700486F6}"/>
    <cellStyle name="Percent 15 15" xfId="4506" xr:uid="{00000000-0005-0000-0000-0000E3260000}"/>
    <cellStyle name="Percent 15 15 2" xfId="9805" xr:uid="{00000000-0005-0000-0000-0000E4260000}"/>
    <cellStyle name="Percent 15 15 2 2" xfId="42770" xr:uid="{B2256BFA-A320-4260-AF82-3047C39BA94C}"/>
    <cellStyle name="Percent 15 15 3" xfId="16431" xr:uid="{00000000-0005-0000-0000-0000E5260000}"/>
    <cellStyle name="Percent 15 15 3 2" xfId="42771" xr:uid="{69E9115E-4E2C-4128-A5A8-3954D62444AB}"/>
    <cellStyle name="Percent 15 15 4" xfId="8296" xr:uid="{00000000-0005-0000-0000-0000E6260000}"/>
    <cellStyle name="Percent 15 15 4 2" xfId="42772" xr:uid="{9C4C9C69-58D2-4BF6-BAF7-6EBA5D139EDF}"/>
    <cellStyle name="Percent 15 15 5" xfId="42769" xr:uid="{FA917A02-4185-4989-8419-C4E42AA81B2C}"/>
    <cellStyle name="Percent 15 16" xfId="9799" xr:uid="{00000000-0005-0000-0000-0000E7260000}"/>
    <cellStyle name="Percent 15 16 2" xfId="42773" xr:uid="{DADCCED6-CF26-45BA-B431-F9D25B69C081}"/>
    <cellStyle name="Percent 15 17" xfId="16473" xr:uid="{00000000-0005-0000-0000-0000E8260000}"/>
    <cellStyle name="Percent 15 17 2" xfId="42774" xr:uid="{3928357D-3983-47AC-B979-734951FFC567}"/>
    <cellStyle name="Percent 15 18" xfId="8290" xr:uid="{00000000-0005-0000-0000-0000E9260000}"/>
    <cellStyle name="Percent 15 18 2" xfId="42775" xr:uid="{4AD2BF8D-FE8A-40C9-98DC-A542338C596D}"/>
    <cellStyle name="Percent 15 19" xfId="42748" xr:uid="{347A2702-4DFB-4A03-B305-CE94749AA67F}"/>
    <cellStyle name="Percent 15 2" xfId="2570" xr:uid="{00000000-0005-0000-0000-0000EA260000}"/>
    <cellStyle name="Percent 15 2 10" xfId="13471" xr:uid="{00000000-0005-0000-0000-0000EB260000}"/>
    <cellStyle name="Percent 15 2 10 2" xfId="42777" xr:uid="{96CA8607-3F3D-4D46-8C7E-CB9332D7C958}"/>
    <cellStyle name="Percent 15 2 11" xfId="8297" xr:uid="{00000000-0005-0000-0000-0000EC260000}"/>
    <cellStyle name="Percent 15 2 11 2" xfId="42778" xr:uid="{06993F69-71BB-4A29-A571-0905895F284E}"/>
    <cellStyle name="Percent 15 2 12" xfId="42776" xr:uid="{DB7EABE1-C981-41CA-83B0-B9D0E03BA267}"/>
    <cellStyle name="Percent 15 2 2" xfId="4513" xr:uid="{00000000-0005-0000-0000-0000ED260000}"/>
    <cellStyle name="Percent 15 2 2 2" xfId="9808" xr:uid="{00000000-0005-0000-0000-0000EE260000}"/>
    <cellStyle name="Percent 15 2 2 2 2" xfId="42780" xr:uid="{D2948BD2-782C-40E1-BBEF-8BAA0C071FDF}"/>
    <cellStyle name="Percent 15 2 2 3" xfId="9807" xr:uid="{00000000-0005-0000-0000-0000EF260000}"/>
    <cellStyle name="Percent 15 2 2 3 2" xfId="42781" xr:uid="{25852DB5-9F57-41EE-B7B2-1D86D93C64F4}"/>
    <cellStyle name="Percent 15 2 2 4" xfId="16276" xr:uid="{00000000-0005-0000-0000-0000F0260000}"/>
    <cellStyle name="Percent 15 2 2 4 2" xfId="42782" xr:uid="{1EB27ED7-D79E-4E96-8590-33A820C8AD1E}"/>
    <cellStyle name="Percent 15 2 2 5" xfId="8298" xr:uid="{00000000-0005-0000-0000-0000F1260000}"/>
    <cellStyle name="Percent 15 2 2 5 2" xfId="42783" xr:uid="{7F360EC5-C2E8-4724-9E7E-4C1F59ADD7F1}"/>
    <cellStyle name="Percent 15 2 2 6" xfId="42779" xr:uid="{F49620D9-FF46-4B32-852B-0B9EF1D4DDF1}"/>
    <cellStyle name="Percent 15 2 3" xfId="4514" xr:uid="{00000000-0005-0000-0000-0000F2260000}"/>
    <cellStyle name="Percent 15 2 3 2" xfId="9810" xr:uid="{00000000-0005-0000-0000-0000F3260000}"/>
    <cellStyle name="Percent 15 2 3 2 2" xfId="42785" xr:uid="{898C2F6F-5638-4345-8CE0-817BB1D4F500}"/>
    <cellStyle name="Percent 15 2 3 3" xfId="9809" xr:uid="{00000000-0005-0000-0000-0000F4260000}"/>
    <cellStyle name="Percent 15 2 3 3 2" xfId="42786" xr:uid="{3CF40451-6913-47F6-B2C4-50F6554DC963}"/>
    <cellStyle name="Percent 15 2 3 4" xfId="13502" xr:uid="{00000000-0005-0000-0000-0000F5260000}"/>
    <cellStyle name="Percent 15 2 3 4 2" xfId="42787" xr:uid="{D499A7D2-D451-41E7-839F-0E94BF38B9FC}"/>
    <cellStyle name="Percent 15 2 3 5" xfId="8299" xr:uid="{00000000-0005-0000-0000-0000F6260000}"/>
    <cellStyle name="Percent 15 2 3 5 2" xfId="42788" xr:uid="{9863E9CF-F3EA-48B3-B832-103791D3E78D}"/>
    <cellStyle name="Percent 15 2 3 6" xfId="42784" xr:uid="{8A323025-3EBB-4A21-AD45-0F2EF4CD66E6}"/>
    <cellStyle name="Percent 15 2 4" xfId="4515" xr:uid="{00000000-0005-0000-0000-0000F7260000}"/>
    <cellStyle name="Percent 15 2 4 2" xfId="9812" xr:uid="{00000000-0005-0000-0000-0000F8260000}"/>
    <cellStyle name="Percent 15 2 4 2 2" xfId="42790" xr:uid="{003801BB-EDE4-4AE7-B763-FD847F3EED64}"/>
    <cellStyle name="Percent 15 2 4 3" xfId="9811" xr:uid="{00000000-0005-0000-0000-0000F9260000}"/>
    <cellStyle name="Percent 15 2 4 3 2" xfId="42791" xr:uid="{9C7553B7-413D-4FCB-A95D-B7C04A285B35}"/>
    <cellStyle name="Percent 15 2 4 4" xfId="12745" xr:uid="{00000000-0005-0000-0000-0000FA260000}"/>
    <cellStyle name="Percent 15 2 4 4 2" xfId="42792" xr:uid="{2D7F7BBF-05FA-4DBF-8306-A0981AE84A31}"/>
    <cellStyle name="Percent 15 2 4 5" xfId="8300" xr:uid="{00000000-0005-0000-0000-0000FB260000}"/>
    <cellStyle name="Percent 15 2 4 5 2" xfId="42793" xr:uid="{7E207E96-F4FC-400E-BF28-C01EE05F5DF2}"/>
    <cellStyle name="Percent 15 2 4 6" xfId="42789" xr:uid="{A36A96AA-F043-4659-AFAF-2DC530D8D791}"/>
    <cellStyle name="Percent 15 2 5" xfId="4516" xr:uid="{00000000-0005-0000-0000-0000FC260000}"/>
    <cellStyle name="Percent 15 2 5 2" xfId="9814" xr:uid="{00000000-0005-0000-0000-0000FD260000}"/>
    <cellStyle name="Percent 15 2 5 2 2" xfId="42795" xr:uid="{43F64A5B-616A-4DB1-8324-D19EA68B5A31}"/>
    <cellStyle name="Percent 15 2 5 3" xfId="9813" xr:uid="{00000000-0005-0000-0000-0000FE260000}"/>
    <cellStyle name="Percent 15 2 5 3 2" xfId="42796" xr:uid="{5CE78522-BED1-4AAC-B507-4D07EB0B1595}"/>
    <cellStyle name="Percent 15 2 5 4" xfId="12642" xr:uid="{00000000-0005-0000-0000-0000FF260000}"/>
    <cellStyle name="Percent 15 2 5 4 2" xfId="42797" xr:uid="{0D885C72-1C73-4AD1-8BAD-76D3477685B6}"/>
    <cellStyle name="Percent 15 2 5 5" xfId="8301" xr:uid="{00000000-0005-0000-0000-000000270000}"/>
    <cellStyle name="Percent 15 2 5 5 2" xfId="42798" xr:uid="{4518A0F1-DCB0-4EB4-9A7E-F74321973661}"/>
    <cellStyle name="Percent 15 2 5 6" xfId="42794" xr:uid="{3DDBF176-E524-49EA-B823-D928C78D388E}"/>
    <cellStyle name="Percent 15 2 6" xfId="4517" xr:uid="{00000000-0005-0000-0000-000001270000}"/>
    <cellStyle name="Percent 15 2 6 2" xfId="9816" xr:uid="{00000000-0005-0000-0000-000002270000}"/>
    <cellStyle name="Percent 15 2 6 2 2" xfId="42800" xr:uid="{F781CD3E-B468-4A28-A1FF-6B2CA3054236}"/>
    <cellStyle name="Percent 15 2 6 3" xfId="9815" xr:uid="{00000000-0005-0000-0000-000003270000}"/>
    <cellStyle name="Percent 15 2 6 3 2" xfId="42801" xr:uid="{6B567E00-E1D2-4967-B7B4-5E9E56FB3CF7}"/>
    <cellStyle name="Percent 15 2 6 4" xfId="12582" xr:uid="{00000000-0005-0000-0000-000004270000}"/>
    <cellStyle name="Percent 15 2 6 4 2" xfId="42802" xr:uid="{3C4BF454-F35D-42C8-86CE-06CFF1CDC92C}"/>
    <cellStyle name="Percent 15 2 6 5" xfId="8302" xr:uid="{00000000-0005-0000-0000-000005270000}"/>
    <cellStyle name="Percent 15 2 6 5 2" xfId="42803" xr:uid="{21B48236-B936-4C23-8A4A-534CBFC38B6A}"/>
    <cellStyle name="Percent 15 2 6 6" xfId="42799" xr:uid="{792B5AE2-A427-42DE-B07A-D3E4FAC6DE7D}"/>
    <cellStyle name="Percent 15 2 7" xfId="4518" xr:uid="{00000000-0005-0000-0000-000006270000}"/>
    <cellStyle name="Percent 15 2 7 2" xfId="9818" xr:uid="{00000000-0005-0000-0000-000007270000}"/>
    <cellStyle name="Percent 15 2 7 2 2" xfId="42805" xr:uid="{2D57BE7E-7C00-40B6-A731-A78A1D99B971}"/>
    <cellStyle name="Percent 15 2 7 3" xfId="9817" xr:uid="{00000000-0005-0000-0000-000008270000}"/>
    <cellStyle name="Percent 15 2 7 3 2" xfId="42806" xr:uid="{765777F5-3A7E-4A9A-935C-081E01AB9BF6}"/>
    <cellStyle name="Percent 15 2 7 4" xfId="16557" xr:uid="{00000000-0005-0000-0000-000009270000}"/>
    <cellStyle name="Percent 15 2 7 4 2" xfId="42807" xr:uid="{77527A9E-B981-4C09-B748-9AE63B89C52A}"/>
    <cellStyle name="Percent 15 2 7 5" xfId="8303" xr:uid="{00000000-0005-0000-0000-00000A270000}"/>
    <cellStyle name="Percent 15 2 7 5 2" xfId="42808" xr:uid="{FE28CB1D-91AC-463F-B4A3-3523AB76B39A}"/>
    <cellStyle name="Percent 15 2 7 6" xfId="42804" xr:uid="{5F41B0EA-B9A6-4E9E-B1EC-74A051C67DCA}"/>
    <cellStyle name="Percent 15 2 8" xfId="4512" xr:uid="{00000000-0005-0000-0000-00000B270000}"/>
    <cellStyle name="Percent 15 2 8 2" xfId="9819" xr:uid="{00000000-0005-0000-0000-00000C270000}"/>
    <cellStyle name="Percent 15 2 8 2 2" xfId="42810" xr:uid="{1D4F5EAF-6E8A-4A84-AA57-401CF0B2C401}"/>
    <cellStyle name="Percent 15 2 8 3" xfId="16508" xr:uid="{00000000-0005-0000-0000-00000D270000}"/>
    <cellStyle name="Percent 15 2 8 3 2" xfId="42811" xr:uid="{961CCF8E-3D2C-40B2-BD25-234BF9260259}"/>
    <cellStyle name="Percent 15 2 8 4" xfId="8304" xr:uid="{00000000-0005-0000-0000-00000E270000}"/>
    <cellStyle name="Percent 15 2 8 4 2" xfId="42812" xr:uid="{369E25B9-B8B9-4C12-B757-29A48116B52F}"/>
    <cellStyle name="Percent 15 2 8 5" xfId="42809" xr:uid="{F559C0FD-3A86-4F4F-B097-F5FF7721A51E}"/>
    <cellStyle name="Percent 15 2 9" xfId="9806" xr:uid="{00000000-0005-0000-0000-00000F270000}"/>
    <cellStyle name="Percent 15 2 9 2" xfId="42813" xr:uid="{0487E5A5-4811-4F93-B316-328CBC230AF3}"/>
    <cellStyle name="Percent 15 3" xfId="2571" xr:uid="{00000000-0005-0000-0000-000010270000}"/>
    <cellStyle name="Percent 15 3 2" xfId="9821" xr:uid="{00000000-0005-0000-0000-000011270000}"/>
    <cellStyle name="Percent 15 3 2 2" xfId="42815" xr:uid="{4400BE57-3DCE-42A2-825F-62F1E18E2D0E}"/>
    <cellStyle name="Percent 15 3 3" xfId="9822" xr:uid="{00000000-0005-0000-0000-000012270000}"/>
    <cellStyle name="Percent 15 3 3 2" xfId="9823" xr:uid="{00000000-0005-0000-0000-000013270000}"/>
    <cellStyle name="Percent 15 3 3 2 2" xfId="42817" xr:uid="{A89CE647-5E48-45E6-BC46-46972B81C95C}"/>
    <cellStyle name="Percent 15 3 3 3" xfId="42816" xr:uid="{B400D17E-1B8A-4AE0-A0CB-02FC6CBBFB17}"/>
    <cellStyle name="Percent 15 3 4" xfId="9820" xr:uid="{00000000-0005-0000-0000-000014270000}"/>
    <cellStyle name="Percent 15 3 4 2" xfId="42818" xr:uid="{FE7785BA-2099-40BC-80CF-3B9E4606FFE1}"/>
    <cellStyle name="Percent 15 3 5" xfId="12561" xr:uid="{00000000-0005-0000-0000-000015270000}"/>
    <cellStyle name="Percent 15 3 5 2" xfId="42819" xr:uid="{CD3D5D83-1B6D-4F27-887A-DC471B0F0BD8}"/>
    <cellStyle name="Percent 15 3 6" xfId="8305" xr:uid="{00000000-0005-0000-0000-000016270000}"/>
    <cellStyle name="Percent 15 3 6 2" xfId="42820" xr:uid="{2C041284-C57E-4924-A93C-DAEAE2C4B041}"/>
    <cellStyle name="Percent 15 3 7" xfId="42814" xr:uid="{A2B5B432-A045-4620-8B44-B9765C6714E6}"/>
    <cellStyle name="Percent 15 4" xfId="2572" xr:uid="{00000000-0005-0000-0000-000017270000}"/>
    <cellStyle name="Percent 15 4 2" xfId="4519" xr:uid="{00000000-0005-0000-0000-000018270000}"/>
    <cellStyle name="Percent 15 4 2 2" xfId="9825" xr:uid="{00000000-0005-0000-0000-000019270000}"/>
    <cellStyle name="Percent 15 4 2 2 2" xfId="42823" xr:uid="{F5B41AC1-D212-40C6-8936-1892228A597E}"/>
    <cellStyle name="Percent 15 4 2 3" xfId="13796" xr:uid="{00000000-0005-0000-0000-00001A270000}"/>
    <cellStyle name="Percent 15 4 2 3 2" xfId="42824" xr:uid="{D6DC7881-A963-4907-AD46-6EB890CA9988}"/>
    <cellStyle name="Percent 15 4 2 4" xfId="8307" xr:uid="{00000000-0005-0000-0000-00001B270000}"/>
    <cellStyle name="Percent 15 4 2 4 2" xfId="42825" xr:uid="{58C934FD-BC86-4904-9C00-DFDD97431FFD}"/>
    <cellStyle name="Percent 15 4 2 5" xfId="42826" xr:uid="{8F302D8C-1FDF-4F57-B034-5C541938A1B2}"/>
    <cellStyle name="Percent 15 4 2 6" xfId="42822" xr:uid="{CEB167AE-A57A-4E6D-82E6-97E793AC45B5}"/>
    <cellStyle name="Percent 15 4 3" xfId="6416" xr:uid="{00000000-0005-0000-0000-00001C270000}"/>
    <cellStyle name="Percent 15 4 3 2" xfId="14851" xr:uid="{00000000-0005-0000-0000-00001D270000}"/>
    <cellStyle name="Percent 15 4 3 2 2" xfId="42828" xr:uid="{213C5B13-D6E7-4478-A2EF-6800B0A87478}"/>
    <cellStyle name="Percent 15 4 3 3" xfId="13777" xr:uid="{00000000-0005-0000-0000-00001E270000}"/>
    <cellStyle name="Percent 15 4 3 3 2" xfId="42829" xr:uid="{6C29FD4D-5FC7-4AB4-B0F3-63C18824B56C}"/>
    <cellStyle name="Percent 15 4 3 4" xfId="8308" xr:uid="{00000000-0005-0000-0000-00001F270000}"/>
    <cellStyle name="Percent 15 4 3 4 2" xfId="42830" xr:uid="{3692931B-494C-4DB2-9AF2-B1636A3EF391}"/>
    <cellStyle name="Percent 15 4 3 5" xfId="42827" xr:uid="{6153C9F1-D517-4E20-9E93-F82844FD2A50}"/>
    <cellStyle name="Percent 15 4 4" xfId="9824" xr:uid="{00000000-0005-0000-0000-000020270000}"/>
    <cellStyle name="Percent 15 4 4 2" xfId="42831" xr:uid="{2201B080-3873-4B87-A90E-2D4E8D6DF60F}"/>
    <cellStyle name="Percent 15 4 5" xfId="13916" xr:uid="{00000000-0005-0000-0000-000021270000}"/>
    <cellStyle name="Percent 15 4 5 2" xfId="42832" xr:uid="{0335F99B-C272-474C-8D04-B5118A9B0EAC}"/>
    <cellStyle name="Percent 15 4 6" xfId="8306" xr:uid="{00000000-0005-0000-0000-000022270000}"/>
    <cellStyle name="Percent 15 4 6 2" xfId="42833" xr:uid="{16F7C835-C1B3-43B1-97E3-6678AB19546A}"/>
    <cellStyle name="Percent 15 4 7" xfId="42821" xr:uid="{0060B528-10DE-4743-8499-23830EFB4CA9}"/>
    <cellStyle name="Percent 15 5" xfId="2573" xr:uid="{00000000-0005-0000-0000-000023270000}"/>
    <cellStyle name="Percent 15 5 2" xfId="9827" xr:uid="{00000000-0005-0000-0000-000024270000}"/>
    <cellStyle name="Percent 15 5 2 2" xfId="42835" xr:uid="{924DFB67-2EDD-4E4C-ADD1-1A4A53172441}"/>
    <cellStyle name="Percent 15 5 3" xfId="9828" xr:uid="{00000000-0005-0000-0000-000025270000}"/>
    <cellStyle name="Percent 15 5 3 2" xfId="9829" xr:uid="{00000000-0005-0000-0000-000026270000}"/>
    <cellStyle name="Percent 15 5 3 2 2" xfId="42837" xr:uid="{B8DBE5E7-36A8-4944-AC4A-AE47C6BB16DD}"/>
    <cellStyle name="Percent 15 5 3 3" xfId="42836" xr:uid="{6E9729FB-A175-4D8D-8C8B-96ECDBF21866}"/>
    <cellStyle name="Percent 15 5 4" xfId="9826" xr:uid="{00000000-0005-0000-0000-000027270000}"/>
    <cellStyle name="Percent 15 5 4 2" xfId="42838" xr:uid="{5D448C80-65F6-4912-8C82-C0E6F6A5FC35}"/>
    <cellStyle name="Percent 15 5 5" xfId="12635" xr:uid="{00000000-0005-0000-0000-000028270000}"/>
    <cellStyle name="Percent 15 5 5 2" xfId="42839" xr:uid="{88C4EFAD-0E5F-4AD5-9A9C-BAC51E214A4A}"/>
    <cellStyle name="Percent 15 5 6" xfId="8309" xr:uid="{00000000-0005-0000-0000-000029270000}"/>
    <cellStyle name="Percent 15 5 6 2" xfId="42840" xr:uid="{98A952AC-0DFE-4376-A6B8-0995FC4722CB}"/>
    <cellStyle name="Percent 15 5 7" xfId="42834" xr:uid="{9082D7A6-1D3C-4DBD-88DE-39051D078ABF}"/>
    <cellStyle name="Percent 15 6" xfId="2574" xr:uid="{00000000-0005-0000-0000-00002A270000}"/>
    <cellStyle name="Percent 15 6 2" xfId="9831" xr:uid="{00000000-0005-0000-0000-00002B270000}"/>
    <cellStyle name="Percent 15 6 2 2" xfId="42842" xr:uid="{E4A959E6-20AD-4D6A-B742-DD16397E8B8C}"/>
    <cellStyle name="Percent 15 6 3" xfId="9832" xr:uid="{00000000-0005-0000-0000-00002C270000}"/>
    <cellStyle name="Percent 15 6 3 2" xfId="9833" xr:uid="{00000000-0005-0000-0000-00002D270000}"/>
    <cellStyle name="Percent 15 6 3 2 2" xfId="42844" xr:uid="{4CE52908-C23E-407E-BD97-7D0DA8D5F6EB}"/>
    <cellStyle name="Percent 15 6 3 3" xfId="42843" xr:uid="{DCBF21C9-8AD7-44BE-A8D4-8A4724C8C41C}"/>
    <cellStyle name="Percent 15 6 4" xfId="9830" xr:uid="{00000000-0005-0000-0000-00002E270000}"/>
    <cellStyle name="Percent 15 6 4 2" xfId="42845" xr:uid="{3E693B28-D80B-494D-AFDE-F82F5FBC0A04}"/>
    <cellStyle name="Percent 15 6 5" xfId="16625" xr:uid="{00000000-0005-0000-0000-00002F270000}"/>
    <cellStyle name="Percent 15 6 5 2" xfId="42846" xr:uid="{F00FCD9E-1DEA-4C09-A596-4DC207CD880E}"/>
    <cellStyle name="Percent 15 6 6" xfId="8310" xr:uid="{00000000-0005-0000-0000-000030270000}"/>
    <cellStyle name="Percent 15 6 6 2" xfId="42847" xr:uid="{02DCFCDB-111F-4702-B547-6664A6C49C1C}"/>
    <cellStyle name="Percent 15 6 7" xfId="42841" xr:uid="{33A5486E-B456-4FB4-BBE4-D8F06169A911}"/>
    <cellStyle name="Percent 15 7" xfId="2575" xr:uid="{00000000-0005-0000-0000-000031270000}"/>
    <cellStyle name="Percent 15 7 2" xfId="2576" xr:uid="{00000000-0005-0000-0000-000032270000}"/>
    <cellStyle name="Percent 15 7 2 2" xfId="9835" xr:uid="{00000000-0005-0000-0000-000033270000}"/>
    <cellStyle name="Percent 15 7 2 2 2" xfId="42851" xr:uid="{44C32719-F943-4FDF-80D1-554843F82E56}"/>
    <cellStyle name="Percent 15 7 2 2 3" xfId="42850" xr:uid="{4D0211A4-91D9-40FF-BF41-CDE13432F211}"/>
    <cellStyle name="Percent 15 7 2 3" xfId="13748" xr:uid="{00000000-0005-0000-0000-000034270000}"/>
    <cellStyle name="Percent 15 7 2 3 2" xfId="42853" xr:uid="{5D06D3D4-66AC-4D8F-A23E-1685BE102F44}"/>
    <cellStyle name="Percent 15 7 2 3 3" xfId="42852" xr:uid="{FDA5573B-F7BE-4024-8C25-F780B2D0DBA6}"/>
    <cellStyle name="Percent 15 7 2 4" xfId="8312" xr:uid="{00000000-0005-0000-0000-000035270000}"/>
    <cellStyle name="Percent 15 7 2 4 2" xfId="42854" xr:uid="{958DFD64-65E0-442B-B1F6-89DB6C8D320D}"/>
    <cellStyle name="Percent 15 7 2 5" xfId="42849" xr:uid="{9CE582C8-73FE-447A-80A2-7D0806E3C770}"/>
    <cellStyle name="Percent 15 7 3" xfId="2577" xr:uid="{00000000-0005-0000-0000-000036270000}"/>
    <cellStyle name="Percent 15 7 3 2" xfId="9836" xr:uid="{00000000-0005-0000-0000-000037270000}"/>
    <cellStyle name="Percent 15 7 3 2 2" xfId="42857" xr:uid="{D7295CF4-60CE-4187-9851-E44E851610B9}"/>
    <cellStyle name="Percent 15 7 3 2 3" xfId="42856" xr:uid="{0887C8BC-87E0-4215-87DF-8E020376C07A}"/>
    <cellStyle name="Percent 15 7 3 3" xfId="12912" xr:uid="{00000000-0005-0000-0000-000038270000}"/>
    <cellStyle name="Percent 15 7 3 3 2" xfId="42859" xr:uid="{3E2C48F4-28B5-4B0A-82B3-CAF95AAAF5DB}"/>
    <cellStyle name="Percent 15 7 3 3 3" xfId="42858" xr:uid="{1FD15016-8DE1-4C26-B672-392612BEC8C8}"/>
    <cellStyle name="Percent 15 7 3 4" xfId="8313" xr:uid="{00000000-0005-0000-0000-000039270000}"/>
    <cellStyle name="Percent 15 7 3 4 2" xfId="42860" xr:uid="{2EDE199C-7896-4C3C-B28F-DAF6BB5FE243}"/>
    <cellStyle name="Percent 15 7 3 5" xfId="42855" xr:uid="{18EB342A-8FF5-428C-954D-C81C054ED0EE}"/>
    <cellStyle name="Percent 15 7 4" xfId="9837" xr:uid="{00000000-0005-0000-0000-00003A270000}"/>
    <cellStyle name="Percent 15 7 4 2" xfId="9838" xr:uid="{00000000-0005-0000-0000-00003B270000}"/>
    <cellStyle name="Percent 15 7 4 2 2" xfId="42863" xr:uid="{F57AC7C3-7A38-4416-895E-073BEF9161EA}"/>
    <cellStyle name="Percent 15 7 4 2 3" xfId="42862" xr:uid="{B6AB39BE-718C-4FAF-9620-D182C9C5F2E2}"/>
    <cellStyle name="Percent 15 7 4 3" xfId="42864" xr:uid="{84B4F327-F47B-4DBC-9E89-25A63E7AEAFB}"/>
    <cellStyle name="Percent 15 7 4 4" xfId="42861" xr:uid="{52A7E4FB-52F2-4E29-9A69-B3F64C1598D9}"/>
    <cellStyle name="Percent 15 7 5" xfId="9834" xr:uid="{00000000-0005-0000-0000-00003C270000}"/>
    <cellStyle name="Percent 15 7 5 2" xfId="42866" xr:uid="{CE1F6D30-70BC-415C-A33F-E612F7E014CF}"/>
    <cellStyle name="Percent 15 7 5 3" xfId="42865" xr:uid="{8E71996D-F0F6-44AE-980B-B4A0309FAD26}"/>
    <cellStyle name="Percent 15 7 6" xfId="12800" xr:uid="{00000000-0005-0000-0000-00003D270000}"/>
    <cellStyle name="Percent 15 7 6 2" xfId="42867" xr:uid="{D231F75F-BFDC-42F1-BB3D-834E283E92DC}"/>
    <cellStyle name="Percent 15 7 7" xfId="8311" xr:uid="{00000000-0005-0000-0000-00003E270000}"/>
    <cellStyle name="Percent 15 7 7 2" xfId="42868" xr:uid="{F273FACD-9CB2-412F-BFDB-19427A8AFB3C}"/>
    <cellStyle name="Percent 15 7 8" xfId="16713" xr:uid="{3FAAFB4D-916A-4543-B1F2-AA0B38E8301E}"/>
    <cellStyle name="Percent 15 7 8 2" xfId="33441" xr:uid="{04F5C447-6A06-4815-94D5-B644EEB18297}"/>
    <cellStyle name="Percent 15 7 8 3" xfId="42869" xr:uid="{A56C7613-C66B-4C4F-B889-2B1C238C5A15}"/>
    <cellStyle name="Percent 15 7 9" xfId="42848" xr:uid="{96BDBE38-2CD8-49E2-9612-04F1868306A0}"/>
    <cellStyle name="Percent 15 8" xfId="4520" xr:uid="{00000000-0005-0000-0000-00003F270000}"/>
    <cellStyle name="Percent 15 8 2" xfId="9840" xr:uid="{00000000-0005-0000-0000-000040270000}"/>
    <cellStyle name="Percent 15 8 2 2" xfId="42871" xr:uid="{5E85A947-4981-419C-A8D2-BB55D5FB5DA8}"/>
    <cellStyle name="Percent 15 8 3" xfId="9839" xr:uid="{00000000-0005-0000-0000-000041270000}"/>
    <cellStyle name="Percent 15 8 3 2" xfId="42872" xr:uid="{0FB88007-FDD6-4B9D-AA44-0821CB85C012}"/>
    <cellStyle name="Percent 15 8 4" xfId="12556" xr:uid="{00000000-0005-0000-0000-000042270000}"/>
    <cellStyle name="Percent 15 8 4 2" xfId="42873" xr:uid="{72AF9D08-1C36-4677-8A6C-47C498F534CA}"/>
    <cellStyle name="Percent 15 8 5" xfId="8314" xr:uid="{00000000-0005-0000-0000-000043270000}"/>
    <cellStyle name="Percent 15 8 5 2" xfId="42874" xr:uid="{FCBD4D80-4F68-4EE7-9F5B-A0A3F96BE442}"/>
    <cellStyle name="Percent 15 8 6" xfId="42870" xr:uid="{D88C6A05-3C5D-4978-807F-B780AB56E610}"/>
    <cellStyle name="Percent 15 9" xfId="4521" xr:uid="{00000000-0005-0000-0000-000044270000}"/>
    <cellStyle name="Percent 15 9 2" xfId="9841" xr:uid="{00000000-0005-0000-0000-000045270000}"/>
    <cellStyle name="Percent 15 9 2 2" xfId="42876" xr:uid="{FF465BD4-AABC-431C-B41F-ABB997EC4F99}"/>
    <cellStyle name="Percent 15 9 3" xfId="12913" xr:uid="{00000000-0005-0000-0000-000046270000}"/>
    <cellStyle name="Percent 15 9 3 2" xfId="42877" xr:uid="{7D355DCF-5439-4C55-855B-55F3B24AD559}"/>
    <cellStyle name="Percent 15 9 4" xfId="8315" xr:uid="{00000000-0005-0000-0000-000047270000}"/>
    <cellStyle name="Percent 15 9 4 2" xfId="42878" xr:uid="{8E5A7210-EC29-4313-9E53-EBC55033B71F}"/>
    <cellStyle name="Percent 15 9 5" xfId="42875" xr:uid="{0167F7DC-7606-4F61-ADAB-3F06509FFA65}"/>
    <cellStyle name="Percent 16" xfId="4522" xr:uid="{00000000-0005-0000-0000-000048270000}"/>
    <cellStyle name="Percent 16 10" xfId="9842" xr:uid="{00000000-0005-0000-0000-000049270000}"/>
    <cellStyle name="Percent 16 10 2" xfId="12208" xr:uid="{00000000-0005-0000-0000-00004A270000}"/>
    <cellStyle name="Percent 16 10 2 2" xfId="42881" xr:uid="{39B2F813-C6DC-478F-8358-1F62131DB51B}"/>
    <cellStyle name="Percent 16 10 3" xfId="12207" xr:uid="{00000000-0005-0000-0000-00004B270000}"/>
    <cellStyle name="Percent 16 10 3 2" xfId="42882" xr:uid="{D68E0F4F-C672-438C-BCF0-838E2566E9D1}"/>
    <cellStyle name="Percent 16 10 4" xfId="42880" xr:uid="{5D13D503-B849-4F2F-BE2E-4DDBF7919405}"/>
    <cellStyle name="Percent 16 11" xfId="12672" xr:uid="{00000000-0005-0000-0000-00004C270000}"/>
    <cellStyle name="Percent 16 11 2" xfId="42883" xr:uid="{62C596D8-660E-4185-901B-7D667E613016}"/>
    <cellStyle name="Percent 16 12" xfId="8316" xr:uid="{00000000-0005-0000-0000-00004D270000}"/>
    <cellStyle name="Percent 16 12 2" xfId="42884" xr:uid="{C626825E-5407-46F6-AC37-61C51D916715}"/>
    <cellStyle name="Percent 16 13" xfId="42879" xr:uid="{A57EBAB0-381D-4F6F-9F10-1F1A598D91B7}"/>
    <cellStyle name="Percent 16 2" xfId="2578" xr:uid="{00000000-0005-0000-0000-00004E270000}"/>
    <cellStyle name="Percent 16 2 2" xfId="4523" xr:uid="{00000000-0005-0000-0000-00004F270000}"/>
    <cellStyle name="Percent 16 2 2 2" xfId="9844" xr:uid="{00000000-0005-0000-0000-000050270000}"/>
    <cellStyle name="Percent 16 2 2 2 2" xfId="42887" xr:uid="{BA0DD46D-B400-42F0-A238-964C897AA4C7}"/>
    <cellStyle name="Percent 16 2 2 3" xfId="12852" xr:uid="{00000000-0005-0000-0000-000051270000}"/>
    <cellStyle name="Percent 16 2 2 3 2" xfId="42888" xr:uid="{CDC31E09-E52F-4D28-8A27-EFA1403502F8}"/>
    <cellStyle name="Percent 16 2 2 4" xfId="8318" xr:uid="{00000000-0005-0000-0000-000052270000}"/>
    <cellStyle name="Percent 16 2 2 4 2" xfId="42889" xr:uid="{14DC35A2-A63A-4F65-9190-E1CC842D24C1}"/>
    <cellStyle name="Percent 16 2 2 5" xfId="42890" xr:uid="{BBCDC0DB-A62C-4D65-BB65-BF92DA8854C8}"/>
    <cellStyle name="Percent 16 2 2 6" xfId="42886" xr:uid="{09D38465-6048-4E7D-A335-383659B27205}"/>
    <cellStyle name="Percent 16 2 3" xfId="6417" xr:uid="{00000000-0005-0000-0000-000053270000}"/>
    <cellStyle name="Percent 16 2 3 2" xfId="14852" xr:uid="{00000000-0005-0000-0000-000054270000}"/>
    <cellStyle name="Percent 16 2 3 2 2" xfId="42892" xr:uid="{09E3D8BE-2143-4E10-8D9F-FF8A519D9880}"/>
    <cellStyle name="Percent 16 2 3 3" xfId="12430" xr:uid="{00000000-0005-0000-0000-000055270000}"/>
    <cellStyle name="Percent 16 2 3 3 2" xfId="42893" xr:uid="{30AD680B-BECF-477B-9660-9A246177E51E}"/>
    <cellStyle name="Percent 16 2 3 4" xfId="8319" xr:uid="{00000000-0005-0000-0000-000056270000}"/>
    <cellStyle name="Percent 16 2 3 4 2" xfId="42894" xr:uid="{E55AD92A-5737-425D-ADCC-CAB0387F091C}"/>
    <cellStyle name="Percent 16 2 3 5" xfId="42891" xr:uid="{EBB57E13-B619-49AE-A2D1-6B9C739B87AB}"/>
    <cellStyle name="Percent 16 2 4" xfId="9843" xr:uid="{00000000-0005-0000-0000-000057270000}"/>
    <cellStyle name="Percent 16 2 4 2" xfId="42895" xr:uid="{AD0FE05D-B597-47A2-9033-78C723E4E6E8}"/>
    <cellStyle name="Percent 16 2 5" xfId="13880" xr:uid="{00000000-0005-0000-0000-000058270000}"/>
    <cellStyle name="Percent 16 2 5 2" xfId="42896" xr:uid="{CE7C5BE2-6A4F-42B3-827B-5A35DF8CCE06}"/>
    <cellStyle name="Percent 16 2 6" xfId="8317" xr:uid="{00000000-0005-0000-0000-000059270000}"/>
    <cellStyle name="Percent 16 2 6 2" xfId="42897" xr:uid="{8C776743-BADA-4811-9EE1-DDEB05840998}"/>
    <cellStyle name="Percent 16 2 7" xfId="42885" xr:uid="{EF79C015-BBBF-47BA-8052-A899FBB1BF56}"/>
    <cellStyle name="Percent 16 3" xfId="2579" xr:uid="{00000000-0005-0000-0000-00005A270000}"/>
    <cellStyle name="Percent 16 3 10" xfId="4525" xr:uid="{00000000-0005-0000-0000-00005B270000}"/>
    <cellStyle name="Percent 16 3 10 2" xfId="9846" xr:uid="{00000000-0005-0000-0000-00005C270000}"/>
    <cellStyle name="Percent 16 3 10 2 2" xfId="42900" xr:uid="{54D92842-6567-4AF0-8A89-631F21C8D7FD}"/>
    <cellStyle name="Percent 16 3 10 3" xfId="12576" xr:uid="{00000000-0005-0000-0000-00005D270000}"/>
    <cellStyle name="Percent 16 3 10 3 2" xfId="42901" xr:uid="{2E27DBED-9F66-4DB4-8B87-D87B83EBE68E}"/>
    <cellStyle name="Percent 16 3 10 4" xfId="8321" xr:uid="{00000000-0005-0000-0000-00005E270000}"/>
    <cellStyle name="Percent 16 3 10 4 2" xfId="42902" xr:uid="{6B568520-74E0-48D4-85F7-0CD9B1808F96}"/>
    <cellStyle name="Percent 16 3 10 5" xfId="42899" xr:uid="{7448CCA2-09C4-43B0-AB30-39C2B2D07213}"/>
    <cellStyle name="Percent 16 3 11" xfId="4526" xr:uid="{00000000-0005-0000-0000-00005F270000}"/>
    <cellStyle name="Percent 16 3 11 2" xfId="9847" xr:uid="{00000000-0005-0000-0000-000060270000}"/>
    <cellStyle name="Percent 16 3 11 2 2" xfId="42904" xr:uid="{F7D6E394-8221-425E-AA4E-414EF8E23297}"/>
    <cellStyle name="Percent 16 3 11 3" xfId="16660" xr:uid="{00000000-0005-0000-0000-000061270000}"/>
    <cellStyle name="Percent 16 3 11 3 2" xfId="42905" xr:uid="{6AACC379-172A-44B8-99BC-1733620CE106}"/>
    <cellStyle name="Percent 16 3 11 4" xfId="8322" xr:uid="{00000000-0005-0000-0000-000062270000}"/>
    <cellStyle name="Percent 16 3 11 4 2" xfId="42906" xr:uid="{BE97CD34-0D3A-420A-ACD8-BB0F11C5A84A}"/>
    <cellStyle name="Percent 16 3 11 5" xfId="42903" xr:uid="{065512FC-B160-4D61-AA53-9B4F0B673100}"/>
    <cellStyle name="Percent 16 3 12" xfId="4527" xr:uid="{00000000-0005-0000-0000-000063270000}"/>
    <cellStyle name="Percent 16 3 12 2" xfId="9848" xr:uid="{00000000-0005-0000-0000-000064270000}"/>
    <cellStyle name="Percent 16 3 12 2 2" xfId="42908" xr:uid="{AD6B34CC-290F-4122-843F-FC6BA5642C0D}"/>
    <cellStyle name="Percent 16 3 12 3" xfId="12743" xr:uid="{00000000-0005-0000-0000-000065270000}"/>
    <cellStyle name="Percent 16 3 12 3 2" xfId="42909" xr:uid="{EFE8AA8F-3832-4D52-B62C-704A1AB7F88A}"/>
    <cellStyle name="Percent 16 3 12 4" xfId="8323" xr:uid="{00000000-0005-0000-0000-000066270000}"/>
    <cellStyle name="Percent 16 3 12 4 2" xfId="42910" xr:uid="{FB676F5A-1724-4E04-8556-5C17589944F2}"/>
    <cellStyle name="Percent 16 3 12 5" xfId="42907" xr:uid="{05BCE6D4-8193-4AD8-ABAE-56EE83AAAB3E}"/>
    <cellStyle name="Percent 16 3 13" xfId="4528" xr:uid="{00000000-0005-0000-0000-000067270000}"/>
    <cellStyle name="Percent 16 3 13 2" xfId="9849" xr:uid="{00000000-0005-0000-0000-000068270000}"/>
    <cellStyle name="Percent 16 3 13 2 2" xfId="42912" xr:uid="{644DA271-D978-41C3-B5C9-5EFED90BFE29}"/>
    <cellStyle name="Percent 16 3 13 3" xfId="16437" xr:uid="{00000000-0005-0000-0000-000069270000}"/>
    <cellStyle name="Percent 16 3 13 3 2" xfId="42913" xr:uid="{005F79B0-313A-4BC4-BF88-9DB4A6EC825B}"/>
    <cellStyle name="Percent 16 3 13 4" xfId="8324" xr:uid="{00000000-0005-0000-0000-00006A270000}"/>
    <cellStyle name="Percent 16 3 13 4 2" xfId="42914" xr:uid="{F41FF215-5B9E-4F66-87B5-52E3A6540BDC}"/>
    <cellStyle name="Percent 16 3 13 5" xfId="42911" xr:uid="{20DEA7A3-93DB-4A89-91F6-D9092A87AC4A}"/>
    <cellStyle name="Percent 16 3 14" xfId="4529" xr:uid="{00000000-0005-0000-0000-00006B270000}"/>
    <cellStyle name="Percent 16 3 14 2" xfId="9850" xr:uid="{00000000-0005-0000-0000-00006C270000}"/>
    <cellStyle name="Percent 16 3 14 2 2" xfId="42916" xr:uid="{F2D1DADA-5436-45CC-9A08-EFEEC5067EE7}"/>
    <cellStyle name="Percent 16 3 14 3" xfId="16447" xr:uid="{00000000-0005-0000-0000-00006D270000}"/>
    <cellStyle name="Percent 16 3 14 3 2" xfId="42917" xr:uid="{D2F4A0D0-1249-4237-B904-4DEFA6F35337}"/>
    <cellStyle name="Percent 16 3 14 4" xfId="8325" xr:uid="{00000000-0005-0000-0000-00006E270000}"/>
    <cellStyle name="Percent 16 3 14 4 2" xfId="42918" xr:uid="{BFD0B2DD-B257-40ED-B934-5B43EFBB4256}"/>
    <cellStyle name="Percent 16 3 14 5" xfId="42915" xr:uid="{F14B4F7C-8304-40EA-83BB-37A2537D10F8}"/>
    <cellStyle name="Percent 16 3 15" xfId="4530" xr:uid="{00000000-0005-0000-0000-00006F270000}"/>
    <cellStyle name="Percent 16 3 15 2" xfId="9851" xr:uid="{00000000-0005-0000-0000-000070270000}"/>
    <cellStyle name="Percent 16 3 15 2 2" xfId="42920" xr:uid="{A78C6A34-7C12-4EFB-BA43-B62A3D6D7814}"/>
    <cellStyle name="Percent 16 3 15 3" xfId="16659" xr:uid="{00000000-0005-0000-0000-000071270000}"/>
    <cellStyle name="Percent 16 3 15 3 2" xfId="42921" xr:uid="{12F442A4-AFE3-4479-96E5-546AA62E0866}"/>
    <cellStyle name="Percent 16 3 15 4" xfId="8326" xr:uid="{00000000-0005-0000-0000-000072270000}"/>
    <cellStyle name="Percent 16 3 15 4 2" xfId="42922" xr:uid="{67CFB60D-77CB-4B60-8842-000A9D9E5D4B}"/>
    <cellStyle name="Percent 16 3 15 5" xfId="42919" xr:uid="{AE36F0AA-E37B-4005-96A1-B8F804862886}"/>
    <cellStyle name="Percent 16 3 16" xfId="4531" xr:uid="{00000000-0005-0000-0000-000073270000}"/>
    <cellStyle name="Percent 16 3 16 2" xfId="9852" xr:uid="{00000000-0005-0000-0000-000074270000}"/>
    <cellStyle name="Percent 16 3 16 2 2" xfId="42924" xr:uid="{AE077004-1D08-47E2-A2BA-5BDF88E63783}"/>
    <cellStyle name="Percent 16 3 16 3" xfId="12839" xr:uid="{00000000-0005-0000-0000-000075270000}"/>
    <cellStyle name="Percent 16 3 16 3 2" xfId="42925" xr:uid="{C767D9A0-679D-44C7-BE1C-F1D7B6421C8A}"/>
    <cellStyle name="Percent 16 3 16 4" xfId="8327" xr:uid="{00000000-0005-0000-0000-000076270000}"/>
    <cellStyle name="Percent 16 3 16 4 2" xfId="42926" xr:uid="{9386BB86-222A-4B89-9141-8AE8B816CC73}"/>
    <cellStyle name="Percent 16 3 16 5" xfId="42923" xr:uid="{C0A35098-1EED-4345-9366-808AA5DD282B}"/>
    <cellStyle name="Percent 16 3 17" xfId="4532" xr:uid="{00000000-0005-0000-0000-000077270000}"/>
    <cellStyle name="Percent 16 3 17 2" xfId="9853" xr:uid="{00000000-0005-0000-0000-000078270000}"/>
    <cellStyle name="Percent 16 3 17 2 2" xfId="42928" xr:uid="{0013248D-FEE9-48DD-8749-38F14384A3FD}"/>
    <cellStyle name="Percent 16 3 17 3" xfId="13470" xr:uid="{00000000-0005-0000-0000-000079270000}"/>
    <cellStyle name="Percent 16 3 17 3 2" xfId="42929" xr:uid="{CC5A1E7B-4436-4444-90DC-58A86F5C4F40}"/>
    <cellStyle name="Percent 16 3 17 4" xfId="8328" xr:uid="{00000000-0005-0000-0000-00007A270000}"/>
    <cellStyle name="Percent 16 3 17 4 2" xfId="42930" xr:uid="{B440DBE9-F611-4378-BD13-09AA69843B3F}"/>
    <cellStyle name="Percent 16 3 17 5" xfId="42927" xr:uid="{5AFEAAAE-2262-4028-B61D-31608E924C94}"/>
    <cellStyle name="Percent 16 3 18" xfId="4524" xr:uid="{00000000-0005-0000-0000-00007B270000}"/>
    <cellStyle name="Percent 16 3 18 2" xfId="9854" xr:uid="{00000000-0005-0000-0000-00007C270000}"/>
    <cellStyle name="Percent 16 3 18 2 2" xfId="42932" xr:uid="{DCB92356-CF90-4379-B07F-1A03D50167A6}"/>
    <cellStyle name="Percent 16 3 18 3" xfId="16510" xr:uid="{00000000-0005-0000-0000-00007D270000}"/>
    <cellStyle name="Percent 16 3 18 3 2" xfId="42933" xr:uid="{BD284805-BA47-4D3A-8ECA-7F1C30A0C38E}"/>
    <cellStyle name="Percent 16 3 18 4" xfId="8329" xr:uid="{00000000-0005-0000-0000-00007E270000}"/>
    <cellStyle name="Percent 16 3 18 4 2" xfId="42934" xr:uid="{AD352974-58A8-4E75-8039-AD554ECCC5A5}"/>
    <cellStyle name="Percent 16 3 18 5" xfId="42931" xr:uid="{504E4AE6-C1B7-4FAE-B4AC-4E2C599C164E}"/>
    <cellStyle name="Percent 16 3 19" xfId="6418" xr:uid="{00000000-0005-0000-0000-00007F270000}"/>
    <cellStyle name="Percent 16 3 19 2" xfId="14853" xr:uid="{00000000-0005-0000-0000-000080270000}"/>
    <cellStyle name="Percent 16 3 19 2 2" xfId="42936" xr:uid="{A5D0CA99-B2F6-4E63-8E88-1B777649822B}"/>
    <cellStyle name="Percent 16 3 19 3" xfId="16466" xr:uid="{00000000-0005-0000-0000-000081270000}"/>
    <cellStyle name="Percent 16 3 19 3 2" xfId="42937" xr:uid="{8612820E-104A-443B-A17B-AFE63618F9AC}"/>
    <cellStyle name="Percent 16 3 19 4" xfId="8330" xr:uid="{00000000-0005-0000-0000-000082270000}"/>
    <cellStyle name="Percent 16 3 19 4 2" xfId="42938" xr:uid="{75B635D5-6EB7-41A6-AD9E-F253C165416C}"/>
    <cellStyle name="Percent 16 3 19 5" xfId="42935" xr:uid="{BAA3952B-3DFB-42A3-A6CB-8D8894C35F8F}"/>
    <cellStyle name="Percent 16 3 2" xfId="4533" xr:uid="{00000000-0005-0000-0000-000083270000}"/>
    <cellStyle name="Percent 16 3 2 2" xfId="9855" xr:uid="{00000000-0005-0000-0000-000084270000}"/>
    <cellStyle name="Percent 16 3 2 2 2" xfId="42940" xr:uid="{BC9DD266-F590-43DA-A683-0B49EA863C83}"/>
    <cellStyle name="Percent 16 3 2 3" xfId="12736" xr:uid="{00000000-0005-0000-0000-000085270000}"/>
    <cellStyle name="Percent 16 3 2 3 2" xfId="42941" xr:uid="{B5073687-3993-4853-8E7F-C4BAAEAA15DB}"/>
    <cellStyle name="Percent 16 3 2 4" xfId="8331" xr:uid="{00000000-0005-0000-0000-000086270000}"/>
    <cellStyle name="Percent 16 3 2 4 2" xfId="42942" xr:uid="{ABD4188B-6076-400E-8F4D-A591ABC4EE20}"/>
    <cellStyle name="Percent 16 3 2 5" xfId="42943" xr:uid="{E4C95FBF-9B40-4C51-8220-CD503CF62F17}"/>
    <cellStyle name="Percent 16 3 2 6" xfId="42939" xr:uid="{4979D627-AEAA-43A9-9604-3CEA3C95D090}"/>
    <cellStyle name="Percent 16 3 20" xfId="9845" xr:uid="{00000000-0005-0000-0000-000087270000}"/>
    <cellStyle name="Percent 16 3 20 2" xfId="42944" xr:uid="{99C623E4-BD0F-41CF-8894-06C4472B3FA4}"/>
    <cellStyle name="Percent 16 3 21" xfId="12853" xr:uid="{00000000-0005-0000-0000-000088270000}"/>
    <cellStyle name="Percent 16 3 21 2" xfId="42945" xr:uid="{867E7F19-2BD9-4E60-97E9-9683D23B63EF}"/>
    <cellStyle name="Percent 16 3 22" xfId="8320" xr:uid="{00000000-0005-0000-0000-000089270000}"/>
    <cellStyle name="Percent 16 3 22 2" xfId="42946" xr:uid="{55A52A52-7ADB-4B15-AB4D-A6026CA81804}"/>
    <cellStyle name="Percent 16 3 23" xfId="42898" xr:uid="{93B4B485-793C-42B2-8BEC-90095CB3B522}"/>
    <cellStyle name="Percent 16 3 3" xfId="4534" xr:uid="{00000000-0005-0000-0000-00008A270000}"/>
    <cellStyle name="Percent 16 3 3 2" xfId="9856" xr:uid="{00000000-0005-0000-0000-00008B270000}"/>
    <cellStyle name="Percent 16 3 3 2 2" xfId="42948" xr:uid="{6D48E937-A844-43B8-9C0A-5EFA853FC4ED}"/>
    <cellStyle name="Percent 16 3 3 3" xfId="13836" xr:uid="{00000000-0005-0000-0000-00008C270000}"/>
    <cellStyle name="Percent 16 3 3 3 2" xfId="42949" xr:uid="{2742180F-F4B6-44C7-9E41-5DF1A076136B}"/>
    <cellStyle name="Percent 16 3 3 4" xfId="8332" xr:uid="{00000000-0005-0000-0000-00008D270000}"/>
    <cellStyle name="Percent 16 3 3 4 2" xfId="42950" xr:uid="{199C9AE5-9D3C-4796-BF8E-691911F98241}"/>
    <cellStyle name="Percent 16 3 3 5" xfId="42947" xr:uid="{4F80E51A-9C92-48F7-A480-8AB6C0483345}"/>
    <cellStyle name="Percent 16 3 4" xfId="4535" xr:uid="{00000000-0005-0000-0000-00008E270000}"/>
    <cellStyle name="Percent 16 3 4 2" xfId="9857" xr:uid="{00000000-0005-0000-0000-00008F270000}"/>
    <cellStyle name="Percent 16 3 4 2 2" xfId="42952" xr:uid="{0F332E37-F536-49B4-A857-F88C78E30A9E}"/>
    <cellStyle name="Percent 16 3 4 3" xfId="16224" xr:uid="{00000000-0005-0000-0000-000090270000}"/>
    <cellStyle name="Percent 16 3 4 3 2" xfId="42953" xr:uid="{87116C8C-3A95-4271-8B67-BCC22D1BDA29}"/>
    <cellStyle name="Percent 16 3 4 4" xfId="8333" xr:uid="{00000000-0005-0000-0000-000091270000}"/>
    <cellStyle name="Percent 16 3 4 4 2" xfId="42954" xr:uid="{059C33E8-E7B4-44FF-A955-B831C6044386}"/>
    <cellStyle name="Percent 16 3 4 5" xfId="42951" xr:uid="{451ED3EB-0340-4FF8-9EED-68C93AA8A531}"/>
    <cellStyle name="Percent 16 3 5" xfId="4536" xr:uid="{00000000-0005-0000-0000-000092270000}"/>
    <cellStyle name="Percent 16 3 5 2" xfId="9858" xr:uid="{00000000-0005-0000-0000-000093270000}"/>
    <cellStyle name="Percent 16 3 5 2 2" xfId="42956" xr:uid="{7F08CEE6-1941-44FB-B798-0E97979E64BA}"/>
    <cellStyle name="Percent 16 3 5 3" xfId="16195" xr:uid="{00000000-0005-0000-0000-000094270000}"/>
    <cellStyle name="Percent 16 3 5 3 2" xfId="42957" xr:uid="{923A7D88-CBE9-4828-A6E5-0E8269366417}"/>
    <cellStyle name="Percent 16 3 5 4" xfId="8334" xr:uid="{00000000-0005-0000-0000-000095270000}"/>
    <cellStyle name="Percent 16 3 5 4 2" xfId="42958" xr:uid="{CA39CE64-5EDF-43CE-8EB0-8141F062E16D}"/>
    <cellStyle name="Percent 16 3 5 5" xfId="42955" xr:uid="{42CC5546-5DEA-4B6F-8339-A3AE1B324A36}"/>
    <cellStyle name="Percent 16 3 6" xfId="4537" xr:uid="{00000000-0005-0000-0000-000096270000}"/>
    <cellStyle name="Percent 16 3 6 2" xfId="9859" xr:uid="{00000000-0005-0000-0000-000097270000}"/>
    <cellStyle name="Percent 16 3 6 2 2" xfId="42960" xr:uid="{A58B7988-EA60-46E7-BCE9-8AC765912A5C}"/>
    <cellStyle name="Percent 16 3 6 3" xfId="16461" xr:uid="{00000000-0005-0000-0000-000098270000}"/>
    <cellStyle name="Percent 16 3 6 3 2" xfId="42961" xr:uid="{FFD56E0F-D767-4BFC-B72B-45643CBE6079}"/>
    <cellStyle name="Percent 16 3 6 4" xfId="8335" xr:uid="{00000000-0005-0000-0000-000099270000}"/>
    <cellStyle name="Percent 16 3 6 4 2" xfId="42962" xr:uid="{C57734A4-5C75-4ADB-9245-2F724C645B32}"/>
    <cellStyle name="Percent 16 3 6 5" xfId="42959" xr:uid="{A51DB480-1921-4464-8761-10624C79107D}"/>
    <cellStyle name="Percent 16 3 7" xfId="4538" xr:uid="{00000000-0005-0000-0000-00009A270000}"/>
    <cellStyle name="Percent 16 3 7 2" xfId="9860" xr:uid="{00000000-0005-0000-0000-00009B270000}"/>
    <cellStyle name="Percent 16 3 7 2 2" xfId="42964" xr:uid="{2D7E3323-0AE3-438F-89C6-E87C42383161}"/>
    <cellStyle name="Percent 16 3 7 3" xfId="13906" xr:uid="{00000000-0005-0000-0000-00009C270000}"/>
    <cellStyle name="Percent 16 3 7 3 2" xfId="42965" xr:uid="{6CB6DC75-5485-4C4D-8CC2-6E563E96358F}"/>
    <cellStyle name="Percent 16 3 7 4" xfId="8336" xr:uid="{00000000-0005-0000-0000-00009D270000}"/>
    <cellStyle name="Percent 16 3 7 4 2" xfId="42966" xr:uid="{118500B4-B213-4764-A875-D9547F54BBA8}"/>
    <cellStyle name="Percent 16 3 7 5" xfId="42963" xr:uid="{F15098BB-D37F-453D-9147-9B7B517DA0DB}"/>
    <cellStyle name="Percent 16 3 8" xfId="4539" xr:uid="{00000000-0005-0000-0000-00009E270000}"/>
    <cellStyle name="Percent 16 3 8 2" xfId="9861" xr:uid="{00000000-0005-0000-0000-00009F270000}"/>
    <cellStyle name="Percent 16 3 8 2 2" xfId="42968" xr:uid="{09E86194-BEBC-47AC-89CB-517B85A69EDF}"/>
    <cellStyle name="Percent 16 3 8 3" xfId="16310" xr:uid="{00000000-0005-0000-0000-0000A0270000}"/>
    <cellStyle name="Percent 16 3 8 3 2" xfId="42969" xr:uid="{D9E65FF4-F2A7-43C8-9D9E-243CB12F2FE1}"/>
    <cellStyle name="Percent 16 3 8 4" xfId="8337" xr:uid="{00000000-0005-0000-0000-0000A1270000}"/>
    <cellStyle name="Percent 16 3 8 4 2" xfId="42970" xr:uid="{B1DF33EB-99F2-494F-848C-AB884959C396}"/>
    <cellStyle name="Percent 16 3 8 5" xfId="42967" xr:uid="{E1CE2AB7-EBF5-4EA2-B4F3-36DCC37A4C91}"/>
    <cellStyle name="Percent 16 3 9" xfId="4540" xr:uid="{00000000-0005-0000-0000-0000A2270000}"/>
    <cellStyle name="Percent 16 3 9 2" xfId="9862" xr:uid="{00000000-0005-0000-0000-0000A3270000}"/>
    <cellStyle name="Percent 16 3 9 2 2" xfId="42972" xr:uid="{1BEEB5C6-19F8-4CD8-A139-51112D7087E1}"/>
    <cellStyle name="Percent 16 3 9 3" xfId="16375" xr:uid="{00000000-0005-0000-0000-0000A4270000}"/>
    <cellStyle name="Percent 16 3 9 3 2" xfId="42973" xr:uid="{BF055AEC-F5FE-41F9-A03F-42435A77054A}"/>
    <cellStyle name="Percent 16 3 9 4" xfId="8338" xr:uid="{00000000-0005-0000-0000-0000A5270000}"/>
    <cellStyle name="Percent 16 3 9 4 2" xfId="42974" xr:uid="{61F76A9D-71A1-4B4B-B08D-329999C7AF80}"/>
    <cellStyle name="Percent 16 3 9 5" xfId="42971" xr:uid="{02BC06A1-743E-4955-9F01-2EC633B40CD0}"/>
    <cellStyle name="Percent 16 4" xfId="2580" xr:uid="{00000000-0005-0000-0000-0000A6270000}"/>
    <cellStyle name="Percent 16 4 10" xfId="4542" xr:uid="{00000000-0005-0000-0000-0000A7270000}"/>
    <cellStyle name="Percent 16 4 10 2" xfId="9864" xr:uid="{00000000-0005-0000-0000-0000A8270000}"/>
    <cellStyle name="Percent 16 4 10 2 2" xfId="42977" xr:uid="{29F2697F-3E0D-4294-B4E4-D441C85FC876}"/>
    <cellStyle name="Percent 16 4 10 3" xfId="13786" xr:uid="{00000000-0005-0000-0000-0000A9270000}"/>
    <cellStyle name="Percent 16 4 10 3 2" xfId="42978" xr:uid="{1D618620-D037-4733-B068-6E60A3FD99C4}"/>
    <cellStyle name="Percent 16 4 10 4" xfId="8340" xr:uid="{00000000-0005-0000-0000-0000AA270000}"/>
    <cellStyle name="Percent 16 4 10 4 2" xfId="42979" xr:uid="{4BA26FDB-DE52-49BD-847C-089F3029EEB1}"/>
    <cellStyle name="Percent 16 4 10 5" xfId="42976" xr:uid="{CE82C50A-80F4-432E-B258-64A60538304F}"/>
    <cellStyle name="Percent 16 4 11" xfId="4543" xr:uid="{00000000-0005-0000-0000-0000AB270000}"/>
    <cellStyle name="Percent 16 4 11 2" xfId="9865" xr:uid="{00000000-0005-0000-0000-0000AC270000}"/>
    <cellStyle name="Percent 16 4 11 2 2" xfId="42981" xr:uid="{15ADF6AF-4F17-4D6A-8AAF-1A0CA08B0ED6}"/>
    <cellStyle name="Percent 16 4 11 3" xfId="12910" xr:uid="{00000000-0005-0000-0000-0000AD270000}"/>
    <cellStyle name="Percent 16 4 11 3 2" xfId="42982" xr:uid="{F26FFC38-0365-4D41-8BA5-1420510BF294}"/>
    <cellStyle name="Percent 16 4 11 4" xfId="8341" xr:uid="{00000000-0005-0000-0000-0000AE270000}"/>
    <cellStyle name="Percent 16 4 11 4 2" xfId="42983" xr:uid="{4CEAD715-1669-49C9-968B-2A7127B29208}"/>
    <cellStyle name="Percent 16 4 11 5" xfId="42980" xr:uid="{ABC9698E-C519-4DB7-978B-AD83091CD8A3}"/>
    <cellStyle name="Percent 16 4 12" xfId="4544" xr:uid="{00000000-0005-0000-0000-0000AF270000}"/>
    <cellStyle name="Percent 16 4 12 2" xfId="9866" xr:uid="{00000000-0005-0000-0000-0000B0270000}"/>
    <cellStyle name="Percent 16 4 12 2 2" xfId="42985" xr:uid="{60BF85E5-6D22-4418-9F8F-E4987C5ACC7F}"/>
    <cellStyle name="Percent 16 4 12 3" xfId="12456" xr:uid="{00000000-0005-0000-0000-0000B1270000}"/>
    <cellStyle name="Percent 16 4 12 3 2" xfId="42986" xr:uid="{C22B1D8B-850F-488A-A429-5669F19C0996}"/>
    <cellStyle name="Percent 16 4 12 4" xfId="8342" xr:uid="{00000000-0005-0000-0000-0000B2270000}"/>
    <cellStyle name="Percent 16 4 12 4 2" xfId="42987" xr:uid="{C193BADC-B0B9-40EE-BF41-8E4CE3548B9B}"/>
    <cellStyle name="Percent 16 4 12 5" xfId="42984" xr:uid="{281DC88D-70C7-4884-8FA9-72D1F5474D1F}"/>
    <cellStyle name="Percent 16 4 13" xfId="4545" xr:uid="{00000000-0005-0000-0000-0000B3270000}"/>
    <cellStyle name="Percent 16 4 13 2" xfId="9867" xr:uid="{00000000-0005-0000-0000-0000B4270000}"/>
    <cellStyle name="Percent 16 4 13 2 2" xfId="42989" xr:uid="{FFE006F4-32FA-4EDA-9D9D-F78B8D1F37F5}"/>
    <cellStyle name="Percent 16 4 13 3" xfId="13752" xr:uid="{00000000-0005-0000-0000-0000B5270000}"/>
    <cellStyle name="Percent 16 4 13 3 2" xfId="42990" xr:uid="{E4A33D65-60E9-4070-A152-055FB84C19E3}"/>
    <cellStyle name="Percent 16 4 13 4" xfId="8343" xr:uid="{00000000-0005-0000-0000-0000B6270000}"/>
    <cellStyle name="Percent 16 4 13 4 2" xfId="42991" xr:uid="{722E50F2-B48F-42A9-B8B1-B60C57CB01D7}"/>
    <cellStyle name="Percent 16 4 13 5" xfId="42988" xr:uid="{D9CEBAE4-6AF6-493C-A6DB-44A86052A26C}"/>
    <cellStyle name="Percent 16 4 14" xfId="4546" xr:uid="{00000000-0005-0000-0000-0000B7270000}"/>
    <cellStyle name="Percent 16 4 14 2" xfId="9868" xr:uid="{00000000-0005-0000-0000-0000B8270000}"/>
    <cellStyle name="Percent 16 4 14 2 2" xfId="42993" xr:uid="{F67398DB-DF5D-4A08-82C9-FB216D61B407}"/>
    <cellStyle name="Percent 16 4 14 3" xfId="12618" xr:uid="{00000000-0005-0000-0000-0000B9270000}"/>
    <cellStyle name="Percent 16 4 14 3 2" xfId="42994" xr:uid="{DCAF61A9-B205-4965-8025-7FDC04782982}"/>
    <cellStyle name="Percent 16 4 14 4" xfId="8344" xr:uid="{00000000-0005-0000-0000-0000BA270000}"/>
    <cellStyle name="Percent 16 4 14 4 2" xfId="42995" xr:uid="{814DD4C4-1A39-4173-B9E6-55A76C7CCE4A}"/>
    <cellStyle name="Percent 16 4 14 5" xfId="42992" xr:uid="{8EF1C5D5-9439-4AA7-90C7-DB0F483EADEE}"/>
    <cellStyle name="Percent 16 4 15" xfId="4547" xr:uid="{00000000-0005-0000-0000-0000BB270000}"/>
    <cellStyle name="Percent 16 4 15 2" xfId="9869" xr:uid="{00000000-0005-0000-0000-0000BC270000}"/>
    <cellStyle name="Percent 16 4 15 2 2" xfId="42997" xr:uid="{67053CD1-E918-43FA-B616-F9D738C06405}"/>
    <cellStyle name="Percent 16 4 15 3" xfId="14342" xr:uid="{00000000-0005-0000-0000-0000BD270000}"/>
    <cellStyle name="Percent 16 4 15 3 2" xfId="42998" xr:uid="{B74635AF-5429-4B67-8256-3E6959EA27DC}"/>
    <cellStyle name="Percent 16 4 15 4" xfId="8345" xr:uid="{00000000-0005-0000-0000-0000BE270000}"/>
    <cellStyle name="Percent 16 4 15 4 2" xfId="42999" xr:uid="{52098637-6F82-4BB0-A5F9-7965F84519E5}"/>
    <cellStyle name="Percent 16 4 15 5" xfId="42996" xr:uid="{0B5D138D-C3BD-4870-A617-A91BC017F74A}"/>
    <cellStyle name="Percent 16 4 16" xfId="4548" xr:uid="{00000000-0005-0000-0000-0000BF270000}"/>
    <cellStyle name="Percent 16 4 16 2" xfId="9870" xr:uid="{00000000-0005-0000-0000-0000C0270000}"/>
    <cellStyle name="Percent 16 4 16 2 2" xfId="43001" xr:uid="{38C3B403-EEC7-43D3-BD1B-25E945DEF015}"/>
    <cellStyle name="Percent 16 4 16 3" xfId="16237" xr:uid="{00000000-0005-0000-0000-0000C1270000}"/>
    <cellStyle name="Percent 16 4 16 3 2" xfId="43002" xr:uid="{078A9C8F-4C9B-46A0-8F00-772EEB1F02C6}"/>
    <cellStyle name="Percent 16 4 16 4" xfId="8346" xr:uid="{00000000-0005-0000-0000-0000C2270000}"/>
    <cellStyle name="Percent 16 4 16 4 2" xfId="43003" xr:uid="{883C34E6-0CB7-41E4-91A7-D514622C9203}"/>
    <cellStyle name="Percent 16 4 16 5" xfId="43000" xr:uid="{3A0AB8E0-D929-47D2-9EAB-DA1CE8376022}"/>
    <cellStyle name="Percent 16 4 17" xfId="4549" xr:uid="{00000000-0005-0000-0000-0000C3270000}"/>
    <cellStyle name="Percent 16 4 17 2" xfId="9871" xr:uid="{00000000-0005-0000-0000-0000C4270000}"/>
    <cellStyle name="Percent 16 4 17 2 2" xfId="43005" xr:uid="{B67400E2-D84D-411F-B2D7-B6C4311454AD}"/>
    <cellStyle name="Percent 16 4 17 3" xfId="14423" xr:uid="{00000000-0005-0000-0000-0000C5270000}"/>
    <cellStyle name="Percent 16 4 17 3 2" xfId="43006" xr:uid="{ACA78B6F-5B8C-47C6-89BC-3A6F0A1FEDAC}"/>
    <cellStyle name="Percent 16 4 17 4" xfId="8347" xr:uid="{00000000-0005-0000-0000-0000C6270000}"/>
    <cellStyle name="Percent 16 4 17 4 2" xfId="43007" xr:uid="{75EB7DFD-DF16-41AB-BAF0-E174FACD3210}"/>
    <cellStyle name="Percent 16 4 17 5" xfId="43004" xr:uid="{1756EAAB-AF3A-49AA-9404-B3646E3D80A7}"/>
    <cellStyle name="Percent 16 4 18" xfId="4541" xr:uid="{00000000-0005-0000-0000-0000C7270000}"/>
    <cellStyle name="Percent 16 4 18 2" xfId="9872" xr:uid="{00000000-0005-0000-0000-0000C8270000}"/>
    <cellStyle name="Percent 16 4 18 2 2" xfId="43009" xr:uid="{B6F9EBA9-6716-4193-987F-010C7F6A4C35}"/>
    <cellStyle name="Percent 16 4 18 3" xfId="12873" xr:uid="{00000000-0005-0000-0000-0000C9270000}"/>
    <cellStyle name="Percent 16 4 18 3 2" xfId="43010" xr:uid="{4F00CAFB-DFE3-4269-971B-0241B0E2D756}"/>
    <cellStyle name="Percent 16 4 18 4" xfId="8348" xr:uid="{00000000-0005-0000-0000-0000CA270000}"/>
    <cellStyle name="Percent 16 4 18 4 2" xfId="43011" xr:uid="{7256AE9D-33E8-4B37-ADB2-D392FF98976A}"/>
    <cellStyle name="Percent 16 4 18 5" xfId="43008" xr:uid="{104FA03F-F503-4096-873E-6356D40B2C3A}"/>
    <cellStyle name="Percent 16 4 19" xfId="6419" xr:uid="{00000000-0005-0000-0000-0000CB270000}"/>
    <cellStyle name="Percent 16 4 19 2" xfId="14854" xr:uid="{00000000-0005-0000-0000-0000CC270000}"/>
    <cellStyle name="Percent 16 4 19 2 2" xfId="43013" xr:uid="{8F95AF97-BCBA-4CB1-BF79-4CFBBA53AF34}"/>
    <cellStyle name="Percent 16 4 19 3" xfId="12549" xr:uid="{00000000-0005-0000-0000-0000CD270000}"/>
    <cellStyle name="Percent 16 4 19 3 2" xfId="43014" xr:uid="{018BDD4A-0F9A-4C2B-9A01-C52C55455144}"/>
    <cellStyle name="Percent 16 4 19 4" xfId="8349" xr:uid="{00000000-0005-0000-0000-0000CE270000}"/>
    <cellStyle name="Percent 16 4 19 4 2" xfId="43015" xr:uid="{F27AE401-D44B-4E37-B883-457A308C1FF1}"/>
    <cellStyle name="Percent 16 4 19 5" xfId="43012" xr:uid="{072019A7-DB06-40B7-BE88-97D0D6968E42}"/>
    <cellStyle name="Percent 16 4 2" xfId="4550" xr:uid="{00000000-0005-0000-0000-0000CF270000}"/>
    <cellStyle name="Percent 16 4 2 2" xfId="9873" xr:uid="{00000000-0005-0000-0000-0000D0270000}"/>
    <cellStyle name="Percent 16 4 2 2 2" xfId="43017" xr:uid="{DFE487E9-6DB2-4400-813E-BA99D2A5B7C8}"/>
    <cellStyle name="Percent 16 4 2 3" xfId="13912" xr:uid="{00000000-0005-0000-0000-0000D1270000}"/>
    <cellStyle name="Percent 16 4 2 3 2" xfId="43018" xr:uid="{A234F4F2-05AA-4833-845C-7910D653054A}"/>
    <cellStyle name="Percent 16 4 2 4" xfId="8350" xr:uid="{00000000-0005-0000-0000-0000D2270000}"/>
    <cellStyle name="Percent 16 4 2 4 2" xfId="43019" xr:uid="{8C04D212-3882-47CE-A0B1-70E86C4254C3}"/>
    <cellStyle name="Percent 16 4 2 5" xfId="43020" xr:uid="{1B78507C-1E49-4EA9-B8D9-7324FD0D261F}"/>
    <cellStyle name="Percent 16 4 2 6" xfId="43016" xr:uid="{A17A81EE-3722-430F-AAA7-8378FA780482}"/>
    <cellStyle name="Percent 16 4 20" xfId="9863" xr:uid="{00000000-0005-0000-0000-0000D3270000}"/>
    <cellStyle name="Percent 16 4 20 2" xfId="43021" xr:uid="{891A8A03-48D2-4DC6-9DB8-5F88AB0EBB4E}"/>
    <cellStyle name="Percent 16 4 21" xfId="13756" xr:uid="{00000000-0005-0000-0000-0000D4270000}"/>
    <cellStyle name="Percent 16 4 21 2" xfId="43022" xr:uid="{6231FFD9-D1FA-43D5-AB5D-F76A64AAC566}"/>
    <cellStyle name="Percent 16 4 22" xfId="8339" xr:uid="{00000000-0005-0000-0000-0000D5270000}"/>
    <cellStyle name="Percent 16 4 22 2" xfId="43023" xr:uid="{9AF6FF41-6B8A-4B1D-9FD7-C0E754B7AA1C}"/>
    <cellStyle name="Percent 16 4 23" xfId="42975" xr:uid="{AA513947-A08A-4A2E-8018-9503CAE4FB01}"/>
    <cellStyle name="Percent 16 4 3" xfId="4551" xr:uid="{00000000-0005-0000-0000-0000D6270000}"/>
    <cellStyle name="Percent 16 4 3 2" xfId="9874" xr:uid="{00000000-0005-0000-0000-0000D7270000}"/>
    <cellStyle name="Percent 16 4 3 2 2" xfId="43025" xr:uid="{F617BE75-7A12-4E5A-A525-85BB8C8CE627}"/>
    <cellStyle name="Percent 16 4 3 3" xfId="13883" xr:uid="{00000000-0005-0000-0000-0000D8270000}"/>
    <cellStyle name="Percent 16 4 3 3 2" xfId="43026" xr:uid="{FA3FEB4F-2C56-4D7A-8B7A-FC3F03945B6B}"/>
    <cellStyle name="Percent 16 4 3 4" xfId="8351" xr:uid="{00000000-0005-0000-0000-0000D9270000}"/>
    <cellStyle name="Percent 16 4 3 4 2" xfId="43027" xr:uid="{0F6EA03F-C880-4F90-9160-3D48AC4F49B1}"/>
    <cellStyle name="Percent 16 4 3 5" xfId="43024" xr:uid="{828BE8F6-B996-4255-8471-C8A292AD6248}"/>
    <cellStyle name="Percent 16 4 4" xfId="4552" xr:uid="{00000000-0005-0000-0000-0000DA270000}"/>
    <cellStyle name="Percent 16 4 4 2" xfId="9875" xr:uid="{00000000-0005-0000-0000-0000DB270000}"/>
    <cellStyle name="Percent 16 4 4 2 2" xfId="43029" xr:uid="{B3D28FE1-D4C3-4AD7-91D2-45003FA3F0D8}"/>
    <cellStyle name="Percent 16 4 4 3" xfId="16303" xr:uid="{00000000-0005-0000-0000-0000DC270000}"/>
    <cellStyle name="Percent 16 4 4 3 2" xfId="43030" xr:uid="{B27600DE-41CC-42CB-B1BD-966BE2C81691}"/>
    <cellStyle name="Percent 16 4 4 4" xfId="8352" xr:uid="{00000000-0005-0000-0000-0000DD270000}"/>
    <cellStyle name="Percent 16 4 4 4 2" xfId="43031" xr:uid="{ABF3D015-AB5C-4579-BDD7-2D4DDC0C4CD7}"/>
    <cellStyle name="Percent 16 4 4 5" xfId="43028" xr:uid="{8B605E3A-19D7-4D56-882F-F2A7AEA6988F}"/>
    <cellStyle name="Percent 16 4 5" xfId="4553" xr:uid="{00000000-0005-0000-0000-0000DE270000}"/>
    <cellStyle name="Percent 16 4 5 2" xfId="9876" xr:uid="{00000000-0005-0000-0000-0000DF270000}"/>
    <cellStyle name="Percent 16 4 5 2 2" xfId="43033" xr:uid="{88426B44-AE0F-4821-8369-48F3DF88EE79}"/>
    <cellStyle name="Percent 16 4 5 3" xfId="16228" xr:uid="{00000000-0005-0000-0000-0000E0270000}"/>
    <cellStyle name="Percent 16 4 5 3 2" xfId="43034" xr:uid="{4F2091B5-258B-49DC-8826-8733BD48FB79}"/>
    <cellStyle name="Percent 16 4 5 4" xfId="8353" xr:uid="{00000000-0005-0000-0000-0000E1270000}"/>
    <cellStyle name="Percent 16 4 5 4 2" xfId="43035" xr:uid="{B4596963-823D-499B-85D6-190776DC2E8D}"/>
    <cellStyle name="Percent 16 4 5 5" xfId="43032" xr:uid="{10A33920-0F98-4B42-B560-61290955EA42}"/>
    <cellStyle name="Percent 16 4 6" xfId="4554" xr:uid="{00000000-0005-0000-0000-0000E2270000}"/>
    <cellStyle name="Percent 16 4 6 2" xfId="9877" xr:uid="{00000000-0005-0000-0000-0000E3270000}"/>
    <cellStyle name="Percent 16 4 6 2 2" xfId="43037" xr:uid="{51F09A8F-6F3C-415C-AB9B-DD9FB0A9D0F9}"/>
    <cellStyle name="Percent 16 4 6 3" xfId="12848" xr:uid="{00000000-0005-0000-0000-0000E4270000}"/>
    <cellStyle name="Percent 16 4 6 3 2" xfId="43038" xr:uid="{6B4076A3-F337-4907-AC6F-FF8CEA10E364}"/>
    <cellStyle name="Percent 16 4 6 4" xfId="8354" xr:uid="{00000000-0005-0000-0000-0000E5270000}"/>
    <cellStyle name="Percent 16 4 6 4 2" xfId="43039" xr:uid="{35C75583-8B1E-46F4-A62C-1BEE4CC9FB43}"/>
    <cellStyle name="Percent 16 4 6 5" xfId="43036" xr:uid="{219F10BD-47BF-4388-9573-66FCF546F269}"/>
    <cellStyle name="Percent 16 4 7" xfId="4555" xr:uid="{00000000-0005-0000-0000-0000E6270000}"/>
    <cellStyle name="Percent 16 4 7 2" xfId="9878" xr:uid="{00000000-0005-0000-0000-0000E7270000}"/>
    <cellStyle name="Percent 16 4 7 2 2" xfId="43041" xr:uid="{3312215F-7EB8-4CC7-B2C2-308B348E4884}"/>
    <cellStyle name="Percent 16 4 7 3" xfId="16563" xr:uid="{00000000-0005-0000-0000-0000E8270000}"/>
    <cellStyle name="Percent 16 4 7 3 2" xfId="43042" xr:uid="{3D8B2A2F-BF62-4712-B72A-E334C33D7F2E}"/>
    <cellStyle name="Percent 16 4 7 4" xfId="8355" xr:uid="{00000000-0005-0000-0000-0000E9270000}"/>
    <cellStyle name="Percent 16 4 7 4 2" xfId="43043" xr:uid="{1993F7DE-FDDD-4D64-B4C5-2DC80C5CF7D0}"/>
    <cellStyle name="Percent 16 4 7 5" xfId="43040" xr:uid="{A83570B3-28CD-4702-93C2-58ACA371FCF9}"/>
    <cellStyle name="Percent 16 4 8" xfId="4556" xr:uid="{00000000-0005-0000-0000-0000EA270000}"/>
    <cellStyle name="Percent 16 4 8 2" xfId="9879" xr:uid="{00000000-0005-0000-0000-0000EB270000}"/>
    <cellStyle name="Percent 16 4 8 2 2" xfId="43045" xr:uid="{B17F7A7F-8BCC-4908-AEFB-27256CF74506}"/>
    <cellStyle name="Percent 16 4 8 3" xfId="12726" xr:uid="{00000000-0005-0000-0000-0000EC270000}"/>
    <cellStyle name="Percent 16 4 8 3 2" xfId="43046" xr:uid="{5D917764-1FC9-4C84-9BFC-ED09FAF539F6}"/>
    <cellStyle name="Percent 16 4 8 4" xfId="8356" xr:uid="{00000000-0005-0000-0000-0000ED270000}"/>
    <cellStyle name="Percent 16 4 8 4 2" xfId="43047" xr:uid="{D09088BB-6A2A-471E-8088-3C19BD66E3B9}"/>
    <cellStyle name="Percent 16 4 8 5" xfId="43044" xr:uid="{057144A6-0E4B-4613-B008-98962D4FEA41}"/>
    <cellStyle name="Percent 16 4 9" xfId="4557" xr:uid="{00000000-0005-0000-0000-0000EE270000}"/>
    <cellStyle name="Percent 16 4 9 2" xfId="9880" xr:uid="{00000000-0005-0000-0000-0000EF270000}"/>
    <cellStyle name="Percent 16 4 9 2 2" xfId="43049" xr:uid="{46363283-FF2B-4CF4-9137-3D686BD01D02}"/>
    <cellStyle name="Percent 16 4 9 3" xfId="16435" xr:uid="{00000000-0005-0000-0000-0000F0270000}"/>
    <cellStyle name="Percent 16 4 9 3 2" xfId="43050" xr:uid="{0ADD8100-8279-4970-BC2D-2379C11BDA88}"/>
    <cellStyle name="Percent 16 4 9 4" xfId="8357" xr:uid="{00000000-0005-0000-0000-0000F1270000}"/>
    <cellStyle name="Percent 16 4 9 4 2" xfId="43051" xr:uid="{7E0F96F6-BB0B-41E6-B7AA-EF7AC793A5BA}"/>
    <cellStyle name="Percent 16 4 9 5" xfId="43048" xr:uid="{7277A2E1-1CB2-457D-B4B8-3CB995B9A864}"/>
    <cellStyle name="Percent 16 5" xfId="2581" xr:uid="{00000000-0005-0000-0000-0000F2270000}"/>
    <cellStyle name="Percent 16 5 10" xfId="4559" xr:uid="{00000000-0005-0000-0000-0000F3270000}"/>
    <cellStyle name="Percent 16 5 10 2" xfId="9882" xr:uid="{00000000-0005-0000-0000-0000F4270000}"/>
    <cellStyle name="Percent 16 5 10 2 2" xfId="43054" xr:uid="{B136E3B7-03D7-4C7C-A7F4-8CBFB89CCBBE}"/>
    <cellStyle name="Percent 16 5 10 3" xfId="16417" xr:uid="{00000000-0005-0000-0000-0000F5270000}"/>
    <cellStyle name="Percent 16 5 10 3 2" xfId="43055" xr:uid="{63216A6F-5713-4925-8441-C0B94100DB43}"/>
    <cellStyle name="Percent 16 5 10 4" xfId="8359" xr:uid="{00000000-0005-0000-0000-0000F6270000}"/>
    <cellStyle name="Percent 16 5 10 4 2" xfId="43056" xr:uid="{8AF99659-9DC7-4BE1-BBE1-AA20DB2A4764}"/>
    <cellStyle name="Percent 16 5 10 5" xfId="43053" xr:uid="{F6983453-DFDA-4078-BB6D-FA4C794C3E01}"/>
    <cellStyle name="Percent 16 5 11" xfId="4560" xr:uid="{00000000-0005-0000-0000-0000F7270000}"/>
    <cellStyle name="Percent 16 5 11 2" xfId="9883" xr:uid="{00000000-0005-0000-0000-0000F8270000}"/>
    <cellStyle name="Percent 16 5 11 2 2" xfId="43058" xr:uid="{F81A636F-BF12-4D27-8B71-0E2111EBA35C}"/>
    <cellStyle name="Percent 16 5 11 3" xfId="13878" xr:uid="{00000000-0005-0000-0000-0000F9270000}"/>
    <cellStyle name="Percent 16 5 11 3 2" xfId="43059" xr:uid="{C40EF506-CFAB-49A6-821F-53A13B73F5A7}"/>
    <cellStyle name="Percent 16 5 11 4" xfId="8360" xr:uid="{00000000-0005-0000-0000-0000FA270000}"/>
    <cellStyle name="Percent 16 5 11 4 2" xfId="43060" xr:uid="{6B136313-58FD-45FF-8045-F7E937613A0F}"/>
    <cellStyle name="Percent 16 5 11 5" xfId="43057" xr:uid="{FE74160E-49D7-43EA-A60F-E47699B7629B}"/>
    <cellStyle name="Percent 16 5 12" xfId="4561" xr:uid="{00000000-0005-0000-0000-0000FB270000}"/>
    <cellStyle name="Percent 16 5 12 2" xfId="9884" xr:uid="{00000000-0005-0000-0000-0000FC270000}"/>
    <cellStyle name="Percent 16 5 12 2 2" xfId="43062" xr:uid="{14B4B01D-5301-4E4B-AB5F-CEC062E805FA}"/>
    <cellStyle name="Percent 16 5 12 3" xfId="13504" xr:uid="{00000000-0005-0000-0000-0000FD270000}"/>
    <cellStyle name="Percent 16 5 12 3 2" xfId="43063" xr:uid="{FB28962A-4749-4939-929A-47C49851FF8A}"/>
    <cellStyle name="Percent 16 5 12 4" xfId="8361" xr:uid="{00000000-0005-0000-0000-0000FE270000}"/>
    <cellStyle name="Percent 16 5 12 4 2" xfId="43064" xr:uid="{034A1213-BBBA-41C4-9273-B77751475970}"/>
    <cellStyle name="Percent 16 5 12 5" xfId="43061" xr:uid="{020E42D5-3108-4800-8A5E-65C9028BEDB0}"/>
    <cellStyle name="Percent 16 5 13" xfId="4562" xr:uid="{00000000-0005-0000-0000-0000FF270000}"/>
    <cellStyle name="Percent 16 5 13 2" xfId="9885" xr:uid="{00000000-0005-0000-0000-000000280000}"/>
    <cellStyle name="Percent 16 5 13 2 2" xfId="43066" xr:uid="{92288252-CBE0-43F5-92C6-9DFDACF52540}"/>
    <cellStyle name="Percent 16 5 13 3" xfId="14397" xr:uid="{00000000-0005-0000-0000-000001280000}"/>
    <cellStyle name="Percent 16 5 13 3 2" xfId="43067" xr:uid="{CC0925E4-E2FE-4B42-BC5D-08EA9AC5B2E0}"/>
    <cellStyle name="Percent 16 5 13 4" xfId="8362" xr:uid="{00000000-0005-0000-0000-000002280000}"/>
    <cellStyle name="Percent 16 5 13 4 2" xfId="43068" xr:uid="{8C2F9F88-D605-4CA1-A0AE-730D1B8EA7E6}"/>
    <cellStyle name="Percent 16 5 13 5" xfId="43065" xr:uid="{D68CD848-DAFE-4332-8217-EA829AF3361D}"/>
    <cellStyle name="Percent 16 5 14" xfId="4563" xr:uid="{00000000-0005-0000-0000-000003280000}"/>
    <cellStyle name="Percent 16 5 14 2" xfId="9886" xr:uid="{00000000-0005-0000-0000-000004280000}"/>
    <cellStyle name="Percent 16 5 14 2 2" xfId="43070" xr:uid="{6C1AAD6C-5BDC-4B64-BCC2-230657B870AC}"/>
    <cellStyle name="Percent 16 5 14 3" xfId="12872" xr:uid="{00000000-0005-0000-0000-000005280000}"/>
    <cellStyle name="Percent 16 5 14 3 2" xfId="43071" xr:uid="{3DAFBD7C-05CF-4046-A8A3-40960C6B4B68}"/>
    <cellStyle name="Percent 16 5 14 4" xfId="8363" xr:uid="{00000000-0005-0000-0000-000006280000}"/>
    <cellStyle name="Percent 16 5 14 4 2" xfId="43072" xr:uid="{6E29F93D-1CE8-49E4-8C81-7E572B155F51}"/>
    <cellStyle name="Percent 16 5 14 5" xfId="43069" xr:uid="{16DBF1E6-BF30-4CCD-90E6-9D6FB17DC55C}"/>
    <cellStyle name="Percent 16 5 15" xfId="4564" xr:uid="{00000000-0005-0000-0000-000007280000}"/>
    <cellStyle name="Percent 16 5 15 2" xfId="9887" xr:uid="{00000000-0005-0000-0000-000008280000}"/>
    <cellStyle name="Percent 16 5 15 2 2" xfId="43074" xr:uid="{04828C0E-6EDC-4521-8C73-B73265406342}"/>
    <cellStyle name="Percent 16 5 15 3" xfId="13788" xr:uid="{00000000-0005-0000-0000-000009280000}"/>
    <cellStyle name="Percent 16 5 15 3 2" xfId="43075" xr:uid="{6744C84B-2F8C-4544-9B0A-47FC744EEC74}"/>
    <cellStyle name="Percent 16 5 15 4" xfId="8364" xr:uid="{00000000-0005-0000-0000-00000A280000}"/>
    <cellStyle name="Percent 16 5 15 4 2" xfId="43076" xr:uid="{84A254E2-1E73-4203-957A-C674CAF08E12}"/>
    <cellStyle name="Percent 16 5 15 5" xfId="43073" xr:uid="{61844A2C-A0AB-4440-913C-D4F1481D3661}"/>
    <cellStyle name="Percent 16 5 16" xfId="4565" xr:uid="{00000000-0005-0000-0000-00000B280000}"/>
    <cellStyle name="Percent 16 5 16 2" xfId="9888" xr:uid="{00000000-0005-0000-0000-00000C280000}"/>
    <cellStyle name="Percent 16 5 16 2 2" xfId="43078" xr:uid="{BFE07FDA-EC35-4825-BBB6-DA81C5B550B5}"/>
    <cellStyle name="Percent 16 5 16 3" xfId="12918" xr:uid="{00000000-0005-0000-0000-00000D280000}"/>
    <cellStyle name="Percent 16 5 16 3 2" xfId="43079" xr:uid="{E7A73C84-4C79-427A-86E6-B67CEC906279}"/>
    <cellStyle name="Percent 16 5 16 4" xfId="8365" xr:uid="{00000000-0005-0000-0000-00000E280000}"/>
    <cellStyle name="Percent 16 5 16 4 2" xfId="43080" xr:uid="{1EB0D221-FD09-4B9A-A9D4-AF3C19CE8BC1}"/>
    <cellStyle name="Percent 16 5 16 5" xfId="43077" xr:uid="{F6EEF3D0-6D37-4201-BC85-459B792624B7}"/>
    <cellStyle name="Percent 16 5 17" xfId="4566" xr:uid="{00000000-0005-0000-0000-00000F280000}"/>
    <cellStyle name="Percent 16 5 17 2" xfId="9889" xr:uid="{00000000-0005-0000-0000-000010280000}"/>
    <cellStyle name="Percent 16 5 17 2 2" xfId="43082" xr:uid="{10BB9D0E-C32F-4440-9C48-7DA85E7CA798}"/>
    <cellStyle name="Percent 16 5 17 3" xfId="16516" xr:uid="{00000000-0005-0000-0000-000011280000}"/>
    <cellStyle name="Percent 16 5 17 3 2" xfId="43083" xr:uid="{C3EF0A05-DC07-4DF2-A383-88F230EB3E1E}"/>
    <cellStyle name="Percent 16 5 17 4" xfId="8366" xr:uid="{00000000-0005-0000-0000-000012280000}"/>
    <cellStyle name="Percent 16 5 17 4 2" xfId="43084" xr:uid="{0B4FC3BC-8E91-4730-ABE2-4AEC91302424}"/>
    <cellStyle name="Percent 16 5 17 5" xfId="43081" xr:uid="{2D559384-D973-4A7E-B6CC-A9C5F39B57C9}"/>
    <cellStyle name="Percent 16 5 18" xfId="4558" xr:uid="{00000000-0005-0000-0000-000013280000}"/>
    <cellStyle name="Percent 16 5 18 2" xfId="9890" xr:uid="{00000000-0005-0000-0000-000014280000}"/>
    <cellStyle name="Percent 16 5 18 2 2" xfId="43086" xr:uid="{1F844BBC-B592-4016-ACF2-87AB67624EBE}"/>
    <cellStyle name="Percent 16 5 18 3" xfId="12608" xr:uid="{00000000-0005-0000-0000-000015280000}"/>
    <cellStyle name="Percent 16 5 18 3 2" xfId="43087" xr:uid="{8AD17931-FAA5-4DBE-B6A7-68E17F2E2C62}"/>
    <cellStyle name="Percent 16 5 18 4" xfId="8367" xr:uid="{00000000-0005-0000-0000-000016280000}"/>
    <cellStyle name="Percent 16 5 18 4 2" xfId="43088" xr:uid="{E81CD000-CBE8-4815-8338-1EAEDA3572E1}"/>
    <cellStyle name="Percent 16 5 18 5" xfId="43085" xr:uid="{323BA178-DD78-4640-ADC1-E055B13DCBE9}"/>
    <cellStyle name="Percent 16 5 19" xfId="6420" xr:uid="{00000000-0005-0000-0000-000017280000}"/>
    <cellStyle name="Percent 16 5 19 2" xfId="14855" xr:uid="{00000000-0005-0000-0000-000018280000}"/>
    <cellStyle name="Percent 16 5 19 2 2" xfId="43090" xr:uid="{713AA656-F3ED-4452-80F4-303CCD311D9B}"/>
    <cellStyle name="Percent 16 5 19 3" xfId="12486" xr:uid="{00000000-0005-0000-0000-000019280000}"/>
    <cellStyle name="Percent 16 5 19 3 2" xfId="43091" xr:uid="{0DD3F620-6499-4776-AA43-B8011D6ACF14}"/>
    <cellStyle name="Percent 16 5 19 4" xfId="8368" xr:uid="{00000000-0005-0000-0000-00001A280000}"/>
    <cellStyle name="Percent 16 5 19 4 2" xfId="43092" xr:uid="{9CE4258E-F214-4611-ACEB-23966D451FFD}"/>
    <cellStyle name="Percent 16 5 19 5" xfId="43089" xr:uid="{9F26717C-88E8-4833-A122-306A6118338C}"/>
    <cellStyle name="Percent 16 5 2" xfId="4567" xr:uid="{00000000-0005-0000-0000-00001B280000}"/>
    <cellStyle name="Percent 16 5 2 2" xfId="9891" xr:uid="{00000000-0005-0000-0000-00001C280000}"/>
    <cellStyle name="Percent 16 5 2 2 2" xfId="43094" xr:uid="{FF1AAA2C-8EC4-4138-9512-1004460BE123}"/>
    <cellStyle name="Percent 16 5 2 3" xfId="16560" xr:uid="{00000000-0005-0000-0000-00001D280000}"/>
    <cellStyle name="Percent 16 5 2 3 2" xfId="43095" xr:uid="{7F81F575-E1BD-44F7-B61F-D44EE089E7C3}"/>
    <cellStyle name="Percent 16 5 2 4" xfId="8369" xr:uid="{00000000-0005-0000-0000-00001E280000}"/>
    <cellStyle name="Percent 16 5 2 4 2" xfId="43096" xr:uid="{521443BA-E0F5-4CEA-8F19-C51F7723795B}"/>
    <cellStyle name="Percent 16 5 2 5" xfId="43097" xr:uid="{FAE1B292-08AD-47A1-A3DE-E9CE51E498E6}"/>
    <cellStyle name="Percent 16 5 2 6" xfId="43093" xr:uid="{95AC1004-0DB9-416D-A5B8-B4F7DE1B21DD}"/>
    <cellStyle name="Percent 16 5 20" xfId="9881" xr:uid="{00000000-0005-0000-0000-00001F280000}"/>
    <cellStyle name="Percent 16 5 20 2" xfId="43098" xr:uid="{57EBC25C-FD81-4683-8383-24DD2427544D}"/>
    <cellStyle name="Percent 16 5 21" xfId="12499" xr:uid="{00000000-0005-0000-0000-000020280000}"/>
    <cellStyle name="Percent 16 5 21 2" xfId="43099" xr:uid="{395BA8A4-003A-40E4-8207-A1B70E030834}"/>
    <cellStyle name="Percent 16 5 22" xfId="8358" xr:uid="{00000000-0005-0000-0000-000021280000}"/>
    <cellStyle name="Percent 16 5 22 2" xfId="43100" xr:uid="{B08C9DC2-220F-4B17-9EAA-B0414ABC7AA8}"/>
    <cellStyle name="Percent 16 5 23" xfId="43052" xr:uid="{BA64A35B-049F-4BB6-B472-62CFAE42D321}"/>
    <cellStyle name="Percent 16 5 3" xfId="4568" xr:uid="{00000000-0005-0000-0000-000022280000}"/>
    <cellStyle name="Percent 16 5 3 2" xfId="9892" xr:uid="{00000000-0005-0000-0000-000023280000}"/>
    <cellStyle name="Percent 16 5 3 2 2" xfId="43102" xr:uid="{5FD4E532-33AF-4908-8656-A4AFF4A9D692}"/>
    <cellStyle name="Percent 16 5 3 3" xfId="14412" xr:uid="{00000000-0005-0000-0000-000024280000}"/>
    <cellStyle name="Percent 16 5 3 3 2" xfId="43103" xr:uid="{1C6BBA65-54A9-4A03-9B27-8FB17FF7F405}"/>
    <cellStyle name="Percent 16 5 3 4" xfId="8370" xr:uid="{00000000-0005-0000-0000-000025280000}"/>
    <cellStyle name="Percent 16 5 3 4 2" xfId="43104" xr:uid="{196F7F85-3387-4536-B605-2E9BA9763585}"/>
    <cellStyle name="Percent 16 5 3 5" xfId="43101" xr:uid="{4A250757-8097-4BAF-A8F3-DF360EBEFBB2}"/>
    <cellStyle name="Percent 16 5 4" xfId="4569" xr:uid="{00000000-0005-0000-0000-000026280000}"/>
    <cellStyle name="Percent 16 5 4 2" xfId="9893" xr:uid="{00000000-0005-0000-0000-000027280000}"/>
    <cellStyle name="Percent 16 5 4 2 2" xfId="43106" xr:uid="{F6AC320A-7B06-42A3-878A-5E58B46FD410}"/>
    <cellStyle name="Percent 16 5 4 3" xfId="16351" xr:uid="{00000000-0005-0000-0000-000028280000}"/>
    <cellStyle name="Percent 16 5 4 3 2" xfId="43107" xr:uid="{AE1CEE33-9893-417F-8A92-962151DB0DA2}"/>
    <cellStyle name="Percent 16 5 4 4" xfId="8371" xr:uid="{00000000-0005-0000-0000-000029280000}"/>
    <cellStyle name="Percent 16 5 4 4 2" xfId="43108" xr:uid="{A3EC9615-D310-4DAC-BD04-F61281423B6A}"/>
    <cellStyle name="Percent 16 5 4 5" xfId="43105" xr:uid="{FCBE7137-D1CB-44C1-9382-CB45767A7EAC}"/>
    <cellStyle name="Percent 16 5 5" xfId="4570" xr:uid="{00000000-0005-0000-0000-00002A280000}"/>
    <cellStyle name="Percent 16 5 5 2" xfId="9894" xr:uid="{00000000-0005-0000-0000-00002B280000}"/>
    <cellStyle name="Percent 16 5 5 2 2" xfId="43110" xr:uid="{BF449931-6C1E-44D9-9FCF-2569EFBBB3E3}"/>
    <cellStyle name="Percent 16 5 5 3" xfId="13767" xr:uid="{00000000-0005-0000-0000-00002C280000}"/>
    <cellStyle name="Percent 16 5 5 3 2" xfId="43111" xr:uid="{E542C609-A229-4159-BE62-FAE709AFC22A}"/>
    <cellStyle name="Percent 16 5 5 4" xfId="8372" xr:uid="{00000000-0005-0000-0000-00002D280000}"/>
    <cellStyle name="Percent 16 5 5 4 2" xfId="43112" xr:uid="{AC59587D-D697-4BDE-9F50-858361778491}"/>
    <cellStyle name="Percent 16 5 5 5" xfId="43109" xr:uid="{9CC968CE-C893-4B44-B29F-4BD0C9F160E8}"/>
    <cellStyle name="Percent 16 5 6" xfId="4571" xr:uid="{00000000-0005-0000-0000-00002E280000}"/>
    <cellStyle name="Percent 16 5 6 2" xfId="9895" xr:uid="{00000000-0005-0000-0000-00002F280000}"/>
    <cellStyle name="Percent 16 5 6 2 2" xfId="43114" xr:uid="{3B65247C-51F2-46EB-8DCE-ACFBE95DDD0A}"/>
    <cellStyle name="Percent 16 5 6 3" xfId="16666" xr:uid="{00000000-0005-0000-0000-000030280000}"/>
    <cellStyle name="Percent 16 5 6 3 2" xfId="43115" xr:uid="{D078408F-57AA-43C3-A823-2A1B9C1359D7}"/>
    <cellStyle name="Percent 16 5 6 4" xfId="8373" xr:uid="{00000000-0005-0000-0000-000031280000}"/>
    <cellStyle name="Percent 16 5 6 4 2" xfId="43116" xr:uid="{0B680AC8-8EF6-4980-8191-5DD06236F372}"/>
    <cellStyle name="Percent 16 5 6 5" xfId="43113" xr:uid="{08EB06CA-5004-4F76-BD26-89E2629A5A21}"/>
    <cellStyle name="Percent 16 5 7" xfId="4572" xr:uid="{00000000-0005-0000-0000-000032280000}"/>
    <cellStyle name="Percent 16 5 7 2" xfId="9896" xr:uid="{00000000-0005-0000-0000-000033280000}"/>
    <cellStyle name="Percent 16 5 7 2 2" xfId="43118" xr:uid="{5A40B1EB-52D8-4262-8589-091726B31608}"/>
    <cellStyle name="Percent 16 5 7 3" xfId="13647" xr:uid="{00000000-0005-0000-0000-000034280000}"/>
    <cellStyle name="Percent 16 5 7 3 2" xfId="43119" xr:uid="{FAD2216F-6CFF-402E-8FDB-2D926BAF6E71}"/>
    <cellStyle name="Percent 16 5 7 4" xfId="8374" xr:uid="{00000000-0005-0000-0000-000035280000}"/>
    <cellStyle name="Percent 16 5 7 4 2" xfId="43120" xr:uid="{DCE8E690-8B1A-4036-AE6C-7F7B4B2D48FE}"/>
    <cellStyle name="Percent 16 5 7 5" xfId="43117" xr:uid="{00EF0266-D868-4002-8236-CAB3992CB678}"/>
    <cellStyle name="Percent 16 5 8" xfId="4573" xr:uid="{00000000-0005-0000-0000-000036280000}"/>
    <cellStyle name="Percent 16 5 8 2" xfId="9897" xr:uid="{00000000-0005-0000-0000-000037280000}"/>
    <cellStyle name="Percent 16 5 8 2 2" xfId="43122" xr:uid="{41B6FCC7-687C-4B41-A289-025547BEFA4A}"/>
    <cellStyle name="Percent 16 5 8 3" xfId="13723" xr:uid="{00000000-0005-0000-0000-000038280000}"/>
    <cellStyle name="Percent 16 5 8 3 2" xfId="43123" xr:uid="{84E6E5F4-4786-4400-B94A-1792E7150596}"/>
    <cellStyle name="Percent 16 5 8 4" xfId="8375" xr:uid="{00000000-0005-0000-0000-000039280000}"/>
    <cellStyle name="Percent 16 5 8 4 2" xfId="43124" xr:uid="{656474BB-2723-41A5-8BAD-C9A06520C001}"/>
    <cellStyle name="Percent 16 5 8 5" xfId="43121" xr:uid="{708FB063-6148-4A86-AEA2-5E6787129722}"/>
    <cellStyle name="Percent 16 5 9" xfId="4574" xr:uid="{00000000-0005-0000-0000-00003A280000}"/>
    <cellStyle name="Percent 16 5 9 2" xfId="9898" xr:uid="{00000000-0005-0000-0000-00003B280000}"/>
    <cellStyle name="Percent 16 5 9 2 2" xfId="43126" xr:uid="{0CFEE410-DBEF-4A43-9C01-B67FE2786FA9}"/>
    <cellStyle name="Percent 16 5 9 3" xfId="14340" xr:uid="{00000000-0005-0000-0000-00003C280000}"/>
    <cellStyle name="Percent 16 5 9 3 2" xfId="43127" xr:uid="{BFC3C33F-4F7C-4A22-8D72-BD7D793C9DE9}"/>
    <cellStyle name="Percent 16 5 9 4" xfId="8376" xr:uid="{00000000-0005-0000-0000-00003D280000}"/>
    <cellStyle name="Percent 16 5 9 4 2" xfId="43128" xr:uid="{09387D5F-5142-45D8-B2B5-54DCAB265421}"/>
    <cellStyle name="Percent 16 5 9 5" xfId="43125" xr:uid="{2BA7E554-ED68-481F-B9D0-E5A2BB9789BF}"/>
    <cellStyle name="Percent 16 6" xfId="2582" xr:uid="{00000000-0005-0000-0000-00003E280000}"/>
    <cellStyle name="Percent 16 6 10" xfId="4576" xr:uid="{00000000-0005-0000-0000-00003F280000}"/>
    <cellStyle name="Percent 16 6 10 2" xfId="9900" xr:uid="{00000000-0005-0000-0000-000040280000}"/>
    <cellStyle name="Percent 16 6 10 2 2" xfId="43131" xr:uid="{69E6ACB3-C9D8-4827-85A5-D7CF3D68614C}"/>
    <cellStyle name="Percent 16 6 10 3" xfId="12815" xr:uid="{00000000-0005-0000-0000-000041280000}"/>
    <cellStyle name="Percent 16 6 10 3 2" xfId="43132" xr:uid="{52917C17-B492-446D-B752-BBC69DE44A1C}"/>
    <cellStyle name="Percent 16 6 10 4" xfId="8378" xr:uid="{00000000-0005-0000-0000-000042280000}"/>
    <cellStyle name="Percent 16 6 10 4 2" xfId="43133" xr:uid="{0E8BBEE3-D2E2-405F-845C-C8CABB3CD88A}"/>
    <cellStyle name="Percent 16 6 10 5" xfId="43130" xr:uid="{14D8E598-51C8-49B2-9DD0-914B65345810}"/>
    <cellStyle name="Percent 16 6 11" xfId="4577" xr:uid="{00000000-0005-0000-0000-000043280000}"/>
    <cellStyle name="Percent 16 6 11 2" xfId="9901" xr:uid="{00000000-0005-0000-0000-000044280000}"/>
    <cellStyle name="Percent 16 6 11 2 2" xfId="43135" xr:uid="{1E1E3C78-FADB-48FC-AD3C-0FF591A448EE}"/>
    <cellStyle name="Percent 16 6 11 3" xfId="12658" xr:uid="{00000000-0005-0000-0000-000045280000}"/>
    <cellStyle name="Percent 16 6 11 3 2" xfId="43136" xr:uid="{D76CDD31-C5EC-4AF7-A339-41A92D3AAB26}"/>
    <cellStyle name="Percent 16 6 11 4" xfId="8379" xr:uid="{00000000-0005-0000-0000-000046280000}"/>
    <cellStyle name="Percent 16 6 11 4 2" xfId="43137" xr:uid="{0FEA0DF5-E260-4707-80A3-DECD943366B9}"/>
    <cellStyle name="Percent 16 6 11 5" xfId="43134" xr:uid="{4EDD1FA6-A055-4310-9DF3-AAF234D62AF0}"/>
    <cellStyle name="Percent 16 6 12" xfId="4578" xr:uid="{00000000-0005-0000-0000-000047280000}"/>
    <cellStyle name="Percent 16 6 12 2" xfId="9902" xr:uid="{00000000-0005-0000-0000-000048280000}"/>
    <cellStyle name="Percent 16 6 12 2 2" xfId="43139" xr:uid="{D5672301-9706-4F81-9BE9-46769B743E89}"/>
    <cellStyle name="Percent 16 6 12 3" xfId="16448" xr:uid="{00000000-0005-0000-0000-000049280000}"/>
    <cellStyle name="Percent 16 6 12 3 2" xfId="43140" xr:uid="{6FDE6C92-8A99-48E3-AB70-1AF3C89FE48D}"/>
    <cellStyle name="Percent 16 6 12 4" xfId="8380" xr:uid="{00000000-0005-0000-0000-00004A280000}"/>
    <cellStyle name="Percent 16 6 12 4 2" xfId="43141" xr:uid="{D3E6C6F2-36EB-4AA2-85BC-0FA56E199F4F}"/>
    <cellStyle name="Percent 16 6 12 5" xfId="43138" xr:uid="{6558F5AE-7BCF-4F12-BBC7-3FD2E64D88E8}"/>
    <cellStyle name="Percent 16 6 13" xfId="4579" xr:uid="{00000000-0005-0000-0000-00004B280000}"/>
    <cellStyle name="Percent 16 6 13 2" xfId="9903" xr:uid="{00000000-0005-0000-0000-00004C280000}"/>
    <cellStyle name="Percent 16 6 13 2 2" xfId="43143" xr:uid="{DDC399CC-5EA2-452B-8604-F286B0710FB5}"/>
    <cellStyle name="Percent 16 6 13 3" xfId="16540" xr:uid="{00000000-0005-0000-0000-00004D280000}"/>
    <cellStyle name="Percent 16 6 13 3 2" xfId="43144" xr:uid="{0B892AAA-CB02-4D4B-A53B-A246622A2811}"/>
    <cellStyle name="Percent 16 6 13 4" xfId="8381" xr:uid="{00000000-0005-0000-0000-00004E280000}"/>
    <cellStyle name="Percent 16 6 13 4 2" xfId="43145" xr:uid="{F6F4EA5E-B81B-4443-81CA-C6047B780FA2}"/>
    <cellStyle name="Percent 16 6 13 5" xfId="43142" xr:uid="{21EF6B42-22A7-4CD9-BE80-7D9F2DF43D9D}"/>
    <cellStyle name="Percent 16 6 14" xfId="4580" xr:uid="{00000000-0005-0000-0000-00004F280000}"/>
    <cellStyle name="Percent 16 6 14 2" xfId="9904" xr:uid="{00000000-0005-0000-0000-000050280000}"/>
    <cellStyle name="Percent 16 6 14 2 2" xfId="43147" xr:uid="{43BC02E6-06E1-42AC-B7D5-83339BF33992}"/>
    <cellStyle name="Percent 16 6 14 3" xfId="16583" xr:uid="{00000000-0005-0000-0000-000051280000}"/>
    <cellStyle name="Percent 16 6 14 3 2" xfId="43148" xr:uid="{3E8A7815-1DE7-4BD9-86AE-FE350F4F7D94}"/>
    <cellStyle name="Percent 16 6 14 4" xfId="8382" xr:uid="{00000000-0005-0000-0000-000052280000}"/>
    <cellStyle name="Percent 16 6 14 4 2" xfId="43149" xr:uid="{15CC821A-B5CD-4F04-8B5A-08E234EA594E}"/>
    <cellStyle name="Percent 16 6 14 5" xfId="43146" xr:uid="{F75B0E00-1E29-4ED0-9607-3714A01C368E}"/>
    <cellStyle name="Percent 16 6 15" xfId="4581" xr:uid="{00000000-0005-0000-0000-000053280000}"/>
    <cellStyle name="Percent 16 6 15 2" xfId="9905" xr:uid="{00000000-0005-0000-0000-000054280000}"/>
    <cellStyle name="Percent 16 6 15 2 2" xfId="43151" xr:uid="{8170C3CC-5B38-48A8-819D-C97E0683D618}"/>
    <cellStyle name="Percent 16 6 15 3" xfId="16539" xr:uid="{00000000-0005-0000-0000-000055280000}"/>
    <cellStyle name="Percent 16 6 15 3 2" xfId="43152" xr:uid="{AD70EC89-193C-4A72-9EB7-AC4695727B74}"/>
    <cellStyle name="Percent 16 6 15 4" xfId="8383" xr:uid="{00000000-0005-0000-0000-000056280000}"/>
    <cellStyle name="Percent 16 6 15 4 2" xfId="43153" xr:uid="{0BD645C8-6B6E-4640-B6B4-FEE082691E54}"/>
    <cellStyle name="Percent 16 6 15 5" xfId="43150" xr:uid="{82CBF3F9-7839-4E92-940D-0E09495C0CE2}"/>
    <cellStyle name="Percent 16 6 16" xfId="4582" xr:uid="{00000000-0005-0000-0000-000057280000}"/>
    <cellStyle name="Percent 16 6 16 2" xfId="9906" xr:uid="{00000000-0005-0000-0000-000058280000}"/>
    <cellStyle name="Percent 16 6 16 2 2" xfId="43155" xr:uid="{AA7D21D8-496C-4CC2-AC04-71FBC6D18D19}"/>
    <cellStyle name="Percent 16 6 16 3" xfId="16244" xr:uid="{00000000-0005-0000-0000-000059280000}"/>
    <cellStyle name="Percent 16 6 16 3 2" xfId="43156" xr:uid="{283CF7B8-A906-41C1-82EE-FC5CA0E68C82}"/>
    <cellStyle name="Percent 16 6 16 4" xfId="8384" xr:uid="{00000000-0005-0000-0000-00005A280000}"/>
    <cellStyle name="Percent 16 6 16 4 2" xfId="43157" xr:uid="{0954EC1F-CF46-43E7-9EFF-E3C8A76FEECD}"/>
    <cellStyle name="Percent 16 6 16 5" xfId="43154" xr:uid="{2DB96709-5555-4B08-AB5B-E0C7B70C147C}"/>
    <cellStyle name="Percent 16 6 17" xfId="4583" xr:uid="{00000000-0005-0000-0000-00005B280000}"/>
    <cellStyle name="Percent 16 6 17 2" xfId="9907" xr:uid="{00000000-0005-0000-0000-00005C280000}"/>
    <cellStyle name="Percent 16 6 17 2 2" xfId="43159" xr:uid="{F2ECB0D8-3B7C-401F-88B1-67BED28F1686}"/>
    <cellStyle name="Percent 16 6 17 3" xfId="12845" xr:uid="{00000000-0005-0000-0000-00005D280000}"/>
    <cellStyle name="Percent 16 6 17 3 2" xfId="43160" xr:uid="{DC06DA6E-9522-4B31-8B97-16D1ACEC73E6}"/>
    <cellStyle name="Percent 16 6 17 4" xfId="8385" xr:uid="{00000000-0005-0000-0000-00005E280000}"/>
    <cellStyle name="Percent 16 6 17 4 2" xfId="43161" xr:uid="{6FA5EAF9-B5A0-4C1E-B8B7-F9667924C908}"/>
    <cellStyle name="Percent 16 6 17 5" xfId="43158" xr:uid="{4A562E69-96F2-48C4-923A-9EE02FA4207E}"/>
    <cellStyle name="Percent 16 6 18" xfId="4575" xr:uid="{00000000-0005-0000-0000-00005F280000}"/>
    <cellStyle name="Percent 16 6 18 2" xfId="9908" xr:uid="{00000000-0005-0000-0000-000060280000}"/>
    <cellStyle name="Percent 16 6 18 2 2" xfId="43163" xr:uid="{919C2490-43DC-4635-95C4-BD2C6B8BE3C6}"/>
    <cellStyle name="Percent 16 6 18 3" xfId="12885" xr:uid="{00000000-0005-0000-0000-000061280000}"/>
    <cellStyle name="Percent 16 6 18 3 2" xfId="43164" xr:uid="{13C64B92-0908-4206-B04E-5E1EE8A30C4A}"/>
    <cellStyle name="Percent 16 6 18 4" xfId="8386" xr:uid="{00000000-0005-0000-0000-000062280000}"/>
    <cellStyle name="Percent 16 6 18 4 2" xfId="43165" xr:uid="{E77EAE61-EE76-48B3-BC3D-2A63461D0C8B}"/>
    <cellStyle name="Percent 16 6 18 5" xfId="43162" xr:uid="{3CA9159F-C20E-4495-8168-BD64AC04B891}"/>
    <cellStyle name="Percent 16 6 19" xfId="6421" xr:uid="{00000000-0005-0000-0000-000063280000}"/>
    <cellStyle name="Percent 16 6 19 2" xfId="14856" xr:uid="{00000000-0005-0000-0000-000064280000}"/>
    <cellStyle name="Percent 16 6 19 2 2" xfId="43167" xr:uid="{7DB9EAFE-132B-4C15-A4CC-B985E6E3684D}"/>
    <cellStyle name="Percent 16 6 19 3" xfId="16330" xr:uid="{00000000-0005-0000-0000-000065280000}"/>
    <cellStyle name="Percent 16 6 19 3 2" xfId="43168" xr:uid="{EEAA3F09-354D-463C-8D3F-F141A5F8F2F0}"/>
    <cellStyle name="Percent 16 6 19 4" xfId="8387" xr:uid="{00000000-0005-0000-0000-000066280000}"/>
    <cellStyle name="Percent 16 6 19 4 2" xfId="43169" xr:uid="{01CFAFBD-6F09-4ADE-B11D-79643A8272A0}"/>
    <cellStyle name="Percent 16 6 19 5" xfId="43166" xr:uid="{2FBE46C1-5350-4642-85A7-6345C8ED763C}"/>
    <cellStyle name="Percent 16 6 2" xfId="4584" xr:uid="{00000000-0005-0000-0000-000067280000}"/>
    <cellStyle name="Percent 16 6 2 2" xfId="9909" xr:uid="{00000000-0005-0000-0000-000068280000}"/>
    <cellStyle name="Percent 16 6 2 2 2" xfId="43171" xr:uid="{3FECE49B-B838-4C28-8398-B0865AD5DE1B}"/>
    <cellStyle name="Percent 16 6 2 3" xfId="12523" xr:uid="{00000000-0005-0000-0000-000069280000}"/>
    <cellStyle name="Percent 16 6 2 3 2" xfId="43172" xr:uid="{91317B40-F638-4BE1-B304-3303CEF63696}"/>
    <cellStyle name="Percent 16 6 2 4" xfId="8388" xr:uid="{00000000-0005-0000-0000-00006A280000}"/>
    <cellStyle name="Percent 16 6 2 4 2" xfId="43173" xr:uid="{9AEA0487-E7B4-480B-BF8A-47C9ABC039E1}"/>
    <cellStyle name="Percent 16 6 2 5" xfId="43174" xr:uid="{9367F8C4-A30A-4F05-8811-FD7E9D2E7F77}"/>
    <cellStyle name="Percent 16 6 2 6" xfId="43170" xr:uid="{BD2ECFD3-DCD9-40F8-B860-CF9F9F9180AD}"/>
    <cellStyle name="Percent 16 6 20" xfId="9899" xr:uid="{00000000-0005-0000-0000-00006B280000}"/>
    <cellStyle name="Percent 16 6 20 2" xfId="43175" xr:uid="{CFB5185C-813C-4CCF-86C5-3EBBBF9E931A}"/>
    <cellStyle name="Percent 16 6 21" xfId="16226" xr:uid="{00000000-0005-0000-0000-00006C280000}"/>
    <cellStyle name="Percent 16 6 21 2" xfId="43176" xr:uid="{E07A45CD-3E6C-4FEC-B59A-B765128166B0}"/>
    <cellStyle name="Percent 16 6 22" xfId="8377" xr:uid="{00000000-0005-0000-0000-00006D280000}"/>
    <cellStyle name="Percent 16 6 22 2" xfId="43177" xr:uid="{607C8BBD-E7BA-4F7A-AE9D-35F2565AD883}"/>
    <cellStyle name="Percent 16 6 23" xfId="43129" xr:uid="{DDDAADDF-5B0B-4F43-806D-1A5AD5FD3A90}"/>
    <cellStyle name="Percent 16 6 3" xfId="4585" xr:uid="{00000000-0005-0000-0000-00006E280000}"/>
    <cellStyle name="Percent 16 6 3 2" xfId="9910" xr:uid="{00000000-0005-0000-0000-00006F280000}"/>
    <cellStyle name="Percent 16 6 3 2 2" xfId="43179" xr:uid="{2E097870-CDB6-4D8E-9607-F916C227F9A2}"/>
    <cellStyle name="Percent 16 6 3 3" xfId="16248" xr:uid="{00000000-0005-0000-0000-000070280000}"/>
    <cellStyle name="Percent 16 6 3 3 2" xfId="43180" xr:uid="{525C436D-18B0-4BD0-A329-F740BCC1DE00}"/>
    <cellStyle name="Percent 16 6 3 4" xfId="8389" xr:uid="{00000000-0005-0000-0000-000071280000}"/>
    <cellStyle name="Percent 16 6 3 4 2" xfId="43181" xr:uid="{2A8C3B42-D1E0-409A-905E-B22B960F5D80}"/>
    <cellStyle name="Percent 16 6 3 5" xfId="43178" xr:uid="{3AC6C6C5-CF80-4820-8AB1-FC94EDAE541B}"/>
    <cellStyle name="Percent 16 6 4" xfId="4586" xr:uid="{00000000-0005-0000-0000-000072280000}"/>
    <cellStyle name="Percent 16 6 4 2" xfId="9911" xr:uid="{00000000-0005-0000-0000-000073280000}"/>
    <cellStyle name="Percent 16 6 4 2 2" xfId="43183" xr:uid="{5B0F2D1A-ED08-41BE-BFE0-55828580E07B}"/>
    <cellStyle name="Percent 16 6 4 3" xfId="12863" xr:uid="{00000000-0005-0000-0000-000074280000}"/>
    <cellStyle name="Percent 16 6 4 3 2" xfId="43184" xr:uid="{47C19CEE-2EB1-4715-BD7E-FEA90167420F}"/>
    <cellStyle name="Percent 16 6 4 4" xfId="8390" xr:uid="{00000000-0005-0000-0000-000075280000}"/>
    <cellStyle name="Percent 16 6 4 4 2" xfId="43185" xr:uid="{631A4C0F-BF13-4E7C-BD06-3DD224AB7F76}"/>
    <cellStyle name="Percent 16 6 4 5" xfId="43182" xr:uid="{0FAD0E06-7EDB-4DCF-95C5-9EA93BAC1FC4}"/>
    <cellStyle name="Percent 16 6 5" xfId="4587" xr:uid="{00000000-0005-0000-0000-000076280000}"/>
    <cellStyle name="Percent 16 6 5 2" xfId="9912" xr:uid="{00000000-0005-0000-0000-000077280000}"/>
    <cellStyle name="Percent 16 6 5 2 2" xfId="43187" xr:uid="{4E653007-01C2-423C-B850-2F71E414DD43}"/>
    <cellStyle name="Percent 16 6 5 3" xfId="12810" xr:uid="{00000000-0005-0000-0000-000078280000}"/>
    <cellStyle name="Percent 16 6 5 3 2" xfId="43188" xr:uid="{8FD527B2-CF2D-47ED-823D-6D16362D04C9}"/>
    <cellStyle name="Percent 16 6 5 4" xfId="8391" xr:uid="{00000000-0005-0000-0000-000079280000}"/>
    <cellStyle name="Percent 16 6 5 4 2" xfId="43189" xr:uid="{F411B95B-29C7-4129-97F6-E6D7A801E21E}"/>
    <cellStyle name="Percent 16 6 5 5" xfId="43186" xr:uid="{6BD46471-A853-4B0B-B00A-52633DB17B89}"/>
    <cellStyle name="Percent 16 6 6" xfId="4588" xr:uid="{00000000-0005-0000-0000-00007A280000}"/>
    <cellStyle name="Percent 16 6 6 2" xfId="9913" xr:uid="{00000000-0005-0000-0000-00007B280000}"/>
    <cellStyle name="Percent 16 6 6 2 2" xfId="43191" xr:uid="{A9B6A124-E173-4641-9D44-1F38D6898547}"/>
    <cellStyle name="Percent 16 6 6 3" xfId="16532" xr:uid="{00000000-0005-0000-0000-00007C280000}"/>
    <cellStyle name="Percent 16 6 6 3 2" xfId="43192" xr:uid="{D234F1BA-EA35-46CE-AA73-CDA1066829FC}"/>
    <cellStyle name="Percent 16 6 6 4" xfId="8392" xr:uid="{00000000-0005-0000-0000-00007D280000}"/>
    <cellStyle name="Percent 16 6 6 4 2" xfId="43193" xr:uid="{82F26089-28A2-45CB-AD88-A2EB7D1B735F}"/>
    <cellStyle name="Percent 16 6 6 5" xfId="43190" xr:uid="{4240D2A8-91D4-46F2-9147-CB794364E759}"/>
    <cellStyle name="Percent 16 6 7" xfId="4589" xr:uid="{00000000-0005-0000-0000-00007E280000}"/>
    <cellStyle name="Percent 16 6 7 2" xfId="9914" xr:uid="{00000000-0005-0000-0000-00007F280000}"/>
    <cellStyle name="Percent 16 6 7 2 2" xfId="43195" xr:uid="{8F9BC816-85D7-4051-8D43-11759C192201}"/>
    <cellStyle name="Percent 16 6 7 3" xfId="12622" xr:uid="{00000000-0005-0000-0000-000080280000}"/>
    <cellStyle name="Percent 16 6 7 3 2" xfId="43196" xr:uid="{11236C27-423D-46E3-B5AC-CFFEF0A21527}"/>
    <cellStyle name="Percent 16 6 7 4" xfId="8393" xr:uid="{00000000-0005-0000-0000-000081280000}"/>
    <cellStyle name="Percent 16 6 7 4 2" xfId="43197" xr:uid="{C291FF24-1C64-48DA-B0E4-1490B602A0CD}"/>
    <cellStyle name="Percent 16 6 7 5" xfId="43194" xr:uid="{E85165CA-CD02-4F20-AAD7-245DC592E8F7}"/>
    <cellStyle name="Percent 16 6 8" xfId="4590" xr:uid="{00000000-0005-0000-0000-000082280000}"/>
    <cellStyle name="Percent 16 6 8 2" xfId="9915" xr:uid="{00000000-0005-0000-0000-000083280000}"/>
    <cellStyle name="Percent 16 6 8 2 2" xfId="43199" xr:uid="{43EC2D1E-4402-440E-A93C-C5AD63D22667}"/>
    <cellStyle name="Percent 16 6 8 3" xfId="12786" xr:uid="{00000000-0005-0000-0000-000084280000}"/>
    <cellStyle name="Percent 16 6 8 3 2" xfId="43200" xr:uid="{CF7FA1CD-5766-457D-A765-596FEA2FFA9E}"/>
    <cellStyle name="Percent 16 6 8 4" xfId="8394" xr:uid="{00000000-0005-0000-0000-000085280000}"/>
    <cellStyle name="Percent 16 6 8 4 2" xfId="43201" xr:uid="{7A8CC5BB-BB84-4803-8506-92968ED13A42}"/>
    <cellStyle name="Percent 16 6 8 5" xfId="43198" xr:uid="{DB8DF4ED-BB39-4DD5-A7F2-6C3E12F9B6E1}"/>
    <cellStyle name="Percent 16 6 9" xfId="4591" xr:uid="{00000000-0005-0000-0000-000086280000}"/>
    <cellStyle name="Percent 16 6 9 2" xfId="9916" xr:uid="{00000000-0005-0000-0000-000087280000}"/>
    <cellStyle name="Percent 16 6 9 2 2" xfId="43203" xr:uid="{9D473B56-AEFA-4124-AF03-1982AE7281B5}"/>
    <cellStyle name="Percent 16 6 9 3" xfId="13514" xr:uid="{00000000-0005-0000-0000-000088280000}"/>
    <cellStyle name="Percent 16 6 9 3 2" xfId="43204" xr:uid="{B8746AFA-4DEC-451C-A4C3-3450475ED6C7}"/>
    <cellStyle name="Percent 16 6 9 4" xfId="8395" xr:uid="{00000000-0005-0000-0000-000089280000}"/>
    <cellStyle name="Percent 16 6 9 4 2" xfId="43205" xr:uid="{8B116CEB-6C90-428E-B143-07181F1599B6}"/>
    <cellStyle name="Percent 16 6 9 5" xfId="43202" xr:uid="{5C8B67B9-704B-4607-9313-AA741F1423F5}"/>
    <cellStyle name="Percent 16 7" xfId="2583" xr:uid="{00000000-0005-0000-0000-00008A280000}"/>
    <cellStyle name="Percent 16 7 10" xfId="4593" xr:uid="{00000000-0005-0000-0000-00008B280000}"/>
    <cellStyle name="Percent 16 7 10 2" xfId="9918" xr:uid="{00000000-0005-0000-0000-00008C280000}"/>
    <cellStyle name="Percent 16 7 10 2 2" xfId="43208" xr:uid="{94C667AB-010D-4CC1-B6B5-D4401FC0D9D6}"/>
    <cellStyle name="Percent 16 7 10 3" xfId="14424" xr:uid="{00000000-0005-0000-0000-00008D280000}"/>
    <cellStyle name="Percent 16 7 10 3 2" xfId="43209" xr:uid="{E0E8CB90-A049-4F27-B5BC-17CFE013E059}"/>
    <cellStyle name="Percent 16 7 10 4" xfId="8397" xr:uid="{00000000-0005-0000-0000-00008E280000}"/>
    <cellStyle name="Percent 16 7 10 4 2" xfId="43210" xr:uid="{673D419E-5576-41B7-BF45-F678B118B797}"/>
    <cellStyle name="Percent 16 7 10 5" xfId="43207" xr:uid="{5765C74F-1896-47E8-AB04-B163B7511691}"/>
    <cellStyle name="Percent 16 7 11" xfId="4594" xr:uid="{00000000-0005-0000-0000-00008F280000}"/>
    <cellStyle name="Percent 16 7 11 2" xfId="9919" xr:uid="{00000000-0005-0000-0000-000090280000}"/>
    <cellStyle name="Percent 16 7 11 2 2" xfId="43212" xr:uid="{5814F387-1D84-4953-8E33-C00F589524CE}"/>
    <cellStyle name="Percent 16 7 11 3" xfId="13791" xr:uid="{00000000-0005-0000-0000-000091280000}"/>
    <cellStyle name="Percent 16 7 11 3 2" xfId="43213" xr:uid="{210D20DB-06B4-4C1B-AFA2-EECE93B11816}"/>
    <cellStyle name="Percent 16 7 11 4" xfId="8398" xr:uid="{00000000-0005-0000-0000-000092280000}"/>
    <cellStyle name="Percent 16 7 11 4 2" xfId="43214" xr:uid="{D343673E-EE6A-48FE-A7CD-C718AACC5EFE}"/>
    <cellStyle name="Percent 16 7 11 5" xfId="43211" xr:uid="{80EFC506-77D7-4BE9-AFA0-6425C4EAF983}"/>
    <cellStyle name="Percent 16 7 12" xfId="4595" xr:uid="{00000000-0005-0000-0000-000093280000}"/>
    <cellStyle name="Percent 16 7 12 2" xfId="9920" xr:uid="{00000000-0005-0000-0000-000094280000}"/>
    <cellStyle name="Percent 16 7 12 2 2" xfId="43216" xr:uid="{0620E642-B801-4734-8554-906F351D408F}"/>
    <cellStyle name="Percent 16 7 12 3" xfId="16247" xr:uid="{00000000-0005-0000-0000-000095280000}"/>
    <cellStyle name="Percent 16 7 12 3 2" xfId="43217" xr:uid="{1D8F27BF-C8B1-4882-B470-BE674A1C575F}"/>
    <cellStyle name="Percent 16 7 12 4" xfId="8399" xr:uid="{00000000-0005-0000-0000-000096280000}"/>
    <cellStyle name="Percent 16 7 12 4 2" xfId="43218" xr:uid="{A665A2E7-0F52-42B2-9605-19ED77B15A9B}"/>
    <cellStyle name="Percent 16 7 12 5" xfId="43215" xr:uid="{D6F197E9-9D04-470C-97B6-708E69B6C58F}"/>
    <cellStyle name="Percent 16 7 13" xfId="4596" xr:uid="{00000000-0005-0000-0000-000097280000}"/>
    <cellStyle name="Percent 16 7 13 2" xfId="9921" xr:uid="{00000000-0005-0000-0000-000098280000}"/>
    <cellStyle name="Percent 16 7 13 2 2" xfId="43220" xr:uid="{37F40CEE-1E25-4A9B-AE48-F2695B959CB9}"/>
    <cellStyle name="Percent 16 7 13 3" xfId="12933" xr:uid="{00000000-0005-0000-0000-000099280000}"/>
    <cellStyle name="Percent 16 7 13 3 2" xfId="43221" xr:uid="{883FB17B-4DE7-47E3-824D-BC3C35AD66A2}"/>
    <cellStyle name="Percent 16 7 13 4" xfId="8400" xr:uid="{00000000-0005-0000-0000-00009A280000}"/>
    <cellStyle name="Percent 16 7 13 4 2" xfId="43222" xr:uid="{CEE8D508-BBA7-4330-A6EB-E49726DDE233}"/>
    <cellStyle name="Percent 16 7 13 5" xfId="43219" xr:uid="{5C013958-7690-4FFF-87AA-F30CADA56816}"/>
    <cellStyle name="Percent 16 7 14" xfId="4597" xr:uid="{00000000-0005-0000-0000-00009B280000}"/>
    <cellStyle name="Percent 16 7 14 2" xfId="9922" xr:uid="{00000000-0005-0000-0000-00009C280000}"/>
    <cellStyle name="Percent 16 7 14 2 2" xfId="43224" xr:uid="{B69B4B22-8867-4660-B427-77FAFAB17FA8}"/>
    <cellStyle name="Percent 16 7 14 3" xfId="16356" xr:uid="{00000000-0005-0000-0000-00009D280000}"/>
    <cellStyle name="Percent 16 7 14 3 2" xfId="43225" xr:uid="{66AF3DCA-3DE9-4F82-BF0F-92BD165C1D23}"/>
    <cellStyle name="Percent 16 7 14 4" xfId="8401" xr:uid="{00000000-0005-0000-0000-00009E280000}"/>
    <cellStyle name="Percent 16 7 14 4 2" xfId="43226" xr:uid="{B60CF3DC-6882-453E-AAAF-B56737CC11A6}"/>
    <cellStyle name="Percent 16 7 14 5" xfId="43223" xr:uid="{E3F3D103-D22F-421A-8EC7-5BFEC53FDDAA}"/>
    <cellStyle name="Percent 16 7 15" xfId="4598" xr:uid="{00000000-0005-0000-0000-00009F280000}"/>
    <cellStyle name="Percent 16 7 15 2" xfId="9923" xr:uid="{00000000-0005-0000-0000-0000A0280000}"/>
    <cellStyle name="Percent 16 7 15 2 2" xfId="43228" xr:uid="{83AABACD-8EDD-4CB5-8DFB-927E6FF69F73}"/>
    <cellStyle name="Percent 16 7 15 3" xfId="12563" xr:uid="{00000000-0005-0000-0000-0000A1280000}"/>
    <cellStyle name="Percent 16 7 15 3 2" xfId="43229" xr:uid="{15AD3454-2BEF-484C-AC37-A04E317DDFF4}"/>
    <cellStyle name="Percent 16 7 15 4" xfId="8402" xr:uid="{00000000-0005-0000-0000-0000A2280000}"/>
    <cellStyle name="Percent 16 7 15 4 2" xfId="43230" xr:uid="{D7EE39F2-900B-4D9C-B2DD-53C041BEE985}"/>
    <cellStyle name="Percent 16 7 15 5" xfId="43227" xr:uid="{58F70043-BA6A-48A9-94E5-0959AA088084}"/>
    <cellStyle name="Percent 16 7 16" xfId="4599" xr:uid="{00000000-0005-0000-0000-0000A3280000}"/>
    <cellStyle name="Percent 16 7 16 2" xfId="9924" xr:uid="{00000000-0005-0000-0000-0000A4280000}"/>
    <cellStyle name="Percent 16 7 16 2 2" xfId="43232" xr:uid="{93641B25-E804-42A0-8049-B7DE868909EB}"/>
    <cellStyle name="Percent 16 7 16 3" xfId="16242" xr:uid="{00000000-0005-0000-0000-0000A5280000}"/>
    <cellStyle name="Percent 16 7 16 3 2" xfId="43233" xr:uid="{79D4FF3F-6593-4304-AD26-B04003C40554}"/>
    <cellStyle name="Percent 16 7 16 4" xfId="8403" xr:uid="{00000000-0005-0000-0000-0000A6280000}"/>
    <cellStyle name="Percent 16 7 16 4 2" xfId="43234" xr:uid="{E3432580-DE53-4733-AEAC-C50262BB12EE}"/>
    <cellStyle name="Percent 16 7 16 5" xfId="43231" xr:uid="{990BA11B-7F56-4B9E-8501-40B3F003D425}"/>
    <cellStyle name="Percent 16 7 17" xfId="4600" xr:uid="{00000000-0005-0000-0000-0000A7280000}"/>
    <cellStyle name="Percent 16 7 17 2" xfId="9925" xr:uid="{00000000-0005-0000-0000-0000A8280000}"/>
    <cellStyle name="Percent 16 7 17 2 2" xfId="43236" xr:uid="{284601C8-3012-409F-B9AE-B1577E271A41}"/>
    <cellStyle name="Percent 16 7 17 3" xfId="12567" xr:uid="{00000000-0005-0000-0000-0000A9280000}"/>
    <cellStyle name="Percent 16 7 17 3 2" xfId="43237" xr:uid="{0FE5015A-EE86-4871-AAFB-A377C3A62610}"/>
    <cellStyle name="Percent 16 7 17 4" xfId="8404" xr:uid="{00000000-0005-0000-0000-0000AA280000}"/>
    <cellStyle name="Percent 16 7 17 4 2" xfId="43238" xr:uid="{254EBF7C-C529-439F-BA2D-EBCFC88014B8}"/>
    <cellStyle name="Percent 16 7 17 5" xfId="43235" xr:uid="{2C7CDED3-2C82-44A7-A427-FFC3AA376188}"/>
    <cellStyle name="Percent 16 7 18" xfId="4592" xr:uid="{00000000-0005-0000-0000-0000AB280000}"/>
    <cellStyle name="Percent 16 7 18 2" xfId="9926" xr:uid="{00000000-0005-0000-0000-0000AC280000}"/>
    <cellStyle name="Percent 16 7 18 2 2" xfId="43240" xr:uid="{03306C0F-9B69-4D53-84C8-2C41016B69A5}"/>
    <cellStyle name="Percent 16 7 18 3" xfId="12573" xr:uid="{00000000-0005-0000-0000-0000AD280000}"/>
    <cellStyle name="Percent 16 7 18 3 2" xfId="43241" xr:uid="{D8491607-F3CE-4D58-AD1F-29E9FF1FB2E6}"/>
    <cellStyle name="Percent 16 7 18 4" xfId="8405" xr:uid="{00000000-0005-0000-0000-0000AE280000}"/>
    <cellStyle name="Percent 16 7 18 4 2" xfId="43242" xr:uid="{D557F0F8-4D27-4E29-9524-ECDBC5187AF3}"/>
    <cellStyle name="Percent 16 7 18 5" xfId="43239" xr:uid="{85F9ED30-D22E-47AA-BD66-26804A411932}"/>
    <cellStyle name="Percent 16 7 19" xfId="6422" xr:uid="{00000000-0005-0000-0000-0000AF280000}"/>
    <cellStyle name="Percent 16 7 19 2" xfId="14857" xr:uid="{00000000-0005-0000-0000-0000B0280000}"/>
    <cellStyle name="Percent 16 7 19 2 2" xfId="43244" xr:uid="{9BCCAD0B-CAF2-480B-B309-B50C0306DF7E}"/>
    <cellStyle name="Percent 16 7 19 3" xfId="16190" xr:uid="{00000000-0005-0000-0000-0000B1280000}"/>
    <cellStyle name="Percent 16 7 19 3 2" xfId="43245" xr:uid="{3866ACC6-93F0-4ABD-90D8-A3B3BFD3870C}"/>
    <cellStyle name="Percent 16 7 19 4" xfId="8406" xr:uid="{00000000-0005-0000-0000-0000B2280000}"/>
    <cellStyle name="Percent 16 7 19 4 2" xfId="43246" xr:uid="{870469DD-DBF3-41DC-B540-BF36CCE905C3}"/>
    <cellStyle name="Percent 16 7 19 5" xfId="43243" xr:uid="{C0A4414A-78AB-4AE1-AC83-BA5631623E9C}"/>
    <cellStyle name="Percent 16 7 2" xfId="2584" xr:uid="{00000000-0005-0000-0000-0000B3280000}"/>
    <cellStyle name="Percent 16 7 2 2" xfId="4601" xr:uid="{00000000-0005-0000-0000-0000B4280000}"/>
    <cellStyle name="Percent 16 7 2 2 2" xfId="9928" xr:uid="{00000000-0005-0000-0000-0000B5280000}"/>
    <cellStyle name="Percent 16 7 2 2 2 2" xfId="43250" xr:uid="{603528B6-0675-4FA6-B37A-23A3E37A1E53}"/>
    <cellStyle name="Percent 16 7 2 2 2 3" xfId="43249" xr:uid="{DD2B0E57-3361-4E0C-BD7C-B91623FB62B6}"/>
    <cellStyle name="Percent 16 7 2 2 3" xfId="13516" xr:uid="{00000000-0005-0000-0000-0000B6280000}"/>
    <cellStyle name="Percent 16 7 2 2 3 2" xfId="43251" xr:uid="{EA38F2B3-09AC-46C3-B8CE-77D48EDB628C}"/>
    <cellStyle name="Percent 16 7 2 2 4" xfId="8408" xr:uid="{00000000-0005-0000-0000-0000B7280000}"/>
    <cellStyle name="Percent 16 7 2 2 4 2" xfId="43252" xr:uid="{50A2F8EB-2547-4EEB-8E81-E3BDBEDD49CD}"/>
    <cellStyle name="Percent 16 7 2 2 5" xfId="43253" xr:uid="{F56AA4D0-060D-474D-BA3B-5A7B44C8010C}"/>
    <cellStyle name="Percent 16 7 2 2 6" xfId="43248" xr:uid="{67583D96-4885-4E60-B989-2FE72482D889}"/>
    <cellStyle name="Percent 16 7 2 2 7" xfId="49848" xr:uid="{21C1D64F-4E05-431D-9649-D3CE4F7927BB}"/>
    <cellStyle name="Percent 16 7 2 3" xfId="6423" xr:uid="{00000000-0005-0000-0000-0000B8280000}"/>
    <cellStyle name="Percent 16 7 2 3 2" xfId="14858" xr:uid="{00000000-0005-0000-0000-0000B9280000}"/>
    <cellStyle name="Percent 16 7 2 3 2 2" xfId="43255" xr:uid="{F09AA533-B8E8-4982-A68F-A30CD36A998A}"/>
    <cellStyle name="Percent 16 7 2 3 3" xfId="16570" xr:uid="{00000000-0005-0000-0000-0000BA280000}"/>
    <cellStyle name="Percent 16 7 2 3 3 2" xfId="43256" xr:uid="{9E9F4973-DA13-46ED-BC59-1B5A9C778E17}"/>
    <cellStyle name="Percent 16 7 2 3 4" xfId="8409" xr:uid="{00000000-0005-0000-0000-0000BB280000}"/>
    <cellStyle name="Percent 16 7 2 3 4 2" xfId="43257" xr:uid="{3EA2FACE-8745-4090-B756-1066177AE81F}"/>
    <cellStyle name="Percent 16 7 2 3 5" xfId="43254" xr:uid="{E234926C-6A4B-4C81-B732-2E9256C7A380}"/>
    <cellStyle name="Percent 16 7 2 4" xfId="9927" xr:uid="{00000000-0005-0000-0000-0000BC280000}"/>
    <cellStyle name="Percent 16 7 2 4 2" xfId="43258" xr:uid="{E16537CD-29A0-4FE1-8EFB-8E9D830B5C63}"/>
    <cellStyle name="Percent 16 7 2 5" xfId="12766" xr:uid="{00000000-0005-0000-0000-0000BD280000}"/>
    <cellStyle name="Percent 16 7 2 5 2" xfId="43259" xr:uid="{36025DB3-BA1C-4C3C-8741-995E9BF66FA2}"/>
    <cellStyle name="Percent 16 7 2 6" xfId="8407" xr:uid="{00000000-0005-0000-0000-0000BE280000}"/>
    <cellStyle name="Percent 16 7 2 6 2" xfId="43260" xr:uid="{BD1A8109-DD4E-4556-8548-8F9B8A7038D4}"/>
    <cellStyle name="Percent 16 7 2 7" xfId="43247" xr:uid="{23F2FFE8-0516-40C7-B5AC-93EF31F0384A}"/>
    <cellStyle name="Percent 16 7 20" xfId="9917" xr:uid="{00000000-0005-0000-0000-0000BF280000}"/>
    <cellStyle name="Percent 16 7 20 2" xfId="43261" xr:uid="{3F3DA065-244F-48E4-8E61-6421F3A22F66}"/>
    <cellStyle name="Percent 16 7 21" xfId="12664" xr:uid="{00000000-0005-0000-0000-0000C0280000}"/>
    <cellStyle name="Percent 16 7 21 2" xfId="43262" xr:uid="{96FAF016-00A9-4CBE-832D-CFD725112E57}"/>
    <cellStyle name="Percent 16 7 22" xfId="8396" xr:uid="{00000000-0005-0000-0000-0000C1280000}"/>
    <cellStyle name="Percent 16 7 22 2" xfId="43263" xr:uid="{859DF5DC-1F72-4E0C-BB5D-F753CAFDF55C}"/>
    <cellStyle name="Percent 16 7 23" xfId="16714" xr:uid="{37377524-7118-4532-9B74-9232B7FE7490}"/>
    <cellStyle name="Percent 16 7 23 2" xfId="33442" xr:uid="{AD4C14CA-495E-490E-A802-B09B0823DC5F}"/>
    <cellStyle name="Percent 16 7 23 3" xfId="43264" xr:uid="{89CCEDCF-49CD-4B05-B900-E040EB621A89}"/>
    <cellStyle name="Percent 16 7 24" xfId="43206" xr:uid="{F6CBF375-E282-4BA6-B741-C26C618DC01C}"/>
    <cellStyle name="Percent 16 7 3" xfId="2585" xr:uid="{00000000-0005-0000-0000-0000C2280000}"/>
    <cellStyle name="Percent 16 7 3 2" xfId="4602" xr:uid="{00000000-0005-0000-0000-0000C3280000}"/>
    <cellStyle name="Percent 16 7 3 2 2" xfId="9930" xr:uid="{00000000-0005-0000-0000-0000C4280000}"/>
    <cellStyle name="Percent 16 7 3 2 2 2" xfId="43268" xr:uid="{5DF5D4A4-6ABB-434A-9310-5C4C6038163A}"/>
    <cellStyle name="Percent 16 7 3 2 2 3" xfId="43267" xr:uid="{A4DE0736-C804-410E-8BD4-53399D227EF1}"/>
    <cellStyle name="Percent 16 7 3 2 3" xfId="12757" xr:uid="{00000000-0005-0000-0000-0000C5280000}"/>
    <cellStyle name="Percent 16 7 3 2 3 2" xfId="43269" xr:uid="{CC835FF2-290F-4CFC-942F-19C7973AEC09}"/>
    <cellStyle name="Percent 16 7 3 2 4" xfId="8411" xr:uid="{00000000-0005-0000-0000-0000C6280000}"/>
    <cellStyle name="Percent 16 7 3 2 4 2" xfId="43270" xr:uid="{FAE4F0A5-C1BA-47D6-BB89-C9B6ECA64D16}"/>
    <cellStyle name="Percent 16 7 3 2 5" xfId="43271" xr:uid="{0EFF9147-3C02-4123-A92E-D235E2AE3B4F}"/>
    <cellStyle name="Percent 16 7 3 2 6" xfId="43266" xr:uid="{33A56EC8-E635-4BCB-AB4F-BE96CF381189}"/>
    <cellStyle name="Percent 16 7 3 2 7" xfId="49849" xr:uid="{7310133F-16B3-494F-802F-DAFB90D91173}"/>
    <cellStyle name="Percent 16 7 3 3" xfId="6424" xr:uid="{00000000-0005-0000-0000-0000C7280000}"/>
    <cellStyle name="Percent 16 7 3 3 2" xfId="14859" xr:uid="{00000000-0005-0000-0000-0000C8280000}"/>
    <cellStyle name="Percent 16 7 3 3 2 2" xfId="43273" xr:uid="{62D60015-C388-40FE-BE6C-8E160268837D}"/>
    <cellStyle name="Percent 16 7 3 3 3" xfId="13477" xr:uid="{00000000-0005-0000-0000-0000C9280000}"/>
    <cellStyle name="Percent 16 7 3 3 3 2" xfId="43274" xr:uid="{9B03D9B6-04F7-4337-ACFE-4232BB2657FA}"/>
    <cellStyle name="Percent 16 7 3 3 4" xfId="8412" xr:uid="{00000000-0005-0000-0000-0000CA280000}"/>
    <cellStyle name="Percent 16 7 3 3 4 2" xfId="43275" xr:uid="{734A97AB-6FAE-4001-8A15-42C58A315691}"/>
    <cellStyle name="Percent 16 7 3 3 5" xfId="43272" xr:uid="{C2B338F9-E8DB-437E-8E0F-F86CDA8CFBFE}"/>
    <cellStyle name="Percent 16 7 3 4" xfId="9929" xr:uid="{00000000-0005-0000-0000-0000CB280000}"/>
    <cellStyle name="Percent 16 7 3 4 2" xfId="43276" xr:uid="{45DB263F-8D5C-422E-9F9E-89ADBD59A1B2}"/>
    <cellStyle name="Percent 16 7 3 5" xfId="12574" xr:uid="{00000000-0005-0000-0000-0000CC280000}"/>
    <cellStyle name="Percent 16 7 3 5 2" xfId="43277" xr:uid="{E81EEF4A-0715-4AAA-87DF-F06C0AE6C220}"/>
    <cellStyle name="Percent 16 7 3 6" xfId="8410" xr:uid="{00000000-0005-0000-0000-0000CD280000}"/>
    <cellStyle name="Percent 16 7 3 6 2" xfId="43278" xr:uid="{0A85618E-A9B6-46F5-878C-B97BF67B0355}"/>
    <cellStyle name="Percent 16 7 3 7" xfId="43265" xr:uid="{81B255B1-B17D-4A6A-AD64-7FCAFBB27FEC}"/>
    <cellStyle name="Percent 16 7 4" xfId="4603" xr:uid="{00000000-0005-0000-0000-0000CE280000}"/>
    <cellStyle name="Percent 16 7 4 2" xfId="9931" xr:uid="{00000000-0005-0000-0000-0000CF280000}"/>
    <cellStyle name="Percent 16 7 4 2 2" xfId="43281" xr:uid="{B8004903-47F3-4A57-856D-65BEC8C651ED}"/>
    <cellStyle name="Percent 16 7 4 2 3" xfId="43282" xr:uid="{BA059D36-0337-40C9-A114-47331A4388E4}"/>
    <cellStyle name="Percent 16 7 4 2 4" xfId="43280" xr:uid="{A74BA2D5-D995-4CE4-BD92-233C725DDBE4}"/>
    <cellStyle name="Percent 16 7 4 2 5" xfId="49851" xr:uid="{95C4DDCF-34B2-4CEB-A67E-18439F35804F}"/>
    <cellStyle name="Percent 16 7 4 3" xfId="12660" xr:uid="{00000000-0005-0000-0000-0000D0280000}"/>
    <cellStyle name="Percent 16 7 4 3 2" xfId="43284" xr:uid="{D321CCF6-6702-4953-9830-1274560EEF51}"/>
    <cellStyle name="Percent 16 7 4 3 3" xfId="43283" xr:uid="{4CAB993B-82B9-4D85-8789-2206275AE773}"/>
    <cellStyle name="Percent 16 7 4 4" xfId="8413" xr:uid="{00000000-0005-0000-0000-0000D1280000}"/>
    <cellStyle name="Percent 16 7 4 4 2" xfId="43285" xr:uid="{D137430E-397A-405D-A4C3-F2827CF5BE4F}"/>
    <cellStyle name="Percent 16 7 4 5" xfId="43286" xr:uid="{1BA3C427-26CD-4BB8-B064-3BC43687C998}"/>
    <cellStyle name="Percent 16 7 4 6" xfId="43279" xr:uid="{7BB23E16-061E-4225-AB51-D385DD253A1E}"/>
    <cellStyle name="Percent 16 7 4 7" xfId="49850" xr:uid="{A42430B6-B3A1-4400-BE4F-1A622684701C}"/>
    <cellStyle name="Percent 16 7 5" xfId="4604" xr:uid="{00000000-0005-0000-0000-0000D2280000}"/>
    <cellStyle name="Percent 16 7 5 2" xfId="9932" xr:uid="{00000000-0005-0000-0000-0000D3280000}"/>
    <cellStyle name="Percent 16 7 5 2 2" xfId="43289" xr:uid="{81F3283D-52A9-4A09-8869-1EB49807E5FA}"/>
    <cellStyle name="Percent 16 7 5 2 3" xfId="43288" xr:uid="{283116EE-7A80-4044-9C3E-26803FF34A1F}"/>
    <cellStyle name="Percent 16 7 5 3" xfId="16229" xr:uid="{00000000-0005-0000-0000-0000D4280000}"/>
    <cellStyle name="Percent 16 7 5 3 2" xfId="43290" xr:uid="{2CC55353-6E67-489D-879D-37F9DDB085AB}"/>
    <cellStyle name="Percent 16 7 5 4" xfId="8414" xr:uid="{00000000-0005-0000-0000-0000D5280000}"/>
    <cellStyle name="Percent 16 7 5 4 2" xfId="43291" xr:uid="{79CF049E-A135-492C-9A23-DFA9256BBDD1}"/>
    <cellStyle name="Percent 16 7 5 5" xfId="43292" xr:uid="{95978777-76F7-4CB5-9AAA-4D740D53CEDF}"/>
    <cellStyle name="Percent 16 7 5 6" xfId="43287" xr:uid="{9AD3F725-EF7B-4071-B858-408492E58D00}"/>
    <cellStyle name="Percent 16 7 6" xfId="4605" xr:uid="{00000000-0005-0000-0000-0000D6280000}"/>
    <cellStyle name="Percent 16 7 6 2" xfId="9933" xr:uid="{00000000-0005-0000-0000-0000D7280000}"/>
    <cellStyle name="Percent 16 7 6 2 2" xfId="43294" xr:uid="{3603D246-D6AA-481E-BD83-B2A38C2855D4}"/>
    <cellStyle name="Percent 16 7 6 3" xfId="16648" xr:uid="{00000000-0005-0000-0000-0000D8280000}"/>
    <cellStyle name="Percent 16 7 6 3 2" xfId="43295" xr:uid="{0A0FC3A6-A775-4038-B9DA-34BB43480752}"/>
    <cellStyle name="Percent 16 7 6 4" xfId="8415" xr:uid="{00000000-0005-0000-0000-0000D9280000}"/>
    <cellStyle name="Percent 16 7 6 4 2" xfId="43296" xr:uid="{0BCD0037-131F-477D-A8FB-9BADFA18D3BE}"/>
    <cellStyle name="Percent 16 7 6 5" xfId="43293" xr:uid="{98ECA9C3-3E27-49DD-9ED1-94FE9229E1E9}"/>
    <cellStyle name="Percent 16 7 7" xfId="4606" xr:uid="{00000000-0005-0000-0000-0000DA280000}"/>
    <cellStyle name="Percent 16 7 7 2" xfId="9934" xr:uid="{00000000-0005-0000-0000-0000DB280000}"/>
    <cellStyle name="Percent 16 7 7 2 2" xfId="43298" xr:uid="{ED4F210D-7598-4A61-B2D5-619794416172}"/>
    <cellStyle name="Percent 16 7 7 3" xfId="16372" xr:uid="{00000000-0005-0000-0000-0000DC280000}"/>
    <cellStyle name="Percent 16 7 7 3 2" xfId="43299" xr:uid="{D79BD1A8-61A6-4EBC-8DB1-8B2A52B6A011}"/>
    <cellStyle name="Percent 16 7 7 4" xfId="8416" xr:uid="{00000000-0005-0000-0000-0000DD280000}"/>
    <cellStyle name="Percent 16 7 7 4 2" xfId="43300" xr:uid="{031B75A0-C68F-4095-A3B1-BD4B69FF8A15}"/>
    <cellStyle name="Percent 16 7 7 5" xfId="43297" xr:uid="{C4DD226D-F5B6-4AA6-AA7A-CBC1C0B96410}"/>
    <cellStyle name="Percent 16 7 8" xfId="4607" xr:uid="{00000000-0005-0000-0000-0000DE280000}"/>
    <cellStyle name="Percent 16 7 8 2" xfId="9935" xr:uid="{00000000-0005-0000-0000-0000DF280000}"/>
    <cellStyle name="Percent 16 7 8 2 2" xfId="43302" xr:uid="{6AD7B3C1-7423-4AA4-A36F-F7D8C36AEB06}"/>
    <cellStyle name="Percent 16 7 8 3" xfId="16182" xr:uid="{00000000-0005-0000-0000-0000E0280000}"/>
    <cellStyle name="Percent 16 7 8 3 2" xfId="43303" xr:uid="{2B448F52-89B5-4137-BF98-FADC528AAF24}"/>
    <cellStyle name="Percent 16 7 8 4" xfId="8417" xr:uid="{00000000-0005-0000-0000-0000E1280000}"/>
    <cellStyle name="Percent 16 7 8 4 2" xfId="43304" xr:uid="{8149CEFF-811A-448E-BA38-D4181D40E1B4}"/>
    <cellStyle name="Percent 16 7 8 5" xfId="43301" xr:uid="{5351B788-00B1-40B1-B57F-4B742FA69998}"/>
    <cellStyle name="Percent 16 7 9" xfId="4608" xr:uid="{00000000-0005-0000-0000-0000E2280000}"/>
    <cellStyle name="Percent 16 7 9 2" xfId="9936" xr:uid="{00000000-0005-0000-0000-0000E3280000}"/>
    <cellStyle name="Percent 16 7 9 2 2" xfId="43306" xr:uid="{F4D5637F-A060-400B-8099-F79DD382D69E}"/>
    <cellStyle name="Percent 16 7 9 3" xfId="12925" xr:uid="{00000000-0005-0000-0000-0000E4280000}"/>
    <cellStyle name="Percent 16 7 9 3 2" xfId="43307" xr:uid="{65F00970-E2D5-430F-B7C0-F28E657DEA58}"/>
    <cellStyle name="Percent 16 7 9 4" xfId="8418" xr:uid="{00000000-0005-0000-0000-0000E5280000}"/>
    <cellStyle name="Percent 16 7 9 4 2" xfId="43308" xr:uid="{1C5CC423-C247-498D-9E0E-DD6A2AE56DE4}"/>
    <cellStyle name="Percent 16 7 9 5" xfId="43305" xr:uid="{D1F7815E-4C1E-4F4B-BE8D-C7BD56AFEE0D}"/>
    <cellStyle name="Percent 16 8" xfId="4609" xr:uid="{00000000-0005-0000-0000-0000E6280000}"/>
    <cellStyle name="Percent 16 8 10" xfId="4610" xr:uid="{00000000-0005-0000-0000-0000E7280000}"/>
    <cellStyle name="Percent 16 8 10 2" xfId="9938" xr:uid="{00000000-0005-0000-0000-0000E8280000}"/>
    <cellStyle name="Percent 16 8 10 2 2" xfId="43311" xr:uid="{3480E42E-1560-45D4-A6D9-A7BFBCC9B319}"/>
    <cellStyle name="Percent 16 8 10 3" xfId="16509" xr:uid="{00000000-0005-0000-0000-0000E9280000}"/>
    <cellStyle name="Percent 16 8 10 3 2" xfId="43312" xr:uid="{CFA41ACD-3290-4CCB-964C-81828DDFECC9}"/>
    <cellStyle name="Percent 16 8 10 4" xfId="8420" xr:uid="{00000000-0005-0000-0000-0000EA280000}"/>
    <cellStyle name="Percent 16 8 10 4 2" xfId="43313" xr:uid="{E559E692-06AD-46BD-8C99-7BAC24FB7D40}"/>
    <cellStyle name="Percent 16 8 10 5" xfId="43310" xr:uid="{10B851F9-684B-4548-9E03-8CB5AE4372B1}"/>
    <cellStyle name="Percent 16 8 11" xfId="4611" xr:uid="{00000000-0005-0000-0000-0000EB280000}"/>
    <cellStyle name="Percent 16 8 11 2" xfId="9939" xr:uid="{00000000-0005-0000-0000-0000EC280000}"/>
    <cellStyle name="Percent 16 8 11 2 2" xfId="43315" xr:uid="{74E23AA6-0F9F-48B4-9F1B-AC2A2A17BF58}"/>
    <cellStyle name="Percent 16 8 11 3" xfId="16552" xr:uid="{00000000-0005-0000-0000-0000ED280000}"/>
    <cellStyle name="Percent 16 8 11 3 2" xfId="43316" xr:uid="{10A4A1CF-634E-4137-AAB0-DF5F3C34523A}"/>
    <cellStyle name="Percent 16 8 11 4" xfId="8421" xr:uid="{00000000-0005-0000-0000-0000EE280000}"/>
    <cellStyle name="Percent 16 8 11 4 2" xfId="43317" xr:uid="{709B35F5-9A71-437C-8044-8FA5D80C0826}"/>
    <cellStyle name="Percent 16 8 11 5" xfId="43314" xr:uid="{F9879D4B-E046-4D48-B9CD-B54DE6A25A27}"/>
    <cellStyle name="Percent 16 8 12" xfId="4612" xr:uid="{00000000-0005-0000-0000-0000EF280000}"/>
    <cellStyle name="Percent 16 8 12 2" xfId="9940" xr:uid="{00000000-0005-0000-0000-0000F0280000}"/>
    <cellStyle name="Percent 16 8 12 2 2" xfId="43319" xr:uid="{6D9A079D-43C5-4F3A-A6AC-2DF64F00EB43}"/>
    <cellStyle name="Percent 16 8 12 3" xfId="16497" xr:uid="{00000000-0005-0000-0000-0000F1280000}"/>
    <cellStyle name="Percent 16 8 12 3 2" xfId="43320" xr:uid="{1F9137CA-6240-418E-AD1C-DE5AF3E87707}"/>
    <cellStyle name="Percent 16 8 12 4" xfId="8422" xr:uid="{00000000-0005-0000-0000-0000F2280000}"/>
    <cellStyle name="Percent 16 8 12 4 2" xfId="43321" xr:uid="{8D2CEB8B-0654-4507-A420-23E1740F7CD8}"/>
    <cellStyle name="Percent 16 8 12 5" xfId="43318" xr:uid="{1E983C93-9291-404A-AB93-F7D6EC16C1FD}"/>
    <cellStyle name="Percent 16 8 13" xfId="4613" xr:uid="{00000000-0005-0000-0000-0000F3280000}"/>
    <cellStyle name="Percent 16 8 13 2" xfId="9941" xr:uid="{00000000-0005-0000-0000-0000F4280000}"/>
    <cellStyle name="Percent 16 8 13 2 2" xfId="43323" xr:uid="{F2E37F37-1A24-4DA7-9D5C-912154CEE603}"/>
    <cellStyle name="Percent 16 8 13 3" xfId="16478" xr:uid="{00000000-0005-0000-0000-0000F5280000}"/>
    <cellStyle name="Percent 16 8 13 3 2" xfId="43324" xr:uid="{92D818ED-0333-4156-B56E-9AD6F85B3AED}"/>
    <cellStyle name="Percent 16 8 13 4" xfId="8423" xr:uid="{00000000-0005-0000-0000-0000F6280000}"/>
    <cellStyle name="Percent 16 8 13 4 2" xfId="43325" xr:uid="{4EEE26A9-A386-47DB-B986-5E38815E0D48}"/>
    <cellStyle name="Percent 16 8 13 5" xfId="43322" xr:uid="{F58D31A2-9093-442A-A83B-C07F98DE7DA5}"/>
    <cellStyle name="Percent 16 8 14" xfId="4614" xr:uid="{00000000-0005-0000-0000-0000F7280000}"/>
    <cellStyle name="Percent 16 8 14 2" xfId="9942" xr:uid="{00000000-0005-0000-0000-0000F8280000}"/>
    <cellStyle name="Percent 16 8 14 2 2" xfId="43327" xr:uid="{E90FC289-9493-4538-B606-A1B769897535}"/>
    <cellStyle name="Percent 16 8 14 3" xfId="12899" xr:uid="{00000000-0005-0000-0000-0000F9280000}"/>
    <cellStyle name="Percent 16 8 14 3 2" xfId="43328" xr:uid="{9C7E1950-6DB2-403C-80B9-8A6D756E573E}"/>
    <cellStyle name="Percent 16 8 14 4" xfId="8424" xr:uid="{00000000-0005-0000-0000-0000FA280000}"/>
    <cellStyle name="Percent 16 8 14 4 2" xfId="43329" xr:uid="{22A84C4E-4EBD-4C27-8C80-6D979D4F7C7D}"/>
    <cellStyle name="Percent 16 8 14 5" xfId="43326" xr:uid="{A38BDF82-588E-4D88-9805-EF4F0E4F8A6E}"/>
    <cellStyle name="Percent 16 8 15" xfId="4615" xr:uid="{00000000-0005-0000-0000-0000FB280000}"/>
    <cellStyle name="Percent 16 8 15 2" xfId="9943" xr:uid="{00000000-0005-0000-0000-0000FC280000}"/>
    <cellStyle name="Percent 16 8 15 2 2" xfId="43331" xr:uid="{173ABA0E-4D0A-4D50-B2B5-68F0F89F83BA}"/>
    <cellStyle name="Percent 16 8 15 3" xfId="16475" xr:uid="{00000000-0005-0000-0000-0000FD280000}"/>
    <cellStyle name="Percent 16 8 15 3 2" xfId="43332" xr:uid="{2DF33B7A-B175-4329-8933-1FF2B8E1FA34}"/>
    <cellStyle name="Percent 16 8 15 4" xfId="8425" xr:uid="{00000000-0005-0000-0000-0000FE280000}"/>
    <cellStyle name="Percent 16 8 15 4 2" xfId="43333" xr:uid="{613962E4-62CA-4F66-B65F-C1820704B782}"/>
    <cellStyle name="Percent 16 8 15 5" xfId="43330" xr:uid="{2D0AD906-2421-4F79-B6A7-6C9E6EE4D47B}"/>
    <cellStyle name="Percent 16 8 16" xfId="4616" xr:uid="{00000000-0005-0000-0000-0000FF280000}"/>
    <cellStyle name="Percent 16 8 16 2" xfId="9944" xr:uid="{00000000-0005-0000-0000-000000290000}"/>
    <cellStyle name="Percent 16 8 16 2 2" xfId="43335" xr:uid="{B2455443-C747-442A-8A0E-246034A8309B}"/>
    <cellStyle name="Percent 16 8 16 3" xfId="12506" xr:uid="{00000000-0005-0000-0000-000001290000}"/>
    <cellStyle name="Percent 16 8 16 3 2" xfId="43336" xr:uid="{D529958C-58DC-485E-93A8-C88EBAC00948}"/>
    <cellStyle name="Percent 16 8 16 4" xfId="8426" xr:uid="{00000000-0005-0000-0000-000002290000}"/>
    <cellStyle name="Percent 16 8 16 4 2" xfId="43337" xr:uid="{25411E7F-2F9B-4BBB-98FC-3BCF4FEA84D6}"/>
    <cellStyle name="Percent 16 8 16 5" xfId="43334" xr:uid="{596141FC-B2DE-4C42-BF4B-9B69964B369B}"/>
    <cellStyle name="Percent 16 8 17" xfId="4617" xr:uid="{00000000-0005-0000-0000-000003290000}"/>
    <cellStyle name="Percent 16 8 17 2" xfId="9945" xr:uid="{00000000-0005-0000-0000-000004290000}"/>
    <cellStyle name="Percent 16 8 17 2 2" xfId="43339" xr:uid="{45E2C8CC-09B1-4865-9F72-35CF6B5D2EDE}"/>
    <cellStyle name="Percent 16 8 17 3" xfId="13507" xr:uid="{00000000-0005-0000-0000-000005290000}"/>
    <cellStyle name="Percent 16 8 17 3 2" xfId="43340" xr:uid="{FB856CA5-3970-4916-9C5B-BA7F97FE289E}"/>
    <cellStyle name="Percent 16 8 17 4" xfId="8427" xr:uid="{00000000-0005-0000-0000-000006290000}"/>
    <cellStyle name="Percent 16 8 17 4 2" xfId="43341" xr:uid="{32B31409-F287-406F-BDC9-3C9FE8A23DC7}"/>
    <cellStyle name="Percent 16 8 17 5" xfId="43338" xr:uid="{259EF238-7D4D-4E24-8E1E-4A2059CAB3FC}"/>
    <cellStyle name="Percent 16 8 18" xfId="9937" xr:uid="{00000000-0005-0000-0000-000007290000}"/>
    <cellStyle name="Percent 16 8 18 2" xfId="43342" xr:uid="{3ED39577-0174-45F4-8FA8-8BD6CD8D098B}"/>
    <cellStyle name="Percent 16 8 19" xfId="16444" xr:uid="{00000000-0005-0000-0000-000008290000}"/>
    <cellStyle name="Percent 16 8 19 2" xfId="43343" xr:uid="{F65EF074-4157-446C-A7AF-E8B7DD156BDF}"/>
    <cellStyle name="Percent 16 8 2" xfId="4618" xr:uid="{00000000-0005-0000-0000-000009290000}"/>
    <cellStyle name="Percent 16 8 2 2" xfId="9946" xr:uid="{00000000-0005-0000-0000-00000A290000}"/>
    <cellStyle name="Percent 16 8 2 2 2" xfId="43345" xr:uid="{FBA29C20-9F9C-47AA-A9B4-F4F9F02AB18D}"/>
    <cellStyle name="Percent 16 8 2 3" xfId="16494" xr:uid="{00000000-0005-0000-0000-00000B290000}"/>
    <cellStyle name="Percent 16 8 2 3 2" xfId="43346" xr:uid="{04025703-1BFB-497E-8342-1B83756609E7}"/>
    <cellStyle name="Percent 16 8 2 4" xfId="8428" xr:uid="{00000000-0005-0000-0000-00000C290000}"/>
    <cellStyle name="Percent 16 8 2 4 2" xfId="43347" xr:uid="{5B18B339-E97C-4692-8105-C79D5AD6404E}"/>
    <cellStyle name="Percent 16 8 2 5" xfId="43344" xr:uid="{5F0DC0BE-30D9-47DA-85DB-705839413C5E}"/>
    <cellStyle name="Percent 16 8 20" xfId="8419" xr:uid="{00000000-0005-0000-0000-00000D290000}"/>
    <cellStyle name="Percent 16 8 20 2" xfId="43348" xr:uid="{AF1985B7-F204-4DAA-B929-7C019277DBDC}"/>
    <cellStyle name="Percent 16 8 21" xfId="43309" xr:uid="{9ACF5785-EFEB-4D70-8822-242775A00555}"/>
    <cellStyle name="Percent 16 8 3" xfId="4619" xr:uid="{00000000-0005-0000-0000-00000E290000}"/>
    <cellStyle name="Percent 16 8 3 2" xfId="9947" xr:uid="{00000000-0005-0000-0000-00000F290000}"/>
    <cellStyle name="Percent 16 8 3 2 2" xfId="43350" xr:uid="{723290C6-772F-4299-AF0C-E182C2176228}"/>
    <cellStyle name="Percent 16 8 3 3" xfId="12920" xr:uid="{00000000-0005-0000-0000-000010290000}"/>
    <cellStyle name="Percent 16 8 3 3 2" xfId="43351" xr:uid="{98A34B37-AD01-4932-A95C-7D9DC5E4EC3E}"/>
    <cellStyle name="Percent 16 8 3 4" xfId="8429" xr:uid="{00000000-0005-0000-0000-000011290000}"/>
    <cellStyle name="Percent 16 8 3 4 2" xfId="43352" xr:uid="{EEAC76FB-A07B-45C5-91E8-A54CE1C2A016}"/>
    <cellStyle name="Percent 16 8 3 5" xfId="43349" xr:uid="{0DB7D972-2639-462F-A37E-B37BE7CBA094}"/>
    <cellStyle name="Percent 16 8 4" xfId="4620" xr:uid="{00000000-0005-0000-0000-000012290000}"/>
    <cellStyle name="Percent 16 8 4 2" xfId="9948" xr:uid="{00000000-0005-0000-0000-000013290000}"/>
    <cellStyle name="Percent 16 8 4 2 2" xfId="43354" xr:uid="{56C8FD9C-06A6-4553-8E0D-7ED18B4C2982}"/>
    <cellStyle name="Percent 16 8 4 3" xfId="16409" xr:uid="{00000000-0005-0000-0000-000014290000}"/>
    <cellStyle name="Percent 16 8 4 3 2" xfId="43355" xr:uid="{09BA409F-A5C9-4F25-BA47-DCF959A2F177}"/>
    <cellStyle name="Percent 16 8 4 4" xfId="8430" xr:uid="{00000000-0005-0000-0000-000015290000}"/>
    <cellStyle name="Percent 16 8 4 4 2" xfId="43356" xr:uid="{E79AADA9-E198-4853-95A7-DE7A5D777573}"/>
    <cellStyle name="Percent 16 8 4 5" xfId="43353" xr:uid="{3735ED4E-9B24-4752-9E62-C4022733F7AA}"/>
    <cellStyle name="Percent 16 8 5" xfId="4621" xr:uid="{00000000-0005-0000-0000-000016290000}"/>
    <cellStyle name="Percent 16 8 5 2" xfId="9949" xr:uid="{00000000-0005-0000-0000-000017290000}"/>
    <cellStyle name="Percent 16 8 5 2 2" xfId="43358" xr:uid="{FD2AE3A7-6FD4-4DD3-99FF-EBC83721E1CB}"/>
    <cellStyle name="Percent 16 8 5 3" xfId="14648" xr:uid="{00000000-0005-0000-0000-000018290000}"/>
    <cellStyle name="Percent 16 8 5 3 2" xfId="43359" xr:uid="{DAE3C904-C467-45E6-9CA1-FFB4CA395EB9}"/>
    <cellStyle name="Percent 16 8 5 4" xfId="8431" xr:uid="{00000000-0005-0000-0000-000019290000}"/>
    <cellStyle name="Percent 16 8 5 4 2" xfId="43360" xr:uid="{769D7BE0-7840-4907-B1BD-5E60B8A72A6F}"/>
    <cellStyle name="Percent 16 8 5 5" xfId="43357" xr:uid="{A541AB53-5AC6-4AC0-90CB-22D03146AC2B}"/>
    <cellStyle name="Percent 16 8 6" xfId="4622" xr:uid="{00000000-0005-0000-0000-00001A290000}"/>
    <cellStyle name="Percent 16 8 6 2" xfId="9950" xr:uid="{00000000-0005-0000-0000-00001B290000}"/>
    <cellStyle name="Percent 16 8 6 2 2" xfId="43362" xr:uid="{B847F76D-0563-49DC-9D46-4E7F61379F8F}"/>
    <cellStyle name="Percent 16 8 6 3" xfId="14355" xr:uid="{00000000-0005-0000-0000-00001C290000}"/>
    <cellStyle name="Percent 16 8 6 3 2" xfId="43363" xr:uid="{73813403-AF45-4343-9D8D-B266B9CC2DE6}"/>
    <cellStyle name="Percent 16 8 6 4" xfId="8432" xr:uid="{00000000-0005-0000-0000-00001D290000}"/>
    <cellStyle name="Percent 16 8 6 4 2" xfId="43364" xr:uid="{E16582F7-A18F-4DC1-B262-0894027112B1}"/>
    <cellStyle name="Percent 16 8 6 5" xfId="43361" xr:uid="{89CEC10E-0947-4DB7-8FA3-510356FC1DF1}"/>
    <cellStyle name="Percent 16 8 7" xfId="4623" xr:uid="{00000000-0005-0000-0000-00001E290000}"/>
    <cellStyle name="Percent 16 8 7 2" xfId="9951" xr:uid="{00000000-0005-0000-0000-00001F290000}"/>
    <cellStyle name="Percent 16 8 7 2 2" xfId="43366" xr:uid="{045B4CB0-A440-405C-9E9A-B8FEF175C4B0}"/>
    <cellStyle name="Percent 16 8 7 3" xfId="13464" xr:uid="{00000000-0005-0000-0000-000020290000}"/>
    <cellStyle name="Percent 16 8 7 3 2" xfId="43367" xr:uid="{D5E13AB2-3232-4EA2-AC0E-F882DBC83082}"/>
    <cellStyle name="Percent 16 8 7 4" xfId="8433" xr:uid="{00000000-0005-0000-0000-000021290000}"/>
    <cellStyle name="Percent 16 8 7 4 2" xfId="43368" xr:uid="{4CD2050A-CC67-4DB0-9D1A-D7AAAF7D1845}"/>
    <cellStyle name="Percent 16 8 7 5" xfId="43365" xr:uid="{8B4655B2-8371-4F63-B867-062AB8BA1147}"/>
    <cellStyle name="Percent 16 8 8" xfId="4624" xr:uid="{00000000-0005-0000-0000-000022290000}"/>
    <cellStyle name="Percent 16 8 8 2" xfId="9952" xr:uid="{00000000-0005-0000-0000-000023290000}"/>
    <cellStyle name="Percent 16 8 8 2 2" xfId="43370" xr:uid="{3D1D4D8E-2621-4D06-93D3-7E4FA96D4986}"/>
    <cellStyle name="Percent 16 8 8 3" xfId="12713" xr:uid="{00000000-0005-0000-0000-000024290000}"/>
    <cellStyle name="Percent 16 8 8 3 2" xfId="43371" xr:uid="{ADD101C6-4A9D-4034-BE54-ECB96D83AE8D}"/>
    <cellStyle name="Percent 16 8 8 4" xfId="8434" xr:uid="{00000000-0005-0000-0000-000025290000}"/>
    <cellStyle name="Percent 16 8 8 4 2" xfId="43372" xr:uid="{B73CFF77-E329-4E91-9888-6745FD6829D1}"/>
    <cellStyle name="Percent 16 8 8 5" xfId="43369" xr:uid="{4DD5A2DB-8DD7-48CC-8920-2E5E0544DC8D}"/>
    <cellStyle name="Percent 16 8 9" xfId="4625" xr:uid="{00000000-0005-0000-0000-000026290000}"/>
    <cellStyle name="Percent 16 8 9 2" xfId="9953" xr:uid="{00000000-0005-0000-0000-000027290000}"/>
    <cellStyle name="Percent 16 8 9 2 2" xfId="43374" xr:uid="{30D87472-EB65-4CA7-8CD8-7C0F07E2FA88}"/>
    <cellStyle name="Percent 16 8 9 3" xfId="13743" xr:uid="{00000000-0005-0000-0000-000028290000}"/>
    <cellStyle name="Percent 16 8 9 3 2" xfId="43375" xr:uid="{4D03FF8D-5CDB-4EC6-ABEE-E1EE2AA377B0}"/>
    <cellStyle name="Percent 16 8 9 4" xfId="8435" xr:uid="{00000000-0005-0000-0000-000029290000}"/>
    <cellStyle name="Percent 16 8 9 4 2" xfId="43376" xr:uid="{D57C15D6-B0D3-4D20-8785-DF81A45357E0}"/>
    <cellStyle name="Percent 16 8 9 5" xfId="43373" xr:uid="{68FD1C86-0AA3-44CD-B78D-C5E8390BF20E}"/>
    <cellStyle name="Percent 16 9" xfId="4626" xr:uid="{00000000-0005-0000-0000-00002A290000}"/>
    <cellStyle name="Percent 16 9 10" xfId="4627" xr:uid="{00000000-0005-0000-0000-00002B290000}"/>
    <cellStyle name="Percent 16 9 10 2" xfId="9955" xr:uid="{00000000-0005-0000-0000-00002C290000}"/>
    <cellStyle name="Percent 16 9 10 2 2" xfId="43379" xr:uid="{498B8EC5-EA7B-4111-954C-A823FF5F95EE}"/>
    <cellStyle name="Percent 16 9 10 3" xfId="16219" xr:uid="{00000000-0005-0000-0000-00002D290000}"/>
    <cellStyle name="Percent 16 9 10 3 2" xfId="43380" xr:uid="{9BC8ACB2-1561-40B1-8C3A-9D2B7979A158}"/>
    <cellStyle name="Percent 16 9 10 4" xfId="8437" xr:uid="{00000000-0005-0000-0000-00002E290000}"/>
    <cellStyle name="Percent 16 9 10 4 2" xfId="43381" xr:uid="{09CF3C18-C35D-4235-B138-C07CB2E7AD66}"/>
    <cellStyle name="Percent 16 9 10 5" xfId="43378" xr:uid="{3ED36CD0-5FC4-4AFB-A7A1-9BA9D01436FD}"/>
    <cellStyle name="Percent 16 9 11" xfId="4628" xr:uid="{00000000-0005-0000-0000-00002F290000}"/>
    <cellStyle name="Percent 16 9 11 2" xfId="9956" xr:uid="{00000000-0005-0000-0000-000030290000}"/>
    <cellStyle name="Percent 16 9 11 2 2" xfId="43383" xr:uid="{D0950EFC-6F16-4D80-8E56-0CF2331CD8D6}"/>
    <cellStyle name="Percent 16 9 11 3" xfId="12639" xr:uid="{00000000-0005-0000-0000-000031290000}"/>
    <cellStyle name="Percent 16 9 11 3 2" xfId="43384" xr:uid="{9EAAF1C6-720A-45DF-B774-1785B12EC967}"/>
    <cellStyle name="Percent 16 9 11 4" xfId="8438" xr:uid="{00000000-0005-0000-0000-000032290000}"/>
    <cellStyle name="Percent 16 9 11 4 2" xfId="43385" xr:uid="{BC2BD1D9-5179-4F77-82B4-C2284C756D8E}"/>
    <cellStyle name="Percent 16 9 11 5" xfId="43382" xr:uid="{AE956F47-2642-4D67-ADA9-E16A6184CEDC}"/>
    <cellStyle name="Percent 16 9 12" xfId="4629" xr:uid="{00000000-0005-0000-0000-000033290000}"/>
    <cellStyle name="Percent 16 9 12 2" xfId="9957" xr:uid="{00000000-0005-0000-0000-000034290000}"/>
    <cellStyle name="Percent 16 9 12 2 2" xfId="43387" xr:uid="{F892982C-588D-4206-AF06-1E021A8C0437}"/>
    <cellStyle name="Percent 16 9 12 3" xfId="16603" xr:uid="{00000000-0005-0000-0000-000035290000}"/>
    <cellStyle name="Percent 16 9 12 3 2" xfId="43388" xr:uid="{D51457F6-A0A1-4F43-BDB6-98AED6A998F1}"/>
    <cellStyle name="Percent 16 9 12 4" xfId="8439" xr:uid="{00000000-0005-0000-0000-000036290000}"/>
    <cellStyle name="Percent 16 9 12 4 2" xfId="43389" xr:uid="{3CC67FE0-E242-4CA1-8E72-CFD8EF99BBDB}"/>
    <cellStyle name="Percent 16 9 12 5" xfId="43386" xr:uid="{B8419B2E-22EB-4173-B886-BAD5C4092163}"/>
    <cellStyle name="Percent 16 9 13" xfId="4630" xr:uid="{00000000-0005-0000-0000-000037290000}"/>
    <cellStyle name="Percent 16 9 13 2" xfId="9958" xr:uid="{00000000-0005-0000-0000-000038290000}"/>
    <cellStyle name="Percent 16 9 13 2 2" xfId="43391" xr:uid="{987D27B8-77A3-49D5-8947-8D1B8492A116}"/>
    <cellStyle name="Percent 16 9 13 3" xfId="13784" xr:uid="{00000000-0005-0000-0000-000039290000}"/>
    <cellStyle name="Percent 16 9 13 3 2" xfId="43392" xr:uid="{16F03C64-7DB7-4F82-98E6-38D4EBC12A8E}"/>
    <cellStyle name="Percent 16 9 13 4" xfId="8440" xr:uid="{00000000-0005-0000-0000-00003A290000}"/>
    <cellStyle name="Percent 16 9 13 4 2" xfId="43393" xr:uid="{EECEBF67-3BB3-49F0-9D15-F199A479C7FD}"/>
    <cellStyle name="Percent 16 9 13 5" xfId="43390" xr:uid="{F074EA5D-9F98-427C-AFFE-6ADC3D65FD44}"/>
    <cellStyle name="Percent 16 9 14" xfId="4631" xr:uid="{00000000-0005-0000-0000-00003B290000}"/>
    <cellStyle name="Percent 16 9 14 2" xfId="9959" xr:uid="{00000000-0005-0000-0000-00003C290000}"/>
    <cellStyle name="Percent 16 9 14 2 2" xfId="43395" xr:uid="{9500CA5E-E0EA-4D13-A6AA-37C375E3186B}"/>
    <cellStyle name="Percent 16 9 14 3" xfId="12564" xr:uid="{00000000-0005-0000-0000-00003D290000}"/>
    <cellStyle name="Percent 16 9 14 3 2" xfId="43396" xr:uid="{597D6DD8-7B4E-4A20-BA17-5316D6FFBB4D}"/>
    <cellStyle name="Percent 16 9 14 4" xfId="8441" xr:uid="{00000000-0005-0000-0000-00003E290000}"/>
    <cellStyle name="Percent 16 9 14 4 2" xfId="43397" xr:uid="{4DBCBBA8-948D-4202-BABD-D7DF221A54C6}"/>
    <cellStyle name="Percent 16 9 14 5" xfId="43394" xr:uid="{1EB98C73-3F7D-4B92-952C-E50F8187A29F}"/>
    <cellStyle name="Percent 16 9 15" xfId="4632" xr:uid="{00000000-0005-0000-0000-00003F290000}"/>
    <cellStyle name="Percent 16 9 15 2" xfId="9960" xr:uid="{00000000-0005-0000-0000-000040290000}"/>
    <cellStyle name="Percent 16 9 15 2 2" xfId="43399" xr:uid="{A08FC26F-D93D-4E84-9557-ABE53F78C9D8}"/>
    <cellStyle name="Percent 16 9 15 3" xfId="16316" xr:uid="{00000000-0005-0000-0000-000041290000}"/>
    <cellStyle name="Percent 16 9 15 3 2" xfId="43400" xr:uid="{4541E35E-1FB4-41BA-A890-40048D91EA36}"/>
    <cellStyle name="Percent 16 9 15 4" xfId="8442" xr:uid="{00000000-0005-0000-0000-000042290000}"/>
    <cellStyle name="Percent 16 9 15 4 2" xfId="43401" xr:uid="{2DE8C438-EA7F-4AEC-A9E6-34595F2BE6CB}"/>
    <cellStyle name="Percent 16 9 15 5" xfId="43398" xr:uid="{8291867A-A0F1-4EE9-BCED-B9AD8BA09586}"/>
    <cellStyle name="Percent 16 9 16" xfId="4633" xr:uid="{00000000-0005-0000-0000-000043290000}"/>
    <cellStyle name="Percent 16 9 16 2" xfId="9961" xr:uid="{00000000-0005-0000-0000-000044290000}"/>
    <cellStyle name="Percent 16 9 16 2 2" xfId="43403" xr:uid="{E5975AA1-E521-45EA-B9EF-E2BC489D8B2C}"/>
    <cellStyle name="Percent 16 9 16 3" xfId="14330" xr:uid="{00000000-0005-0000-0000-000045290000}"/>
    <cellStyle name="Percent 16 9 16 3 2" xfId="43404" xr:uid="{46E96C25-1071-4F9E-86A1-D9D8C8577330}"/>
    <cellStyle name="Percent 16 9 16 4" xfId="8443" xr:uid="{00000000-0005-0000-0000-000046290000}"/>
    <cellStyle name="Percent 16 9 16 4 2" xfId="43405" xr:uid="{B5CBEE4E-1171-4E7C-8686-0A5513BB9330}"/>
    <cellStyle name="Percent 16 9 16 5" xfId="43402" xr:uid="{9084367F-1518-4C5E-B0B7-6094B235B576}"/>
    <cellStyle name="Percent 16 9 17" xfId="4634" xr:uid="{00000000-0005-0000-0000-000047290000}"/>
    <cellStyle name="Percent 16 9 17 2" xfId="9962" xr:uid="{00000000-0005-0000-0000-000048290000}"/>
    <cellStyle name="Percent 16 9 17 2 2" xfId="43407" xr:uid="{BB561CE6-DB0A-4F88-9E2C-A6FB16467B80}"/>
    <cellStyle name="Percent 16 9 17 3" xfId="16432" xr:uid="{00000000-0005-0000-0000-000049290000}"/>
    <cellStyle name="Percent 16 9 17 3 2" xfId="43408" xr:uid="{2232E9FC-DBA5-40F4-85B8-EAFBA6C2A06F}"/>
    <cellStyle name="Percent 16 9 17 4" xfId="8444" xr:uid="{00000000-0005-0000-0000-00004A290000}"/>
    <cellStyle name="Percent 16 9 17 4 2" xfId="43409" xr:uid="{FE8073E1-75E9-45A1-9D45-7D0436AAD918}"/>
    <cellStyle name="Percent 16 9 17 5" xfId="43406" xr:uid="{76C867D4-BE73-47DB-A151-FD0032026310}"/>
    <cellStyle name="Percent 16 9 18" xfId="9954" xr:uid="{00000000-0005-0000-0000-00004B290000}"/>
    <cellStyle name="Percent 16 9 18 2" xfId="43410" xr:uid="{8BEB1F0C-FB89-42ED-89B6-FAD1952018F0}"/>
    <cellStyle name="Percent 16 9 19" xfId="14339" xr:uid="{00000000-0005-0000-0000-00004C290000}"/>
    <cellStyle name="Percent 16 9 19 2" xfId="43411" xr:uid="{A948939F-EA2A-4916-9C86-0654A662B2BB}"/>
    <cellStyle name="Percent 16 9 2" xfId="4635" xr:uid="{00000000-0005-0000-0000-00004D290000}"/>
    <cellStyle name="Percent 16 9 2 2" xfId="9963" xr:uid="{00000000-0005-0000-0000-00004E290000}"/>
    <cellStyle name="Percent 16 9 2 2 2" xfId="43413" xr:uid="{C267124C-35A6-4216-943C-CF7CD43D19F9}"/>
    <cellStyle name="Percent 16 9 2 3" xfId="12834" xr:uid="{00000000-0005-0000-0000-00004F290000}"/>
    <cellStyle name="Percent 16 9 2 3 2" xfId="43414" xr:uid="{86E90760-DB52-495E-B0AC-23A6CF136500}"/>
    <cellStyle name="Percent 16 9 2 4" xfId="8445" xr:uid="{00000000-0005-0000-0000-000050290000}"/>
    <cellStyle name="Percent 16 9 2 4 2" xfId="43415" xr:uid="{04349776-1DEF-4795-888E-9C5FBFEFBAF8}"/>
    <cellStyle name="Percent 16 9 2 5" xfId="43412" xr:uid="{251947F8-9A28-4A16-8D6A-5D6D529A6CDC}"/>
    <cellStyle name="Percent 16 9 20" xfId="8436" xr:uid="{00000000-0005-0000-0000-000051290000}"/>
    <cellStyle name="Percent 16 9 20 2" xfId="43416" xr:uid="{B1B6FF37-2A9A-477A-BD87-5DE6A3B68A01}"/>
    <cellStyle name="Percent 16 9 21" xfId="43377" xr:uid="{B94029F3-108C-4DDB-9C5D-75EC8EFC7A16}"/>
    <cellStyle name="Percent 16 9 3" xfId="4636" xr:uid="{00000000-0005-0000-0000-000052290000}"/>
    <cellStyle name="Percent 16 9 3 2" xfId="9964" xr:uid="{00000000-0005-0000-0000-000053290000}"/>
    <cellStyle name="Percent 16 9 3 2 2" xfId="43418" xr:uid="{7737F5BE-512C-4BBB-82CE-5082209B847A}"/>
    <cellStyle name="Percent 16 9 3 3" xfId="16441" xr:uid="{00000000-0005-0000-0000-000054290000}"/>
    <cellStyle name="Percent 16 9 3 3 2" xfId="43419" xr:uid="{48E8D38A-5F3B-423F-B33F-EEB37212725B}"/>
    <cellStyle name="Percent 16 9 3 4" xfId="8446" xr:uid="{00000000-0005-0000-0000-000055290000}"/>
    <cellStyle name="Percent 16 9 3 4 2" xfId="43420" xr:uid="{180F0BD9-E109-4D7C-8947-5355432A5B8B}"/>
    <cellStyle name="Percent 16 9 3 5" xfId="43417" xr:uid="{F821F793-702A-4F38-B1E9-1D30ACAC759F}"/>
    <cellStyle name="Percent 16 9 4" xfId="4637" xr:uid="{00000000-0005-0000-0000-000056290000}"/>
    <cellStyle name="Percent 16 9 4 2" xfId="9965" xr:uid="{00000000-0005-0000-0000-000057290000}"/>
    <cellStyle name="Percent 16 9 4 2 2" xfId="43422" xr:uid="{B7FA17D4-7EE2-4762-8F41-A06819704010}"/>
    <cellStyle name="Percent 16 9 4 3" xfId="12753" xr:uid="{00000000-0005-0000-0000-000058290000}"/>
    <cellStyle name="Percent 16 9 4 3 2" xfId="43423" xr:uid="{551B3808-5D16-4079-B232-9D8E4D910831}"/>
    <cellStyle name="Percent 16 9 4 4" xfId="8447" xr:uid="{00000000-0005-0000-0000-000059290000}"/>
    <cellStyle name="Percent 16 9 4 4 2" xfId="43424" xr:uid="{021B287A-8389-4802-9F33-CBD7D55304D1}"/>
    <cellStyle name="Percent 16 9 4 5" xfId="43421" xr:uid="{B65DD2A3-1484-46C4-8F47-42A31B90B04A}"/>
    <cellStyle name="Percent 16 9 5" xfId="4638" xr:uid="{00000000-0005-0000-0000-00005A290000}"/>
    <cellStyle name="Percent 16 9 5 2" xfId="9966" xr:uid="{00000000-0005-0000-0000-00005B290000}"/>
    <cellStyle name="Percent 16 9 5 2 2" xfId="43426" xr:uid="{A07DDA6E-E4A9-4889-82D9-0ADAB4D41D96}"/>
    <cellStyle name="Percent 16 9 5 3" xfId="13849" xr:uid="{00000000-0005-0000-0000-00005C290000}"/>
    <cellStyle name="Percent 16 9 5 3 2" xfId="43427" xr:uid="{089BA9BD-9621-420C-9F1D-E75A22BACDD8}"/>
    <cellStyle name="Percent 16 9 5 4" xfId="8448" xr:uid="{00000000-0005-0000-0000-00005D290000}"/>
    <cellStyle name="Percent 16 9 5 4 2" xfId="43428" xr:uid="{E21E1DB4-1EEB-449F-977A-4DC0440C27E5}"/>
    <cellStyle name="Percent 16 9 5 5" xfId="43425" xr:uid="{8846F875-98B6-4BB6-B2DC-5983DC5F8F81}"/>
    <cellStyle name="Percent 16 9 6" xfId="4639" xr:uid="{00000000-0005-0000-0000-00005E290000}"/>
    <cellStyle name="Percent 16 9 6 2" xfId="9967" xr:uid="{00000000-0005-0000-0000-00005F290000}"/>
    <cellStyle name="Percent 16 9 6 2 2" xfId="43430" xr:uid="{1F595CC0-7579-4362-BD96-06B356BE7CB2}"/>
    <cellStyle name="Percent 16 9 6 3" xfId="13499" xr:uid="{00000000-0005-0000-0000-000060290000}"/>
    <cellStyle name="Percent 16 9 6 3 2" xfId="43431" xr:uid="{6AAF9376-E0EB-4FE0-ADCF-18097C9A3775}"/>
    <cellStyle name="Percent 16 9 6 4" xfId="8449" xr:uid="{00000000-0005-0000-0000-000061290000}"/>
    <cellStyle name="Percent 16 9 6 4 2" xfId="43432" xr:uid="{E9D98D8B-1291-46CD-B013-CF9B1D503A29}"/>
    <cellStyle name="Percent 16 9 6 5" xfId="43429" xr:uid="{92D1FA8E-4F76-4C8F-84EA-025C18082595}"/>
    <cellStyle name="Percent 16 9 7" xfId="4640" xr:uid="{00000000-0005-0000-0000-000062290000}"/>
    <cellStyle name="Percent 16 9 7 2" xfId="9968" xr:uid="{00000000-0005-0000-0000-000063290000}"/>
    <cellStyle name="Percent 16 9 7 2 2" xfId="43434" xr:uid="{04959500-C984-418D-9BCA-1A78B8847CBC}"/>
    <cellStyle name="Percent 16 9 7 3" xfId="13847" xr:uid="{00000000-0005-0000-0000-000064290000}"/>
    <cellStyle name="Percent 16 9 7 3 2" xfId="43435" xr:uid="{4D3963AE-A12D-4D74-9B84-EAAB8FF802D0}"/>
    <cellStyle name="Percent 16 9 7 4" xfId="8450" xr:uid="{00000000-0005-0000-0000-000065290000}"/>
    <cellStyle name="Percent 16 9 7 4 2" xfId="43436" xr:uid="{37802921-AFEF-43E0-9EC7-BE5C2703B63A}"/>
    <cellStyle name="Percent 16 9 7 5" xfId="43433" xr:uid="{93C54F66-57EC-43B7-AF3B-4EEC1F70BE8B}"/>
    <cellStyle name="Percent 16 9 8" xfId="4641" xr:uid="{00000000-0005-0000-0000-000066290000}"/>
    <cellStyle name="Percent 16 9 8 2" xfId="9969" xr:uid="{00000000-0005-0000-0000-000067290000}"/>
    <cellStyle name="Percent 16 9 8 2 2" xfId="43438" xr:uid="{83614383-3F45-4F8A-8A0E-D88EA694F51E}"/>
    <cellStyle name="Percent 16 9 8 3" xfId="13468" xr:uid="{00000000-0005-0000-0000-000068290000}"/>
    <cellStyle name="Percent 16 9 8 3 2" xfId="43439" xr:uid="{BD99BDEA-05E0-43B4-A0B9-BD470E88B27D}"/>
    <cellStyle name="Percent 16 9 8 4" xfId="8451" xr:uid="{00000000-0005-0000-0000-000069290000}"/>
    <cellStyle name="Percent 16 9 8 4 2" xfId="43440" xr:uid="{C5DAA372-B5F2-4F54-9243-141B27F5B1C2}"/>
    <cellStyle name="Percent 16 9 8 5" xfId="43437" xr:uid="{2366CED2-F991-41AD-9A57-42E82BBE7208}"/>
    <cellStyle name="Percent 16 9 9" xfId="4642" xr:uid="{00000000-0005-0000-0000-00006A290000}"/>
    <cellStyle name="Percent 16 9 9 2" xfId="9970" xr:uid="{00000000-0005-0000-0000-00006B290000}"/>
    <cellStyle name="Percent 16 9 9 2 2" xfId="43442" xr:uid="{8A918B35-6330-4A83-8D8B-8FAE61C16A42}"/>
    <cellStyle name="Percent 16 9 9 3" xfId="12772" xr:uid="{00000000-0005-0000-0000-00006C290000}"/>
    <cellStyle name="Percent 16 9 9 3 2" xfId="43443" xr:uid="{1EF8FD32-AB0E-47F4-BBCF-386F554CC30F}"/>
    <cellStyle name="Percent 16 9 9 4" xfId="8452" xr:uid="{00000000-0005-0000-0000-00006D290000}"/>
    <cellStyle name="Percent 16 9 9 4 2" xfId="43444" xr:uid="{754172E9-1CD6-4D73-A6B8-95DA93C66384}"/>
    <cellStyle name="Percent 16 9 9 5" xfId="43441" xr:uid="{A58C1F60-8BC4-4098-95D2-41CD3E617418}"/>
    <cellStyle name="Percent 17" xfId="2586" xr:uid="{00000000-0005-0000-0000-00006E290000}"/>
    <cellStyle name="Percent 17 10" xfId="5719" xr:uid="{00000000-0005-0000-0000-00006F290000}"/>
    <cellStyle name="Percent 17 10 2" xfId="14352" xr:uid="{00000000-0005-0000-0000-000070290000}"/>
    <cellStyle name="Percent 17 10 2 2" xfId="43447" xr:uid="{2598157C-1AFA-403B-B4D0-9CD08E476AF2}"/>
    <cellStyle name="Percent 17 10 3" xfId="9971" xr:uid="{00000000-0005-0000-0000-000071290000}"/>
    <cellStyle name="Percent 17 10 3 2" xfId="43448" xr:uid="{DDC76097-998C-415F-BEDD-55ABBE9572D1}"/>
    <cellStyle name="Percent 17 10 4" xfId="43446" xr:uid="{4F5A1483-6214-402A-A78B-7C94124D4EAD}"/>
    <cellStyle name="Percent 17 11" xfId="13893" xr:uid="{00000000-0005-0000-0000-000072290000}"/>
    <cellStyle name="Percent 17 11 2" xfId="43449" xr:uid="{250D9B51-EAF6-46CA-BAF3-F6152DC1E7E6}"/>
    <cellStyle name="Percent 17 12" xfId="8453" xr:uid="{00000000-0005-0000-0000-000073290000}"/>
    <cellStyle name="Percent 17 12 2" xfId="43450" xr:uid="{9FEA2375-C27C-4BD5-B5E2-AD95F2AAE3EB}"/>
    <cellStyle name="Percent 17 13" xfId="43445" xr:uid="{1D34391E-A2D5-4613-BDF1-6B249F519C65}"/>
    <cellStyle name="Percent 17 2" xfId="2587" xr:uid="{00000000-0005-0000-0000-000074290000}"/>
    <cellStyle name="Percent 17 2 2" xfId="9973" xr:uid="{00000000-0005-0000-0000-000075290000}"/>
    <cellStyle name="Percent 17 2 2 2" xfId="43453" xr:uid="{8C7367E8-5BFE-4488-B9CA-D05FD9DC1434}"/>
    <cellStyle name="Percent 17 2 2 3" xfId="43452" xr:uid="{B298BF80-C0E7-4250-845C-BB9F53D669D7}"/>
    <cellStyle name="Percent 17 2 3" xfId="9972" xr:uid="{00000000-0005-0000-0000-000076290000}"/>
    <cellStyle name="Percent 17 2 3 2" xfId="43454" xr:uid="{2519B362-E27C-488E-A594-B3AC87DF7DB9}"/>
    <cellStyle name="Percent 17 2 4" xfId="13759" xr:uid="{00000000-0005-0000-0000-000077290000}"/>
    <cellStyle name="Percent 17 2 4 2" xfId="43455" xr:uid="{37F215DC-09B0-4953-9762-3C3CF971468F}"/>
    <cellStyle name="Percent 17 2 5" xfId="8454" xr:uid="{00000000-0005-0000-0000-000078290000}"/>
    <cellStyle name="Percent 17 2 5 2" xfId="43456" xr:uid="{A6BFB517-285A-4197-98A4-BDAA978EFD08}"/>
    <cellStyle name="Percent 17 2 6" xfId="43451" xr:uid="{A6B33DE6-83A4-4F7B-9767-9AA0C5C01EA4}"/>
    <cellStyle name="Percent 17 3" xfId="2588" xr:uid="{00000000-0005-0000-0000-000079290000}"/>
    <cellStyle name="Percent 17 3 2" xfId="9974" xr:uid="{00000000-0005-0000-0000-00007A290000}"/>
    <cellStyle name="Percent 17 3 2 2" xfId="43458" xr:uid="{BC8330CF-0C68-4A1E-B7EC-8BC350681F3B}"/>
    <cellStyle name="Percent 17 3 3" xfId="12584" xr:uid="{00000000-0005-0000-0000-00007B290000}"/>
    <cellStyle name="Percent 17 3 3 2" xfId="43459" xr:uid="{54397979-D11F-4A1C-B464-21576449F139}"/>
    <cellStyle name="Percent 17 3 4" xfId="8455" xr:uid="{00000000-0005-0000-0000-00007C290000}"/>
    <cellStyle name="Percent 17 3 4 2" xfId="43460" xr:uid="{8A04DF41-9ED9-4C51-A705-2EB99021719F}"/>
    <cellStyle name="Percent 17 3 5" xfId="43457" xr:uid="{92C5ACBC-9916-4265-8C58-40EEA7C5E965}"/>
    <cellStyle name="Percent 17 4" xfId="2589" xr:uid="{00000000-0005-0000-0000-00007D290000}"/>
    <cellStyle name="Percent 17 4 2" xfId="9975" xr:uid="{00000000-0005-0000-0000-00007E290000}"/>
    <cellStyle name="Percent 17 4 2 2" xfId="43462" xr:uid="{B0E2EA80-448F-44B6-A310-BED7CCB0F706}"/>
    <cellStyle name="Percent 17 4 3" xfId="12512" xr:uid="{00000000-0005-0000-0000-00007F290000}"/>
    <cellStyle name="Percent 17 4 3 2" xfId="43463" xr:uid="{4829E857-CCBE-4BE1-AA27-339044D39836}"/>
    <cellStyle name="Percent 17 4 4" xfId="8456" xr:uid="{00000000-0005-0000-0000-000080290000}"/>
    <cellStyle name="Percent 17 4 4 2" xfId="43464" xr:uid="{14E5B830-860A-4AF9-A40B-4784595E2667}"/>
    <cellStyle name="Percent 17 4 5" xfId="43461" xr:uid="{7F2871A5-1BB6-4125-AE7E-E7DAC7D1A319}"/>
    <cellStyle name="Percent 17 5" xfId="2590" xr:uid="{00000000-0005-0000-0000-000081290000}"/>
    <cellStyle name="Percent 17 5 2" xfId="9976" xr:uid="{00000000-0005-0000-0000-000082290000}"/>
    <cellStyle name="Percent 17 5 2 2" xfId="43466" xr:uid="{85C3818B-50EE-44E4-9895-644AE5D481AB}"/>
    <cellStyle name="Percent 17 5 3" xfId="12926" xr:uid="{00000000-0005-0000-0000-000083290000}"/>
    <cellStyle name="Percent 17 5 3 2" xfId="43467" xr:uid="{EC585EC9-7DCB-44C5-98D9-5AC0EF106569}"/>
    <cellStyle name="Percent 17 5 4" xfId="8457" xr:uid="{00000000-0005-0000-0000-000084290000}"/>
    <cellStyle name="Percent 17 5 4 2" xfId="43468" xr:uid="{55A54EFF-1B84-4AC8-AEAF-F42799D95576}"/>
    <cellStyle name="Percent 17 5 5" xfId="43465" xr:uid="{A21CD623-9263-42DB-9FF7-0DCAE4319343}"/>
    <cellStyle name="Percent 17 6" xfId="2591" xr:uid="{00000000-0005-0000-0000-000085290000}"/>
    <cellStyle name="Percent 17 6 2" xfId="9977" xr:uid="{00000000-0005-0000-0000-000086290000}"/>
    <cellStyle name="Percent 17 6 2 2" xfId="43470" xr:uid="{441B2249-4C9A-4CBC-A270-446030A9C7E7}"/>
    <cellStyle name="Percent 17 6 3" xfId="12851" xr:uid="{00000000-0005-0000-0000-000087290000}"/>
    <cellStyle name="Percent 17 6 3 2" xfId="43471" xr:uid="{AFD92656-B32C-46FF-A0DF-B6DC1C73B468}"/>
    <cellStyle name="Percent 17 6 4" xfId="8458" xr:uid="{00000000-0005-0000-0000-000088290000}"/>
    <cellStyle name="Percent 17 6 4 2" xfId="43472" xr:uid="{5A736739-6B9B-44DC-AC23-DBCD848CEEA3}"/>
    <cellStyle name="Percent 17 6 5" xfId="43469" xr:uid="{40B0965E-086B-4B76-BFF6-D9D4A4D461B8}"/>
    <cellStyle name="Percent 17 7" xfId="2592" xr:uid="{00000000-0005-0000-0000-000089290000}"/>
    <cellStyle name="Percent 17 7 2" xfId="2593" xr:uid="{00000000-0005-0000-0000-00008A290000}"/>
    <cellStyle name="Percent 17 7 2 2" xfId="9979" xr:uid="{00000000-0005-0000-0000-00008B290000}"/>
    <cellStyle name="Percent 17 7 2 2 2" xfId="43476" xr:uid="{CC7C6729-1E5A-4E1D-8783-997DDE5C12CA}"/>
    <cellStyle name="Percent 17 7 2 2 3" xfId="43475" xr:uid="{D334E956-F8E5-4198-9C75-DF7818119564}"/>
    <cellStyle name="Percent 17 7 2 3" xfId="16683" xr:uid="{00000000-0005-0000-0000-00008C290000}"/>
    <cellStyle name="Percent 17 7 2 3 2" xfId="43478" xr:uid="{ABFBB2ED-5ADA-4576-88EF-AE77CE8340BD}"/>
    <cellStyle name="Percent 17 7 2 3 3" xfId="43477" xr:uid="{E1AA6CB6-968C-402A-85B3-D6A2C944CF15}"/>
    <cellStyle name="Percent 17 7 2 4" xfId="8460" xr:uid="{00000000-0005-0000-0000-00008D290000}"/>
    <cellStyle name="Percent 17 7 2 4 2" xfId="43479" xr:uid="{B9349144-7E83-43B9-AF09-D491C1913FE8}"/>
    <cellStyle name="Percent 17 7 2 5" xfId="43474" xr:uid="{26BBCF65-333D-4E14-9B42-0810F3A976A0}"/>
    <cellStyle name="Percent 17 7 3" xfId="2594" xr:uid="{00000000-0005-0000-0000-00008E290000}"/>
    <cellStyle name="Percent 17 7 3 2" xfId="9980" xr:uid="{00000000-0005-0000-0000-00008F290000}"/>
    <cellStyle name="Percent 17 7 3 2 2" xfId="43482" xr:uid="{158142F5-3A58-4379-B900-FC8BDDCF6336}"/>
    <cellStyle name="Percent 17 7 3 2 3" xfId="43481" xr:uid="{5B3FEB4C-310F-4003-969A-02E12641A297}"/>
    <cellStyle name="Percent 17 7 3 3" xfId="14344" xr:uid="{00000000-0005-0000-0000-000090290000}"/>
    <cellStyle name="Percent 17 7 3 3 2" xfId="43484" xr:uid="{11AF70F4-29FD-4326-81C1-D0EE29305883}"/>
    <cellStyle name="Percent 17 7 3 3 3" xfId="43483" xr:uid="{6F604AE4-B7A1-43C7-B183-A7A8C362BAE4}"/>
    <cellStyle name="Percent 17 7 3 4" xfId="8461" xr:uid="{00000000-0005-0000-0000-000091290000}"/>
    <cellStyle name="Percent 17 7 3 4 2" xfId="43485" xr:uid="{38941874-BD6F-440C-B2DE-4C8E098AAEB4}"/>
    <cellStyle name="Percent 17 7 3 5" xfId="43480" xr:uid="{4441C16A-D355-4083-B9B9-9121D5D99909}"/>
    <cellStyle name="Percent 17 7 4" xfId="9978" xr:uid="{00000000-0005-0000-0000-000092290000}"/>
    <cellStyle name="Percent 17 7 4 2" xfId="43487" xr:uid="{FD1FDD61-BC80-4EBE-973D-BC93F14C19E5}"/>
    <cellStyle name="Percent 17 7 4 2 2" xfId="43488" xr:uid="{064419DD-8A82-4518-9EC8-31EAE1A49A2B}"/>
    <cellStyle name="Percent 17 7 4 2 3" xfId="49852" xr:uid="{8B9199E0-C4AF-4238-88D3-3AB698A07A1A}"/>
    <cellStyle name="Percent 17 7 4 3" xfId="43489" xr:uid="{7D1E6F06-D649-4CCE-80DC-4E0698B607B9}"/>
    <cellStyle name="Percent 17 7 4 4" xfId="43486" xr:uid="{8C9C822E-DDE6-4A0C-9F01-340B0C2B9FE7}"/>
    <cellStyle name="Percent 17 7 5" xfId="13763" xr:uid="{00000000-0005-0000-0000-000093290000}"/>
    <cellStyle name="Percent 17 7 5 2" xfId="43491" xr:uid="{7C8E5E28-740B-4A69-8E75-61978EE588E0}"/>
    <cellStyle name="Percent 17 7 5 3" xfId="43492" xr:uid="{4C6AF516-15ED-401D-A9AD-3B8B67056753}"/>
    <cellStyle name="Percent 17 7 5 4" xfId="43490" xr:uid="{A0AF7481-5DB8-495D-B3B8-EB3EF07C2AAE}"/>
    <cellStyle name="Percent 17 7 6" xfId="8459" xr:uid="{00000000-0005-0000-0000-000094290000}"/>
    <cellStyle name="Percent 17 7 6 2" xfId="43493" xr:uid="{A5C7133E-FF6B-49EF-88DD-75ABC6C6B0BE}"/>
    <cellStyle name="Percent 17 7 7" xfId="16715" xr:uid="{0119220D-D8B7-448F-8936-0E4FE26A69C3}"/>
    <cellStyle name="Percent 17 7 7 2" xfId="33443" xr:uid="{5D940C5D-87CE-48D7-8D41-5B67285B994E}"/>
    <cellStyle name="Percent 17 7 7 3" xfId="43494" xr:uid="{F3648E77-5A23-4FE6-8A5F-E2CF820C6F1E}"/>
    <cellStyle name="Percent 17 7 8" xfId="43473" xr:uid="{DD623DB4-319F-4625-8178-E9E55485E641}"/>
    <cellStyle name="Percent 17 8" xfId="2595" xr:uid="{00000000-0005-0000-0000-000095290000}"/>
    <cellStyle name="Percent 17 8 2" xfId="2596" xr:uid="{00000000-0005-0000-0000-000096290000}"/>
    <cellStyle name="Percent 17 8 2 2" xfId="9982" xr:uid="{00000000-0005-0000-0000-000097290000}"/>
    <cellStyle name="Percent 17 8 2 2 2" xfId="43497" xr:uid="{6820DA9E-0B02-4D22-9F60-F0C677930596}"/>
    <cellStyle name="Percent 17 8 2 3" xfId="12426" xr:uid="{00000000-0005-0000-0000-000098290000}"/>
    <cellStyle name="Percent 17 8 2 3 2" xfId="43498" xr:uid="{24A510E4-2701-4A90-B7A3-A086A6A40781}"/>
    <cellStyle name="Percent 17 8 2 4" xfId="8463" xr:uid="{00000000-0005-0000-0000-000099290000}"/>
    <cellStyle name="Percent 17 8 2 4 2" xfId="43499" xr:uid="{21FC13A6-A291-44C8-B72D-7708DE2B06E6}"/>
    <cellStyle name="Percent 17 8 2 5" xfId="43496" xr:uid="{5D900354-0FFD-4787-9DB3-9C0909F45F31}"/>
    <cellStyle name="Percent 17 8 3" xfId="9981" xr:uid="{00000000-0005-0000-0000-00009A290000}"/>
    <cellStyle name="Percent 17 8 3 2" xfId="43500" xr:uid="{4BD31DB4-0C23-4CB4-8B7C-E63919972E8A}"/>
    <cellStyle name="Percent 17 8 4" xfId="16398" xr:uid="{00000000-0005-0000-0000-00009B290000}"/>
    <cellStyle name="Percent 17 8 4 2" xfId="43501" xr:uid="{10EC9A13-968D-4BEF-95C4-3DB419C06D1E}"/>
    <cellStyle name="Percent 17 8 5" xfId="8462" xr:uid="{00000000-0005-0000-0000-00009C290000}"/>
    <cellStyle name="Percent 17 8 5 2" xfId="43502" xr:uid="{5F09A866-1ED3-4289-A8BE-CCAA03842A81}"/>
    <cellStyle name="Percent 17 8 6" xfId="43495" xr:uid="{94D1A66F-0EFE-4D4D-BAD5-479926A3B188}"/>
    <cellStyle name="Percent 17 9" xfId="6425" xr:uid="{00000000-0005-0000-0000-00009D290000}"/>
    <cellStyle name="Percent 17 9 2" xfId="9984" xr:uid="{00000000-0005-0000-0000-00009E290000}"/>
    <cellStyle name="Percent 17 9 2 2" xfId="43504" xr:uid="{6168520A-DC64-492A-BAEF-64EB100A33CC}"/>
    <cellStyle name="Percent 17 9 3" xfId="9985" xr:uid="{00000000-0005-0000-0000-00009F290000}"/>
    <cellStyle name="Percent 17 9 3 2" xfId="43505" xr:uid="{C62B2547-6DD8-4C13-B399-D394D65F282C}"/>
    <cellStyle name="Percent 17 9 4" xfId="9986" xr:uid="{00000000-0005-0000-0000-0000A0290000}"/>
    <cellStyle name="Percent 17 9 4 2" xfId="43506" xr:uid="{38FBA971-4016-4AF5-A9B7-5B85D99EA839}"/>
    <cellStyle name="Percent 17 9 5" xfId="9983" xr:uid="{00000000-0005-0000-0000-0000A1290000}"/>
    <cellStyle name="Percent 17 9 5 2" xfId="43507" xr:uid="{8A52F710-B242-44AB-85E2-25C4A44C4059}"/>
    <cellStyle name="Percent 17 9 6" xfId="14860" xr:uid="{00000000-0005-0000-0000-0000A2290000}"/>
    <cellStyle name="Percent 17 9 6 2" xfId="43508" xr:uid="{C9D4F58B-C9F5-48CF-8AFA-236DA4ABB25E}"/>
    <cellStyle name="Percent 17 9 7" xfId="16420" xr:uid="{00000000-0005-0000-0000-0000A3290000}"/>
    <cellStyle name="Percent 17 9 7 2" xfId="43509" xr:uid="{0A46DA25-F24E-4A90-806E-FA50E031DDA5}"/>
    <cellStyle name="Percent 17 9 8" xfId="8464" xr:uid="{00000000-0005-0000-0000-0000A4290000}"/>
    <cellStyle name="Percent 17 9 8 2" xfId="43510" xr:uid="{67502B83-670B-4C1D-817B-F17C364A97CD}"/>
    <cellStyle name="Percent 17 9 9" xfId="43503" xr:uid="{A3C80C1A-267A-459C-9E9B-4B3F33914746}"/>
    <cellStyle name="Percent 18" xfId="4643" xr:uid="{00000000-0005-0000-0000-0000A5290000}"/>
    <cellStyle name="Percent 18 2" xfId="8466" xr:uid="{00000000-0005-0000-0000-0000A6290000}"/>
    <cellStyle name="Percent 18 2 2" xfId="16498" xr:uid="{00000000-0005-0000-0000-0000A7290000}"/>
    <cellStyle name="Percent 18 2 2 2" xfId="43513" xr:uid="{DCB60085-C6DE-4A44-B7B5-E3338D31FD56}"/>
    <cellStyle name="Percent 18 2 3" xfId="43512" xr:uid="{F6EC0D93-44F2-4366-BD82-A3E0C33BBBC1}"/>
    <cellStyle name="Percent 18 3" xfId="9987" xr:uid="{00000000-0005-0000-0000-0000A8290000}"/>
    <cellStyle name="Percent 18 3 2" xfId="43514" xr:uid="{71B563DC-804F-4071-BB67-A527EA848B4B}"/>
    <cellStyle name="Percent 18 4" xfId="13837" xr:uid="{00000000-0005-0000-0000-0000A9290000}"/>
    <cellStyle name="Percent 18 4 2" xfId="43515" xr:uid="{1534612F-B0C1-4555-9512-19FCD825B8BA}"/>
    <cellStyle name="Percent 18 5" xfId="14381" xr:uid="{00000000-0005-0000-0000-0000AA290000}"/>
    <cellStyle name="Percent 18 5 2" xfId="43516" xr:uid="{A1BBD30F-1D7A-426D-A494-2089934DB626}"/>
    <cellStyle name="Percent 18 6" xfId="8465" xr:uid="{00000000-0005-0000-0000-0000AB290000}"/>
    <cellStyle name="Percent 18 6 2" xfId="43517" xr:uid="{FFE9F0B5-D997-42B8-8CCC-346011043BC5}"/>
    <cellStyle name="Percent 18 7" xfId="43511" xr:uid="{134CA8A8-AA44-45F8-92DF-2554E2B1DC4F}"/>
    <cellStyle name="Percent 19" xfId="4465" xr:uid="{00000000-0005-0000-0000-0000AC290000}"/>
    <cellStyle name="Percent 19 2" xfId="4990" xr:uid="{00000000-0005-0000-0000-0000AD290000}"/>
    <cellStyle name="Percent 19 2 2" xfId="13917" xr:uid="{00000000-0005-0000-0000-0000AE290000}"/>
    <cellStyle name="Percent 19 2 2 2" xfId="43520" xr:uid="{C5362771-8389-4847-B1E9-556A432900C8}"/>
    <cellStyle name="Percent 19 2 3" xfId="13497" xr:uid="{00000000-0005-0000-0000-0000AF290000}"/>
    <cellStyle name="Percent 19 2 3 2" xfId="43521" xr:uid="{39E292F2-F3B7-4A9A-9B21-D2141BA61E25}"/>
    <cellStyle name="Percent 19 2 4" xfId="8468" xr:uid="{00000000-0005-0000-0000-0000B0290000}"/>
    <cellStyle name="Percent 19 2 4 2" xfId="43522" xr:uid="{045A2B4C-29DE-42CF-BC53-993633796231}"/>
    <cellStyle name="Percent 19 2 5" xfId="43519" xr:uid="{2F52FD42-0862-4A4D-90A0-3FF44D148E3D}"/>
    <cellStyle name="Percent 19 3" xfId="13806" xr:uid="{00000000-0005-0000-0000-0000B1290000}"/>
    <cellStyle name="Percent 19 3 2" xfId="43523" xr:uid="{F9B372CC-DC83-4F94-90EA-BC85288E3FE0}"/>
    <cellStyle name="Percent 19 4" xfId="16677" xr:uid="{00000000-0005-0000-0000-0000B2290000}"/>
    <cellStyle name="Percent 19 4 2" xfId="43524" xr:uid="{255E899F-A29F-4034-AACD-DC6CC36E6CD0}"/>
    <cellStyle name="Percent 19 5" xfId="8467" xr:uid="{00000000-0005-0000-0000-0000B3290000}"/>
    <cellStyle name="Percent 19 5 2" xfId="43525" xr:uid="{33402AEC-E30D-455F-85B4-464B7E6E0370}"/>
    <cellStyle name="Percent 19 6" xfId="43518" xr:uid="{B59085CD-8776-4338-8F16-EA8358373CA6}"/>
    <cellStyle name="Percent 2" xfId="6" xr:uid="{00000000-0005-0000-0000-0000B4290000}"/>
    <cellStyle name="Percent 2 10" xfId="2597" xr:uid="{00000000-0005-0000-0000-0000B5290000}"/>
    <cellStyle name="Percent 2 10 10" xfId="13711" xr:uid="{00000000-0005-0000-0000-0000B6290000}"/>
    <cellStyle name="Percent 2 10 10 2" xfId="43528" xr:uid="{8B7F6841-FDDE-4717-985B-EA1166A318B1}"/>
    <cellStyle name="Percent 2 10 11" xfId="8469" xr:uid="{00000000-0005-0000-0000-0000B7290000}"/>
    <cellStyle name="Percent 2 10 11 2" xfId="43529" xr:uid="{DB52DA38-FA22-4223-B405-CE6097CE2BAF}"/>
    <cellStyle name="Percent 2 10 12" xfId="43527" xr:uid="{38EBD8E1-CCAD-49D5-8D00-9675D189A8E8}"/>
    <cellStyle name="Percent 2 10 2" xfId="2598" xr:uid="{00000000-0005-0000-0000-0000B8290000}"/>
    <cellStyle name="Percent 2 10 2 2" xfId="9989" xr:uid="{00000000-0005-0000-0000-0000B9290000}"/>
    <cellStyle name="Percent 2 10 2 2 2" xfId="43531" xr:uid="{EC79B444-5EFE-4979-A396-CD2434B36ADC}"/>
    <cellStyle name="Percent 2 10 2 3" xfId="16561" xr:uid="{00000000-0005-0000-0000-0000BA290000}"/>
    <cellStyle name="Percent 2 10 2 3 2" xfId="43532" xr:uid="{2A0DC0DB-9F1C-4035-9054-1A69ADDA5E4A}"/>
    <cellStyle name="Percent 2 10 2 4" xfId="8470" xr:uid="{00000000-0005-0000-0000-0000BB290000}"/>
    <cellStyle name="Percent 2 10 2 4 2" xfId="43533" xr:uid="{633DE34B-FB20-4B30-BDC5-9446E65D002A}"/>
    <cellStyle name="Percent 2 10 2 5" xfId="43530" xr:uid="{E86FF298-AC37-49DC-913F-B6E62B5AC7F2}"/>
    <cellStyle name="Percent 2 10 3" xfId="4644" xr:uid="{00000000-0005-0000-0000-0000BC290000}"/>
    <cellStyle name="Percent 2 10 3 2" xfId="9990" xr:uid="{00000000-0005-0000-0000-0000BD290000}"/>
    <cellStyle name="Percent 2 10 3 2 2" xfId="43535" xr:uid="{9E68CB47-6A9E-4831-9627-8495EF41919B}"/>
    <cellStyle name="Percent 2 10 3 3" xfId="16606" xr:uid="{00000000-0005-0000-0000-0000BE290000}"/>
    <cellStyle name="Percent 2 10 3 3 2" xfId="43536" xr:uid="{3D9BB6BE-18F9-44A5-B561-965DA118CF13}"/>
    <cellStyle name="Percent 2 10 3 4" xfId="8471" xr:uid="{00000000-0005-0000-0000-0000BF290000}"/>
    <cellStyle name="Percent 2 10 3 4 2" xfId="43537" xr:uid="{CD816FB1-9A36-48C5-8521-371B560498C6}"/>
    <cellStyle name="Percent 2 10 3 5" xfId="43534" xr:uid="{396E5214-3503-412F-8275-2ABC5D3AC61B}"/>
    <cellStyle name="Percent 2 10 4" xfId="4645" xr:uid="{00000000-0005-0000-0000-0000C0290000}"/>
    <cellStyle name="Percent 2 10 4 2" xfId="9991" xr:uid="{00000000-0005-0000-0000-0000C1290000}"/>
    <cellStyle name="Percent 2 10 4 2 2" xfId="43539" xr:uid="{00833251-BE42-48DD-8156-AB339CC69856}"/>
    <cellStyle name="Percent 2 10 4 3" xfId="12628" xr:uid="{00000000-0005-0000-0000-0000C2290000}"/>
    <cellStyle name="Percent 2 10 4 3 2" xfId="43540" xr:uid="{FEF1E88B-17F9-405C-8C4A-AD19B4D7E010}"/>
    <cellStyle name="Percent 2 10 4 4" xfId="8472" xr:uid="{00000000-0005-0000-0000-0000C3290000}"/>
    <cellStyle name="Percent 2 10 4 4 2" xfId="43541" xr:uid="{1C834D40-B89C-4A3F-9D75-4BB2285EF7A1}"/>
    <cellStyle name="Percent 2 10 4 5" xfId="43538" xr:uid="{8287F5D2-0AF3-4198-856B-359A0B668D09}"/>
    <cellStyle name="Percent 2 10 5" xfId="4646" xr:uid="{00000000-0005-0000-0000-0000C4290000}"/>
    <cellStyle name="Percent 2 10 5 2" xfId="9992" xr:uid="{00000000-0005-0000-0000-0000C5290000}"/>
    <cellStyle name="Percent 2 10 5 2 2" xfId="43543" xr:uid="{70625B37-8AB9-4DF3-AD62-2BE7D77314E0}"/>
    <cellStyle name="Percent 2 10 5 3" xfId="16649" xr:uid="{00000000-0005-0000-0000-0000C6290000}"/>
    <cellStyle name="Percent 2 10 5 3 2" xfId="43544" xr:uid="{E32CFD34-7258-4120-A66E-122A46CFB22E}"/>
    <cellStyle name="Percent 2 10 5 4" xfId="8473" xr:uid="{00000000-0005-0000-0000-0000C7290000}"/>
    <cellStyle name="Percent 2 10 5 4 2" xfId="43545" xr:uid="{90000664-561F-4CD8-98E5-334025FCEE26}"/>
    <cellStyle name="Percent 2 10 5 5" xfId="43542" xr:uid="{BF796538-C9E2-4AD1-BC41-FB2C3E0D6801}"/>
    <cellStyle name="Percent 2 10 6" xfId="4647" xr:uid="{00000000-0005-0000-0000-0000C8290000}"/>
    <cellStyle name="Percent 2 10 6 2" xfId="9993" xr:uid="{00000000-0005-0000-0000-0000C9290000}"/>
    <cellStyle name="Percent 2 10 6 2 2" xfId="43547" xr:uid="{5229EB6D-8685-4E14-B645-D214481EE18B}"/>
    <cellStyle name="Percent 2 10 6 3" xfId="12392" xr:uid="{00000000-0005-0000-0000-0000CA290000}"/>
    <cellStyle name="Percent 2 10 6 3 2" xfId="43548" xr:uid="{9C4409AC-C38D-4ED6-A363-2F18863792C6}"/>
    <cellStyle name="Percent 2 10 6 4" xfId="8474" xr:uid="{00000000-0005-0000-0000-0000CB290000}"/>
    <cellStyle name="Percent 2 10 6 4 2" xfId="43549" xr:uid="{1C4BCC38-8725-42B4-88E4-E5122C8C8966}"/>
    <cellStyle name="Percent 2 10 6 5" xfId="43546" xr:uid="{E551FDCE-23A9-41E1-A948-7161AA4B7F11}"/>
    <cellStyle name="Percent 2 10 7" xfId="4648" xr:uid="{00000000-0005-0000-0000-0000CC290000}"/>
    <cellStyle name="Percent 2 10 7 2" xfId="9994" xr:uid="{00000000-0005-0000-0000-0000CD290000}"/>
    <cellStyle name="Percent 2 10 7 2 2" xfId="43551" xr:uid="{DC24F13A-0A63-4458-A368-4918931260F3}"/>
    <cellStyle name="Percent 2 10 7 3" xfId="12859" xr:uid="{00000000-0005-0000-0000-0000CE290000}"/>
    <cellStyle name="Percent 2 10 7 3 2" xfId="43552" xr:uid="{B00B0D6B-5E4B-4045-9AA2-75F6502399C8}"/>
    <cellStyle name="Percent 2 10 7 4" xfId="8475" xr:uid="{00000000-0005-0000-0000-0000CF290000}"/>
    <cellStyle name="Percent 2 10 7 4 2" xfId="43553" xr:uid="{284A1678-E504-4539-970F-B4D72821B6CE}"/>
    <cellStyle name="Percent 2 10 7 5" xfId="43550" xr:uid="{22F23A0F-0A8C-4581-A135-1065E21B7B51}"/>
    <cellStyle name="Percent 2 10 8" xfId="4649" xr:uid="{00000000-0005-0000-0000-0000D0290000}"/>
    <cellStyle name="Percent 2 10 8 2" xfId="9995" xr:uid="{00000000-0005-0000-0000-0000D1290000}"/>
    <cellStyle name="Percent 2 10 8 2 2" xfId="43555" xr:uid="{FC61BF11-9258-4365-A729-51B7CE2023CE}"/>
    <cellStyle name="Percent 2 10 8 3" xfId="16644" xr:uid="{00000000-0005-0000-0000-0000D2290000}"/>
    <cellStyle name="Percent 2 10 8 3 2" xfId="43556" xr:uid="{A9EB24D8-85BF-49C7-8FD3-DCB980943B5F}"/>
    <cellStyle name="Percent 2 10 8 4" xfId="8476" xr:uid="{00000000-0005-0000-0000-0000D3290000}"/>
    <cellStyle name="Percent 2 10 8 4 2" xfId="43557" xr:uid="{3CC5E5A3-7DE0-47AC-9E5D-C67A4FB6F688}"/>
    <cellStyle name="Percent 2 10 8 5" xfId="43554" xr:uid="{89BC2060-144D-479A-9012-F5DB1294E3D9}"/>
    <cellStyle name="Percent 2 10 9" xfId="9988" xr:uid="{00000000-0005-0000-0000-0000D4290000}"/>
    <cellStyle name="Percent 2 10 9 2" xfId="43558" xr:uid="{E4FC7476-D21A-418A-957A-86DC60FE511A}"/>
    <cellStyle name="Percent 2 11" xfId="2599" xr:uid="{00000000-0005-0000-0000-0000D5290000}"/>
    <cellStyle name="Percent 2 11 10" xfId="12779" xr:uid="{00000000-0005-0000-0000-0000D6290000}"/>
    <cellStyle name="Percent 2 11 10 2" xfId="43560" xr:uid="{22855A42-190D-49DD-9686-B0F2194E2E78}"/>
    <cellStyle name="Percent 2 11 11" xfId="8477" xr:uid="{00000000-0005-0000-0000-0000D7290000}"/>
    <cellStyle name="Percent 2 11 11 2" xfId="43561" xr:uid="{677916DC-6C6B-41FC-8154-F24ED8FFB6FC}"/>
    <cellStyle name="Percent 2 11 12" xfId="43559" xr:uid="{90C17A41-74F6-4E3C-80DF-0D1617D3DA20}"/>
    <cellStyle name="Percent 2 11 2" xfId="2600" xr:uid="{00000000-0005-0000-0000-0000D8290000}"/>
    <cellStyle name="Percent 2 11 2 2" xfId="9997" xr:uid="{00000000-0005-0000-0000-0000D9290000}"/>
    <cellStyle name="Percent 2 11 2 2 2" xfId="43563" xr:uid="{B65B509B-1419-49D0-90E6-0E3024F8CC0C}"/>
    <cellStyle name="Percent 2 11 2 3" xfId="12652" xr:uid="{00000000-0005-0000-0000-0000DA290000}"/>
    <cellStyle name="Percent 2 11 2 3 2" xfId="43564" xr:uid="{9B3FB262-D0FF-4A9B-BD17-60487AF6628A}"/>
    <cellStyle name="Percent 2 11 2 4" xfId="8478" xr:uid="{00000000-0005-0000-0000-0000DB290000}"/>
    <cellStyle name="Percent 2 11 2 4 2" xfId="43565" xr:uid="{D603CD9F-72ED-4341-B542-5E191A314824}"/>
    <cellStyle name="Percent 2 11 2 5" xfId="43562" xr:uid="{17DFB30D-C245-4792-8941-86A37AB2CFFA}"/>
    <cellStyle name="Percent 2 11 3" xfId="4650" xr:uid="{00000000-0005-0000-0000-0000DC290000}"/>
    <cellStyle name="Percent 2 11 3 2" xfId="9998" xr:uid="{00000000-0005-0000-0000-0000DD290000}"/>
    <cellStyle name="Percent 2 11 3 2 2" xfId="43567" xr:uid="{4D9BAFDD-4294-4574-8851-750E37D80D7B}"/>
    <cellStyle name="Percent 2 11 3 3" xfId="16183" xr:uid="{00000000-0005-0000-0000-0000DE290000}"/>
    <cellStyle name="Percent 2 11 3 3 2" xfId="43568" xr:uid="{6074B20B-D9BB-4B58-9F55-D2145AA4736A}"/>
    <cellStyle name="Percent 2 11 3 4" xfId="8479" xr:uid="{00000000-0005-0000-0000-0000DF290000}"/>
    <cellStyle name="Percent 2 11 3 4 2" xfId="43569" xr:uid="{B7FED3C3-202F-469A-8300-82986182F407}"/>
    <cellStyle name="Percent 2 11 3 5" xfId="43566" xr:uid="{3D092532-F441-44A1-A5CE-35B6044CFDD8}"/>
    <cellStyle name="Percent 2 11 4" xfId="4651" xr:uid="{00000000-0005-0000-0000-0000E0290000}"/>
    <cellStyle name="Percent 2 11 4 2" xfId="9999" xr:uid="{00000000-0005-0000-0000-0000E1290000}"/>
    <cellStyle name="Percent 2 11 4 2 2" xfId="43571" xr:uid="{366EF838-722F-4A77-BC61-948BC9964C2D}"/>
    <cellStyle name="Percent 2 11 4 3" xfId="16359" xr:uid="{00000000-0005-0000-0000-0000E2290000}"/>
    <cellStyle name="Percent 2 11 4 3 2" xfId="43572" xr:uid="{D81639EA-5443-4DBA-A0BA-5393375471D0}"/>
    <cellStyle name="Percent 2 11 4 4" xfId="8480" xr:uid="{00000000-0005-0000-0000-0000E3290000}"/>
    <cellStyle name="Percent 2 11 4 4 2" xfId="43573" xr:uid="{4E950F69-12CE-4A7A-A410-6CDA0B4DA290}"/>
    <cellStyle name="Percent 2 11 4 5" xfId="43570" xr:uid="{1EBE1C72-2DBA-439E-864D-3A0A3005B799}"/>
    <cellStyle name="Percent 2 11 5" xfId="4652" xr:uid="{00000000-0005-0000-0000-0000E4290000}"/>
    <cellStyle name="Percent 2 11 5 2" xfId="10000" xr:uid="{00000000-0005-0000-0000-0000E5290000}"/>
    <cellStyle name="Percent 2 11 5 2 2" xfId="43575" xr:uid="{69B90647-D16A-472E-907E-4FCB3B132F30}"/>
    <cellStyle name="Percent 2 11 5 3" xfId="12577" xr:uid="{00000000-0005-0000-0000-0000E6290000}"/>
    <cellStyle name="Percent 2 11 5 3 2" xfId="43576" xr:uid="{50330C2A-FF2A-492F-8A23-D908DE909CD1}"/>
    <cellStyle name="Percent 2 11 5 4" xfId="8481" xr:uid="{00000000-0005-0000-0000-0000E7290000}"/>
    <cellStyle name="Percent 2 11 5 4 2" xfId="43577" xr:uid="{0D3E4AA0-D216-48D9-97A2-C6BE272A23A1}"/>
    <cellStyle name="Percent 2 11 5 5" xfId="43574" xr:uid="{76629C0A-EF16-471C-9D45-955207828B6D}"/>
    <cellStyle name="Percent 2 11 6" xfId="4653" xr:uid="{00000000-0005-0000-0000-0000E8290000}"/>
    <cellStyle name="Percent 2 11 6 2" xfId="10001" xr:uid="{00000000-0005-0000-0000-0000E9290000}"/>
    <cellStyle name="Percent 2 11 6 2 2" xfId="43579" xr:uid="{54C48B4B-1382-49AF-AF0E-D3CA3F3482BE}"/>
    <cellStyle name="Percent 2 11 6 3" xfId="14771" xr:uid="{00000000-0005-0000-0000-0000EA290000}"/>
    <cellStyle name="Percent 2 11 6 3 2" xfId="43580" xr:uid="{2209571D-3905-4803-A0D1-8DCBFEFD6DA4}"/>
    <cellStyle name="Percent 2 11 6 4" xfId="8482" xr:uid="{00000000-0005-0000-0000-0000EB290000}"/>
    <cellStyle name="Percent 2 11 6 4 2" xfId="43581" xr:uid="{FCEDD320-54F4-43F7-88E0-5EAB75D1A69E}"/>
    <cellStyle name="Percent 2 11 6 5" xfId="43578" xr:uid="{EB30CF17-16A0-4F90-8660-C224651D20DF}"/>
    <cellStyle name="Percent 2 11 7" xfId="4654" xr:uid="{00000000-0005-0000-0000-0000EC290000}"/>
    <cellStyle name="Percent 2 11 7 2" xfId="10002" xr:uid="{00000000-0005-0000-0000-0000ED290000}"/>
    <cellStyle name="Percent 2 11 7 2 2" xfId="43583" xr:uid="{9A021CEE-A14E-4D3F-A57D-819FF8C4CC39}"/>
    <cellStyle name="Percent 2 11 7 3" xfId="12855" xr:uid="{00000000-0005-0000-0000-0000EE290000}"/>
    <cellStyle name="Percent 2 11 7 3 2" xfId="43584" xr:uid="{98C720F6-CBE3-4477-B360-B6867C0CFD2F}"/>
    <cellStyle name="Percent 2 11 7 4" xfId="8483" xr:uid="{00000000-0005-0000-0000-0000EF290000}"/>
    <cellStyle name="Percent 2 11 7 4 2" xfId="43585" xr:uid="{A58F7A16-0BA9-41BD-A301-4407E6A5EF77}"/>
    <cellStyle name="Percent 2 11 7 5" xfId="43582" xr:uid="{EF551172-E244-460E-8E7D-8EF4CE5AA920}"/>
    <cellStyle name="Percent 2 11 8" xfId="4655" xr:uid="{00000000-0005-0000-0000-0000F0290000}"/>
    <cellStyle name="Percent 2 11 8 2" xfId="10003" xr:uid="{00000000-0005-0000-0000-0000F1290000}"/>
    <cellStyle name="Percent 2 11 8 2 2" xfId="43587" xr:uid="{3D6B9262-AE2C-44A9-A0E4-FB89F0662010}"/>
    <cellStyle name="Percent 2 11 8 3" xfId="16155" xr:uid="{00000000-0005-0000-0000-0000F2290000}"/>
    <cellStyle name="Percent 2 11 8 3 2" xfId="43588" xr:uid="{316C4D60-3573-4913-B05F-C2CC2683E0FF}"/>
    <cellStyle name="Percent 2 11 8 4" xfId="8484" xr:uid="{00000000-0005-0000-0000-0000F3290000}"/>
    <cellStyle name="Percent 2 11 8 4 2" xfId="43589" xr:uid="{CFC1037C-288E-4125-B285-069562F9FB46}"/>
    <cellStyle name="Percent 2 11 8 5" xfId="43586" xr:uid="{BD645D30-4F90-4D87-8351-71339E9652C4}"/>
    <cellStyle name="Percent 2 11 9" xfId="9996" xr:uid="{00000000-0005-0000-0000-0000F4290000}"/>
    <cellStyle name="Percent 2 11 9 2" xfId="43590" xr:uid="{9914BE7C-ACF3-49C3-A366-1448877A0C42}"/>
    <cellStyle name="Percent 2 12" xfId="2601" xr:uid="{00000000-0005-0000-0000-0000F5290000}"/>
    <cellStyle name="Percent 2 12 2" xfId="10004" xr:uid="{00000000-0005-0000-0000-0000F6290000}"/>
    <cellStyle name="Percent 2 12 2 2" xfId="43592" xr:uid="{912AD677-F9F1-41C3-AE9E-E79A61197330}"/>
    <cellStyle name="Percent 2 12 3" xfId="12809" xr:uid="{00000000-0005-0000-0000-0000F7290000}"/>
    <cellStyle name="Percent 2 12 3 2" xfId="43593" xr:uid="{47E3DC52-861C-4B32-9EE0-749C2F63895C}"/>
    <cellStyle name="Percent 2 12 4" xfId="8485" xr:uid="{00000000-0005-0000-0000-0000F8290000}"/>
    <cellStyle name="Percent 2 12 4 2" xfId="43594" xr:uid="{B259F21F-0BAE-43A0-AB08-C89FCF78CFC4}"/>
    <cellStyle name="Percent 2 12 5" xfId="43591" xr:uid="{ABFA668A-41FC-434E-93DC-B8AB3986475B}"/>
    <cellStyle name="Percent 2 13" xfId="2602" xr:uid="{00000000-0005-0000-0000-0000F9290000}"/>
    <cellStyle name="Percent 2 13 2" xfId="10005" xr:uid="{00000000-0005-0000-0000-0000FA290000}"/>
    <cellStyle name="Percent 2 13 2 2" xfId="43596" xr:uid="{03F4BCC9-6721-42C2-810B-8289ADD6018D}"/>
    <cellStyle name="Percent 2 13 3" xfId="12527" xr:uid="{00000000-0005-0000-0000-0000FB290000}"/>
    <cellStyle name="Percent 2 13 3 2" xfId="43597" xr:uid="{918975EE-4EAB-4C90-A64B-8A0703A50529}"/>
    <cellStyle name="Percent 2 13 4" xfId="8486" xr:uid="{00000000-0005-0000-0000-0000FC290000}"/>
    <cellStyle name="Percent 2 13 4 2" xfId="43598" xr:uid="{EE2463E2-9A56-449F-B300-55AD291BA439}"/>
    <cellStyle name="Percent 2 13 5" xfId="43595" xr:uid="{89A0278E-9EC8-45C0-90CB-5A1A5BBFBC66}"/>
    <cellStyle name="Percent 2 14" xfId="2603" xr:uid="{00000000-0005-0000-0000-0000FD290000}"/>
    <cellStyle name="Percent 2 14 2" xfId="10006" xr:uid="{00000000-0005-0000-0000-0000FE290000}"/>
    <cellStyle name="Percent 2 14 2 2" xfId="43600" xr:uid="{4918CC9D-4441-42C5-9251-7BC8505BDF6E}"/>
    <cellStyle name="Percent 2 14 3" xfId="13747" xr:uid="{00000000-0005-0000-0000-0000FF290000}"/>
    <cellStyle name="Percent 2 14 3 2" xfId="43601" xr:uid="{530AF597-E225-4FAE-8B6D-CD74508CDE20}"/>
    <cellStyle name="Percent 2 14 4" xfId="8487" xr:uid="{00000000-0005-0000-0000-0000002A0000}"/>
    <cellStyle name="Percent 2 14 4 2" xfId="43602" xr:uid="{2615CC47-7057-494F-B232-0760128E10C0}"/>
    <cellStyle name="Percent 2 14 5" xfId="43599" xr:uid="{3B333749-372C-4EE0-8C47-D8E82C0F6D0D}"/>
    <cellStyle name="Percent 2 15" xfId="2604" xr:uid="{00000000-0005-0000-0000-0000012A0000}"/>
    <cellStyle name="Percent 2 15 2" xfId="10007" xr:uid="{00000000-0005-0000-0000-0000022A0000}"/>
    <cellStyle name="Percent 2 15 2 2" xfId="43604" xr:uid="{953C536D-7B2A-4C7C-8DA4-522729C55950}"/>
    <cellStyle name="Percent 2 15 3" xfId="12803" xr:uid="{00000000-0005-0000-0000-0000032A0000}"/>
    <cellStyle name="Percent 2 15 3 2" xfId="43605" xr:uid="{CC0D7243-37DB-426C-9979-F5338135F997}"/>
    <cellStyle name="Percent 2 15 4" xfId="8488" xr:uid="{00000000-0005-0000-0000-0000042A0000}"/>
    <cellStyle name="Percent 2 15 4 2" xfId="43606" xr:uid="{F8923C82-7B8B-46D0-AB8B-D0DFB566AE93}"/>
    <cellStyle name="Percent 2 15 5" xfId="43603" xr:uid="{15F007EB-59B1-4CCE-86AF-E69E0F0CBDCB}"/>
    <cellStyle name="Percent 2 16" xfId="2605" xr:uid="{00000000-0005-0000-0000-0000052A0000}"/>
    <cellStyle name="Percent 2 16 2" xfId="10008" xr:uid="{00000000-0005-0000-0000-0000062A0000}"/>
    <cellStyle name="Percent 2 16 2 2" xfId="43608" xr:uid="{8E616A56-9786-408F-8BCA-03FEEAF05447}"/>
    <cellStyle name="Percent 2 16 3" xfId="16180" xr:uid="{00000000-0005-0000-0000-0000072A0000}"/>
    <cellStyle name="Percent 2 16 3 2" xfId="43609" xr:uid="{EB26FCB0-B504-4DFA-A818-48F2C2F8E789}"/>
    <cellStyle name="Percent 2 16 4" xfId="8489" xr:uid="{00000000-0005-0000-0000-0000082A0000}"/>
    <cellStyle name="Percent 2 16 4 2" xfId="43610" xr:uid="{18839EC7-3D51-4CE3-A911-34D513EA14A3}"/>
    <cellStyle name="Percent 2 16 5" xfId="43607" xr:uid="{13FD943E-6561-410C-8EE2-ACAB7A06E019}"/>
    <cellStyle name="Percent 2 17" xfId="2606" xr:uid="{00000000-0005-0000-0000-0000092A0000}"/>
    <cellStyle name="Percent 2 17 2" xfId="10009" xr:uid="{00000000-0005-0000-0000-00000A2A0000}"/>
    <cellStyle name="Percent 2 17 2 2" xfId="43612" xr:uid="{E77CD758-167B-4C0D-8DA3-A8DDACC3B9E6}"/>
    <cellStyle name="Percent 2 17 3" xfId="13833" xr:uid="{00000000-0005-0000-0000-00000B2A0000}"/>
    <cellStyle name="Percent 2 17 3 2" xfId="43613" xr:uid="{731D04FD-CECD-4226-B6BD-4B12EBC76B34}"/>
    <cellStyle name="Percent 2 17 4" xfId="8490" xr:uid="{00000000-0005-0000-0000-00000C2A0000}"/>
    <cellStyle name="Percent 2 17 4 2" xfId="43614" xr:uid="{2A888F22-9328-440D-8E66-E09E260B56D2}"/>
    <cellStyle name="Percent 2 17 5" xfId="43611" xr:uid="{99075194-7F98-41A0-8D12-182727E4A2F8}"/>
    <cellStyle name="Percent 2 18" xfId="2607" xr:uid="{00000000-0005-0000-0000-00000D2A0000}"/>
    <cellStyle name="Percent 2 18 2" xfId="10010" xr:uid="{00000000-0005-0000-0000-00000E2A0000}"/>
    <cellStyle name="Percent 2 18 2 2" xfId="43616" xr:uid="{5B3F9829-15DE-4C94-8EEC-62FDA134CA82}"/>
    <cellStyle name="Percent 2 18 3" xfId="13513" xr:uid="{00000000-0005-0000-0000-00000F2A0000}"/>
    <cellStyle name="Percent 2 18 3 2" xfId="43617" xr:uid="{8C3296E5-AA85-4E04-BBC3-2170DBD9287E}"/>
    <cellStyle name="Percent 2 18 4" xfId="8491" xr:uid="{00000000-0005-0000-0000-0000102A0000}"/>
    <cellStyle name="Percent 2 18 4 2" xfId="43618" xr:uid="{0215097D-D554-449A-B7A0-179E492F9910}"/>
    <cellStyle name="Percent 2 18 5" xfId="43615" xr:uid="{7E05ADB4-B11D-4FCA-9A24-4E781B88E944}"/>
    <cellStyle name="Percent 2 19" xfId="2608" xr:uid="{00000000-0005-0000-0000-0000112A0000}"/>
    <cellStyle name="Percent 2 19 2" xfId="10011" xr:uid="{00000000-0005-0000-0000-0000122A0000}"/>
    <cellStyle name="Percent 2 19 2 2" xfId="12209" xr:uid="{00000000-0005-0000-0000-0000132A0000}"/>
    <cellStyle name="Percent 2 19 2 2 2" xfId="43621" xr:uid="{CB6912F3-79C3-43DA-BABD-2A652F3674FB}"/>
    <cellStyle name="Percent 2 19 2 3" xfId="43620" xr:uid="{D080271F-C2FB-4EB0-95ED-35F73DB01233}"/>
    <cellStyle name="Percent 2 19 3" xfId="12210" xr:uid="{00000000-0005-0000-0000-0000142A0000}"/>
    <cellStyle name="Percent 2 19 3 2" xfId="43622" xr:uid="{AA95549A-2E3C-46D2-A828-6501DCAD2148}"/>
    <cellStyle name="Percent 2 19 4" xfId="12422" xr:uid="{00000000-0005-0000-0000-0000152A0000}"/>
    <cellStyle name="Percent 2 19 4 2" xfId="43623" xr:uid="{A186436C-6F5A-476B-B5DA-80BBDA10A669}"/>
    <cellStyle name="Percent 2 19 5" xfId="8492" xr:uid="{00000000-0005-0000-0000-0000162A0000}"/>
    <cellStyle name="Percent 2 19 5 2" xfId="43624" xr:uid="{A781B338-5049-4D82-B175-E66225B1D945}"/>
    <cellStyle name="Percent 2 19 6" xfId="43619" xr:uid="{7431C8FA-1AB8-457A-8324-544833AC60C7}"/>
    <cellStyle name="Percent 2 2" xfId="200" xr:uid="{00000000-0005-0000-0000-0000172A0000}"/>
    <cellStyle name="Percent 2 2 10" xfId="10012" xr:uid="{00000000-0005-0000-0000-0000182A0000}"/>
    <cellStyle name="Percent 2 2 10 2" xfId="43626" xr:uid="{831E5A7B-615A-40B6-B455-34E57EEB9126}"/>
    <cellStyle name="Percent 2 2 11" xfId="16690" xr:uid="{00000000-0005-0000-0000-0000192A0000}"/>
    <cellStyle name="Percent 2 2 11 2" xfId="43627" xr:uid="{9E0F1E93-8CA1-44A3-8BC3-F8F8D50035DD}"/>
    <cellStyle name="Percent 2 2 12" xfId="8493" xr:uid="{00000000-0005-0000-0000-00001A2A0000}"/>
    <cellStyle name="Percent 2 2 12 2" xfId="43628" xr:uid="{8F4520EE-6FF8-4BCE-8D7D-902BD0FFBCBB}"/>
    <cellStyle name="Percent 2 2 13" xfId="43625" xr:uid="{EA3873FD-961B-4642-A3A0-592EB559FEB5}"/>
    <cellStyle name="Percent 2 2 2" xfId="201" xr:uid="{00000000-0005-0000-0000-00001B2A0000}"/>
    <cellStyle name="Percent 2 2 2 2" xfId="10013" xr:uid="{00000000-0005-0000-0000-00001C2A0000}"/>
    <cellStyle name="Percent 2 2 2 2 2" xfId="43630" xr:uid="{B3B24F35-027A-4EC1-8756-320A07048278}"/>
    <cellStyle name="Percent 2 2 2 3" xfId="16452" xr:uid="{00000000-0005-0000-0000-00001D2A0000}"/>
    <cellStyle name="Percent 2 2 2 3 2" xfId="43631" xr:uid="{88AB24B9-FCDE-485D-B7E3-2437FC0A208B}"/>
    <cellStyle name="Percent 2 2 2 4" xfId="8494" xr:uid="{00000000-0005-0000-0000-00001E2A0000}"/>
    <cellStyle name="Percent 2 2 2 4 2" xfId="43632" xr:uid="{7C96B2EC-F49C-45E6-AF3F-F06517C1F57D}"/>
    <cellStyle name="Percent 2 2 2 5" xfId="43629" xr:uid="{0FE35C69-0A36-437D-A54A-06850DCBF90F}"/>
    <cellStyle name="Percent 2 2 3" xfId="202" xr:uid="{00000000-0005-0000-0000-00001F2A0000}"/>
    <cellStyle name="Percent 2 2 3 2" xfId="203" xr:uid="{00000000-0005-0000-0000-0000202A0000}"/>
    <cellStyle name="Percent 2 2 3 2 2" xfId="12432" xr:uid="{00000000-0005-0000-0000-0000212A0000}"/>
    <cellStyle name="Percent 2 2 3 2 2 2" xfId="43635" xr:uid="{CAC68EE1-2C29-43CB-94BF-FE659CB5D6BE}"/>
    <cellStyle name="Percent 2 2 3 2 3" xfId="12893" xr:uid="{00000000-0005-0000-0000-0000222A0000}"/>
    <cellStyle name="Percent 2 2 3 2 3 2" xfId="43636" xr:uid="{A08E56E9-0F88-4FE4-82C4-ED2474CC359C}"/>
    <cellStyle name="Percent 2 2 3 2 4" xfId="8496" xr:uid="{00000000-0005-0000-0000-0000232A0000}"/>
    <cellStyle name="Percent 2 2 3 2 4 2" xfId="43637" xr:uid="{4989BE48-0275-45E2-A3C0-1B232A47648A}"/>
    <cellStyle name="Percent 2 2 3 2 5" xfId="43634" xr:uid="{A5AB4746-4235-4182-8D2B-9EFF6D6B71BA}"/>
    <cellStyle name="Percent 2 2 3 3" xfId="204" xr:uid="{00000000-0005-0000-0000-0000242A0000}"/>
    <cellStyle name="Percent 2 2 3 3 2" xfId="12433" xr:uid="{00000000-0005-0000-0000-0000252A0000}"/>
    <cellStyle name="Percent 2 2 3 3 2 2" xfId="43639" xr:uid="{6454D798-E53E-40E1-9199-2A6F0DF4E98B}"/>
    <cellStyle name="Percent 2 2 3 3 3" xfId="12581" xr:uid="{00000000-0005-0000-0000-0000262A0000}"/>
    <cellStyle name="Percent 2 2 3 3 3 2" xfId="43640" xr:uid="{44381A0E-72B8-4077-A368-25E417AFF655}"/>
    <cellStyle name="Percent 2 2 3 3 4" xfId="8497" xr:uid="{00000000-0005-0000-0000-0000272A0000}"/>
    <cellStyle name="Percent 2 2 3 3 4 2" xfId="43641" xr:uid="{15DBA904-EFB2-4679-8C65-799C1428AA27}"/>
    <cellStyle name="Percent 2 2 3 3 5" xfId="43638" xr:uid="{C8F9F801-BB1C-4F9B-B703-2B1C79DFEF26}"/>
    <cellStyle name="Percent 2 2 3 4" xfId="328" xr:uid="{00000000-0005-0000-0000-0000282A0000}"/>
    <cellStyle name="Percent 2 2 3 4 2" xfId="4838" xr:uid="{00000000-0005-0000-0000-0000292A0000}"/>
    <cellStyle name="Percent 2 2 3 4 2 2" xfId="13889" xr:uid="{00000000-0005-0000-0000-00002A2A0000}"/>
    <cellStyle name="Percent 2 2 3 4 2 2 2" xfId="43644" xr:uid="{2580C70F-5952-47DC-9A68-74AD4F0C6754}"/>
    <cellStyle name="Percent 2 2 3 4 2 3" xfId="12934" xr:uid="{00000000-0005-0000-0000-00002B2A0000}"/>
    <cellStyle name="Percent 2 2 3 4 2 3 2" xfId="43645" xr:uid="{0516D85D-1FBB-47B6-9505-D9B37AB80651}"/>
    <cellStyle name="Percent 2 2 3 4 2 4" xfId="8499" xr:uid="{00000000-0005-0000-0000-00002C2A0000}"/>
    <cellStyle name="Percent 2 2 3 4 2 4 2" xfId="43646" xr:uid="{D925AF7A-D3F1-4B2E-A747-583CF8742C44}"/>
    <cellStyle name="Percent 2 2 3 4 2 5" xfId="43643" xr:uid="{84C1073F-A480-473B-A54B-DC9131F69941}"/>
    <cellStyle name="Percent 2 2 3 4 3" xfId="12487" xr:uid="{00000000-0005-0000-0000-00002D2A0000}"/>
    <cellStyle name="Percent 2 2 3 4 3 2" xfId="43647" xr:uid="{2FEA729E-FB00-457D-B2B6-670148FADCB7}"/>
    <cellStyle name="Percent 2 2 3 4 4" xfId="13478" xr:uid="{00000000-0005-0000-0000-00002E2A0000}"/>
    <cellStyle name="Percent 2 2 3 4 4 2" xfId="43648" xr:uid="{6F32F12B-FA8B-4075-A5D6-FF4357180CA2}"/>
    <cellStyle name="Percent 2 2 3 4 5" xfId="8498" xr:uid="{00000000-0005-0000-0000-00002F2A0000}"/>
    <cellStyle name="Percent 2 2 3 4 5 2" xfId="43649" xr:uid="{277E12DE-5CEF-4354-98FE-1F5CF098FFC6}"/>
    <cellStyle name="Percent 2 2 3 4 6" xfId="43642" xr:uid="{CBD391D4-DCD7-482F-8DD1-CABF5AEBD57A}"/>
    <cellStyle name="Percent 2 2 3 5" xfId="10014" xr:uid="{00000000-0005-0000-0000-0000302A0000}"/>
    <cellStyle name="Percent 2 2 3 5 2" xfId="43650" xr:uid="{7B705430-7649-444E-980F-0DCF7D3A64DE}"/>
    <cellStyle name="Percent 2 2 3 6" xfId="16382" xr:uid="{00000000-0005-0000-0000-0000312A0000}"/>
    <cellStyle name="Percent 2 2 3 6 2" xfId="43651" xr:uid="{8D7F7F66-9289-4761-A4A0-5E92861E5763}"/>
    <cellStyle name="Percent 2 2 3 7" xfId="8495" xr:uid="{00000000-0005-0000-0000-0000322A0000}"/>
    <cellStyle name="Percent 2 2 3 7 2" xfId="43652" xr:uid="{D53D7277-FE19-40ED-8DF4-DF25F910818D}"/>
    <cellStyle name="Percent 2 2 3 8" xfId="43633" xr:uid="{87B09920-1655-4C35-B3D6-6079131AE2AE}"/>
    <cellStyle name="Percent 2 2 4" xfId="205" xr:uid="{00000000-0005-0000-0000-0000332A0000}"/>
    <cellStyle name="Percent 2 2 4 2" xfId="2610" xr:uid="{00000000-0005-0000-0000-0000342A0000}"/>
    <cellStyle name="Percent 2 2 4 2 2" xfId="12901" xr:uid="{00000000-0005-0000-0000-0000352A0000}"/>
    <cellStyle name="Percent 2 2 4 2 2 2" xfId="43655" xr:uid="{0FF5AA4B-520C-4249-B634-1444FF8AEC7D}"/>
    <cellStyle name="Percent 2 2 4 2 3" xfId="13904" xr:uid="{00000000-0005-0000-0000-0000362A0000}"/>
    <cellStyle name="Percent 2 2 4 2 3 2" xfId="43656" xr:uid="{B7074448-20C2-4265-8310-9C97BEF199DC}"/>
    <cellStyle name="Percent 2 2 4 2 4" xfId="8501" xr:uid="{00000000-0005-0000-0000-0000372A0000}"/>
    <cellStyle name="Percent 2 2 4 2 4 2" xfId="43657" xr:uid="{4A65110E-C24A-411B-BF7C-351763D3F848}"/>
    <cellStyle name="Percent 2 2 4 2 5" xfId="43654" xr:uid="{F8473A4C-2300-44D1-A2E8-3D0E6908161D}"/>
    <cellStyle name="Percent 2 2 4 3" xfId="5808" xr:uid="{00000000-0005-0000-0000-0000382A0000}"/>
    <cellStyle name="Percent 2 2 4 3 2" xfId="14385" xr:uid="{00000000-0005-0000-0000-0000392A0000}"/>
    <cellStyle name="Percent 2 2 4 3 2 2" xfId="43659" xr:uid="{98A8A349-D450-444A-AE4A-F384BF4A18BE}"/>
    <cellStyle name="Percent 2 2 4 3 3" xfId="16390" xr:uid="{00000000-0005-0000-0000-00003A2A0000}"/>
    <cellStyle name="Percent 2 2 4 3 3 2" xfId="43660" xr:uid="{10BB2EFA-4852-4EBE-BD4A-6AF5934E7BAA}"/>
    <cellStyle name="Percent 2 2 4 3 4" xfId="8502" xr:uid="{00000000-0005-0000-0000-00003B2A0000}"/>
    <cellStyle name="Percent 2 2 4 3 4 2" xfId="43661" xr:uid="{FCA3BF5B-B459-4536-9469-53CC387CC980}"/>
    <cellStyle name="Percent 2 2 4 3 5" xfId="43658" xr:uid="{78B86F78-7C4C-47A0-8B8E-5464BFC92484}"/>
    <cellStyle name="Percent 2 2 4 4" xfId="10015" xr:uid="{00000000-0005-0000-0000-00003C2A0000}"/>
    <cellStyle name="Percent 2 2 4 4 2" xfId="43662" xr:uid="{DA1D0C2E-E2E7-4713-A031-E6AA24D99636}"/>
    <cellStyle name="Percent 2 2 4 5" xfId="12434" xr:uid="{00000000-0005-0000-0000-00003D2A0000}"/>
    <cellStyle name="Percent 2 2 4 5 2" xfId="43663" xr:uid="{A1F2687D-D5FC-46AA-A962-97831F4382F7}"/>
    <cellStyle name="Percent 2 2 4 6" xfId="16266" xr:uid="{00000000-0005-0000-0000-00003E2A0000}"/>
    <cellStyle name="Percent 2 2 4 6 2" xfId="43664" xr:uid="{CCB8E539-52BA-40E1-87FA-0AB40E20532D}"/>
    <cellStyle name="Percent 2 2 4 7" xfId="8500" xr:uid="{00000000-0005-0000-0000-00003F2A0000}"/>
    <cellStyle name="Percent 2 2 4 7 2" xfId="43665" xr:uid="{C8FB6F2A-5E7D-4765-8714-18AB04FB6467}"/>
    <cellStyle name="Percent 2 2 4 8" xfId="43666" xr:uid="{EEF0D32B-45E4-4A26-B081-FCB85EB9BD08}"/>
    <cellStyle name="Percent 2 2 4 9" xfId="43653" xr:uid="{76FAC39F-1210-4D3D-9EBD-75FABC57EB8E}"/>
    <cellStyle name="Percent 2 2 5" xfId="2611" xr:uid="{00000000-0005-0000-0000-0000402A0000}"/>
    <cellStyle name="Percent 2 2 5 2" xfId="10016" xr:uid="{00000000-0005-0000-0000-0000412A0000}"/>
    <cellStyle name="Percent 2 2 5 2 2" xfId="43668" xr:uid="{CB351409-F1ED-4B97-B49A-525D977E0BD3}"/>
    <cellStyle name="Percent 2 2 5 3" xfId="12928" xr:uid="{00000000-0005-0000-0000-0000422A0000}"/>
    <cellStyle name="Percent 2 2 5 3 2" xfId="43669" xr:uid="{19181612-B428-4804-AA52-924C39896086}"/>
    <cellStyle name="Percent 2 2 5 4" xfId="8503" xr:uid="{00000000-0005-0000-0000-0000432A0000}"/>
    <cellStyle name="Percent 2 2 5 4 2" xfId="43670" xr:uid="{01B41254-256E-4E15-9F3B-460DDCE36AB3}"/>
    <cellStyle name="Percent 2 2 5 5" xfId="43667" xr:uid="{3DD27715-4E02-4149-B1F0-87B125456E6E}"/>
    <cellStyle name="Percent 2 2 6" xfId="2612" xr:uid="{00000000-0005-0000-0000-0000442A0000}"/>
    <cellStyle name="Percent 2 2 6 2" xfId="4656" xr:uid="{00000000-0005-0000-0000-0000452A0000}"/>
    <cellStyle name="Percent 2 2 6 2 2" xfId="13838" xr:uid="{00000000-0005-0000-0000-0000462A0000}"/>
    <cellStyle name="Percent 2 2 6 2 2 2" xfId="43673" xr:uid="{B25F0DCA-B69B-43BD-BACC-63FE650E217D}"/>
    <cellStyle name="Percent 2 2 6 2 3" xfId="12830" xr:uid="{00000000-0005-0000-0000-0000472A0000}"/>
    <cellStyle name="Percent 2 2 6 2 3 2" xfId="43674" xr:uid="{7EAAB8AB-AF9C-41B0-AF88-60EDF1BC3F44}"/>
    <cellStyle name="Percent 2 2 6 2 4" xfId="8505" xr:uid="{00000000-0005-0000-0000-0000482A0000}"/>
    <cellStyle name="Percent 2 2 6 2 4 2" xfId="43675" xr:uid="{F5B87331-B27B-4DE9-8B89-3AF07CD996BC}"/>
    <cellStyle name="Percent 2 2 6 2 5" xfId="43672" xr:uid="{55F8FD62-40BC-4933-8396-4F83E3366C22}"/>
    <cellStyle name="Percent 2 2 6 3" xfId="6426" xr:uid="{00000000-0005-0000-0000-0000492A0000}"/>
    <cellStyle name="Percent 2 2 6 3 2" xfId="14861" xr:uid="{00000000-0005-0000-0000-00004A2A0000}"/>
    <cellStyle name="Percent 2 2 6 3 2 2" xfId="43677" xr:uid="{D90D6251-3600-4132-80F6-D4811121BDA2}"/>
    <cellStyle name="Percent 2 2 6 3 3" xfId="16263" xr:uid="{00000000-0005-0000-0000-00004B2A0000}"/>
    <cellStyle name="Percent 2 2 6 3 3 2" xfId="43678" xr:uid="{B7E794CC-7F3C-43BF-A056-22F6594638F9}"/>
    <cellStyle name="Percent 2 2 6 3 4" xfId="8506" xr:uid="{00000000-0005-0000-0000-00004C2A0000}"/>
    <cellStyle name="Percent 2 2 6 3 4 2" xfId="43679" xr:uid="{EF28A5AB-800D-472A-BC00-78F06F735897}"/>
    <cellStyle name="Percent 2 2 6 3 5" xfId="43676" xr:uid="{3FC8EC31-A0C2-4C59-92B0-B31FE146EFDB}"/>
    <cellStyle name="Percent 2 2 6 4" xfId="10017" xr:uid="{00000000-0005-0000-0000-00004D2A0000}"/>
    <cellStyle name="Percent 2 2 6 4 2" xfId="43680" xr:uid="{4E0F13AD-7DD8-4506-AE5F-D5DB3DE7E5AC}"/>
    <cellStyle name="Percent 2 2 6 5" xfId="12902" xr:uid="{00000000-0005-0000-0000-00004E2A0000}"/>
    <cellStyle name="Percent 2 2 6 5 2" xfId="43681" xr:uid="{C248A050-5BD4-4A02-9FA4-58AC448837DB}"/>
    <cellStyle name="Percent 2 2 6 6" xfId="16193" xr:uid="{00000000-0005-0000-0000-00004F2A0000}"/>
    <cellStyle name="Percent 2 2 6 6 2" xfId="43682" xr:uid="{445EB352-FA08-4445-9700-A4DE838E0788}"/>
    <cellStyle name="Percent 2 2 6 7" xfId="8504" xr:uid="{00000000-0005-0000-0000-0000502A0000}"/>
    <cellStyle name="Percent 2 2 6 7 2" xfId="43683" xr:uid="{928ED9E8-B082-4EE3-B4E1-86C246DE1C55}"/>
    <cellStyle name="Percent 2 2 6 8" xfId="43671" xr:uid="{9800BF90-967B-42E8-B68A-4B53370BC80F}"/>
    <cellStyle name="Percent 2 2 7" xfId="2609" xr:uid="{00000000-0005-0000-0000-0000512A0000}"/>
    <cellStyle name="Percent 2 2 7 2" xfId="4657" xr:uid="{00000000-0005-0000-0000-0000522A0000}"/>
    <cellStyle name="Percent 2 2 7 2 2" xfId="13839" xr:uid="{00000000-0005-0000-0000-0000532A0000}"/>
    <cellStyle name="Percent 2 2 7 2 2 2" xfId="43686" xr:uid="{3B75F91E-6ABD-45EC-AD47-888A75EE981D}"/>
    <cellStyle name="Percent 2 2 7 2 3" xfId="16463" xr:uid="{00000000-0005-0000-0000-0000542A0000}"/>
    <cellStyle name="Percent 2 2 7 2 3 2" xfId="43687" xr:uid="{784772E7-B40C-4FA6-BB28-67784589F037}"/>
    <cellStyle name="Percent 2 2 7 2 4" xfId="8508" xr:uid="{00000000-0005-0000-0000-0000552A0000}"/>
    <cellStyle name="Percent 2 2 7 2 4 2" xfId="43688" xr:uid="{F6380663-9378-4760-8FC9-DA0702AB82AC}"/>
    <cellStyle name="Percent 2 2 7 2 5" xfId="43685" xr:uid="{D3203EC1-660B-4CF0-8CEA-CC8B3F3923AD}"/>
    <cellStyle name="Percent 2 2 7 3" xfId="6427" xr:uid="{00000000-0005-0000-0000-0000562A0000}"/>
    <cellStyle name="Percent 2 2 7 3 2" xfId="14862" xr:uid="{00000000-0005-0000-0000-0000572A0000}"/>
    <cellStyle name="Percent 2 2 7 3 2 2" xfId="43690" xr:uid="{F0BA5D49-D1A8-4B4E-B51B-BFBC1247581A}"/>
    <cellStyle name="Percent 2 2 7 3 3" xfId="12762" xr:uid="{00000000-0005-0000-0000-0000582A0000}"/>
    <cellStyle name="Percent 2 2 7 3 3 2" xfId="43691" xr:uid="{EC54C63C-C05A-4A5F-B763-6F3B3A6CF2A3}"/>
    <cellStyle name="Percent 2 2 7 3 4" xfId="8509" xr:uid="{00000000-0005-0000-0000-0000592A0000}"/>
    <cellStyle name="Percent 2 2 7 3 4 2" xfId="43692" xr:uid="{4FBD22EA-B805-436C-8E96-ABD2287F98E0}"/>
    <cellStyle name="Percent 2 2 7 3 5" xfId="43689" xr:uid="{315D69B4-B600-4CA3-B614-8BFCA745441B}"/>
    <cellStyle name="Percent 2 2 7 4" xfId="10018" xr:uid="{00000000-0005-0000-0000-00005A2A0000}"/>
    <cellStyle name="Percent 2 2 7 4 2" xfId="43693" xr:uid="{BE8FC864-AEC9-4605-9563-11349FF31709}"/>
    <cellStyle name="Percent 2 2 7 5" xfId="12900" xr:uid="{00000000-0005-0000-0000-00005B2A0000}"/>
    <cellStyle name="Percent 2 2 7 5 2" xfId="43694" xr:uid="{1362DD14-2D99-4461-8510-ED9ADAD5B598}"/>
    <cellStyle name="Percent 2 2 7 6" xfId="16527" xr:uid="{00000000-0005-0000-0000-00005C2A0000}"/>
    <cellStyle name="Percent 2 2 7 6 2" xfId="43695" xr:uid="{DB7BB2CA-D69A-475E-9DF5-A5C6E498A85A}"/>
    <cellStyle name="Percent 2 2 7 7" xfId="8507" xr:uid="{00000000-0005-0000-0000-00005D2A0000}"/>
    <cellStyle name="Percent 2 2 7 7 2" xfId="43696" xr:uid="{CDF3BA76-BC73-4A06-BAE6-1107E94B05BA}"/>
    <cellStyle name="Percent 2 2 7 8" xfId="43684" xr:uid="{3A0DCC90-5073-4533-9DC2-39F9DB857474}"/>
    <cellStyle name="Percent 2 2 8" xfId="4658" xr:uid="{00000000-0005-0000-0000-00005E2A0000}"/>
    <cellStyle name="Percent 2 2 8 2" xfId="10019" xr:uid="{00000000-0005-0000-0000-00005F2A0000}"/>
    <cellStyle name="Percent 2 2 8 2 2" xfId="43698" xr:uid="{18806589-B363-46C7-A108-F6F0F719E99D}"/>
    <cellStyle name="Percent 2 2 8 3" xfId="12793" xr:uid="{00000000-0005-0000-0000-0000602A0000}"/>
    <cellStyle name="Percent 2 2 8 3 2" xfId="43699" xr:uid="{ABA7ACEE-34B7-4843-B847-8F46F8919512}"/>
    <cellStyle name="Percent 2 2 8 4" xfId="8510" xr:uid="{00000000-0005-0000-0000-0000612A0000}"/>
    <cellStyle name="Percent 2 2 8 4 2" xfId="43700" xr:uid="{072ADE0F-DA85-434E-93AF-7C6A07F12531}"/>
    <cellStyle name="Percent 2 2 8 5" xfId="43697" xr:uid="{983F79C8-39A0-4FD7-9361-69AD0926A973}"/>
    <cellStyle name="Percent 2 2 9" xfId="4659" xr:uid="{00000000-0005-0000-0000-0000622A0000}"/>
    <cellStyle name="Percent 2 2 9 2" xfId="12211" xr:uid="{00000000-0005-0000-0000-0000632A0000}"/>
    <cellStyle name="Percent 2 2 9 2 2" xfId="43702" xr:uid="{311B16A7-548F-4774-9328-0422B6AB1105}"/>
    <cellStyle name="Percent 2 2 9 3" xfId="12896" xr:uid="{00000000-0005-0000-0000-0000642A0000}"/>
    <cellStyle name="Percent 2 2 9 3 2" xfId="43703" xr:uid="{F8B1A18F-5EBB-4780-A77C-104E66147C0A}"/>
    <cellStyle name="Percent 2 2 9 4" xfId="8511" xr:uid="{00000000-0005-0000-0000-0000652A0000}"/>
    <cellStyle name="Percent 2 2 9 4 2" xfId="43704" xr:uid="{C1D75CAE-FF7F-4B67-ADD6-D2F0E18B8879}"/>
    <cellStyle name="Percent 2 2 9 5" xfId="43701" xr:uid="{91F5E615-2097-496E-ACA9-A415954C78AE}"/>
    <cellStyle name="Percent 2 20" xfId="2613" xr:uid="{00000000-0005-0000-0000-0000662A0000}"/>
    <cellStyle name="Percent 2 20 2" xfId="10021" xr:uid="{00000000-0005-0000-0000-0000672A0000}"/>
    <cellStyle name="Percent 2 20 2 2" xfId="10022" xr:uid="{00000000-0005-0000-0000-0000682A0000}"/>
    <cellStyle name="Percent 2 20 2 2 2" xfId="43707" xr:uid="{043EB6A0-EA34-449F-AC2D-BA959ADDB0A5}"/>
    <cellStyle name="Percent 2 20 2 3" xfId="10023" xr:uid="{00000000-0005-0000-0000-0000692A0000}"/>
    <cellStyle name="Percent 2 20 2 3 2" xfId="43708" xr:uid="{CAD63F16-7D57-4CC9-A1D6-AE26519160C8}"/>
    <cellStyle name="Percent 2 20 2 4" xfId="10024" xr:uid="{00000000-0005-0000-0000-00006A2A0000}"/>
    <cellStyle name="Percent 2 20 2 4 2" xfId="43709" xr:uid="{EEF0666B-0AA6-406D-8534-CAC455EB2628}"/>
    <cellStyle name="Percent 2 20 2 5" xfId="43706" xr:uid="{AE81B2F6-0CE5-44D6-A087-E0491C0AA0A4}"/>
    <cellStyle name="Percent 2 20 3" xfId="10020" xr:uid="{00000000-0005-0000-0000-00006B2A0000}"/>
    <cellStyle name="Percent 2 20 3 2" xfId="43710" xr:uid="{344FC096-C18B-440F-A133-27E346266C1D}"/>
    <cellStyle name="Percent 2 20 4" xfId="16158" xr:uid="{00000000-0005-0000-0000-00006C2A0000}"/>
    <cellStyle name="Percent 2 20 4 2" xfId="43711" xr:uid="{158E34F0-3A2B-4018-A667-B0B4BFFAA0E6}"/>
    <cellStyle name="Percent 2 20 5" xfId="8512" xr:uid="{00000000-0005-0000-0000-00006D2A0000}"/>
    <cellStyle name="Percent 2 20 5 2" xfId="43712" xr:uid="{09370809-6178-4E00-9070-297295719767}"/>
    <cellStyle name="Percent 2 20 6" xfId="43705" xr:uid="{65218011-A4A1-4E21-B690-B4E5606F7658}"/>
    <cellStyle name="Percent 2 21" xfId="2614" xr:uid="{00000000-0005-0000-0000-00006E2A0000}"/>
    <cellStyle name="Percent 2 21 2" xfId="10025" xr:uid="{00000000-0005-0000-0000-00006F2A0000}"/>
    <cellStyle name="Percent 2 21 2 2" xfId="43714" xr:uid="{273B1C79-FC69-4C68-901A-6FB6B8F9D885}"/>
    <cellStyle name="Percent 2 21 3" xfId="16363" xr:uid="{00000000-0005-0000-0000-0000702A0000}"/>
    <cellStyle name="Percent 2 21 3 2" xfId="43715" xr:uid="{D147D58C-D21F-4EB5-934B-C161539BE43D}"/>
    <cellStyle name="Percent 2 21 4" xfId="8513" xr:uid="{00000000-0005-0000-0000-0000712A0000}"/>
    <cellStyle name="Percent 2 21 4 2" xfId="43716" xr:uid="{CBC5B0AC-F25A-4525-94CA-31F1AA708EA3}"/>
    <cellStyle name="Percent 2 21 5" xfId="43713" xr:uid="{F376AAB0-B688-4C4D-8F85-4541C13C5BBD}"/>
    <cellStyle name="Percent 2 22" xfId="2615" xr:uid="{00000000-0005-0000-0000-0000722A0000}"/>
    <cellStyle name="Percent 2 22 2" xfId="10026" xr:uid="{00000000-0005-0000-0000-0000732A0000}"/>
    <cellStyle name="Percent 2 22 2 2" xfId="43718" xr:uid="{6BCD31FE-EA13-4F21-81CF-157A1686538F}"/>
    <cellStyle name="Percent 2 22 3" xfId="12629" xr:uid="{00000000-0005-0000-0000-0000742A0000}"/>
    <cellStyle name="Percent 2 22 3 2" xfId="43719" xr:uid="{87B8038C-2299-47FB-8EC4-99099E822758}"/>
    <cellStyle name="Percent 2 22 4" xfId="8514" xr:uid="{00000000-0005-0000-0000-0000752A0000}"/>
    <cellStyle name="Percent 2 22 4 2" xfId="43720" xr:uid="{F9FC8C23-2F07-4754-BA8D-DA9AB0AD9009}"/>
    <cellStyle name="Percent 2 22 5" xfId="43717" xr:uid="{2D4AFF11-E8B4-46F6-A34F-C3AFDC8CEA1C}"/>
    <cellStyle name="Percent 2 23" xfId="2616" xr:uid="{00000000-0005-0000-0000-0000762A0000}"/>
    <cellStyle name="Percent 2 23 2" xfId="10027" xr:uid="{00000000-0005-0000-0000-0000772A0000}"/>
    <cellStyle name="Percent 2 23 2 2" xfId="43722" xr:uid="{D2E2C631-5D7B-49F4-9178-2FA9855F0660}"/>
    <cellStyle name="Percent 2 23 3" xfId="12787" xr:uid="{00000000-0005-0000-0000-0000782A0000}"/>
    <cellStyle name="Percent 2 23 3 2" xfId="43723" xr:uid="{D766D5A3-0DD9-4271-B4DF-1CF7980FF84A}"/>
    <cellStyle name="Percent 2 23 4" xfId="8515" xr:uid="{00000000-0005-0000-0000-0000792A0000}"/>
    <cellStyle name="Percent 2 23 4 2" xfId="43724" xr:uid="{CFEE589B-A8EC-4235-AEA9-11607A34A4C1}"/>
    <cellStyle name="Percent 2 23 5" xfId="43721" xr:uid="{60309283-0D37-47AB-AA81-F44B29C1966A}"/>
    <cellStyle name="Percent 2 24" xfId="2617" xr:uid="{00000000-0005-0000-0000-00007A2A0000}"/>
    <cellStyle name="Percent 2 24 2" xfId="10028" xr:uid="{00000000-0005-0000-0000-00007B2A0000}"/>
    <cellStyle name="Percent 2 24 2 2" xfId="43726" xr:uid="{C1A53F06-E304-4D6D-905D-4F12DCD7241D}"/>
    <cellStyle name="Percent 2 24 3" xfId="12388" xr:uid="{00000000-0005-0000-0000-00007C2A0000}"/>
    <cellStyle name="Percent 2 24 3 2" xfId="43727" xr:uid="{6DDF0569-53B3-435C-943E-F11BB94CA2D7}"/>
    <cellStyle name="Percent 2 24 4" xfId="8516" xr:uid="{00000000-0005-0000-0000-00007D2A0000}"/>
    <cellStyle name="Percent 2 24 4 2" xfId="43728" xr:uid="{1148649E-947D-49FC-8A9A-AD78BF5E83EC}"/>
    <cellStyle name="Percent 2 24 5" xfId="43725" xr:uid="{AB05D8A4-464B-4B42-A1FE-2AF38CD078E2}"/>
    <cellStyle name="Percent 2 25" xfId="2618" xr:uid="{00000000-0005-0000-0000-00007E2A0000}"/>
    <cellStyle name="Percent 2 25 2" xfId="10029" xr:uid="{00000000-0005-0000-0000-00007F2A0000}"/>
    <cellStyle name="Percent 2 25 2 2" xfId="43730" xr:uid="{92082EE2-BC44-4C4E-94D8-71481AD7CE69}"/>
    <cellStyle name="Percent 2 25 3" xfId="13726" xr:uid="{00000000-0005-0000-0000-0000802A0000}"/>
    <cellStyle name="Percent 2 25 3 2" xfId="43731" xr:uid="{6C6D3777-D138-418A-8059-81B5546B775A}"/>
    <cellStyle name="Percent 2 25 4" xfId="8517" xr:uid="{00000000-0005-0000-0000-0000812A0000}"/>
    <cellStyle name="Percent 2 25 4 2" xfId="43732" xr:uid="{C9AC0C13-4818-425C-8D72-ACCF1F28C138}"/>
    <cellStyle name="Percent 2 25 5" xfId="43729" xr:uid="{0DAF7D90-108C-4138-9DB8-A7E933346A47}"/>
    <cellStyle name="Percent 2 26" xfId="2619" xr:uid="{00000000-0005-0000-0000-0000822A0000}"/>
    <cellStyle name="Percent 2 26 2" xfId="10030" xr:uid="{00000000-0005-0000-0000-0000832A0000}"/>
    <cellStyle name="Percent 2 26 2 2" xfId="43734" xr:uid="{B7AD264B-FA8D-42DB-BA16-C7F0AD033E8B}"/>
    <cellStyle name="Percent 2 26 3" xfId="16545" xr:uid="{00000000-0005-0000-0000-0000842A0000}"/>
    <cellStyle name="Percent 2 26 3 2" xfId="43735" xr:uid="{F6A7C906-620E-4EA8-B5D3-F1F42E43CE22}"/>
    <cellStyle name="Percent 2 26 4" xfId="8518" xr:uid="{00000000-0005-0000-0000-0000852A0000}"/>
    <cellStyle name="Percent 2 26 4 2" xfId="43736" xr:uid="{C035A13A-201F-4A8A-802C-C1FD557C6E86}"/>
    <cellStyle name="Percent 2 26 5" xfId="43733" xr:uid="{6A447855-0B7E-4ADB-9FE8-05D0C373B8DA}"/>
    <cellStyle name="Percent 2 27" xfId="2620" xr:uid="{00000000-0005-0000-0000-0000862A0000}"/>
    <cellStyle name="Percent 2 27 2" xfId="10031" xr:uid="{00000000-0005-0000-0000-0000872A0000}"/>
    <cellStyle name="Percent 2 27 2 2" xfId="43738" xr:uid="{C100713C-7B4D-4172-BFF0-F898E97DA3DE}"/>
    <cellStyle name="Percent 2 27 3" xfId="16317" xr:uid="{00000000-0005-0000-0000-0000882A0000}"/>
    <cellStyle name="Percent 2 27 3 2" xfId="43739" xr:uid="{CF4E25E9-B908-4DB8-BFC1-FF985C1221D6}"/>
    <cellStyle name="Percent 2 27 4" xfId="8519" xr:uid="{00000000-0005-0000-0000-0000892A0000}"/>
    <cellStyle name="Percent 2 27 4 2" xfId="43740" xr:uid="{C59E74F4-0F27-47DF-A411-8ADB6BBF9B8A}"/>
    <cellStyle name="Percent 2 27 5" xfId="43737" xr:uid="{8E0261E0-B53B-4A2C-B1E5-101E0CE16CE9}"/>
    <cellStyle name="Percent 2 28" xfId="2621" xr:uid="{00000000-0005-0000-0000-00008A2A0000}"/>
    <cellStyle name="Percent 2 28 2" xfId="10032" xr:uid="{00000000-0005-0000-0000-00008B2A0000}"/>
    <cellStyle name="Percent 2 28 2 2" xfId="43742" xr:uid="{355EEA1B-147B-410E-9E62-49E8AF4E5F62}"/>
    <cellStyle name="Percent 2 28 3" xfId="16514" xr:uid="{00000000-0005-0000-0000-00008C2A0000}"/>
    <cellStyle name="Percent 2 28 3 2" xfId="43743" xr:uid="{CCF8A5BB-1174-4AC7-86D4-1B8CD4E1F374}"/>
    <cellStyle name="Percent 2 28 4" xfId="8520" xr:uid="{00000000-0005-0000-0000-00008D2A0000}"/>
    <cellStyle name="Percent 2 28 4 2" xfId="43744" xr:uid="{7E599339-54D2-4782-8D57-F7801D7AD7E0}"/>
    <cellStyle name="Percent 2 28 5" xfId="43741" xr:uid="{99606155-E0AA-4D1B-9298-9F3B91174942}"/>
    <cellStyle name="Percent 2 29" xfId="2622" xr:uid="{00000000-0005-0000-0000-00008E2A0000}"/>
    <cellStyle name="Percent 2 29 2" xfId="10033" xr:uid="{00000000-0005-0000-0000-00008F2A0000}"/>
    <cellStyle name="Percent 2 29 2 2" xfId="43746" xr:uid="{60C12636-1B6D-485A-9709-F09886D1236B}"/>
    <cellStyle name="Percent 2 29 3" xfId="13462" xr:uid="{00000000-0005-0000-0000-0000902A0000}"/>
    <cellStyle name="Percent 2 29 3 2" xfId="43747" xr:uid="{BE1EC36D-9D0B-4F74-90B4-B1DCB83D3CE0}"/>
    <cellStyle name="Percent 2 29 4" xfId="8521" xr:uid="{00000000-0005-0000-0000-0000912A0000}"/>
    <cellStyle name="Percent 2 29 4 2" xfId="43748" xr:uid="{14DDBF65-BD9E-440E-80E5-6FA6BE1B4709}"/>
    <cellStyle name="Percent 2 29 5" xfId="43745" xr:uid="{9F055D95-BAC0-4881-B542-2A4B74252A42}"/>
    <cellStyle name="Percent 2 3" xfId="206" xr:uid="{00000000-0005-0000-0000-0000922A0000}"/>
    <cellStyle name="Percent 2 3 10" xfId="2623" xr:uid="{00000000-0005-0000-0000-0000932A0000}"/>
    <cellStyle name="Percent 2 3 10 2" xfId="10035" xr:uid="{00000000-0005-0000-0000-0000942A0000}"/>
    <cellStyle name="Percent 2 3 10 2 2" xfId="43751" xr:uid="{AD6FB22D-6C5F-4B9F-A513-4E50B257F377}"/>
    <cellStyle name="Percent 2 3 10 3" xfId="13909" xr:uid="{00000000-0005-0000-0000-0000952A0000}"/>
    <cellStyle name="Percent 2 3 10 3 2" xfId="43752" xr:uid="{C60224DB-D8E8-449E-A8C6-9B36CD650CC8}"/>
    <cellStyle name="Percent 2 3 10 4" xfId="8523" xr:uid="{00000000-0005-0000-0000-0000962A0000}"/>
    <cellStyle name="Percent 2 3 10 4 2" xfId="43753" xr:uid="{D02E53CF-A5F7-429B-A236-D1E84A886F4C}"/>
    <cellStyle name="Percent 2 3 10 5" xfId="43750" xr:uid="{D2838E75-C755-40F0-BCA7-1B9247DFADC8}"/>
    <cellStyle name="Percent 2 3 11" xfId="2624" xr:uid="{00000000-0005-0000-0000-0000972A0000}"/>
    <cellStyle name="Percent 2 3 11 2" xfId="10036" xr:uid="{00000000-0005-0000-0000-0000982A0000}"/>
    <cellStyle name="Percent 2 3 11 2 2" xfId="43755" xr:uid="{DDEA6765-4009-4D12-8E9A-B5F4AF0FDC50}"/>
    <cellStyle name="Percent 2 3 11 3" xfId="13823" xr:uid="{00000000-0005-0000-0000-0000992A0000}"/>
    <cellStyle name="Percent 2 3 11 3 2" xfId="43756" xr:uid="{D1BF59D0-353B-454D-82A8-51E5DDBAEC7A}"/>
    <cellStyle name="Percent 2 3 11 4" xfId="8524" xr:uid="{00000000-0005-0000-0000-00009A2A0000}"/>
    <cellStyle name="Percent 2 3 11 4 2" xfId="43757" xr:uid="{22AE85CE-4792-4F4E-83E1-618AD3C6831E}"/>
    <cellStyle name="Percent 2 3 11 5" xfId="43754" xr:uid="{8AC67A78-687E-48A7-BC6B-68FC0905A290}"/>
    <cellStyle name="Percent 2 3 12" xfId="2625" xr:uid="{00000000-0005-0000-0000-00009B2A0000}"/>
    <cellStyle name="Percent 2 3 12 2" xfId="10037" xr:uid="{00000000-0005-0000-0000-00009C2A0000}"/>
    <cellStyle name="Percent 2 3 12 2 2" xfId="43759" xr:uid="{2E923E2F-57DA-4D6A-8C54-AB7A8CCAB045}"/>
    <cellStyle name="Percent 2 3 12 3" xfId="16483" xr:uid="{00000000-0005-0000-0000-00009D2A0000}"/>
    <cellStyle name="Percent 2 3 12 3 2" xfId="43760" xr:uid="{DD5CB2E1-CC3E-4518-87A6-76DE4D25F8CE}"/>
    <cellStyle name="Percent 2 3 12 4" xfId="8525" xr:uid="{00000000-0005-0000-0000-00009E2A0000}"/>
    <cellStyle name="Percent 2 3 12 4 2" xfId="43761" xr:uid="{1B5DFE7F-4E4D-47BD-909B-74A26ADB851A}"/>
    <cellStyle name="Percent 2 3 12 5" xfId="43758" xr:uid="{5DA99C43-F527-4ABB-92A9-20638F562E29}"/>
    <cellStyle name="Percent 2 3 13" xfId="2626" xr:uid="{00000000-0005-0000-0000-00009F2A0000}"/>
    <cellStyle name="Percent 2 3 13 2" xfId="10038" xr:uid="{00000000-0005-0000-0000-0000A02A0000}"/>
    <cellStyle name="Percent 2 3 13 2 2" xfId="43763" xr:uid="{1E6E5381-DA40-4357-8F50-B4E64ABB15C1}"/>
    <cellStyle name="Percent 2 3 13 3" xfId="16207" xr:uid="{00000000-0005-0000-0000-0000A12A0000}"/>
    <cellStyle name="Percent 2 3 13 3 2" xfId="43764" xr:uid="{F208097F-CE2C-45F2-A07C-B7866A6BA634}"/>
    <cellStyle name="Percent 2 3 13 4" xfId="8526" xr:uid="{00000000-0005-0000-0000-0000A22A0000}"/>
    <cellStyle name="Percent 2 3 13 4 2" xfId="43765" xr:uid="{57E8DB24-4777-4341-A1AC-8A013F8E1571}"/>
    <cellStyle name="Percent 2 3 13 5" xfId="43762" xr:uid="{D680637A-A03B-4F51-B053-996EE032E8B5}"/>
    <cellStyle name="Percent 2 3 14" xfId="2627" xr:uid="{00000000-0005-0000-0000-0000A32A0000}"/>
    <cellStyle name="Percent 2 3 14 2" xfId="10039" xr:uid="{00000000-0005-0000-0000-0000A42A0000}"/>
    <cellStyle name="Percent 2 3 14 2 2" xfId="43767" xr:uid="{1B972F48-A804-4158-8480-75BB02F7F8DC}"/>
    <cellStyle name="Percent 2 3 14 3" xfId="12722" xr:uid="{00000000-0005-0000-0000-0000A52A0000}"/>
    <cellStyle name="Percent 2 3 14 3 2" xfId="43768" xr:uid="{923D1AC3-050F-48AC-8BF6-A270EB9F68C6}"/>
    <cellStyle name="Percent 2 3 14 4" xfId="8527" xr:uid="{00000000-0005-0000-0000-0000A62A0000}"/>
    <cellStyle name="Percent 2 3 14 4 2" xfId="43769" xr:uid="{315D02F8-E9D6-4811-A5EE-4C220B7BBD78}"/>
    <cellStyle name="Percent 2 3 14 5" xfId="43766" xr:uid="{A00CD26C-CE6C-4640-BF2B-9CCBC3513830}"/>
    <cellStyle name="Percent 2 3 15" xfId="2628" xr:uid="{00000000-0005-0000-0000-0000A72A0000}"/>
    <cellStyle name="Percent 2 3 15 2" xfId="10040" xr:uid="{00000000-0005-0000-0000-0000A82A0000}"/>
    <cellStyle name="Percent 2 3 15 2 2" xfId="43771" xr:uid="{F7567C84-DE80-4531-BCBB-C8566A0A9A9E}"/>
    <cellStyle name="Percent 2 3 15 3" xfId="14494" xr:uid="{00000000-0005-0000-0000-0000A92A0000}"/>
    <cellStyle name="Percent 2 3 15 3 2" xfId="43772" xr:uid="{D009A3AC-34B8-496A-8785-7CFF34489EDC}"/>
    <cellStyle name="Percent 2 3 15 4" xfId="8528" xr:uid="{00000000-0005-0000-0000-0000AA2A0000}"/>
    <cellStyle name="Percent 2 3 15 4 2" xfId="43773" xr:uid="{03864486-72C3-4426-A139-3578EE69CFD8}"/>
    <cellStyle name="Percent 2 3 15 5" xfId="43770" xr:uid="{0A8B1ECE-F2DE-47C0-8DFD-DD5B7CB2D33D}"/>
    <cellStyle name="Percent 2 3 16" xfId="2629" xr:uid="{00000000-0005-0000-0000-0000AB2A0000}"/>
    <cellStyle name="Percent 2 3 16 2" xfId="12905" xr:uid="{00000000-0005-0000-0000-0000AC2A0000}"/>
    <cellStyle name="Percent 2 3 16 2 2" xfId="43775" xr:uid="{65CCF033-13A2-43E9-B2F2-81523A2AB8DD}"/>
    <cellStyle name="Percent 2 3 16 3" xfId="12605" xr:uid="{00000000-0005-0000-0000-0000AD2A0000}"/>
    <cellStyle name="Percent 2 3 16 3 2" xfId="43776" xr:uid="{B8FFAFE5-2667-4415-817A-6F458FBF40AE}"/>
    <cellStyle name="Percent 2 3 16 4" xfId="8529" xr:uid="{00000000-0005-0000-0000-0000AE2A0000}"/>
    <cellStyle name="Percent 2 3 16 4 2" xfId="43777" xr:uid="{892E24FC-952F-48BC-8475-654E991AE503}"/>
    <cellStyle name="Percent 2 3 16 5" xfId="43774" xr:uid="{2BE10EED-381E-46B4-A5BC-A542C5DDC796}"/>
    <cellStyle name="Percent 2 3 17" xfId="10034" xr:uid="{00000000-0005-0000-0000-0000AF2A0000}"/>
    <cellStyle name="Percent 2 3 17 2" xfId="43778" xr:uid="{4ED41E3D-DE8D-4483-8A7D-9569B1A51B59}"/>
    <cellStyle name="Percent 2 3 18" xfId="12550" xr:uid="{00000000-0005-0000-0000-0000B02A0000}"/>
    <cellStyle name="Percent 2 3 18 2" xfId="43779" xr:uid="{8F997E76-01D2-4C49-BEE7-AFE2F4F58CAC}"/>
    <cellStyle name="Percent 2 3 19" xfId="8522" xr:uid="{00000000-0005-0000-0000-0000B12A0000}"/>
    <cellStyle name="Percent 2 3 19 2" xfId="43780" xr:uid="{44B82B1E-2D85-436E-80E6-977D64918D13}"/>
    <cellStyle name="Percent 2 3 2" xfId="207" xr:uid="{00000000-0005-0000-0000-0000B22A0000}"/>
    <cellStyle name="Percent 2 3 2 2" xfId="10041" xr:uid="{00000000-0005-0000-0000-0000B32A0000}"/>
    <cellStyle name="Percent 2 3 2 2 2" xfId="43782" xr:uid="{6324F8E7-4FD8-45E8-8915-E5B869D266AF}"/>
    <cellStyle name="Percent 2 3 2 3" xfId="16549" xr:uid="{00000000-0005-0000-0000-0000B42A0000}"/>
    <cellStyle name="Percent 2 3 2 3 2" xfId="43783" xr:uid="{7BF75B66-646F-497A-B22C-D2678BEA61B9}"/>
    <cellStyle name="Percent 2 3 2 4" xfId="8530" xr:uid="{00000000-0005-0000-0000-0000B52A0000}"/>
    <cellStyle name="Percent 2 3 2 4 2" xfId="43784" xr:uid="{6A0299D4-6A4E-443F-B188-F8D4DAABA422}"/>
    <cellStyle name="Percent 2 3 2 5" xfId="43781" xr:uid="{71E895C7-0D8E-4D69-BB62-DBAB6A16CD35}"/>
    <cellStyle name="Percent 2 3 20" xfId="43749" xr:uid="{DD45065D-AC21-404E-AF6E-A980BC630180}"/>
    <cellStyle name="Percent 2 3 3" xfId="208" xr:uid="{00000000-0005-0000-0000-0000B62A0000}"/>
    <cellStyle name="Percent 2 3 3 2" xfId="209" xr:uid="{00000000-0005-0000-0000-0000B72A0000}"/>
    <cellStyle name="Percent 2 3 3 2 2" xfId="12435" xr:uid="{00000000-0005-0000-0000-0000B82A0000}"/>
    <cellStyle name="Percent 2 3 3 2 2 2" xfId="43787" xr:uid="{D3A296D9-7F75-464C-B47A-C47CD4255D57}"/>
    <cellStyle name="Percent 2 3 3 2 3" xfId="14322" xr:uid="{00000000-0005-0000-0000-0000B92A0000}"/>
    <cellStyle name="Percent 2 3 3 2 3 2" xfId="43788" xr:uid="{6EB2E72E-8EFC-4895-90F3-087313AFA42C}"/>
    <cellStyle name="Percent 2 3 3 2 4" xfId="8532" xr:uid="{00000000-0005-0000-0000-0000BA2A0000}"/>
    <cellStyle name="Percent 2 3 3 2 4 2" xfId="43789" xr:uid="{EFB18DF7-5B4F-464A-8703-13CA53966C53}"/>
    <cellStyle name="Percent 2 3 3 2 5" xfId="43786" xr:uid="{3D129342-E41F-468D-BCC6-BAA16674758D}"/>
    <cellStyle name="Percent 2 3 3 3" xfId="210" xr:uid="{00000000-0005-0000-0000-0000BB2A0000}"/>
    <cellStyle name="Percent 2 3 3 3 2" xfId="211" xr:uid="{00000000-0005-0000-0000-0000BC2A0000}"/>
    <cellStyle name="Percent 2 3 3 3 2 2" xfId="12437" xr:uid="{00000000-0005-0000-0000-0000BD2A0000}"/>
    <cellStyle name="Percent 2 3 3 3 2 2 2" xfId="43792" xr:uid="{D624FA90-6DFE-4AE1-980A-286C1D2F189E}"/>
    <cellStyle name="Percent 2 3 3 3 2 3" xfId="16518" xr:uid="{00000000-0005-0000-0000-0000BE2A0000}"/>
    <cellStyle name="Percent 2 3 3 3 2 3 2" xfId="43793" xr:uid="{2AFF2CD1-76EB-460F-879E-C6CFFEB3A3CC}"/>
    <cellStyle name="Percent 2 3 3 3 2 4" xfId="8534" xr:uid="{00000000-0005-0000-0000-0000BF2A0000}"/>
    <cellStyle name="Percent 2 3 3 3 2 4 2" xfId="43794" xr:uid="{A1F49AD7-4EEB-45ED-B38A-FC608387AEB7}"/>
    <cellStyle name="Percent 2 3 3 3 2 5" xfId="43791" xr:uid="{E1266DD2-1491-43D2-BBCF-79500ADC9864}"/>
    <cellStyle name="Percent 2 3 3 3 3" xfId="212" xr:uid="{00000000-0005-0000-0000-0000C02A0000}"/>
    <cellStyle name="Percent 2 3 3 3 3 2" xfId="12438" xr:uid="{00000000-0005-0000-0000-0000C12A0000}"/>
    <cellStyle name="Percent 2 3 3 3 3 2 2" xfId="43796" xr:uid="{E6D07374-2D30-4C8B-BDFE-B9DB0D560762}"/>
    <cellStyle name="Percent 2 3 3 3 3 3" xfId="16168" xr:uid="{00000000-0005-0000-0000-0000C22A0000}"/>
    <cellStyle name="Percent 2 3 3 3 3 3 2" xfId="43797" xr:uid="{E3ADD750-1109-4F83-9248-AA9F1CDE4450}"/>
    <cellStyle name="Percent 2 3 3 3 3 4" xfId="8535" xr:uid="{00000000-0005-0000-0000-0000C32A0000}"/>
    <cellStyle name="Percent 2 3 3 3 3 4 2" xfId="43798" xr:uid="{7DA74723-0900-4081-A45B-8D035A4DC59B}"/>
    <cellStyle name="Percent 2 3 3 3 3 5" xfId="43795" xr:uid="{E168BC10-5DBC-46B3-B496-FE153F0A52ED}"/>
    <cellStyle name="Percent 2 3 3 3 4" xfId="330" xr:uid="{00000000-0005-0000-0000-0000C42A0000}"/>
    <cellStyle name="Percent 2 3 3 3 4 2" xfId="2630" xr:uid="{00000000-0005-0000-0000-0000C52A0000}"/>
    <cellStyle name="Percent 2 3 3 3 4 2 2" xfId="12906" xr:uid="{00000000-0005-0000-0000-0000C62A0000}"/>
    <cellStyle name="Percent 2 3 3 3 4 2 2 2" xfId="43801" xr:uid="{AC634654-2615-48CB-92BE-30753FC9AE9D}"/>
    <cellStyle name="Percent 2 3 3 3 4 2 3" xfId="16450" xr:uid="{00000000-0005-0000-0000-0000C72A0000}"/>
    <cellStyle name="Percent 2 3 3 3 4 2 3 2" xfId="43802" xr:uid="{4ACAF70F-A915-4AF7-BB64-6F46BFC6F2A4}"/>
    <cellStyle name="Percent 2 3 3 3 4 2 4" xfId="8537" xr:uid="{00000000-0005-0000-0000-0000C82A0000}"/>
    <cellStyle name="Percent 2 3 3 3 4 2 4 2" xfId="43803" xr:uid="{950C6B00-878E-4511-AF03-02D89666940C}"/>
    <cellStyle name="Percent 2 3 3 3 4 2 5" xfId="43800" xr:uid="{E77584A3-A3B2-4973-9B51-980C5793B471}"/>
    <cellStyle name="Percent 2 3 3 3 4 3" xfId="12488" xr:uid="{00000000-0005-0000-0000-0000C92A0000}"/>
    <cellStyle name="Percent 2 3 3 3 4 3 2" xfId="43804" xr:uid="{496F448E-966A-4C84-93FA-41718B619464}"/>
    <cellStyle name="Percent 2 3 3 3 4 4" xfId="16343" xr:uid="{00000000-0005-0000-0000-0000CA2A0000}"/>
    <cellStyle name="Percent 2 3 3 3 4 4 2" xfId="43805" xr:uid="{E89A346F-B697-4408-A79F-B0FFBF2481C2}"/>
    <cellStyle name="Percent 2 3 3 3 4 5" xfId="8536" xr:uid="{00000000-0005-0000-0000-0000CB2A0000}"/>
    <cellStyle name="Percent 2 3 3 3 4 5 2" xfId="43806" xr:uid="{241F71B0-FD4E-4186-A16D-7C0300037CEF}"/>
    <cellStyle name="Percent 2 3 3 3 4 6" xfId="43799" xr:uid="{4DA569E8-7A22-40DD-ADBB-AFEA88F3D67F}"/>
    <cellStyle name="Percent 2 3 3 3 5" xfId="12436" xr:uid="{00000000-0005-0000-0000-0000CC2A0000}"/>
    <cellStyle name="Percent 2 3 3 3 5 2" xfId="43807" xr:uid="{740A4750-48E3-4735-9F47-FDB403A07F14}"/>
    <cellStyle name="Percent 2 3 3 3 6" xfId="13915" xr:uid="{00000000-0005-0000-0000-0000CD2A0000}"/>
    <cellStyle name="Percent 2 3 3 3 6 2" xfId="43808" xr:uid="{37169DC1-0492-4E92-BF60-62ECC8F1F9EE}"/>
    <cellStyle name="Percent 2 3 3 3 7" xfId="8533" xr:uid="{00000000-0005-0000-0000-0000CE2A0000}"/>
    <cellStyle name="Percent 2 3 3 3 7 2" xfId="43809" xr:uid="{40D36C2F-E041-4CCB-AF5D-1285E85D7011}"/>
    <cellStyle name="Percent 2 3 3 3 8" xfId="43790" xr:uid="{CBC033B1-2354-4DFE-9B50-92FD7EF2CFBE}"/>
    <cellStyle name="Percent 2 3 3 4" xfId="10042" xr:uid="{00000000-0005-0000-0000-0000CF2A0000}"/>
    <cellStyle name="Percent 2 3 3 4 2" xfId="43810" xr:uid="{D4C9F3C0-C2FE-4975-9C09-1FAAFFF3D2C1}"/>
    <cellStyle name="Percent 2 3 3 5" xfId="16249" xr:uid="{00000000-0005-0000-0000-0000D02A0000}"/>
    <cellStyle name="Percent 2 3 3 5 2" xfId="43811" xr:uid="{DFDE0A7C-8549-4667-983C-2D15F5149254}"/>
    <cellStyle name="Percent 2 3 3 6" xfId="8531" xr:uid="{00000000-0005-0000-0000-0000D12A0000}"/>
    <cellStyle name="Percent 2 3 3 6 2" xfId="43812" xr:uid="{9B614535-2B26-4F41-9CC5-20EE6E39EF2A}"/>
    <cellStyle name="Percent 2 3 3 7" xfId="43785" xr:uid="{85FAFD74-5955-46CF-94E6-B0A0834D21F7}"/>
    <cellStyle name="Percent 2 3 4" xfId="213" xr:uid="{00000000-0005-0000-0000-0000D22A0000}"/>
    <cellStyle name="Percent 2 3 4 2" xfId="10043" xr:uid="{00000000-0005-0000-0000-0000D32A0000}"/>
    <cellStyle name="Percent 2 3 4 2 2" xfId="43814" xr:uid="{E79C9759-EAEB-40AD-85DA-C922C54AFB76}"/>
    <cellStyle name="Percent 2 3 4 3" xfId="16388" xr:uid="{00000000-0005-0000-0000-0000D42A0000}"/>
    <cellStyle name="Percent 2 3 4 3 2" xfId="43815" xr:uid="{6ECDEFAE-58AB-4F26-85F5-D249B518421D}"/>
    <cellStyle name="Percent 2 3 4 4" xfId="8538" xr:uid="{00000000-0005-0000-0000-0000D52A0000}"/>
    <cellStyle name="Percent 2 3 4 4 2" xfId="43816" xr:uid="{2C086FC7-48E0-4CAF-B8E0-274FB432FC09}"/>
    <cellStyle name="Percent 2 3 4 5" xfId="43813" xr:uid="{B45EF885-E4AE-482A-8E4E-146DF10DADE9}"/>
    <cellStyle name="Percent 2 3 5" xfId="329" xr:uid="{00000000-0005-0000-0000-0000D62A0000}"/>
    <cellStyle name="Percent 2 3 5 2" xfId="2631" xr:uid="{00000000-0005-0000-0000-0000D72A0000}"/>
    <cellStyle name="Percent 2 3 5 2 2" xfId="12907" xr:uid="{00000000-0005-0000-0000-0000D82A0000}"/>
    <cellStyle name="Percent 2 3 5 2 2 2" xfId="43819" xr:uid="{5A665F97-A3A9-46C9-A726-EB66B108F26C}"/>
    <cellStyle name="Percent 2 3 5 2 3" xfId="16285" xr:uid="{00000000-0005-0000-0000-0000D92A0000}"/>
    <cellStyle name="Percent 2 3 5 2 3 2" xfId="43820" xr:uid="{7449F3A2-10F7-473A-85C7-8BF5222B0744}"/>
    <cellStyle name="Percent 2 3 5 2 4" xfId="8540" xr:uid="{00000000-0005-0000-0000-0000DA2A0000}"/>
    <cellStyle name="Percent 2 3 5 2 4 2" xfId="43821" xr:uid="{974AD2EC-C0B1-423F-B8F8-F6B0D978BF65}"/>
    <cellStyle name="Percent 2 3 5 2 5" xfId="43818" xr:uid="{7EB0305E-57B2-4DA5-A7BC-CC22E1F8D073}"/>
    <cellStyle name="Percent 2 3 5 3" xfId="10044" xr:uid="{00000000-0005-0000-0000-0000DB2A0000}"/>
    <cellStyle name="Percent 2 3 5 3 2" xfId="43822" xr:uid="{191BBBC0-5CA1-41C2-B84D-B884A5E8BAF2}"/>
    <cellStyle name="Percent 2 3 5 4" xfId="12740" xr:uid="{00000000-0005-0000-0000-0000DC2A0000}"/>
    <cellStyle name="Percent 2 3 5 4 2" xfId="43823" xr:uid="{E19B842D-6E01-4F77-BB39-9B1E71F165D2}"/>
    <cellStyle name="Percent 2 3 5 5" xfId="8539" xr:uid="{00000000-0005-0000-0000-0000DD2A0000}"/>
    <cellStyle name="Percent 2 3 5 5 2" xfId="43824" xr:uid="{10A77C26-F0FB-4107-95EA-DEABDAAFB376}"/>
    <cellStyle name="Percent 2 3 5 6" xfId="43817" xr:uid="{AC3C0FBE-EEAD-44EB-AE4C-7800FEDEC7CE}"/>
    <cellStyle name="Percent 2 3 6" xfId="2632" xr:uid="{00000000-0005-0000-0000-0000DE2A0000}"/>
    <cellStyle name="Percent 2 3 6 2" xfId="10045" xr:uid="{00000000-0005-0000-0000-0000DF2A0000}"/>
    <cellStyle name="Percent 2 3 6 2 2" xfId="43826" xr:uid="{0563870E-D806-4E95-A966-628DBFD77921}"/>
    <cellStyle name="Percent 2 3 6 3" xfId="13479" xr:uid="{00000000-0005-0000-0000-0000E02A0000}"/>
    <cellStyle name="Percent 2 3 6 3 2" xfId="43827" xr:uid="{A4CAF74D-D4EC-4E85-B54A-9EF5E9891638}"/>
    <cellStyle name="Percent 2 3 6 4" xfId="8541" xr:uid="{00000000-0005-0000-0000-0000E12A0000}"/>
    <cellStyle name="Percent 2 3 6 4 2" xfId="43828" xr:uid="{0C559C8D-9787-4EEB-AE34-44585BC370C7}"/>
    <cellStyle name="Percent 2 3 6 5" xfId="43825" xr:uid="{9FC0F550-8852-4E37-889F-B70657B8166B}"/>
    <cellStyle name="Percent 2 3 7" xfId="2633" xr:uid="{00000000-0005-0000-0000-0000E22A0000}"/>
    <cellStyle name="Percent 2 3 7 2" xfId="10046" xr:uid="{00000000-0005-0000-0000-0000E32A0000}"/>
    <cellStyle name="Percent 2 3 7 2 2" xfId="43830" xr:uid="{723B2387-BDF6-4597-80CB-18873CD5B5CB}"/>
    <cellStyle name="Percent 2 3 7 3" xfId="14418" xr:uid="{00000000-0005-0000-0000-0000E42A0000}"/>
    <cellStyle name="Percent 2 3 7 3 2" xfId="43831" xr:uid="{4DC38488-B6F6-40C8-B00D-0DBC6D639A88}"/>
    <cellStyle name="Percent 2 3 7 4" xfId="8542" xr:uid="{00000000-0005-0000-0000-0000E52A0000}"/>
    <cellStyle name="Percent 2 3 7 4 2" xfId="43832" xr:uid="{695614AF-395B-4C02-B7A0-24D6ED053E08}"/>
    <cellStyle name="Percent 2 3 7 5" xfId="43829" xr:uid="{9EFE2875-654B-4415-A23B-9EC2D57F1DB5}"/>
    <cellStyle name="Percent 2 3 8" xfId="2634" xr:uid="{00000000-0005-0000-0000-0000E62A0000}"/>
    <cellStyle name="Percent 2 3 8 2" xfId="10047" xr:uid="{00000000-0005-0000-0000-0000E72A0000}"/>
    <cellStyle name="Percent 2 3 8 2 2" xfId="43834" xr:uid="{99BE1DE2-1CCD-4D6C-89A3-2E185540C15E}"/>
    <cellStyle name="Percent 2 3 8 3" xfId="12894" xr:uid="{00000000-0005-0000-0000-0000E82A0000}"/>
    <cellStyle name="Percent 2 3 8 3 2" xfId="43835" xr:uid="{03843F79-916E-4052-B0F8-C1C20AD83DA8}"/>
    <cellStyle name="Percent 2 3 8 4" xfId="8543" xr:uid="{00000000-0005-0000-0000-0000E92A0000}"/>
    <cellStyle name="Percent 2 3 8 4 2" xfId="43836" xr:uid="{0923D225-FDAF-4653-AB56-D92A1BC16A79}"/>
    <cellStyle name="Percent 2 3 8 5" xfId="43833" xr:uid="{F4962984-5157-491C-9E0C-7D8F02024DAC}"/>
    <cellStyle name="Percent 2 3 9" xfId="2635" xr:uid="{00000000-0005-0000-0000-0000EA2A0000}"/>
    <cellStyle name="Percent 2 3 9 2" xfId="10048" xr:uid="{00000000-0005-0000-0000-0000EB2A0000}"/>
    <cellStyle name="Percent 2 3 9 2 2" xfId="43838" xr:uid="{9C24EB8B-45CF-488D-B784-14A85B15805E}"/>
    <cellStyle name="Percent 2 3 9 3" xfId="16526" xr:uid="{00000000-0005-0000-0000-0000EC2A0000}"/>
    <cellStyle name="Percent 2 3 9 3 2" xfId="43839" xr:uid="{29FDBD74-26EF-4C64-914A-CC0BB18FC132}"/>
    <cellStyle name="Percent 2 3 9 4" xfId="8544" xr:uid="{00000000-0005-0000-0000-0000ED2A0000}"/>
    <cellStyle name="Percent 2 3 9 4 2" xfId="43840" xr:uid="{EE339D09-126A-4473-A1B2-8EDF995190FB}"/>
    <cellStyle name="Percent 2 3 9 5" xfId="43837" xr:uid="{6F9D6083-FD5C-4EA0-ADC4-34C9AF5919CA}"/>
    <cellStyle name="Percent 2 30" xfId="2636" xr:uid="{00000000-0005-0000-0000-0000EE2A0000}"/>
    <cellStyle name="Percent 2 30 2" xfId="10049" xr:uid="{00000000-0005-0000-0000-0000EF2A0000}"/>
    <cellStyle name="Percent 2 30 2 2" xfId="43842" xr:uid="{D1AAA758-0969-4EF1-B73F-033A981F48F3}"/>
    <cellStyle name="Percent 2 30 3" xfId="12484" xr:uid="{00000000-0005-0000-0000-0000F02A0000}"/>
    <cellStyle name="Percent 2 30 3 2" xfId="43843" xr:uid="{A1DDA0A6-E4E8-4014-A6F2-522546D86550}"/>
    <cellStyle name="Percent 2 30 4" xfId="8545" xr:uid="{00000000-0005-0000-0000-0000F12A0000}"/>
    <cellStyle name="Percent 2 30 4 2" xfId="43844" xr:uid="{33D3C2D5-86D2-472F-AA92-41C1E70798D4}"/>
    <cellStyle name="Percent 2 30 5" xfId="43841" xr:uid="{455A341B-CD6B-47C7-96BD-BAB705FC9450}"/>
    <cellStyle name="Percent 2 31" xfId="2637" xr:uid="{00000000-0005-0000-0000-0000F22A0000}"/>
    <cellStyle name="Percent 2 31 2" xfId="10050" xr:uid="{00000000-0005-0000-0000-0000F32A0000}"/>
    <cellStyle name="Percent 2 31 2 2" xfId="43846" xr:uid="{5367ECC5-272A-4AEF-AD0C-4CB18D48ACDF}"/>
    <cellStyle name="Percent 2 31 3" xfId="12666" xr:uid="{00000000-0005-0000-0000-0000F42A0000}"/>
    <cellStyle name="Percent 2 31 3 2" xfId="43847" xr:uid="{0B33F0C8-0305-44A5-8542-FE5F4C170F22}"/>
    <cellStyle name="Percent 2 31 4" xfId="8546" xr:uid="{00000000-0005-0000-0000-0000F52A0000}"/>
    <cellStyle name="Percent 2 31 4 2" xfId="43848" xr:uid="{2EB7315F-72EE-4BAE-AD72-ACE763C20C18}"/>
    <cellStyle name="Percent 2 31 5" xfId="43845" xr:uid="{356C497A-5AF2-42E4-A463-3F9830EF6AFD}"/>
    <cellStyle name="Percent 2 32" xfId="2638" xr:uid="{00000000-0005-0000-0000-0000F62A0000}"/>
    <cellStyle name="Percent 2 32 2" xfId="10051" xr:uid="{00000000-0005-0000-0000-0000F72A0000}"/>
    <cellStyle name="Percent 2 32 2 2" xfId="43850" xr:uid="{7335B1C9-70C8-43B9-A0EF-E111F035468D}"/>
    <cellStyle name="Percent 2 32 3" xfId="12416" xr:uid="{00000000-0005-0000-0000-0000F82A0000}"/>
    <cellStyle name="Percent 2 32 3 2" xfId="43851" xr:uid="{6212029C-A898-410E-B21A-4A90827D4BF3}"/>
    <cellStyle name="Percent 2 32 4" xfId="8547" xr:uid="{00000000-0005-0000-0000-0000F92A0000}"/>
    <cellStyle name="Percent 2 32 4 2" xfId="43852" xr:uid="{EC07CBC8-B075-4FC9-8E1E-0BB4183DBE39}"/>
    <cellStyle name="Percent 2 32 5" xfId="43849" xr:uid="{E3BAFF95-1D88-48A2-AAF7-9847D7193082}"/>
    <cellStyle name="Percent 2 33" xfId="2639" xr:uid="{00000000-0005-0000-0000-0000FA2A0000}"/>
    <cellStyle name="Percent 2 33 2" xfId="10052" xr:uid="{00000000-0005-0000-0000-0000FB2A0000}"/>
    <cellStyle name="Percent 2 33 2 2" xfId="43854" xr:uid="{25E4DA02-A88E-4F94-977C-E5B375F53011}"/>
    <cellStyle name="Percent 2 33 3" xfId="12897" xr:uid="{00000000-0005-0000-0000-0000FC2A0000}"/>
    <cellStyle name="Percent 2 33 3 2" xfId="43855" xr:uid="{B2FF8CDD-E72E-4A4C-8B72-515ED23EA501}"/>
    <cellStyle name="Percent 2 33 4" xfId="8548" xr:uid="{00000000-0005-0000-0000-0000FD2A0000}"/>
    <cellStyle name="Percent 2 33 4 2" xfId="43856" xr:uid="{B19D181E-376D-4246-A10D-1C200F652905}"/>
    <cellStyle name="Percent 2 33 5" xfId="43853" xr:uid="{7BDF8B9C-0750-445C-8753-BE817A825F17}"/>
    <cellStyle name="Percent 2 34" xfId="2640" xr:uid="{00000000-0005-0000-0000-0000FE2A0000}"/>
    <cellStyle name="Percent 2 34 2" xfId="10053" xr:uid="{00000000-0005-0000-0000-0000FF2A0000}"/>
    <cellStyle name="Percent 2 34 2 2" xfId="43858" xr:uid="{85CDC64E-0037-4E70-8F9B-BA4DCC82747B}"/>
    <cellStyle name="Percent 2 34 3" xfId="14417" xr:uid="{00000000-0005-0000-0000-0000002B0000}"/>
    <cellStyle name="Percent 2 34 3 2" xfId="43859" xr:uid="{AC6B91C2-6E58-4459-8B46-7E82450FF218}"/>
    <cellStyle name="Percent 2 34 4" xfId="8549" xr:uid="{00000000-0005-0000-0000-0000012B0000}"/>
    <cellStyle name="Percent 2 34 4 2" xfId="43860" xr:uid="{8AA91F43-B8DA-45CB-8354-D47027EFBEA2}"/>
    <cellStyle name="Percent 2 34 5" xfId="43857" xr:uid="{CCC61BAE-FA23-4DFE-BD71-16A63EFEEE40}"/>
    <cellStyle name="Percent 2 35" xfId="2641" xr:uid="{00000000-0005-0000-0000-0000022B0000}"/>
    <cellStyle name="Percent 2 35 2" xfId="10054" xr:uid="{00000000-0005-0000-0000-0000032B0000}"/>
    <cellStyle name="Percent 2 35 2 2" xfId="43862" xr:uid="{D840A140-E73D-478A-9B11-4D8A3BABC3E5}"/>
    <cellStyle name="Percent 2 35 3" xfId="12625" xr:uid="{00000000-0005-0000-0000-0000042B0000}"/>
    <cellStyle name="Percent 2 35 3 2" xfId="43863" xr:uid="{5D377545-4C4D-4F35-AB9D-BE34DC6EF8FB}"/>
    <cellStyle name="Percent 2 35 4" xfId="8550" xr:uid="{00000000-0005-0000-0000-0000052B0000}"/>
    <cellStyle name="Percent 2 35 4 2" xfId="43864" xr:uid="{190166D9-7F3D-4DE8-8C8D-BDE7E8196A6D}"/>
    <cellStyle name="Percent 2 35 5" xfId="43861" xr:uid="{197D065E-B8F2-4410-93DA-0119A224CDC2}"/>
    <cellStyle name="Percent 2 36" xfId="2642" xr:uid="{00000000-0005-0000-0000-0000062B0000}"/>
    <cellStyle name="Percent 2 36 2" xfId="10055" xr:uid="{00000000-0005-0000-0000-0000072B0000}"/>
    <cellStyle name="Percent 2 36 2 2" xfId="43866" xr:uid="{0B3E59F7-1B7F-4261-A13E-003EC74D8097}"/>
    <cellStyle name="Percent 2 36 3" xfId="14407" xr:uid="{00000000-0005-0000-0000-0000082B0000}"/>
    <cellStyle name="Percent 2 36 3 2" xfId="43867" xr:uid="{8EC4F8BC-9447-4FF3-A664-F352E3457791}"/>
    <cellStyle name="Percent 2 36 4" xfId="8551" xr:uid="{00000000-0005-0000-0000-0000092B0000}"/>
    <cellStyle name="Percent 2 36 4 2" xfId="43868" xr:uid="{14C0518F-BA4D-4BEC-9045-80FC80B61D3D}"/>
    <cellStyle name="Percent 2 36 5" xfId="43865" xr:uid="{3F2DAF7A-5384-421F-9891-C564982A7A9D}"/>
    <cellStyle name="Percent 2 37" xfId="2643" xr:uid="{00000000-0005-0000-0000-00000A2B0000}"/>
    <cellStyle name="Percent 2 37 2" xfId="10056" xr:uid="{00000000-0005-0000-0000-00000B2B0000}"/>
    <cellStyle name="Percent 2 37 2 2" xfId="43870" xr:uid="{5B739299-647A-4E00-B914-014BD11456B4}"/>
    <cellStyle name="Percent 2 37 3" xfId="16319" xr:uid="{00000000-0005-0000-0000-00000C2B0000}"/>
    <cellStyle name="Percent 2 37 3 2" xfId="43871" xr:uid="{7E8586ED-41B1-4C13-823B-C25124242BB8}"/>
    <cellStyle name="Percent 2 37 4" xfId="8552" xr:uid="{00000000-0005-0000-0000-00000D2B0000}"/>
    <cellStyle name="Percent 2 37 4 2" xfId="43872" xr:uid="{F3F4A59D-2F49-4F60-A136-0EAB67E99523}"/>
    <cellStyle name="Percent 2 37 5" xfId="43869" xr:uid="{21A54B65-2F33-401B-822C-74F807A0BF3E}"/>
    <cellStyle name="Percent 2 38" xfId="2644" xr:uid="{00000000-0005-0000-0000-00000E2B0000}"/>
    <cellStyle name="Percent 2 38 2" xfId="10057" xr:uid="{00000000-0005-0000-0000-00000F2B0000}"/>
    <cellStyle name="Percent 2 38 2 2" xfId="43874" xr:uid="{FEE3EF0B-849A-4FC6-8304-3738327E6CB5}"/>
    <cellStyle name="Percent 2 38 3" xfId="12591" xr:uid="{00000000-0005-0000-0000-0000102B0000}"/>
    <cellStyle name="Percent 2 38 3 2" xfId="43875" xr:uid="{B3AF80EF-0180-4CCB-A540-058923C3024C}"/>
    <cellStyle name="Percent 2 38 4" xfId="8553" xr:uid="{00000000-0005-0000-0000-0000112B0000}"/>
    <cellStyle name="Percent 2 38 4 2" xfId="43876" xr:uid="{A0F452A5-F190-4101-89E7-98E021995CDE}"/>
    <cellStyle name="Percent 2 38 5" xfId="43873" xr:uid="{72754217-CA8C-4AA1-8F61-48B04FA0FC8B}"/>
    <cellStyle name="Percent 2 39" xfId="2645" xr:uid="{00000000-0005-0000-0000-0000122B0000}"/>
    <cellStyle name="Percent 2 39 2" xfId="10058" xr:uid="{00000000-0005-0000-0000-0000132B0000}"/>
    <cellStyle name="Percent 2 39 2 2" xfId="43878" xr:uid="{A02B4166-922F-4377-9F60-5E1439C9582E}"/>
    <cellStyle name="Percent 2 39 3" xfId="16275" xr:uid="{00000000-0005-0000-0000-0000142B0000}"/>
    <cellStyle name="Percent 2 39 3 2" xfId="43879" xr:uid="{B11B0B1A-A6FE-4CAB-A86B-7A3865554E9D}"/>
    <cellStyle name="Percent 2 39 4" xfId="8554" xr:uid="{00000000-0005-0000-0000-0000152B0000}"/>
    <cellStyle name="Percent 2 39 4 2" xfId="43880" xr:uid="{D137965B-1B04-42E6-BFD6-E90D3486450E}"/>
    <cellStyle name="Percent 2 39 5" xfId="43877" xr:uid="{BDCD82A1-667E-4E89-BD57-61B4555896BD}"/>
    <cellStyle name="Percent 2 4" xfId="214" xr:uid="{00000000-0005-0000-0000-0000162B0000}"/>
    <cellStyle name="Percent 2 4 10" xfId="2646" xr:uid="{00000000-0005-0000-0000-0000172B0000}"/>
    <cellStyle name="Percent 2 4 10 2" xfId="10060" xr:uid="{00000000-0005-0000-0000-0000182B0000}"/>
    <cellStyle name="Percent 2 4 10 2 2" xfId="43883" xr:uid="{F2FDAFED-A234-4691-A8B8-FA88875DFF37}"/>
    <cellStyle name="Percent 2 4 10 3" xfId="12626" xr:uid="{00000000-0005-0000-0000-0000192B0000}"/>
    <cellStyle name="Percent 2 4 10 3 2" xfId="43884" xr:uid="{18164BDB-FBA8-4644-87B7-4B66391BCB11}"/>
    <cellStyle name="Percent 2 4 10 4" xfId="8556" xr:uid="{00000000-0005-0000-0000-00001A2B0000}"/>
    <cellStyle name="Percent 2 4 10 4 2" xfId="43885" xr:uid="{EA5B7367-C456-4A26-8577-737FC810FC15}"/>
    <cellStyle name="Percent 2 4 10 5" xfId="43882" xr:uid="{44946ED2-B4C4-462B-A691-1081E9A9872F}"/>
    <cellStyle name="Percent 2 4 11" xfId="2647" xr:uid="{00000000-0005-0000-0000-00001B2B0000}"/>
    <cellStyle name="Percent 2 4 11 2" xfId="10061" xr:uid="{00000000-0005-0000-0000-00001C2B0000}"/>
    <cellStyle name="Percent 2 4 11 2 2" xfId="43887" xr:uid="{5431326B-3827-440A-9D54-99E422EF1212}"/>
    <cellStyle name="Percent 2 4 11 3" xfId="12532" xr:uid="{00000000-0005-0000-0000-00001D2B0000}"/>
    <cellStyle name="Percent 2 4 11 3 2" xfId="43888" xr:uid="{F6CF9BD5-652E-400C-A840-AA79F4086CBD}"/>
    <cellStyle name="Percent 2 4 11 4" xfId="8557" xr:uid="{00000000-0005-0000-0000-00001E2B0000}"/>
    <cellStyle name="Percent 2 4 11 4 2" xfId="43889" xr:uid="{3AC3254A-D3FC-4546-8355-1B8BB30707F7}"/>
    <cellStyle name="Percent 2 4 11 5" xfId="43886" xr:uid="{0D4F214C-7EDA-4E45-967C-34AB3EFFC10E}"/>
    <cellStyle name="Percent 2 4 12" xfId="2648" xr:uid="{00000000-0005-0000-0000-00001F2B0000}"/>
    <cellStyle name="Percent 2 4 12 2" xfId="10062" xr:uid="{00000000-0005-0000-0000-0000202B0000}"/>
    <cellStyle name="Percent 2 4 12 2 2" xfId="43891" xr:uid="{2AA913A4-0ECC-4528-91DC-F174019BD6D9}"/>
    <cellStyle name="Percent 2 4 12 3" xfId="16147" xr:uid="{00000000-0005-0000-0000-0000212B0000}"/>
    <cellStyle name="Percent 2 4 12 3 2" xfId="43892" xr:uid="{6E86DB86-37F6-45A0-9BB3-43BAEDF6705E}"/>
    <cellStyle name="Percent 2 4 12 4" xfId="8558" xr:uid="{00000000-0005-0000-0000-0000222B0000}"/>
    <cellStyle name="Percent 2 4 12 4 2" xfId="43893" xr:uid="{060509D8-8DB8-4555-836C-109C1A3B98C7}"/>
    <cellStyle name="Percent 2 4 12 5" xfId="43890" xr:uid="{E47B198B-2D59-46D5-AD95-B03C39BDC65D}"/>
    <cellStyle name="Percent 2 4 13" xfId="2649" xr:uid="{00000000-0005-0000-0000-0000232B0000}"/>
    <cellStyle name="Percent 2 4 13 2" xfId="10063" xr:uid="{00000000-0005-0000-0000-0000242B0000}"/>
    <cellStyle name="Percent 2 4 13 2 2" xfId="43895" xr:uid="{220094C6-F83A-4B9D-BD35-178D47E8A74A}"/>
    <cellStyle name="Percent 2 4 13 3" xfId="12737" xr:uid="{00000000-0005-0000-0000-0000252B0000}"/>
    <cellStyle name="Percent 2 4 13 3 2" xfId="43896" xr:uid="{B97669A4-4D7C-4AD8-A587-33F055E264AE}"/>
    <cellStyle name="Percent 2 4 13 4" xfId="8559" xr:uid="{00000000-0005-0000-0000-0000262B0000}"/>
    <cellStyle name="Percent 2 4 13 4 2" xfId="43897" xr:uid="{083C81C0-D4EB-4A5D-ABFB-04E5917AF02A}"/>
    <cellStyle name="Percent 2 4 13 5" xfId="43894" xr:uid="{B8889309-7AE6-4D7A-BDB6-040727A4DF48}"/>
    <cellStyle name="Percent 2 4 14" xfId="2650" xr:uid="{00000000-0005-0000-0000-0000272B0000}"/>
    <cellStyle name="Percent 2 4 14 2" xfId="10064" xr:uid="{00000000-0005-0000-0000-0000282B0000}"/>
    <cellStyle name="Percent 2 4 14 2 2" xfId="43899" xr:uid="{9898EB7A-75E9-4D0D-AD4E-663BF6D23913}"/>
    <cellStyle name="Percent 2 4 14 3" xfId="16335" xr:uid="{00000000-0005-0000-0000-0000292B0000}"/>
    <cellStyle name="Percent 2 4 14 3 2" xfId="43900" xr:uid="{96EBEC17-C866-4B89-B4F0-AFC85F2562E0}"/>
    <cellStyle name="Percent 2 4 14 4" xfId="8560" xr:uid="{00000000-0005-0000-0000-00002A2B0000}"/>
    <cellStyle name="Percent 2 4 14 4 2" xfId="43901" xr:uid="{FDEF7E82-5350-41F3-BD20-507CD5E74024}"/>
    <cellStyle name="Percent 2 4 14 5" xfId="43898" xr:uid="{7EDEC871-5E1A-4BFA-86E3-D04532773A83}"/>
    <cellStyle name="Percent 2 4 15" xfId="2651" xr:uid="{00000000-0005-0000-0000-00002B2B0000}"/>
    <cellStyle name="Percent 2 4 15 2" xfId="10065" xr:uid="{00000000-0005-0000-0000-00002C2B0000}"/>
    <cellStyle name="Percent 2 4 15 2 2" xfId="43903" xr:uid="{2D3905DD-0EC4-4346-99C4-0F6692DB1343}"/>
    <cellStyle name="Percent 2 4 15 3" xfId="12559" xr:uid="{00000000-0005-0000-0000-00002D2B0000}"/>
    <cellStyle name="Percent 2 4 15 3 2" xfId="43904" xr:uid="{BB9C5A09-7289-403A-8904-7D267D996583}"/>
    <cellStyle name="Percent 2 4 15 4" xfId="8561" xr:uid="{00000000-0005-0000-0000-00002E2B0000}"/>
    <cellStyle name="Percent 2 4 15 4 2" xfId="43905" xr:uid="{8947E48C-7C96-4857-963B-23844B845760}"/>
    <cellStyle name="Percent 2 4 15 5" xfId="43902" xr:uid="{5FDAB40F-03FE-431D-A1B6-848E5B2AE141}"/>
    <cellStyle name="Percent 2 4 16" xfId="2652" xr:uid="{00000000-0005-0000-0000-00002F2B0000}"/>
    <cellStyle name="Percent 2 4 16 2" xfId="12911" xr:uid="{00000000-0005-0000-0000-0000302B0000}"/>
    <cellStyle name="Percent 2 4 16 2 2" xfId="43908" xr:uid="{2E8ADC19-EDEF-4563-9D9B-51A89662BB29}"/>
    <cellStyle name="Percent 2 4 16 2 3" xfId="43907" xr:uid="{CDD9A96C-6BE9-4805-A6FD-AC26904BF6A1}"/>
    <cellStyle name="Percent 2 4 16 3" xfId="12548" xr:uid="{00000000-0005-0000-0000-0000312B0000}"/>
    <cellStyle name="Percent 2 4 16 3 2" xfId="43909" xr:uid="{DDECC368-4916-43E3-A2E7-0626597F3EF9}"/>
    <cellStyle name="Percent 2 4 16 4" xfId="8562" xr:uid="{00000000-0005-0000-0000-0000322B0000}"/>
    <cellStyle name="Percent 2 4 16 4 2" xfId="43910" xr:uid="{9CE325E4-2FE6-4921-9C17-9055FBA3FEE2}"/>
    <cellStyle name="Percent 2 4 16 5" xfId="43911" xr:uid="{257227A1-DA4C-4C0F-AD28-BDB92D883CD1}"/>
    <cellStyle name="Percent 2 4 16 6" xfId="43906" xr:uid="{57780798-8C01-4D7E-9BE8-6F8A7C62EF61}"/>
    <cellStyle name="Percent 2 4 17" xfId="5809" xr:uid="{00000000-0005-0000-0000-0000332B0000}"/>
    <cellStyle name="Percent 2 4 17 2" xfId="14386" xr:uid="{00000000-0005-0000-0000-0000342B0000}"/>
    <cellStyle name="Percent 2 4 17 2 2" xfId="43913" xr:uid="{75B11D2E-E574-418A-8938-AC5ED130C5B6}"/>
    <cellStyle name="Percent 2 4 17 3" xfId="13753" xr:uid="{00000000-0005-0000-0000-0000352B0000}"/>
    <cellStyle name="Percent 2 4 17 3 2" xfId="43914" xr:uid="{70A6F5CF-F506-46D5-AA66-B76C2B248AC3}"/>
    <cellStyle name="Percent 2 4 17 4" xfId="8563" xr:uid="{00000000-0005-0000-0000-0000362B0000}"/>
    <cellStyle name="Percent 2 4 17 4 2" xfId="43915" xr:uid="{6162291F-3729-4848-8FFD-7ABBD7CA64BA}"/>
    <cellStyle name="Percent 2 4 17 5" xfId="43912" xr:uid="{81C50C65-9E29-42FA-9358-65E048B60A2F}"/>
    <cellStyle name="Percent 2 4 18" xfId="10059" xr:uid="{00000000-0005-0000-0000-0000372B0000}"/>
    <cellStyle name="Percent 2 4 18 2" xfId="43916" xr:uid="{DDAC4766-A184-4509-802E-006072C2CCAE}"/>
    <cellStyle name="Percent 2 4 19" xfId="12439" xr:uid="{00000000-0005-0000-0000-0000382B0000}"/>
    <cellStyle name="Percent 2 4 19 2" xfId="43917" xr:uid="{06EC6FCB-6823-4D0B-A507-2437BCD58FC0}"/>
    <cellStyle name="Percent 2 4 2" xfId="2653" xr:uid="{00000000-0005-0000-0000-0000392B0000}"/>
    <cellStyle name="Percent 2 4 2 2" xfId="10066" xr:uid="{00000000-0005-0000-0000-00003A2B0000}"/>
    <cellStyle name="Percent 2 4 2 2 2" xfId="43919" xr:uid="{CEA797F8-2347-4748-B25B-34523BDE96E9}"/>
    <cellStyle name="Percent 2 4 2 3" xfId="12862" xr:uid="{00000000-0005-0000-0000-00003B2B0000}"/>
    <cellStyle name="Percent 2 4 2 3 2" xfId="43920" xr:uid="{F031A3D7-5A79-4D72-B2CF-8FF02305CE0A}"/>
    <cellStyle name="Percent 2 4 2 4" xfId="8564" xr:uid="{00000000-0005-0000-0000-00003C2B0000}"/>
    <cellStyle name="Percent 2 4 2 4 2" xfId="43921" xr:uid="{BC9F479B-FA3D-4318-A3A4-49D439431C72}"/>
    <cellStyle name="Percent 2 4 2 5" xfId="43918" xr:uid="{D8E55B7C-82C6-4FAE-ACDA-D52A4B303B6E}"/>
    <cellStyle name="Percent 2 4 20" xfId="16389" xr:uid="{00000000-0005-0000-0000-00003D2B0000}"/>
    <cellStyle name="Percent 2 4 20 2" xfId="43922" xr:uid="{46BFE06A-2213-4A5E-A24C-ADF35081F867}"/>
    <cellStyle name="Percent 2 4 21" xfId="8555" xr:uid="{00000000-0005-0000-0000-00003E2B0000}"/>
    <cellStyle name="Percent 2 4 21 2" xfId="43923" xr:uid="{85C251FA-C296-406D-B207-1C8693ACCEA0}"/>
    <cellStyle name="Percent 2 4 22" xfId="43881" xr:uid="{F4B30690-FDFB-43EA-9C4C-DB62A7689A6A}"/>
    <cellStyle name="Percent 2 4 3" xfId="2654" xr:uid="{00000000-0005-0000-0000-00003F2B0000}"/>
    <cellStyle name="Percent 2 4 3 2" xfId="10067" xr:uid="{00000000-0005-0000-0000-0000402B0000}"/>
    <cellStyle name="Percent 2 4 3 2 2" xfId="43925" xr:uid="{77E842D4-4504-4E9A-B87B-27E734E8DCD3}"/>
    <cellStyle name="Percent 2 4 3 3" xfId="12840" xr:uid="{00000000-0005-0000-0000-0000412B0000}"/>
    <cellStyle name="Percent 2 4 3 3 2" xfId="43926" xr:uid="{C329ED10-F50D-4800-A1FF-50B80E183C50}"/>
    <cellStyle name="Percent 2 4 3 4" xfId="8565" xr:uid="{00000000-0005-0000-0000-0000422B0000}"/>
    <cellStyle name="Percent 2 4 3 4 2" xfId="43927" xr:uid="{9008DEB0-E49F-4477-85BA-022BA46B89AF}"/>
    <cellStyle name="Percent 2 4 3 5" xfId="43924" xr:uid="{1B69E900-A5BA-447B-BB4E-9C3DB8FF30DF}"/>
    <cellStyle name="Percent 2 4 4" xfId="2655" xr:uid="{00000000-0005-0000-0000-0000432B0000}"/>
    <cellStyle name="Percent 2 4 4 2" xfId="10068" xr:uid="{00000000-0005-0000-0000-0000442B0000}"/>
    <cellStyle name="Percent 2 4 4 2 2" xfId="43929" xr:uid="{204013F6-B1A6-4464-ABB8-D05E6BAD8761}"/>
    <cellStyle name="Percent 2 4 4 3" xfId="16296" xr:uid="{00000000-0005-0000-0000-0000452B0000}"/>
    <cellStyle name="Percent 2 4 4 3 2" xfId="43930" xr:uid="{06FA796C-25FE-4215-8F22-EFA99EB6F775}"/>
    <cellStyle name="Percent 2 4 4 4" xfId="8566" xr:uid="{00000000-0005-0000-0000-0000462B0000}"/>
    <cellStyle name="Percent 2 4 4 4 2" xfId="43931" xr:uid="{CAE67949-37C5-47A7-85C4-BB6C98D1FFC2}"/>
    <cellStyle name="Percent 2 4 4 5" xfId="43928" xr:uid="{C36E3627-76CA-49AC-B058-F63C28EE5921}"/>
    <cellStyle name="Percent 2 4 5" xfId="2656" xr:uid="{00000000-0005-0000-0000-0000472B0000}"/>
    <cellStyle name="Percent 2 4 5 2" xfId="10069" xr:uid="{00000000-0005-0000-0000-0000482B0000}"/>
    <cellStyle name="Percent 2 4 5 2 2" xfId="43933" xr:uid="{2290E636-B206-4331-8B48-087D68E9AA3A}"/>
    <cellStyle name="Percent 2 4 5 3" xfId="13734" xr:uid="{00000000-0005-0000-0000-0000492B0000}"/>
    <cellStyle name="Percent 2 4 5 3 2" xfId="43934" xr:uid="{B7A73C34-7B4B-44CB-8FE1-DBCC7380D87D}"/>
    <cellStyle name="Percent 2 4 5 4" xfId="8567" xr:uid="{00000000-0005-0000-0000-00004A2B0000}"/>
    <cellStyle name="Percent 2 4 5 4 2" xfId="43935" xr:uid="{93273085-E7C4-463D-AFD8-9C9E623F3A1D}"/>
    <cellStyle name="Percent 2 4 5 5" xfId="43932" xr:uid="{C1418CDD-F86C-4F32-8130-A308CFE5E14A}"/>
    <cellStyle name="Percent 2 4 6" xfId="2657" xr:uid="{00000000-0005-0000-0000-00004B2B0000}"/>
    <cellStyle name="Percent 2 4 6 2" xfId="10070" xr:uid="{00000000-0005-0000-0000-00004C2B0000}"/>
    <cellStyle name="Percent 2 4 6 2 2" xfId="43937" xr:uid="{724CC1CA-58E6-4808-9CDC-A174BCF2C4BD}"/>
    <cellStyle name="Percent 2 4 6 3" xfId="16352" xr:uid="{00000000-0005-0000-0000-00004D2B0000}"/>
    <cellStyle name="Percent 2 4 6 3 2" xfId="43938" xr:uid="{890B33D0-C3A5-470D-B94B-BE9811346074}"/>
    <cellStyle name="Percent 2 4 6 4" xfId="8568" xr:uid="{00000000-0005-0000-0000-00004E2B0000}"/>
    <cellStyle name="Percent 2 4 6 4 2" xfId="43939" xr:uid="{C11D6F25-0410-48BB-9806-D9DFE12EA785}"/>
    <cellStyle name="Percent 2 4 6 5" xfId="43936" xr:uid="{C8175BC9-1C0B-435A-95C8-B80F9E7B58C8}"/>
    <cellStyle name="Percent 2 4 7" xfId="2658" xr:uid="{00000000-0005-0000-0000-00004F2B0000}"/>
    <cellStyle name="Percent 2 4 7 2" xfId="10071" xr:uid="{00000000-0005-0000-0000-0000502B0000}"/>
    <cellStyle name="Percent 2 4 7 2 2" xfId="43941" xr:uid="{C42CC4EB-7501-4851-B4ED-E7C20B14AF22}"/>
    <cellStyle name="Percent 2 4 7 3" xfId="13083" xr:uid="{00000000-0005-0000-0000-0000512B0000}"/>
    <cellStyle name="Percent 2 4 7 3 2" xfId="43942" xr:uid="{F190A71B-8611-479A-BFCC-31804CA097C8}"/>
    <cellStyle name="Percent 2 4 7 4" xfId="8569" xr:uid="{00000000-0005-0000-0000-0000522B0000}"/>
    <cellStyle name="Percent 2 4 7 4 2" xfId="43943" xr:uid="{686F85E3-668B-449A-8E0D-4B5FA4F5F9AE}"/>
    <cellStyle name="Percent 2 4 7 5" xfId="43940" xr:uid="{564B5454-9A67-4831-9DDB-4A42575FC72D}"/>
    <cellStyle name="Percent 2 4 8" xfId="2659" xr:uid="{00000000-0005-0000-0000-0000532B0000}"/>
    <cellStyle name="Percent 2 4 8 2" xfId="10072" xr:uid="{00000000-0005-0000-0000-0000542B0000}"/>
    <cellStyle name="Percent 2 4 8 2 2" xfId="43945" xr:uid="{E4BB6CC5-75F3-48A0-8B2C-3B507598B726}"/>
    <cellStyle name="Percent 2 4 8 3" xfId="14318" xr:uid="{00000000-0005-0000-0000-0000552B0000}"/>
    <cellStyle name="Percent 2 4 8 3 2" xfId="43946" xr:uid="{356796F3-D06D-4AC9-A614-EF0E8C20E066}"/>
    <cellStyle name="Percent 2 4 8 4" xfId="8570" xr:uid="{00000000-0005-0000-0000-0000562B0000}"/>
    <cellStyle name="Percent 2 4 8 4 2" xfId="43947" xr:uid="{171B8971-5AE8-4225-BE9A-A17D7FD14258}"/>
    <cellStyle name="Percent 2 4 8 5" xfId="43944" xr:uid="{8C0D0E19-9B40-4E87-B684-F383BF80A226}"/>
    <cellStyle name="Percent 2 4 9" xfId="2660" xr:uid="{00000000-0005-0000-0000-0000572B0000}"/>
    <cellStyle name="Percent 2 4 9 2" xfId="10073" xr:uid="{00000000-0005-0000-0000-0000582B0000}"/>
    <cellStyle name="Percent 2 4 9 2 2" xfId="43949" xr:uid="{8AF6FA6D-342F-4F1B-AB10-33C2C8FA8E30}"/>
    <cellStyle name="Percent 2 4 9 3" xfId="12806" xr:uid="{00000000-0005-0000-0000-0000592B0000}"/>
    <cellStyle name="Percent 2 4 9 3 2" xfId="43950" xr:uid="{DC87A771-55E3-4D01-81EB-75DC1E04D567}"/>
    <cellStyle name="Percent 2 4 9 4" xfId="8571" xr:uid="{00000000-0005-0000-0000-00005A2B0000}"/>
    <cellStyle name="Percent 2 4 9 4 2" xfId="43951" xr:uid="{B10D0F1B-3B64-4D91-98F9-AE5165EC5A24}"/>
    <cellStyle name="Percent 2 4 9 5" xfId="43948" xr:uid="{310DD9DA-7BBF-4322-A1EB-F88B160EE0BD}"/>
    <cellStyle name="Percent 2 40" xfId="2661" xr:uid="{00000000-0005-0000-0000-00005B2B0000}"/>
    <cellStyle name="Percent 2 40 2" xfId="10074" xr:uid="{00000000-0005-0000-0000-00005C2B0000}"/>
    <cellStyle name="Percent 2 40 2 2" xfId="43953" xr:uid="{CA2FC27A-D69A-43F7-A11B-4E333D7290F6}"/>
    <cellStyle name="Percent 2 40 3" xfId="16472" xr:uid="{00000000-0005-0000-0000-00005D2B0000}"/>
    <cellStyle name="Percent 2 40 3 2" xfId="43954" xr:uid="{AF686B4B-7675-49C5-82F9-29A40521F85B}"/>
    <cellStyle name="Percent 2 40 4" xfId="8572" xr:uid="{00000000-0005-0000-0000-00005E2B0000}"/>
    <cellStyle name="Percent 2 40 4 2" xfId="43955" xr:uid="{4F4F8435-45C1-4B48-94F0-745DDD9D6EAC}"/>
    <cellStyle name="Percent 2 40 5" xfId="43952" xr:uid="{896EE202-13B5-4B20-A8A1-257029EB8843}"/>
    <cellStyle name="Percent 2 41" xfId="2662" xr:uid="{00000000-0005-0000-0000-00005F2B0000}"/>
    <cellStyle name="Percent 2 41 2" xfId="10075" xr:uid="{00000000-0005-0000-0000-0000602B0000}"/>
    <cellStyle name="Percent 2 41 2 2" xfId="43957" xr:uid="{6DDF3E72-B5D2-4B6F-AC73-6CB459DD8211}"/>
    <cellStyle name="Percent 2 41 3" xfId="12718" xr:uid="{00000000-0005-0000-0000-0000612B0000}"/>
    <cellStyle name="Percent 2 41 3 2" xfId="43958" xr:uid="{365BA6FA-99D5-4C2F-9FBE-5B676762E124}"/>
    <cellStyle name="Percent 2 41 4" xfId="8573" xr:uid="{00000000-0005-0000-0000-0000622B0000}"/>
    <cellStyle name="Percent 2 41 4 2" xfId="43959" xr:uid="{B0F83EDF-3B8C-4A58-B10B-BA441EE0C06E}"/>
    <cellStyle name="Percent 2 41 5" xfId="43956" xr:uid="{A41180A4-F08F-48DE-9B9A-54E874DA23BB}"/>
    <cellStyle name="Percent 2 42" xfId="2663" xr:uid="{00000000-0005-0000-0000-0000632B0000}"/>
    <cellStyle name="Percent 2 42 2" xfId="10076" xr:uid="{00000000-0005-0000-0000-0000642B0000}"/>
    <cellStyle name="Percent 2 42 2 2" xfId="43961" xr:uid="{8FB02CEE-F611-46A9-8ACE-67AEF1848D08}"/>
    <cellStyle name="Percent 2 42 3" xfId="16423" xr:uid="{00000000-0005-0000-0000-0000652B0000}"/>
    <cellStyle name="Percent 2 42 3 2" xfId="43962" xr:uid="{30733CE7-C84B-4111-810D-365BA59131DD}"/>
    <cellStyle name="Percent 2 42 4" xfId="8574" xr:uid="{00000000-0005-0000-0000-0000662B0000}"/>
    <cellStyle name="Percent 2 42 4 2" xfId="43963" xr:uid="{DB76732F-1AB5-40A3-A92C-EA1F50662832}"/>
    <cellStyle name="Percent 2 42 5" xfId="43960" xr:uid="{545BE7CC-68BD-4DE2-BF94-5F5E633EC9B2}"/>
    <cellStyle name="Percent 2 43" xfId="2664" xr:uid="{00000000-0005-0000-0000-0000672B0000}"/>
    <cellStyle name="Percent 2 43 2" xfId="10077" xr:uid="{00000000-0005-0000-0000-0000682B0000}"/>
    <cellStyle name="Percent 2 43 2 2" xfId="43965" xr:uid="{18BC267C-7AAF-494E-9C18-A48FF2A306DD}"/>
    <cellStyle name="Percent 2 43 3" xfId="13482" xr:uid="{00000000-0005-0000-0000-0000692B0000}"/>
    <cellStyle name="Percent 2 43 3 2" xfId="43966" xr:uid="{8AB00518-13FB-433C-9372-1D4C1F7D7D61}"/>
    <cellStyle name="Percent 2 43 4" xfId="8575" xr:uid="{00000000-0005-0000-0000-00006A2B0000}"/>
    <cellStyle name="Percent 2 43 4 2" xfId="43967" xr:uid="{AA4DF8E7-264E-44F3-947E-6DC37775A9BC}"/>
    <cellStyle name="Percent 2 43 5" xfId="43964" xr:uid="{5E3734E3-E0B9-4764-8404-FD3AB228B18B}"/>
    <cellStyle name="Percent 2 44" xfId="2665" xr:uid="{00000000-0005-0000-0000-00006B2B0000}"/>
    <cellStyle name="Percent 2 44 2" xfId="10078" xr:uid="{00000000-0005-0000-0000-00006C2B0000}"/>
    <cellStyle name="Percent 2 44 2 2" xfId="43969" xr:uid="{51686FD6-18BF-4D72-9B55-2F21877C2757}"/>
    <cellStyle name="Percent 2 44 3" xfId="12922" xr:uid="{00000000-0005-0000-0000-00006D2B0000}"/>
    <cellStyle name="Percent 2 44 3 2" xfId="43970" xr:uid="{1D094B7F-3A48-4485-8836-D38751A203D2}"/>
    <cellStyle name="Percent 2 44 4" xfId="8576" xr:uid="{00000000-0005-0000-0000-00006E2B0000}"/>
    <cellStyle name="Percent 2 44 4 2" xfId="43971" xr:uid="{C4E3B1E5-41F5-4D6E-A571-D81FCD187549}"/>
    <cellStyle name="Percent 2 44 5" xfId="43968" xr:uid="{F72E3482-9097-4D36-8D03-F018481B2E96}"/>
    <cellStyle name="Percent 2 45" xfId="2666" xr:uid="{00000000-0005-0000-0000-00006F2B0000}"/>
    <cellStyle name="Percent 2 45 2" xfId="10079" xr:uid="{00000000-0005-0000-0000-0000702B0000}"/>
    <cellStyle name="Percent 2 45 2 2" xfId="43973" xr:uid="{E4E8F203-49AA-49DF-B7AD-680CFF19412F}"/>
    <cellStyle name="Percent 2 45 3" xfId="13732" xr:uid="{00000000-0005-0000-0000-0000712B0000}"/>
    <cellStyle name="Percent 2 45 3 2" xfId="43974" xr:uid="{68268576-50F2-4A07-8119-3C7E95E5B856}"/>
    <cellStyle name="Percent 2 45 4" xfId="8577" xr:uid="{00000000-0005-0000-0000-0000722B0000}"/>
    <cellStyle name="Percent 2 45 4 2" xfId="43975" xr:uid="{A1E492A1-2C12-48CB-92E6-8D62D6A431AD}"/>
    <cellStyle name="Percent 2 45 5" xfId="43972" xr:uid="{0D936119-948B-4D47-A910-0A64482A90BB}"/>
    <cellStyle name="Percent 2 46" xfId="2667" xr:uid="{00000000-0005-0000-0000-0000732B0000}"/>
    <cellStyle name="Percent 2 46 2" xfId="10080" xr:uid="{00000000-0005-0000-0000-0000742B0000}"/>
    <cellStyle name="Percent 2 46 2 2" xfId="43977" xr:uid="{50E432E9-3342-46C1-8395-F3B0440F230E}"/>
    <cellStyle name="Percent 2 46 3" xfId="16537" xr:uid="{00000000-0005-0000-0000-0000752B0000}"/>
    <cellStyle name="Percent 2 46 3 2" xfId="43978" xr:uid="{4176E8DE-D440-4117-A5E0-3435E809297F}"/>
    <cellStyle name="Percent 2 46 4" xfId="8578" xr:uid="{00000000-0005-0000-0000-0000762B0000}"/>
    <cellStyle name="Percent 2 46 4 2" xfId="43979" xr:uid="{81EAF7B5-CC00-485F-BF40-15F4116BBE91}"/>
    <cellStyle name="Percent 2 46 5" xfId="43976" xr:uid="{54EBF276-E621-4FB0-892E-E4B950FDB99F}"/>
    <cellStyle name="Percent 2 47" xfId="2668" xr:uid="{00000000-0005-0000-0000-0000772B0000}"/>
    <cellStyle name="Percent 2 47 2" xfId="10081" xr:uid="{00000000-0005-0000-0000-0000782B0000}"/>
    <cellStyle name="Percent 2 47 2 2" xfId="43981" xr:uid="{40EA4070-B765-49A7-944F-75D7AE53A5C1}"/>
    <cellStyle name="Percent 2 47 3" xfId="12633" xr:uid="{00000000-0005-0000-0000-0000792B0000}"/>
    <cellStyle name="Percent 2 47 3 2" xfId="43982" xr:uid="{C35160B1-DEC9-4359-AD50-ABC67A345F26}"/>
    <cellStyle name="Percent 2 47 4" xfId="8579" xr:uid="{00000000-0005-0000-0000-00007A2B0000}"/>
    <cellStyle name="Percent 2 47 4 2" xfId="43983" xr:uid="{A1D1D8A7-008F-4F58-8090-42B7C61A7013}"/>
    <cellStyle name="Percent 2 47 5" xfId="43980" xr:uid="{8DED08B8-1ACA-4247-8C25-54329B7E204B}"/>
    <cellStyle name="Percent 2 48" xfId="2669" xr:uid="{00000000-0005-0000-0000-00007B2B0000}"/>
    <cellStyle name="Percent 2 48 2" xfId="2670" xr:uid="{00000000-0005-0000-0000-00007C2B0000}"/>
    <cellStyle name="Percent 2 48 2 2" xfId="10083" xr:uid="{00000000-0005-0000-0000-00007D2B0000}"/>
    <cellStyle name="Percent 2 48 2 2 2" xfId="43986" xr:uid="{9C318198-22C5-4A1F-ACE2-EB5BD915A101}"/>
    <cellStyle name="Percent 2 48 2 3" xfId="13801" xr:uid="{00000000-0005-0000-0000-00007E2B0000}"/>
    <cellStyle name="Percent 2 48 2 3 2" xfId="43987" xr:uid="{0F411930-C0DB-4354-8424-A4F883860805}"/>
    <cellStyle name="Percent 2 48 2 4" xfId="8581" xr:uid="{00000000-0005-0000-0000-00007F2B0000}"/>
    <cellStyle name="Percent 2 48 2 4 2" xfId="43988" xr:uid="{0F25DEC9-BA81-4CC5-BF61-77A76932B860}"/>
    <cellStyle name="Percent 2 48 2 5" xfId="43985" xr:uid="{5F07080D-9288-4E44-99DA-514183059D97}"/>
    <cellStyle name="Percent 2 48 3" xfId="10084" xr:uid="{00000000-0005-0000-0000-0000802B0000}"/>
    <cellStyle name="Percent 2 48 3 2" xfId="43989" xr:uid="{8729E59F-9CAA-4891-9621-5D6D443F0FC7}"/>
    <cellStyle name="Percent 2 48 4" xfId="10082" xr:uid="{00000000-0005-0000-0000-0000812B0000}"/>
    <cellStyle name="Percent 2 48 4 2" xfId="43990" xr:uid="{3495A03A-2F94-4296-9EB7-9D3AB12E3A1F}"/>
    <cellStyle name="Percent 2 48 5" xfId="12393" xr:uid="{00000000-0005-0000-0000-0000822B0000}"/>
    <cellStyle name="Percent 2 48 5 2" xfId="43991" xr:uid="{DD317220-FD08-4ECB-9FC6-CD00196D1941}"/>
    <cellStyle name="Percent 2 48 6" xfId="8580" xr:uid="{00000000-0005-0000-0000-0000832B0000}"/>
    <cellStyle name="Percent 2 48 6 2" xfId="43992" xr:uid="{4666A8CE-5D61-4C57-A35D-75550B4C08B7}"/>
    <cellStyle name="Percent 2 48 7" xfId="43984" xr:uid="{A454ED50-B6CE-4A46-A39A-9D37D3BE4594}"/>
    <cellStyle name="Percent 2 49" xfId="2671" xr:uid="{00000000-0005-0000-0000-0000842B0000}"/>
    <cellStyle name="Percent 2 49 2" xfId="10086" xr:uid="{00000000-0005-0000-0000-0000852B0000}"/>
    <cellStyle name="Percent 2 49 2 2" xfId="43994" xr:uid="{FF424CA9-A455-431A-861D-09BF29DAD4D0}"/>
    <cellStyle name="Percent 2 49 3" xfId="10085" xr:uid="{00000000-0005-0000-0000-0000862B0000}"/>
    <cellStyle name="Percent 2 49 3 2" xfId="43995" xr:uid="{BF2A0405-9552-4737-89E5-F57F8AA297C2}"/>
    <cellStyle name="Percent 2 49 4" xfId="12665" xr:uid="{00000000-0005-0000-0000-0000872B0000}"/>
    <cellStyle name="Percent 2 49 4 2" xfId="43996" xr:uid="{D5B44C99-A3A0-4D38-A8B2-9F58E18CEF7B}"/>
    <cellStyle name="Percent 2 49 5" xfId="8582" xr:uid="{00000000-0005-0000-0000-0000882B0000}"/>
    <cellStyle name="Percent 2 49 5 2" xfId="43997" xr:uid="{605549F1-2C41-46F0-B23E-6CB4499F8284}"/>
    <cellStyle name="Percent 2 49 6" xfId="43993" xr:uid="{837C607C-671F-4BE0-80AB-85015A8F3438}"/>
    <cellStyle name="Percent 2 5" xfId="215" xr:uid="{00000000-0005-0000-0000-0000892B0000}"/>
    <cellStyle name="Percent 2 5 10" xfId="2672" xr:uid="{00000000-0005-0000-0000-00008A2B0000}"/>
    <cellStyle name="Percent 2 5 10 2" xfId="10088" xr:uid="{00000000-0005-0000-0000-00008B2B0000}"/>
    <cellStyle name="Percent 2 5 10 2 2" xfId="44000" xr:uid="{7DCF6172-2999-4A47-AC58-DAC65ACB9F9F}"/>
    <cellStyle name="Percent 2 5 10 3" xfId="16599" xr:uid="{00000000-0005-0000-0000-00008C2B0000}"/>
    <cellStyle name="Percent 2 5 10 3 2" xfId="44001" xr:uid="{09EF7A74-544B-4405-867A-EAF915543506}"/>
    <cellStyle name="Percent 2 5 10 4" xfId="8584" xr:uid="{00000000-0005-0000-0000-00008D2B0000}"/>
    <cellStyle name="Percent 2 5 10 4 2" xfId="44002" xr:uid="{D307F8E6-7828-4CC1-95FF-A7904A8C420E}"/>
    <cellStyle name="Percent 2 5 10 5" xfId="43999" xr:uid="{B1C99E74-9C60-4DEE-B204-522E8F6E42F1}"/>
    <cellStyle name="Percent 2 5 11" xfId="2673" xr:uid="{00000000-0005-0000-0000-00008E2B0000}"/>
    <cellStyle name="Percent 2 5 11 2" xfId="10089" xr:uid="{00000000-0005-0000-0000-00008F2B0000}"/>
    <cellStyle name="Percent 2 5 11 2 2" xfId="44004" xr:uid="{20EBC32E-6460-4AD4-A5BE-3B951F3D8C1C}"/>
    <cellStyle name="Percent 2 5 11 3" xfId="16262" xr:uid="{00000000-0005-0000-0000-0000902B0000}"/>
    <cellStyle name="Percent 2 5 11 3 2" xfId="44005" xr:uid="{E76725C6-1B22-4F29-99DA-E6ED0A22EF30}"/>
    <cellStyle name="Percent 2 5 11 4" xfId="8585" xr:uid="{00000000-0005-0000-0000-0000912B0000}"/>
    <cellStyle name="Percent 2 5 11 4 2" xfId="44006" xr:uid="{B699E0C7-1D12-4BA5-B4E8-5DC2BD822A56}"/>
    <cellStyle name="Percent 2 5 11 5" xfId="44003" xr:uid="{2B9DC9CB-0778-4941-BAF9-4E5EFD957271}"/>
    <cellStyle name="Percent 2 5 12" xfId="2674" xr:uid="{00000000-0005-0000-0000-0000922B0000}"/>
    <cellStyle name="Percent 2 5 12 2" xfId="10090" xr:uid="{00000000-0005-0000-0000-0000932B0000}"/>
    <cellStyle name="Percent 2 5 12 2 2" xfId="44008" xr:uid="{210075F8-12FE-42F1-BC13-1F2359BF5209}"/>
    <cellStyle name="Percent 2 5 12 3" xfId="12427" xr:uid="{00000000-0005-0000-0000-0000942B0000}"/>
    <cellStyle name="Percent 2 5 12 3 2" xfId="44009" xr:uid="{39789A28-8ACD-4D7D-908A-47661C41804E}"/>
    <cellStyle name="Percent 2 5 12 4" xfId="8586" xr:uid="{00000000-0005-0000-0000-0000952B0000}"/>
    <cellStyle name="Percent 2 5 12 4 2" xfId="44010" xr:uid="{9B249251-1D68-400A-846F-B572421C7115}"/>
    <cellStyle name="Percent 2 5 12 5" xfId="44007" xr:uid="{32F0E71D-4C33-4BD4-9BBA-8B0A2EE2F584}"/>
    <cellStyle name="Percent 2 5 13" xfId="2675" xr:uid="{00000000-0005-0000-0000-0000962B0000}"/>
    <cellStyle name="Percent 2 5 13 2" xfId="10091" xr:uid="{00000000-0005-0000-0000-0000972B0000}"/>
    <cellStyle name="Percent 2 5 13 2 2" xfId="44012" xr:uid="{A05EE2CA-FDCA-4B49-AC77-94BC109D47D7}"/>
    <cellStyle name="Percent 2 5 13 3" xfId="12931" xr:uid="{00000000-0005-0000-0000-0000982B0000}"/>
    <cellStyle name="Percent 2 5 13 3 2" xfId="44013" xr:uid="{E3E59B48-5672-4CBD-8E82-33B10769DF7F}"/>
    <cellStyle name="Percent 2 5 13 4" xfId="8587" xr:uid="{00000000-0005-0000-0000-0000992B0000}"/>
    <cellStyle name="Percent 2 5 13 4 2" xfId="44014" xr:uid="{A65C581F-3024-4A8D-9BDF-4282CB70E9F2}"/>
    <cellStyle name="Percent 2 5 13 5" xfId="44011" xr:uid="{D330F173-C2D2-406E-BB77-21F684A5F41E}"/>
    <cellStyle name="Percent 2 5 14" xfId="2676" xr:uid="{00000000-0005-0000-0000-00009A2B0000}"/>
    <cellStyle name="Percent 2 5 14 2" xfId="10092" xr:uid="{00000000-0005-0000-0000-00009B2B0000}"/>
    <cellStyle name="Percent 2 5 14 2 2" xfId="44016" xr:uid="{31DE0CEF-54C4-4864-A259-21682D1E4E2A}"/>
    <cellStyle name="Percent 2 5 14 3" xfId="12653" xr:uid="{00000000-0005-0000-0000-00009C2B0000}"/>
    <cellStyle name="Percent 2 5 14 3 2" xfId="44017" xr:uid="{973F7E8A-440A-4F6D-A8C5-3F3B64E05FA6}"/>
    <cellStyle name="Percent 2 5 14 4" xfId="8588" xr:uid="{00000000-0005-0000-0000-00009D2B0000}"/>
    <cellStyle name="Percent 2 5 14 4 2" xfId="44018" xr:uid="{BF39D2CC-651E-4D3C-9168-5A7F37922079}"/>
    <cellStyle name="Percent 2 5 14 5" xfId="44015" xr:uid="{FFBADA14-5109-4BEA-8C66-8830A3676D06}"/>
    <cellStyle name="Percent 2 5 15" xfId="2677" xr:uid="{00000000-0005-0000-0000-00009E2B0000}"/>
    <cellStyle name="Percent 2 5 15 2" xfId="10093" xr:uid="{00000000-0005-0000-0000-00009F2B0000}"/>
    <cellStyle name="Percent 2 5 15 2 2" xfId="44020" xr:uid="{A111E644-89EE-4D6E-B4F5-AFEC797D87EC}"/>
    <cellStyle name="Percent 2 5 15 3" xfId="16654" xr:uid="{00000000-0005-0000-0000-0000A02B0000}"/>
    <cellStyle name="Percent 2 5 15 3 2" xfId="44021" xr:uid="{AF0DD232-A49D-403E-ABF2-3A37820F7B16}"/>
    <cellStyle name="Percent 2 5 15 4" xfId="8589" xr:uid="{00000000-0005-0000-0000-0000A12B0000}"/>
    <cellStyle name="Percent 2 5 15 4 2" xfId="44022" xr:uid="{D8399862-E8B4-4EB3-9920-DD2D82BA7C38}"/>
    <cellStyle name="Percent 2 5 15 5" xfId="44019" xr:uid="{B147CAAF-5586-4CDE-9903-5F3422E9AE8E}"/>
    <cellStyle name="Percent 2 5 16" xfId="10087" xr:uid="{00000000-0005-0000-0000-0000A22B0000}"/>
    <cellStyle name="Percent 2 5 16 2" xfId="44023" xr:uid="{DE2B1E80-8EE6-4580-8B49-C4BF32F4329A}"/>
    <cellStyle name="Percent 2 5 17" xfId="16571" xr:uid="{00000000-0005-0000-0000-0000A32B0000}"/>
    <cellStyle name="Percent 2 5 17 2" xfId="44024" xr:uid="{23343D26-CF0D-4099-A883-36517F757B50}"/>
    <cellStyle name="Percent 2 5 18" xfId="8583" xr:uid="{00000000-0005-0000-0000-0000A42B0000}"/>
    <cellStyle name="Percent 2 5 18 2" xfId="44025" xr:uid="{CEEEA30A-1126-4645-9B93-7F522B927A73}"/>
    <cellStyle name="Percent 2 5 19" xfId="43998" xr:uid="{2620E010-D755-458C-B16F-4C6C13C0D843}"/>
    <cellStyle name="Percent 2 5 2" xfId="2678" xr:uid="{00000000-0005-0000-0000-0000A52B0000}"/>
    <cellStyle name="Percent 2 5 2 2" xfId="10094" xr:uid="{00000000-0005-0000-0000-0000A62B0000}"/>
    <cellStyle name="Percent 2 5 2 2 2" xfId="44027" xr:uid="{CCF29F82-C734-4BFB-9DCE-2062839EDDEC}"/>
    <cellStyle name="Percent 2 5 2 3" xfId="13736" xr:uid="{00000000-0005-0000-0000-0000A72B0000}"/>
    <cellStyle name="Percent 2 5 2 3 2" xfId="44028" xr:uid="{40649FE8-0CAF-4FA2-B9D9-7CBE0E7E140A}"/>
    <cellStyle name="Percent 2 5 2 4" xfId="8590" xr:uid="{00000000-0005-0000-0000-0000A82B0000}"/>
    <cellStyle name="Percent 2 5 2 4 2" xfId="44029" xr:uid="{27671A07-6772-4311-BE35-FF2297D43724}"/>
    <cellStyle name="Percent 2 5 2 5" xfId="44026" xr:uid="{3E0736D1-C4F7-412D-A910-01A5922C74AA}"/>
    <cellStyle name="Percent 2 5 3" xfId="2679" xr:uid="{00000000-0005-0000-0000-0000A92B0000}"/>
    <cellStyle name="Percent 2 5 3 2" xfId="10095" xr:uid="{00000000-0005-0000-0000-0000AA2B0000}"/>
    <cellStyle name="Percent 2 5 3 2 2" xfId="44031" xr:uid="{EE913128-AAC8-4CAB-9D23-21F993F0CB44}"/>
    <cellStyle name="Percent 2 5 3 3" xfId="16470" xr:uid="{00000000-0005-0000-0000-0000AB2B0000}"/>
    <cellStyle name="Percent 2 5 3 3 2" xfId="44032" xr:uid="{26E7D527-B3C9-4C83-A291-626F4E57BC27}"/>
    <cellStyle name="Percent 2 5 3 4" xfId="8591" xr:uid="{00000000-0005-0000-0000-0000AC2B0000}"/>
    <cellStyle name="Percent 2 5 3 4 2" xfId="44033" xr:uid="{2C46316F-2D24-40DC-8963-99F48D0635CF}"/>
    <cellStyle name="Percent 2 5 3 5" xfId="44030" xr:uid="{E508D33D-B7C9-40A8-83F6-B47841179D72}"/>
    <cellStyle name="Percent 2 5 4" xfId="2680" xr:uid="{00000000-0005-0000-0000-0000AD2B0000}"/>
    <cellStyle name="Percent 2 5 4 2" xfId="10096" xr:uid="{00000000-0005-0000-0000-0000AE2B0000}"/>
    <cellStyle name="Percent 2 5 4 2 2" xfId="44035" xr:uid="{955AD0CC-A430-48F0-B3DE-676321D0DBC4}"/>
    <cellStyle name="Percent 2 5 4 3" xfId="12935" xr:uid="{00000000-0005-0000-0000-0000AF2B0000}"/>
    <cellStyle name="Percent 2 5 4 3 2" xfId="44036" xr:uid="{9D2E0697-2B4C-4F9D-A753-D2A5B99F3C97}"/>
    <cellStyle name="Percent 2 5 4 4" xfId="8592" xr:uid="{00000000-0005-0000-0000-0000B02B0000}"/>
    <cellStyle name="Percent 2 5 4 4 2" xfId="44037" xr:uid="{8E6429DF-1476-4EBE-9455-E046D7389355}"/>
    <cellStyle name="Percent 2 5 4 5" xfId="44034" xr:uid="{A984B111-792C-4939-BDE5-958102271270}"/>
    <cellStyle name="Percent 2 5 5" xfId="2681" xr:uid="{00000000-0005-0000-0000-0000B12B0000}"/>
    <cellStyle name="Percent 2 5 5 2" xfId="10097" xr:uid="{00000000-0005-0000-0000-0000B22B0000}"/>
    <cellStyle name="Percent 2 5 5 2 2" xfId="44039" xr:uid="{A99F555B-14E5-4F00-8AE4-5DAC1DF0291A}"/>
    <cellStyle name="Percent 2 5 5 3" xfId="16662" xr:uid="{00000000-0005-0000-0000-0000B32B0000}"/>
    <cellStyle name="Percent 2 5 5 3 2" xfId="44040" xr:uid="{E7105AC8-F84B-45ED-BDD1-BCC79E2670F4}"/>
    <cellStyle name="Percent 2 5 5 4" xfId="8593" xr:uid="{00000000-0005-0000-0000-0000B42B0000}"/>
    <cellStyle name="Percent 2 5 5 4 2" xfId="44041" xr:uid="{BB0DBBFC-160B-45F4-BF89-865F732ACEBA}"/>
    <cellStyle name="Percent 2 5 5 5" xfId="44038" xr:uid="{684CCCF5-1330-4B56-946F-DC4997411631}"/>
    <cellStyle name="Percent 2 5 6" xfId="2682" xr:uid="{00000000-0005-0000-0000-0000B52B0000}"/>
    <cellStyle name="Percent 2 5 6 2" xfId="10098" xr:uid="{00000000-0005-0000-0000-0000B62B0000}"/>
    <cellStyle name="Percent 2 5 6 2 2" xfId="44043" xr:uid="{79C15775-92C5-4CEA-A7FF-6C8A76493EF5}"/>
    <cellStyle name="Percent 2 5 6 3" xfId="16277" xr:uid="{00000000-0005-0000-0000-0000B72B0000}"/>
    <cellStyle name="Percent 2 5 6 3 2" xfId="44044" xr:uid="{BDE8F6B7-F676-42ED-AEF0-AFB402D26B8C}"/>
    <cellStyle name="Percent 2 5 6 4" xfId="8594" xr:uid="{00000000-0005-0000-0000-0000B82B0000}"/>
    <cellStyle name="Percent 2 5 6 4 2" xfId="44045" xr:uid="{61D1F61D-589C-472B-9960-E610BF41EA1A}"/>
    <cellStyle name="Percent 2 5 6 5" xfId="44042" xr:uid="{4661C7E7-EA2B-4FE1-9D10-2D400CB5720D}"/>
    <cellStyle name="Percent 2 5 7" xfId="2683" xr:uid="{00000000-0005-0000-0000-0000B92B0000}"/>
    <cellStyle name="Percent 2 5 7 2" xfId="10099" xr:uid="{00000000-0005-0000-0000-0000BA2B0000}"/>
    <cellStyle name="Percent 2 5 7 2 2" xfId="44047" xr:uid="{61252DD8-039F-4E4F-8790-6157FAEF239B}"/>
    <cellStyle name="Percent 2 5 7 3" xfId="12805" xr:uid="{00000000-0005-0000-0000-0000BB2B0000}"/>
    <cellStyle name="Percent 2 5 7 3 2" xfId="44048" xr:uid="{1B326265-C5F1-470E-9E09-6EA517D1FD2B}"/>
    <cellStyle name="Percent 2 5 7 4" xfId="8595" xr:uid="{00000000-0005-0000-0000-0000BC2B0000}"/>
    <cellStyle name="Percent 2 5 7 4 2" xfId="44049" xr:uid="{A458E9AC-6E1E-445B-B180-F820AA316E16}"/>
    <cellStyle name="Percent 2 5 7 5" xfId="44046" xr:uid="{04BDBACA-1E33-4382-B072-8F1B0E615758}"/>
    <cellStyle name="Percent 2 5 8" xfId="2684" xr:uid="{00000000-0005-0000-0000-0000BD2B0000}"/>
    <cellStyle name="Percent 2 5 8 2" xfId="10100" xr:uid="{00000000-0005-0000-0000-0000BE2B0000}"/>
    <cellStyle name="Percent 2 5 8 2 2" xfId="44051" xr:uid="{537A69F0-8CF1-4408-933C-6FADFD766724}"/>
    <cellStyle name="Percent 2 5 8 3" xfId="16157" xr:uid="{00000000-0005-0000-0000-0000BF2B0000}"/>
    <cellStyle name="Percent 2 5 8 3 2" xfId="44052" xr:uid="{47073BB9-6F9D-4EC0-8AF8-1397E8390E2B}"/>
    <cellStyle name="Percent 2 5 8 4" xfId="8596" xr:uid="{00000000-0005-0000-0000-0000C02B0000}"/>
    <cellStyle name="Percent 2 5 8 4 2" xfId="44053" xr:uid="{CD223DCC-6F50-4C55-BE87-3E38208EB65A}"/>
    <cellStyle name="Percent 2 5 8 5" xfId="44050" xr:uid="{DE711688-B1DA-4CF0-A95F-94DD643C2323}"/>
    <cellStyle name="Percent 2 5 9" xfId="2685" xr:uid="{00000000-0005-0000-0000-0000C12B0000}"/>
    <cellStyle name="Percent 2 5 9 2" xfId="10101" xr:uid="{00000000-0005-0000-0000-0000C22B0000}"/>
    <cellStyle name="Percent 2 5 9 2 2" xfId="44055" xr:uid="{5B99C87F-B221-4DDE-A4F1-B55E1CCDD218}"/>
    <cellStyle name="Percent 2 5 9 3" xfId="16272" xr:uid="{00000000-0005-0000-0000-0000C32B0000}"/>
    <cellStyle name="Percent 2 5 9 3 2" xfId="44056" xr:uid="{8C2EBD37-0CBD-4621-A576-A469224F2B86}"/>
    <cellStyle name="Percent 2 5 9 4" xfId="8597" xr:uid="{00000000-0005-0000-0000-0000C42B0000}"/>
    <cellStyle name="Percent 2 5 9 4 2" xfId="44057" xr:uid="{072C3721-03EC-42AD-87B3-4570F159D4D3}"/>
    <cellStyle name="Percent 2 5 9 5" xfId="44054" xr:uid="{3A696E30-8452-4EB5-99B3-0DCDDC1071E0}"/>
    <cellStyle name="Percent 2 50" xfId="44058" xr:uid="{75854B76-6E7C-4916-AA55-B1CF4EAEABA6}"/>
    <cellStyle name="Percent 2 51" xfId="43526" xr:uid="{77285F9D-79E5-4890-B1D0-FA2E007BF535}"/>
    <cellStyle name="Percent 2 6" xfId="2686" xr:uid="{00000000-0005-0000-0000-0000C52B0000}"/>
    <cellStyle name="Percent 2 6 10" xfId="2687" xr:uid="{00000000-0005-0000-0000-0000C62B0000}"/>
    <cellStyle name="Percent 2 6 10 2" xfId="10103" xr:uid="{00000000-0005-0000-0000-0000C72B0000}"/>
    <cellStyle name="Percent 2 6 10 2 2" xfId="44061" xr:uid="{E5E3DCE4-3111-429E-A764-404EB9A268D6}"/>
    <cellStyle name="Percent 2 6 10 3" xfId="14357" xr:uid="{00000000-0005-0000-0000-0000C82B0000}"/>
    <cellStyle name="Percent 2 6 10 3 2" xfId="44062" xr:uid="{CCEFE972-3673-4BFE-9FB3-9DF6D2B32952}"/>
    <cellStyle name="Percent 2 6 10 4" xfId="8599" xr:uid="{00000000-0005-0000-0000-0000C92B0000}"/>
    <cellStyle name="Percent 2 6 10 4 2" xfId="44063" xr:uid="{D5640B0E-161D-4C7F-9E5E-1CBED2B655F7}"/>
    <cellStyle name="Percent 2 6 10 5" xfId="44060" xr:uid="{DE4DA84F-A428-49A7-9619-F5ABCC963577}"/>
    <cellStyle name="Percent 2 6 11" xfId="2688" xr:uid="{00000000-0005-0000-0000-0000CA2B0000}"/>
    <cellStyle name="Percent 2 6 11 2" xfId="10104" xr:uid="{00000000-0005-0000-0000-0000CB2B0000}"/>
    <cellStyle name="Percent 2 6 11 2 2" xfId="44065" xr:uid="{6D6F0A58-81FB-468E-85BF-EEB657754234}"/>
    <cellStyle name="Percent 2 6 11 3" xfId="12505" xr:uid="{00000000-0005-0000-0000-0000CC2B0000}"/>
    <cellStyle name="Percent 2 6 11 3 2" xfId="44066" xr:uid="{8FE26929-9ADC-441E-B0CC-C2C2AEAFD7A4}"/>
    <cellStyle name="Percent 2 6 11 4" xfId="8600" xr:uid="{00000000-0005-0000-0000-0000CD2B0000}"/>
    <cellStyle name="Percent 2 6 11 4 2" xfId="44067" xr:uid="{2A973789-439D-4AD4-83A2-921F91736A98}"/>
    <cellStyle name="Percent 2 6 11 5" xfId="44064" xr:uid="{CB3EBA29-A57C-4C87-AA82-D66FBF9B4AB9}"/>
    <cellStyle name="Percent 2 6 12" xfId="2689" xr:uid="{00000000-0005-0000-0000-0000CE2B0000}"/>
    <cellStyle name="Percent 2 6 12 2" xfId="10105" xr:uid="{00000000-0005-0000-0000-0000CF2B0000}"/>
    <cellStyle name="Percent 2 6 12 2 2" xfId="44069" xr:uid="{D7BE5B64-0D2A-46C5-9ACC-57C2C4C870E5}"/>
    <cellStyle name="Percent 2 6 12 3" xfId="12812" xr:uid="{00000000-0005-0000-0000-0000D02B0000}"/>
    <cellStyle name="Percent 2 6 12 3 2" xfId="44070" xr:uid="{6AB1A834-AA82-4995-B9BF-022976B9D85A}"/>
    <cellStyle name="Percent 2 6 12 4" xfId="8601" xr:uid="{00000000-0005-0000-0000-0000D12B0000}"/>
    <cellStyle name="Percent 2 6 12 4 2" xfId="44071" xr:uid="{EEC7585A-A3EF-4932-87BB-7556D71D573B}"/>
    <cellStyle name="Percent 2 6 12 5" xfId="44068" xr:uid="{EEF6A796-7846-4B1A-9AEE-668CCA165348}"/>
    <cellStyle name="Percent 2 6 13" xfId="2690" xr:uid="{00000000-0005-0000-0000-0000D22B0000}"/>
    <cellStyle name="Percent 2 6 13 2" xfId="10106" xr:uid="{00000000-0005-0000-0000-0000D32B0000}"/>
    <cellStyle name="Percent 2 6 13 2 2" xfId="44073" xr:uid="{AC37E08B-BC58-4924-9745-255EE01498C7}"/>
    <cellStyle name="Percent 2 6 13 3" xfId="16231" xr:uid="{00000000-0005-0000-0000-0000D42B0000}"/>
    <cellStyle name="Percent 2 6 13 3 2" xfId="44074" xr:uid="{7158D10B-39BE-4C86-B6F5-C58B6EB20D5B}"/>
    <cellStyle name="Percent 2 6 13 4" xfId="8602" xr:uid="{00000000-0005-0000-0000-0000D52B0000}"/>
    <cellStyle name="Percent 2 6 13 4 2" xfId="44075" xr:uid="{F049386F-5D75-40B7-AFA7-B28EFEB90D97}"/>
    <cellStyle name="Percent 2 6 13 5" xfId="44072" xr:uid="{F333A877-A174-45C2-9E8D-908366869339}"/>
    <cellStyle name="Percent 2 6 14" xfId="2691" xr:uid="{00000000-0005-0000-0000-0000D62B0000}"/>
    <cellStyle name="Percent 2 6 14 2" xfId="10107" xr:uid="{00000000-0005-0000-0000-0000D72B0000}"/>
    <cellStyle name="Percent 2 6 14 2 2" xfId="44077" xr:uid="{F1E69B33-EA3E-474C-85EC-2EB0961E8AC4}"/>
    <cellStyle name="Percent 2 6 14 3" xfId="13650" xr:uid="{00000000-0005-0000-0000-0000D82B0000}"/>
    <cellStyle name="Percent 2 6 14 3 2" xfId="44078" xr:uid="{62354538-7554-48C7-B479-41221E15A6D5}"/>
    <cellStyle name="Percent 2 6 14 4" xfId="8603" xr:uid="{00000000-0005-0000-0000-0000D92B0000}"/>
    <cellStyle name="Percent 2 6 14 4 2" xfId="44079" xr:uid="{529EEAA1-0E28-4558-9F47-0E62F3D81430}"/>
    <cellStyle name="Percent 2 6 14 5" xfId="44076" xr:uid="{0714F8A3-4FC8-4BE2-826A-57F2D47DBB27}"/>
    <cellStyle name="Percent 2 6 15" xfId="2692" xr:uid="{00000000-0005-0000-0000-0000DA2B0000}"/>
    <cellStyle name="Percent 2 6 15 2" xfId="10108" xr:uid="{00000000-0005-0000-0000-0000DB2B0000}"/>
    <cellStyle name="Percent 2 6 15 2 2" xfId="44081" xr:uid="{67749BB1-41E9-4230-AD29-DE8F2688F684}"/>
    <cellStyle name="Percent 2 6 15 3" xfId="13475" xr:uid="{00000000-0005-0000-0000-0000DC2B0000}"/>
    <cellStyle name="Percent 2 6 15 3 2" xfId="44082" xr:uid="{AD940041-0719-449E-B91B-AEFBF0334709}"/>
    <cellStyle name="Percent 2 6 15 4" xfId="8604" xr:uid="{00000000-0005-0000-0000-0000DD2B0000}"/>
    <cellStyle name="Percent 2 6 15 4 2" xfId="44083" xr:uid="{8FB83354-5EB7-4808-A692-E40C070A639F}"/>
    <cellStyle name="Percent 2 6 15 5" xfId="44080" xr:uid="{CF972096-0C23-42F6-8E34-9A75F60B94E7}"/>
    <cellStyle name="Percent 2 6 16" xfId="10102" xr:uid="{00000000-0005-0000-0000-0000DE2B0000}"/>
    <cellStyle name="Percent 2 6 16 2" xfId="44084" xr:uid="{140E1941-1423-4621-A78D-0A6EC9BB415B}"/>
    <cellStyle name="Percent 2 6 17" xfId="12826" xr:uid="{00000000-0005-0000-0000-0000DF2B0000}"/>
    <cellStyle name="Percent 2 6 17 2" xfId="44085" xr:uid="{8B1799B7-4D35-4FD1-BEB9-AA68B3750EEC}"/>
    <cellStyle name="Percent 2 6 18" xfId="8598" xr:uid="{00000000-0005-0000-0000-0000E02B0000}"/>
    <cellStyle name="Percent 2 6 18 2" xfId="44086" xr:uid="{DDD2A296-1F9C-42A5-BDB6-514A4B625A84}"/>
    <cellStyle name="Percent 2 6 19" xfId="44059" xr:uid="{533D222B-29A7-4916-BD9C-E65E6B7D189B}"/>
    <cellStyle name="Percent 2 6 2" xfId="2693" xr:uid="{00000000-0005-0000-0000-0000E12B0000}"/>
    <cellStyle name="Percent 2 6 2 2" xfId="10109" xr:uid="{00000000-0005-0000-0000-0000E22B0000}"/>
    <cellStyle name="Percent 2 6 2 2 2" xfId="44088" xr:uid="{716FDFD2-E2A8-4C75-B88D-23ECAA2805B2}"/>
    <cellStyle name="Percent 2 6 2 3" xfId="12858" xr:uid="{00000000-0005-0000-0000-0000E32B0000}"/>
    <cellStyle name="Percent 2 6 2 3 2" xfId="44089" xr:uid="{BA9D4066-4F09-493B-97AC-5CEAE725E5AA}"/>
    <cellStyle name="Percent 2 6 2 4" xfId="8605" xr:uid="{00000000-0005-0000-0000-0000E42B0000}"/>
    <cellStyle name="Percent 2 6 2 4 2" xfId="44090" xr:uid="{FDDCC88D-AC1A-4EB1-B9A6-6BE464009B95}"/>
    <cellStyle name="Percent 2 6 2 5" xfId="44087" xr:uid="{89F7E282-A947-4A1C-9639-14724CE5A910}"/>
    <cellStyle name="Percent 2 6 3" xfId="2694" xr:uid="{00000000-0005-0000-0000-0000E52B0000}"/>
    <cellStyle name="Percent 2 6 3 2" xfId="10110" xr:uid="{00000000-0005-0000-0000-0000E62B0000}"/>
    <cellStyle name="Percent 2 6 3 2 2" xfId="44092" xr:uid="{81FC33F9-E47E-43E9-AA8E-188C5FC59C60}"/>
    <cellStyle name="Percent 2 6 3 3" xfId="16554" xr:uid="{00000000-0005-0000-0000-0000E72B0000}"/>
    <cellStyle name="Percent 2 6 3 3 2" xfId="44093" xr:uid="{F4E2F172-73A3-459A-9295-688A193352D6}"/>
    <cellStyle name="Percent 2 6 3 4" xfId="8606" xr:uid="{00000000-0005-0000-0000-0000E82B0000}"/>
    <cellStyle name="Percent 2 6 3 4 2" xfId="44094" xr:uid="{D19879D8-EF5B-4DAC-AF12-FF035703E9DF}"/>
    <cellStyle name="Percent 2 6 3 5" xfId="44091" xr:uid="{08C365CF-1034-4C2A-AAD2-C5D6EA3D197C}"/>
    <cellStyle name="Percent 2 6 4" xfId="2695" xr:uid="{00000000-0005-0000-0000-0000E92B0000}"/>
    <cellStyle name="Percent 2 6 4 2" xfId="10111" xr:uid="{00000000-0005-0000-0000-0000EA2B0000}"/>
    <cellStyle name="Percent 2 6 4 2 2" xfId="44096" xr:uid="{3166EFF5-8290-498E-A391-10FF4E29DCBB}"/>
    <cellStyle name="Percent 2 6 4 3" xfId="12730" xr:uid="{00000000-0005-0000-0000-0000EB2B0000}"/>
    <cellStyle name="Percent 2 6 4 3 2" xfId="44097" xr:uid="{F5BF09B2-556A-4D06-9EAA-399CA0CA972A}"/>
    <cellStyle name="Percent 2 6 4 4" xfId="8607" xr:uid="{00000000-0005-0000-0000-0000EC2B0000}"/>
    <cellStyle name="Percent 2 6 4 4 2" xfId="44098" xr:uid="{7105C8AE-4F04-4D05-A84E-30AA1F044BB6}"/>
    <cellStyle name="Percent 2 6 4 5" xfId="44095" xr:uid="{3035C902-6BB6-4A8A-906D-FCAF8C264128}"/>
    <cellStyle name="Percent 2 6 5" xfId="2696" xr:uid="{00000000-0005-0000-0000-0000ED2B0000}"/>
    <cellStyle name="Percent 2 6 5 2" xfId="10112" xr:uid="{00000000-0005-0000-0000-0000EE2B0000}"/>
    <cellStyle name="Percent 2 6 5 2 2" xfId="44100" xr:uid="{F1FBDB7F-CA57-4843-8D59-AEE6204B9954}"/>
    <cellStyle name="Percent 2 6 5 3" xfId="13876" xr:uid="{00000000-0005-0000-0000-0000EF2B0000}"/>
    <cellStyle name="Percent 2 6 5 3 2" xfId="44101" xr:uid="{7597905E-BA39-40F0-A0AC-5C4E16777F81}"/>
    <cellStyle name="Percent 2 6 5 4" xfId="8608" xr:uid="{00000000-0005-0000-0000-0000F02B0000}"/>
    <cellStyle name="Percent 2 6 5 4 2" xfId="44102" xr:uid="{3ECDF83A-F5EF-44F3-9ED5-5323B9092540}"/>
    <cellStyle name="Percent 2 6 5 5" xfId="44099" xr:uid="{78E21BBF-9C91-44B5-BB77-0D3EFB676173}"/>
    <cellStyle name="Percent 2 6 6" xfId="2697" xr:uid="{00000000-0005-0000-0000-0000F12B0000}"/>
    <cellStyle name="Percent 2 6 6 2" xfId="10113" xr:uid="{00000000-0005-0000-0000-0000F22B0000}"/>
    <cellStyle name="Percent 2 6 6 2 2" xfId="44104" xr:uid="{816EA3EE-8FC3-49C2-A415-E2EEC3BD4685}"/>
    <cellStyle name="Percent 2 6 6 3" xfId="12620" xr:uid="{00000000-0005-0000-0000-0000F32B0000}"/>
    <cellStyle name="Percent 2 6 6 3 2" xfId="44105" xr:uid="{F46F4B07-BC3C-4582-BEEA-047FC12D9132}"/>
    <cellStyle name="Percent 2 6 6 4" xfId="8609" xr:uid="{00000000-0005-0000-0000-0000F42B0000}"/>
    <cellStyle name="Percent 2 6 6 4 2" xfId="44106" xr:uid="{8ABD82B5-1445-4A06-80C1-4C655614F509}"/>
    <cellStyle name="Percent 2 6 6 5" xfId="44103" xr:uid="{1340B532-D398-4598-BEE3-A970CF1E6254}"/>
    <cellStyle name="Percent 2 6 7" xfId="2698" xr:uid="{00000000-0005-0000-0000-0000F52B0000}"/>
    <cellStyle name="Percent 2 6 7 2" xfId="10114" xr:uid="{00000000-0005-0000-0000-0000F62B0000}"/>
    <cellStyle name="Percent 2 6 7 2 2" xfId="44108" xr:uid="{9DCBD168-25FB-4FD9-ACFF-4DE121750D0D}"/>
    <cellStyle name="Percent 2 6 7 3" xfId="16367" xr:uid="{00000000-0005-0000-0000-0000F72B0000}"/>
    <cellStyle name="Percent 2 6 7 3 2" xfId="44109" xr:uid="{85FB451E-859D-4E6B-BEEE-44D6A9764B4C}"/>
    <cellStyle name="Percent 2 6 7 4" xfId="8610" xr:uid="{00000000-0005-0000-0000-0000F82B0000}"/>
    <cellStyle name="Percent 2 6 7 4 2" xfId="44110" xr:uid="{699ECF0F-8663-4584-AB21-5ECB31802E84}"/>
    <cellStyle name="Percent 2 6 7 5" xfId="44107" xr:uid="{71B5B56A-3EC5-4DBD-BAA7-C9A89E2B9949}"/>
    <cellStyle name="Percent 2 6 8" xfId="2699" xr:uid="{00000000-0005-0000-0000-0000F92B0000}"/>
    <cellStyle name="Percent 2 6 8 2" xfId="10115" xr:uid="{00000000-0005-0000-0000-0000FA2B0000}"/>
    <cellStyle name="Percent 2 6 8 2 2" xfId="44112" xr:uid="{54E897B6-024A-4203-A5EE-03FF24958D4C}"/>
    <cellStyle name="Percent 2 6 8 3" xfId="13720" xr:uid="{00000000-0005-0000-0000-0000FB2B0000}"/>
    <cellStyle name="Percent 2 6 8 3 2" xfId="44113" xr:uid="{5C98E46A-7A7B-4CD1-8B3C-DE0BB54C1933}"/>
    <cellStyle name="Percent 2 6 8 4" xfId="8611" xr:uid="{00000000-0005-0000-0000-0000FC2B0000}"/>
    <cellStyle name="Percent 2 6 8 4 2" xfId="44114" xr:uid="{31B9E74F-773B-4291-B5BA-F726C84F59F3}"/>
    <cellStyle name="Percent 2 6 8 5" xfId="44111" xr:uid="{33384D10-B966-413A-A53F-2DFFE7CDBA0D}"/>
    <cellStyle name="Percent 2 6 9" xfId="2700" xr:uid="{00000000-0005-0000-0000-0000FD2B0000}"/>
    <cellStyle name="Percent 2 6 9 2" xfId="10116" xr:uid="{00000000-0005-0000-0000-0000FE2B0000}"/>
    <cellStyle name="Percent 2 6 9 2 2" xfId="44116" xr:uid="{C83DCAD7-05AB-449C-B56F-2AA6D41B7A9B}"/>
    <cellStyle name="Percent 2 6 9 3" xfId="16689" xr:uid="{00000000-0005-0000-0000-0000FF2B0000}"/>
    <cellStyle name="Percent 2 6 9 3 2" xfId="44117" xr:uid="{38C9AE1D-03F2-4D3C-B5EB-8BD1F67ECAF1}"/>
    <cellStyle name="Percent 2 6 9 4" xfId="8612" xr:uid="{00000000-0005-0000-0000-0000002C0000}"/>
    <cellStyle name="Percent 2 6 9 4 2" xfId="44118" xr:uid="{4AA659BB-8CB7-4838-BE88-B23AE447C333}"/>
    <cellStyle name="Percent 2 6 9 5" xfId="44115" xr:uid="{4CE075C6-328F-43BC-8DFB-D8445F69E541}"/>
    <cellStyle name="Percent 2 7" xfId="2701" xr:uid="{00000000-0005-0000-0000-0000012C0000}"/>
    <cellStyle name="Percent 2 7 10" xfId="16546" xr:uid="{00000000-0005-0000-0000-0000022C0000}"/>
    <cellStyle name="Percent 2 7 10 2" xfId="44120" xr:uid="{97306701-9437-4B6A-8919-745CC238A636}"/>
    <cellStyle name="Percent 2 7 11" xfId="8613" xr:uid="{00000000-0005-0000-0000-0000032C0000}"/>
    <cellStyle name="Percent 2 7 11 2" xfId="44121" xr:uid="{E53FB652-885F-49EA-B663-FC3B9A7A7C9D}"/>
    <cellStyle name="Percent 2 7 12" xfId="44119" xr:uid="{C3B5939B-6994-485E-88DB-B1C9AF17704D}"/>
    <cellStyle name="Percent 2 7 2" xfId="2702" xr:uid="{00000000-0005-0000-0000-0000042C0000}"/>
    <cellStyle name="Percent 2 7 2 2" xfId="10118" xr:uid="{00000000-0005-0000-0000-0000052C0000}"/>
    <cellStyle name="Percent 2 7 2 2 2" xfId="44123" xr:uid="{6F5FC8BF-CE0F-47B0-B99C-17A5E73AADF5}"/>
    <cellStyle name="Percent 2 7 2 3" xfId="16442" xr:uid="{00000000-0005-0000-0000-0000062C0000}"/>
    <cellStyle name="Percent 2 7 2 3 2" xfId="44124" xr:uid="{575054FF-1D6C-422C-B6CD-BA52243396FD}"/>
    <cellStyle name="Percent 2 7 2 4" xfId="8614" xr:uid="{00000000-0005-0000-0000-0000072C0000}"/>
    <cellStyle name="Percent 2 7 2 4 2" xfId="44125" xr:uid="{0EB57928-C4C0-4BAC-94B4-D298DDD89F31}"/>
    <cellStyle name="Percent 2 7 2 5" xfId="44122" xr:uid="{889C8743-CDC6-4503-8D79-046320BAC9D2}"/>
    <cellStyle name="Percent 2 7 3" xfId="4660" xr:uid="{00000000-0005-0000-0000-0000082C0000}"/>
    <cellStyle name="Percent 2 7 3 2" xfId="10119" xr:uid="{00000000-0005-0000-0000-0000092C0000}"/>
    <cellStyle name="Percent 2 7 3 2 2" xfId="44127" xr:uid="{3FE143C9-2539-4141-8104-BBE214B889BC}"/>
    <cellStyle name="Percent 2 7 3 3" xfId="16196" xr:uid="{00000000-0005-0000-0000-00000A2C0000}"/>
    <cellStyle name="Percent 2 7 3 3 2" xfId="44128" xr:uid="{1D485E2F-291C-4B04-8AFF-526AD942A66E}"/>
    <cellStyle name="Percent 2 7 3 4" xfId="8615" xr:uid="{00000000-0005-0000-0000-00000B2C0000}"/>
    <cellStyle name="Percent 2 7 3 4 2" xfId="44129" xr:uid="{0F3A7FB8-1ED7-42CB-9A4F-3A8FF7A094CE}"/>
    <cellStyle name="Percent 2 7 3 5" xfId="44126" xr:uid="{E6548F26-960A-42FA-9BCF-05436166A83B}"/>
    <cellStyle name="Percent 2 7 4" xfId="4661" xr:uid="{00000000-0005-0000-0000-00000C2C0000}"/>
    <cellStyle name="Percent 2 7 4 2" xfId="10120" xr:uid="{00000000-0005-0000-0000-00000D2C0000}"/>
    <cellStyle name="Percent 2 7 4 2 2" xfId="44131" xr:uid="{1DDC7CF3-7CCC-4F52-B44F-6F2640265CEE}"/>
    <cellStyle name="Percent 2 7 4 3" xfId="12807" xr:uid="{00000000-0005-0000-0000-00000E2C0000}"/>
    <cellStyle name="Percent 2 7 4 3 2" xfId="44132" xr:uid="{F56D6A5E-3949-4DA4-A6AA-1802A4B75646}"/>
    <cellStyle name="Percent 2 7 4 4" xfId="8616" xr:uid="{00000000-0005-0000-0000-00000F2C0000}"/>
    <cellStyle name="Percent 2 7 4 4 2" xfId="44133" xr:uid="{7F63A95B-2E0B-4594-AD03-EBA69D10E009}"/>
    <cellStyle name="Percent 2 7 4 5" xfId="44130" xr:uid="{F8B6744D-E006-4BA6-98EA-4DC7EE6E7003}"/>
    <cellStyle name="Percent 2 7 5" xfId="4662" xr:uid="{00000000-0005-0000-0000-0000102C0000}"/>
    <cellStyle name="Percent 2 7 5 2" xfId="10121" xr:uid="{00000000-0005-0000-0000-0000112C0000}"/>
    <cellStyle name="Percent 2 7 5 2 2" xfId="44135" xr:uid="{7AEB6B96-4634-4E8F-B8EA-87FC92651B87}"/>
    <cellStyle name="Percent 2 7 5 3" xfId="16218" xr:uid="{00000000-0005-0000-0000-0000122C0000}"/>
    <cellStyle name="Percent 2 7 5 3 2" xfId="44136" xr:uid="{8435CB48-DEFA-461A-A842-9E3D4F1AD93E}"/>
    <cellStyle name="Percent 2 7 5 4" xfId="8617" xr:uid="{00000000-0005-0000-0000-0000132C0000}"/>
    <cellStyle name="Percent 2 7 5 4 2" xfId="44137" xr:uid="{FA3DC162-C2A8-41F1-8E20-6B597EEDE6CF}"/>
    <cellStyle name="Percent 2 7 5 5" xfId="44134" xr:uid="{FAB17E1E-225B-47EB-A419-3ED3461129E9}"/>
    <cellStyle name="Percent 2 7 6" xfId="4663" xr:uid="{00000000-0005-0000-0000-0000142C0000}"/>
    <cellStyle name="Percent 2 7 6 2" xfId="10122" xr:uid="{00000000-0005-0000-0000-0000152C0000}"/>
    <cellStyle name="Percent 2 7 6 2 2" xfId="44139" xr:uid="{F9D1C51C-0467-4433-B0EC-D561CD8D4543}"/>
    <cellStyle name="Percent 2 7 6 3" xfId="12466" xr:uid="{00000000-0005-0000-0000-0000162C0000}"/>
    <cellStyle name="Percent 2 7 6 3 2" xfId="44140" xr:uid="{AC1E2A3E-2CDA-40BE-8C42-548897F766E0}"/>
    <cellStyle name="Percent 2 7 6 4" xfId="8618" xr:uid="{00000000-0005-0000-0000-0000172C0000}"/>
    <cellStyle name="Percent 2 7 6 4 2" xfId="44141" xr:uid="{477A820E-08ED-469C-9DA5-1B012FF41461}"/>
    <cellStyle name="Percent 2 7 6 5" xfId="44138" xr:uid="{5F438A7A-71A5-470A-A428-6745F2C863C7}"/>
    <cellStyle name="Percent 2 7 7" xfId="4664" xr:uid="{00000000-0005-0000-0000-0000182C0000}"/>
    <cellStyle name="Percent 2 7 7 2" xfId="10123" xr:uid="{00000000-0005-0000-0000-0000192C0000}"/>
    <cellStyle name="Percent 2 7 7 2 2" xfId="44143" xr:uid="{442395F4-4158-46AC-B496-3C98C053837F}"/>
    <cellStyle name="Percent 2 7 7 3" xfId="16454" xr:uid="{00000000-0005-0000-0000-00001A2C0000}"/>
    <cellStyle name="Percent 2 7 7 3 2" xfId="44144" xr:uid="{5F6EB541-22DE-4A20-912E-F22565BD7655}"/>
    <cellStyle name="Percent 2 7 7 4" xfId="8619" xr:uid="{00000000-0005-0000-0000-00001B2C0000}"/>
    <cellStyle name="Percent 2 7 7 4 2" xfId="44145" xr:uid="{E9024AF6-FF78-4DE6-AFC9-3CD5A4045D96}"/>
    <cellStyle name="Percent 2 7 7 5" xfId="44142" xr:uid="{5CC96559-993B-42CD-8609-5460A2715400}"/>
    <cellStyle name="Percent 2 7 8" xfId="4665" xr:uid="{00000000-0005-0000-0000-00001C2C0000}"/>
    <cellStyle name="Percent 2 7 8 2" xfId="10124" xr:uid="{00000000-0005-0000-0000-00001D2C0000}"/>
    <cellStyle name="Percent 2 7 8 2 2" xfId="44147" xr:uid="{5AE2AF20-A8DE-4FE0-BA58-815E650B9B6F}"/>
    <cellStyle name="Percent 2 7 8 3" xfId="16408" xr:uid="{00000000-0005-0000-0000-00001E2C0000}"/>
    <cellStyle name="Percent 2 7 8 3 2" xfId="44148" xr:uid="{9E3275CE-8E03-4B13-BC4C-6CEAEBE08D7B}"/>
    <cellStyle name="Percent 2 7 8 4" xfId="8620" xr:uid="{00000000-0005-0000-0000-00001F2C0000}"/>
    <cellStyle name="Percent 2 7 8 4 2" xfId="44149" xr:uid="{15FF9911-DD63-43B6-8944-1F7A2AB4236F}"/>
    <cellStyle name="Percent 2 7 8 5" xfId="44146" xr:uid="{2D1001A7-E57A-47FE-8222-7C6B7B3D085E}"/>
    <cellStyle name="Percent 2 7 9" xfId="10117" xr:uid="{00000000-0005-0000-0000-0000202C0000}"/>
    <cellStyle name="Percent 2 7 9 2" xfId="44150" xr:uid="{38F69D81-264E-4A3A-A8E3-358E38D64E59}"/>
    <cellStyle name="Percent 2 8" xfId="2703" xr:uid="{00000000-0005-0000-0000-0000212C0000}"/>
    <cellStyle name="Percent 2 8 10" xfId="16464" xr:uid="{00000000-0005-0000-0000-0000222C0000}"/>
    <cellStyle name="Percent 2 8 10 2" xfId="44152" xr:uid="{E46C054A-262B-4B69-AE4A-450CA6632650}"/>
    <cellStyle name="Percent 2 8 11" xfId="8621" xr:uid="{00000000-0005-0000-0000-0000232C0000}"/>
    <cellStyle name="Percent 2 8 11 2" xfId="44153" xr:uid="{359B28FC-CCD9-4859-A578-C3E95CCDFC08}"/>
    <cellStyle name="Percent 2 8 12" xfId="44151" xr:uid="{332C8196-EEC7-4E70-A02B-114E33792050}"/>
    <cellStyle name="Percent 2 8 2" xfId="2704" xr:uid="{00000000-0005-0000-0000-0000242C0000}"/>
    <cellStyle name="Percent 2 8 2 2" xfId="10126" xr:uid="{00000000-0005-0000-0000-0000252C0000}"/>
    <cellStyle name="Percent 2 8 2 2 2" xfId="44155" xr:uid="{7318D36F-3C55-4554-BA59-D3D261FE2A89}"/>
    <cellStyle name="Percent 2 8 2 3" xfId="12614" xr:uid="{00000000-0005-0000-0000-0000262C0000}"/>
    <cellStyle name="Percent 2 8 2 3 2" xfId="44156" xr:uid="{68F837E6-18BB-4DA3-B5F8-20248B5FCB4D}"/>
    <cellStyle name="Percent 2 8 2 4" xfId="8622" xr:uid="{00000000-0005-0000-0000-0000272C0000}"/>
    <cellStyle name="Percent 2 8 2 4 2" xfId="44157" xr:uid="{5AAB4CEE-CBCF-443B-81D5-19F8E674F5DA}"/>
    <cellStyle name="Percent 2 8 2 5" xfId="44154" xr:uid="{81B8A0EE-8023-4F2A-A38B-4917C8913C15}"/>
    <cellStyle name="Percent 2 8 3" xfId="4666" xr:uid="{00000000-0005-0000-0000-0000282C0000}"/>
    <cellStyle name="Percent 2 8 3 2" xfId="10127" xr:uid="{00000000-0005-0000-0000-0000292C0000}"/>
    <cellStyle name="Percent 2 8 3 2 2" xfId="44159" xr:uid="{EDCD992B-974F-461A-A7BD-35F3C7E8EF5B}"/>
    <cellStyle name="Percent 2 8 3 3" xfId="16668" xr:uid="{00000000-0005-0000-0000-00002A2C0000}"/>
    <cellStyle name="Percent 2 8 3 3 2" xfId="44160" xr:uid="{E1E8688C-E379-417A-8BF7-CC8F3CE58C52}"/>
    <cellStyle name="Percent 2 8 3 4" xfId="8623" xr:uid="{00000000-0005-0000-0000-00002B2C0000}"/>
    <cellStyle name="Percent 2 8 3 4 2" xfId="44161" xr:uid="{37AFF0AF-965E-4C94-888B-808DDD091CB1}"/>
    <cellStyle name="Percent 2 8 3 5" xfId="44158" xr:uid="{3160DD7E-9341-4A24-81F6-A903A1B77383}"/>
    <cellStyle name="Percent 2 8 4" xfId="4667" xr:uid="{00000000-0005-0000-0000-00002C2C0000}"/>
    <cellStyle name="Percent 2 8 4 2" xfId="10128" xr:uid="{00000000-0005-0000-0000-00002D2C0000}"/>
    <cellStyle name="Percent 2 8 4 2 2" xfId="44163" xr:uid="{31188453-6B8E-490C-93A2-47BDE8308B62}"/>
    <cellStyle name="Percent 2 8 4 3" xfId="12771" xr:uid="{00000000-0005-0000-0000-00002E2C0000}"/>
    <cellStyle name="Percent 2 8 4 3 2" xfId="44164" xr:uid="{1B1E0CD7-F6B2-4267-BA5A-186889AD22DE}"/>
    <cellStyle name="Percent 2 8 4 4" xfId="8624" xr:uid="{00000000-0005-0000-0000-00002F2C0000}"/>
    <cellStyle name="Percent 2 8 4 4 2" xfId="44165" xr:uid="{B07243CF-061A-47E1-8274-5A4E2870DEA1}"/>
    <cellStyle name="Percent 2 8 4 5" xfId="44162" xr:uid="{B373CDB1-A597-472D-A709-937829192FEB}"/>
    <cellStyle name="Percent 2 8 5" xfId="4668" xr:uid="{00000000-0005-0000-0000-0000302C0000}"/>
    <cellStyle name="Percent 2 8 5 2" xfId="10129" xr:uid="{00000000-0005-0000-0000-0000312C0000}"/>
    <cellStyle name="Percent 2 8 5 2 2" xfId="44167" xr:uid="{719BA845-9C25-4BE7-87BF-76430796BC0E}"/>
    <cellStyle name="Percent 2 8 5 3" xfId="12814" xr:uid="{00000000-0005-0000-0000-0000322C0000}"/>
    <cellStyle name="Percent 2 8 5 3 2" xfId="44168" xr:uid="{9EE86378-C3A3-4E1D-8ED2-421718070EAC}"/>
    <cellStyle name="Percent 2 8 5 4" xfId="8625" xr:uid="{00000000-0005-0000-0000-0000332C0000}"/>
    <cellStyle name="Percent 2 8 5 4 2" xfId="44169" xr:uid="{16B4BA8E-964A-406E-9F62-5DCDFC82FB98}"/>
    <cellStyle name="Percent 2 8 5 5" xfId="44166" xr:uid="{CA544548-6F22-4D25-AC7F-4187AF0E843E}"/>
    <cellStyle name="Percent 2 8 6" xfId="4669" xr:uid="{00000000-0005-0000-0000-0000342C0000}"/>
    <cellStyle name="Percent 2 8 6 2" xfId="10130" xr:uid="{00000000-0005-0000-0000-0000352C0000}"/>
    <cellStyle name="Percent 2 8 6 2 2" xfId="44171" xr:uid="{B2283026-AD12-420D-995B-375CAB3D3E4D}"/>
    <cellStyle name="Percent 2 8 6 3" xfId="12613" xr:uid="{00000000-0005-0000-0000-0000362C0000}"/>
    <cellStyle name="Percent 2 8 6 3 2" xfId="44172" xr:uid="{BBA69FC0-E554-4311-964B-C34682648D89}"/>
    <cellStyle name="Percent 2 8 6 4" xfId="8626" xr:uid="{00000000-0005-0000-0000-0000372C0000}"/>
    <cellStyle name="Percent 2 8 6 4 2" xfId="44173" xr:uid="{A36631D6-6958-4419-8737-A31FAA08A4B9}"/>
    <cellStyle name="Percent 2 8 6 5" xfId="44170" xr:uid="{2DFC1344-7285-48E7-81B6-06CFCC3B165F}"/>
    <cellStyle name="Percent 2 8 7" xfId="4670" xr:uid="{00000000-0005-0000-0000-0000382C0000}"/>
    <cellStyle name="Percent 2 8 7 2" xfId="10131" xr:uid="{00000000-0005-0000-0000-0000392C0000}"/>
    <cellStyle name="Percent 2 8 7 2 2" xfId="44175" xr:uid="{E4EBB566-F9E4-467F-85BB-4BDD44E7BCC9}"/>
    <cellStyle name="Percent 2 8 7 3" xfId="14319" xr:uid="{00000000-0005-0000-0000-00003A2C0000}"/>
    <cellStyle name="Percent 2 8 7 3 2" xfId="44176" xr:uid="{50862D19-9BDF-4022-842E-20B4358699EF}"/>
    <cellStyle name="Percent 2 8 7 4" xfId="8627" xr:uid="{00000000-0005-0000-0000-00003B2C0000}"/>
    <cellStyle name="Percent 2 8 7 4 2" xfId="44177" xr:uid="{E35FFB6C-8C46-4650-B20B-7884E03A4F03}"/>
    <cellStyle name="Percent 2 8 7 5" xfId="44174" xr:uid="{1A1C8930-7F20-4C5C-8EAC-30F65437FEAE}"/>
    <cellStyle name="Percent 2 8 8" xfId="4671" xr:uid="{00000000-0005-0000-0000-00003C2C0000}"/>
    <cellStyle name="Percent 2 8 8 2" xfId="10132" xr:uid="{00000000-0005-0000-0000-00003D2C0000}"/>
    <cellStyle name="Percent 2 8 8 2 2" xfId="44179" xr:uid="{6A21F26B-2D56-4DE9-A1BA-3E69B8A125D6}"/>
    <cellStyle name="Percent 2 8 8 3" xfId="16373" xr:uid="{00000000-0005-0000-0000-00003E2C0000}"/>
    <cellStyle name="Percent 2 8 8 3 2" xfId="44180" xr:uid="{09F1EBD8-5FE3-4E0E-B1CE-8E544CB39A19}"/>
    <cellStyle name="Percent 2 8 8 4" xfId="8628" xr:uid="{00000000-0005-0000-0000-00003F2C0000}"/>
    <cellStyle name="Percent 2 8 8 4 2" xfId="44181" xr:uid="{C94CE2AC-66AB-4AD5-9BC1-B798EA57C3BD}"/>
    <cellStyle name="Percent 2 8 8 5" xfId="44178" xr:uid="{0EC9045B-7DDB-4CBF-AF18-9AE22CDBB809}"/>
    <cellStyle name="Percent 2 8 9" xfId="10125" xr:uid="{00000000-0005-0000-0000-0000402C0000}"/>
    <cellStyle name="Percent 2 8 9 2" xfId="44182" xr:uid="{6C7524DA-F2F4-4ABF-AC29-B2A95A72F498}"/>
    <cellStyle name="Percent 2 9" xfId="2705" xr:uid="{00000000-0005-0000-0000-0000412C0000}"/>
    <cellStyle name="Percent 2 9 10" xfId="16581" xr:uid="{00000000-0005-0000-0000-0000422C0000}"/>
    <cellStyle name="Percent 2 9 10 2" xfId="44184" xr:uid="{16BAA6ED-C17E-477E-B820-13E2CA3C0E46}"/>
    <cellStyle name="Percent 2 9 11" xfId="8629" xr:uid="{00000000-0005-0000-0000-0000432C0000}"/>
    <cellStyle name="Percent 2 9 11 2" xfId="44185" xr:uid="{80C37691-1D9A-4040-B197-C69F94086A14}"/>
    <cellStyle name="Percent 2 9 12" xfId="44183" xr:uid="{6DCDB37F-A34B-4EB8-9B96-280C0E55A6C6}"/>
    <cellStyle name="Percent 2 9 2" xfId="2706" xr:uid="{00000000-0005-0000-0000-0000442C0000}"/>
    <cellStyle name="Percent 2 9 2 2" xfId="10134" xr:uid="{00000000-0005-0000-0000-0000452C0000}"/>
    <cellStyle name="Percent 2 9 2 2 2" xfId="44187" xr:uid="{6D308A84-260C-4F31-9C77-F871D2D500A4}"/>
    <cellStyle name="Percent 2 9 2 3" xfId="13721" xr:uid="{00000000-0005-0000-0000-0000462C0000}"/>
    <cellStyle name="Percent 2 9 2 3 2" xfId="44188" xr:uid="{2FD50577-5303-4CCB-A2D6-D40C6215A2DE}"/>
    <cellStyle name="Percent 2 9 2 4" xfId="8630" xr:uid="{00000000-0005-0000-0000-0000472C0000}"/>
    <cellStyle name="Percent 2 9 2 4 2" xfId="44189" xr:uid="{77613BC0-DFB4-4F23-AE5C-2F4DE2D7241E}"/>
    <cellStyle name="Percent 2 9 2 5" xfId="44186" xr:uid="{7175942C-957A-4187-8C2E-4AED15F5D8DA}"/>
    <cellStyle name="Percent 2 9 3" xfId="4672" xr:uid="{00000000-0005-0000-0000-0000482C0000}"/>
    <cellStyle name="Percent 2 9 3 2" xfId="10135" xr:uid="{00000000-0005-0000-0000-0000492C0000}"/>
    <cellStyle name="Percent 2 9 3 2 2" xfId="44191" xr:uid="{013C0534-6C93-4A6A-87A8-C75C3700A0E1}"/>
    <cellStyle name="Percent 2 9 3 3" xfId="12929" xr:uid="{00000000-0005-0000-0000-00004A2C0000}"/>
    <cellStyle name="Percent 2 9 3 3 2" xfId="44192" xr:uid="{E2509C91-6886-42C9-B8A3-EA7FA2AEC221}"/>
    <cellStyle name="Percent 2 9 3 4" xfId="8631" xr:uid="{00000000-0005-0000-0000-00004B2C0000}"/>
    <cellStyle name="Percent 2 9 3 4 2" xfId="44193" xr:uid="{A16937BB-109A-42F9-9535-99032DB2A60A}"/>
    <cellStyle name="Percent 2 9 3 5" xfId="44190" xr:uid="{27D4BABA-09BA-43D0-B374-A18254B71765}"/>
    <cellStyle name="Percent 2 9 4" xfId="4673" xr:uid="{00000000-0005-0000-0000-00004C2C0000}"/>
    <cellStyle name="Percent 2 9 4 2" xfId="10136" xr:uid="{00000000-0005-0000-0000-00004D2C0000}"/>
    <cellStyle name="Percent 2 9 4 2 2" xfId="44195" xr:uid="{9A738450-A858-448D-8853-E96E12203FBB}"/>
    <cellStyle name="Percent 2 9 4 3" xfId="13808" xr:uid="{00000000-0005-0000-0000-00004E2C0000}"/>
    <cellStyle name="Percent 2 9 4 3 2" xfId="44196" xr:uid="{74328180-7BC8-47AA-9EC3-DE579AFDD9A2}"/>
    <cellStyle name="Percent 2 9 4 4" xfId="8632" xr:uid="{00000000-0005-0000-0000-00004F2C0000}"/>
    <cellStyle name="Percent 2 9 4 4 2" xfId="44197" xr:uid="{DC2DD993-EF55-4230-B0A5-CFA4053391C2}"/>
    <cellStyle name="Percent 2 9 4 5" xfId="44194" xr:uid="{F901E85A-D12A-4617-A055-0F0009830F56}"/>
    <cellStyle name="Percent 2 9 5" xfId="4674" xr:uid="{00000000-0005-0000-0000-0000502C0000}"/>
    <cellStyle name="Percent 2 9 5 2" xfId="10137" xr:uid="{00000000-0005-0000-0000-0000512C0000}"/>
    <cellStyle name="Percent 2 9 5 2 2" xfId="44199" xr:uid="{1B87C03A-E3D3-4B9A-A4DF-FE0FF33AC911}"/>
    <cellStyle name="Percent 2 9 5 3" xfId="16254" xr:uid="{00000000-0005-0000-0000-0000522C0000}"/>
    <cellStyle name="Percent 2 9 5 3 2" xfId="44200" xr:uid="{D502757F-8FD0-4D60-9168-A22DB708F4D2}"/>
    <cellStyle name="Percent 2 9 5 4" xfId="8633" xr:uid="{00000000-0005-0000-0000-0000532C0000}"/>
    <cellStyle name="Percent 2 9 5 4 2" xfId="44201" xr:uid="{AA436D98-0F80-4617-991E-896A1BEEF901}"/>
    <cellStyle name="Percent 2 9 5 5" xfId="44198" xr:uid="{5E67588E-A20D-41D2-9938-B84D1CA5C991}"/>
    <cellStyle name="Percent 2 9 6" xfId="4675" xr:uid="{00000000-0005-0000-0000-0000542C0000}"/>
    <cellStyle name="Percent 2 9 6 2" xfId="10138" xr:uid="{00000000-0005-0000-0000-0000552C0000}"/>
    <cellStyle name="Percent 2 9 6 2 2" xfId="44203" xr:uid="{0555B2D7-1895-4611-8169-BB26BD39A041}"/>
    <cellStyle name="Percent 2 9 6 3" xfId="16589" xr:uid="{00000000-0005-0000-0000-0000562C0000}"/>
    <cellStyle name="Percent 2 9 6 3 2" xfId="44204" xr:uid="{47AACC29-BBDB-4DE1-9C6A-7CFCA516A037}"/>
    <cellStyle name="Percent 2 9 6 4" xfId="8634" xr:uid="{00000000-0005-0000-0000-0000572C0000}"/>
    <cellStyle name="Percent 2 9 6 4 2" xfId="44205" xr:uid="{C87FF76B-0C72-4CC5-B645-FBF0DE2E8A76}"/>
    <cellStyle name="Percent 2 9 6 5" xfId="44202" xr:uid="{05D1B44D-008D-4F36-B3A3-00C4353391BD}"/>
    <cellStyle name="Percent 2 9 7" xfId="4676" xr:uid="{00000000-0005-0000-0000-0000582C0000}"/>
    <cellStyle name="Percent 2 9 7 2" xfId="10139" xr:uid="{00000000-0005-0000-0000-0000592C0000}"/>
    <cellStyle name="Percent 2 9 7 2 2" xfId="44207" xr:uid="{8071E6F4-7B97-4131-B5D4-4888232D1746}"/>
    <cellStyle name="Percent 2 9 7 3" xfId="12923" xr:uid="{00000000-0005-0000-0000-00005A2C0000}"/>
    <cellStyle name="Percent 2 9 7 3 2" xfId="44208" xr:uid="{F6F6A97C-FEBD-4206-9E49-A173235279C2}"/>
    <cellStyle name="Percent 2 9 7 4" xfId="8635" xr:uid="{00000000-0005-0000-0000-00005B2C0000}"/>
    <cellStyle name="Percent 2 9 7 4 2" xfId="44209" xr:uid="{962A3316-092F-40DB-905A-A3A9ADC5B923}"/>
    <cellStyle name="Percent 2 9 7 5" xfId="44206" xr:uid="{79B5CD8B-522B-427C-AAB5-956C6746C28F}"/>
    <cellStyle name="Percent 2 9 8" xfId="4677" xr:uid="{00000000-0005-0000-0000-00005C2C0000}"/>
    <cellStyle name="Percent 2 9 8 2" xfId="10140" xr:uid="{00000000-0005-0000-0000-00005D2C0000}"/>
    <cellStyle name="Percent 2 9 8 2 2" xfId="44211" xr:uid="{7E59DF0E-AD0F-4A20-8018-0A14DC380226}"/>
    <cellStyle name="Percent 2 9 8 3" xfId="16623" xr:uid="{00000000-0005-0000-0000-00005E2C0000}"/>
    <cellStyle name="Percent 2 9 8 3 2" xfId="44212" xr:uid="{7C778EE3-B4C8-4839-B8F8-A9163F465D57}"/>
    <cellStyle name="Percent 2 9 8 4" xfId="8636" xr:uid="{00000000-0005-0000-0000-00005F2C0000}"/>
    <cellStyle name="Percent 2 9 8 4 2" xfId="44213" xr:uid="{1370390D-B91E-48C8-A13D-F3591365CD37}"/>
    <cellStyle name="Percent 2 9 8 5" xfId="44210" xr:uid="{016FD29A-99BB-460C-AB80-A034E2BA42FF}"/>
    <cellStyle name="Percent 2 9 9" xfId="10133" xr:uid="{00000000-0005-0000-0000-0000602C0000}"/>
    <cellStyle name="Percent 2 9 9 2" xfId="44214" xr:uid="{948725AA-B622-4A2F-A9CA-E45B5CA444D6}"/>
    <cellStyle name="Percent 20" xfId="2707" xr:uid="{00000000-0005-0000-0000-0000612C0000}"/>
    <cellStyle name="Percent 20 10" xfId="14321" xr:uid="{00000000-0005-0000-0000-0000622C0000}"/>
    <cellStyle name="Percent 20 10 2" xfId="44216" xr:uid="{ED221AD2-16DC-4888-BBC9-6E9915CEE4FF}"/>
    <cellStyle name="Percent 20 11" xfId="8637" xr:uid="{00000000-0005-0000-0000-0000632C0000}"/>
    <cellStyle name="Percent 20 11 2" xfId="44217" xr:uid="{46C70ECE-F9AC-42DE-B9B6-B6BEF37474D4}"/>
    <cellStyle name="Percent 20 12" xfId="44215" xr:uid="{6E8468D0-84C0-4127-868F-BD35BA5AD13D}"/>
    <cellStyle name="Percent 20 2" xfId="2708" xr:uid="{00000000-0005-0000-0000-0000642C0000}"/>
    <cellStyle name="Percent 20 2 2" xfId="10143" xr:uid="{00000000-0005-0000-0000-0000652C0000}"/>
    <cellStyle name="Percent 20 2 2 2" xfId="44220" xr:uid="{50E124C5-4292-4ADF-8AC3-CE178008845F}"/>
    <cellStyle name="Percent 20 2 2 3" xfId="44219" xr:uid="{9A1BA28E-59EB-4501-9D90-48F3E6385F31}"/>
    <cellStyle name="Percent 20 2 3" xfId="10142" xr:uid="{00000000-0005-0000-0000-0000662C0000}"/>
    <cellStyle name="Percent 20 2 3 2" xfId="44221" xr:uid="{72F05C6B-D3D5-4D60-A6B0-1B6CDB1F5499}"/>
    <cellStyle name="Percent 20 2 4" xfId="12876" xr:uid="{00000000-0005-0000-0000-0000672C0000}"/>
    <cellStyle name="Percent 20 2 4 2" xfId="44222" xr:uid="{208864DA-5323-4932-8A99-0B0526A42948}"/>
    <cellStyle name="Percent 20 2 5" xfId="8638" xr:uid="{00000000-0005-0000-0000-0000682C0000}"/>
    <cellStyle name="Percent 20 2 5 2" xfId="44223" xr:uid="{C50F44DC-D2F7-4835-9340-37A0D16EA456}"/>
    <cellStyle name="Percent 20 2 6" xfId="44218" xr:uid="{328277D1-BC50-4179-88CC-2BBA679E06E6}"/>
    <cellStyle name="Percent 20 3" xfId="2709" xr:uid="{00000000-0005-0000-0000-0000692C0000}"/>
    <cellStyle name="Percent 20 3 2" xfId="10144" xr:uid="{00000000-0005-0000-0000-00006A2C0000}"/>
    <cellStyle name="Percent 20 3 2 2" xfId="44225" xr:uid="{DF98D079-4B33-4134-85AB-40A9E19C474F}"/>
    <cellStyle name="Percent 20 3 3" xfId="12569" xr:uid="{00000000-0005-0000-0000-00006B2C0000}"/>
    <cellStyle name="Percent 20 3 3 2" xfId="44226" xr:uid="{41240DC0-05D7-4A27-98C8-00C5A1193213}"/>
    <cellStyle name="Percent 20 3 4" xfId="8639" xr:uid="{00000000-0005-0000-0000-00006C2C0000}"/>
    <cellStyle name="Percent 20 3 4 2" xfId="44227" xr:uid="{20A31A08-E7F8-4B35-8657-AA70BE2CCC3B}"/>
    <cellStyle name="Percent 20 3 5" xfId="44224" xr:uid="{91D7F6F3-9180-4AF4-824B-0950CBD399D6}"/>
    <cellStyle name="Percent 20 4" xfId="2710" xr:uid="{00000000-0005-0000-0000-00006D2C0000}"/>
    <cellStyle name="Percent 20 4 2" xfId="10145" xr:uid="{00000000-0005-0000-0000-00006E2C0000}"/>
    <cellStyle name="Percent 20 4 2 2" xfId="44229" xr:uid="{31C96AF5-7258-4463-88FA-6BC30B3E676F}"/>
    <cellStyle name="Percent 20 4 3" xfId="16624" xr:uid="{00000000-0005-0000-0000-00006F2C0000}"/>
    <cellStyle name="Percent 20 4 3 2" xfId="44230" xr:uid="{D45E2318-649F-4100-A405-853588EA25C2}"/>
    <cellStyle name="Percent 20 4 4" xfId="8640" xr:uid="{00000000-0005-0000-0000-0000702C0000}"/>
    <cellStyle name="Percent 20 4 4 2" xfId="44231" xr:uid="{30EBFF6D-58AF-4BAA-975D-A3E7431567D6}"/>
    <cellStyle name="Percent 20 4 5" xfId="44228" xr:uid="{C077CD98-09A1-405B-9436-21D49696DF66}"/>
    <cellStyle name="Percent 20 5" xfId="2711" xr:uid="{00000000-0005-0000-0000-0000712C0000}"/>
    <cellStyle name="Percent 20 5 2" xfId="10146" xr:uid="{00000000-0005-0000-0000-0000722C0000}"/>
    <cellStyle name="Percent 20 5 2 2" xfId="44233" xr:uid="{7114CDA2-57DB-41AB-B9EE-6EE9F4B6519E}"/>
    <cellStyle name="Percent 20 5 3" xfId="13517" xr:uid="{00000000-0005-0000-0000-0000732C0000}"/>
    <cellStyle name="Percent 20 5 3 2" xfId="44234" xr:uid="{38BF5240-2FA0-4597-BB2D-5C6415E3C39E}"/>
    <cellStyle name="Percent 20 5 4" xfId="8641" xr:uid="{00000000-0005-0000-0000-0000742C0000}"/>
    <cellStyle name="Percent 20 5 4 2" xfId="44235" xr:uid="{076F6CAD-B635-416A-BECB-B5675EC5080A}"/>
    <cellStyle name="Percent 20 5 5" xfId="44232" xr:uid="{5FEC5F38-262A-4FB2-9C4B-0D1E8354B2CC}"/>
    <cellStyle name="Percent 20 6" xfId="2712" xr:uid="{00000000-0005-0000-0000-0000752C0000}"/>
    <cellStyle name="Percent 20 6 2" xfId="10147" xr:uid="{00000000-0005-0000-0000-0000762C0000}"/>
    <cellStyle name="Percent 20 6 2 2" xfId="44237" xr:uid="{448A6E8C-2C8F-479A-ACAF-A1944A6D6FC7}"/>
    <cellStyle name="Percent 20 6 3" xfId="12734" xr:uid="{00000000-0005-0000-0000-0000772C0000}"/>
    <cellStyle name="Percent 20 6 3 2" xfId="44238" xr:uid="{295C03A7-50F9-4CC9-957D-2ED816A006F6}"/>
    <cellStyle name="Percent 20 6 4" xfId="8642" xr:uid="{00000000-0005-0000-0000-0000782C0000}"/>
    <cellStyle name="Percent 20 6 4 2" xfId="44239" xr:uid="{8FD4EA05-D2D7-4D2C-9A32-74B82AE1D6A9}"/>
    <cellStyle name="Percent 20 6 5" xfId="44236" xr:uid="{6381AD1D-0372-453E-B1F4-53F63D5CE575}"/>
    <cellStyle name="Percent 20 7" xfId="2713" xr:uid="{00000000-0005-0000-0000-0000792C0000}"/>
    <cellStyle name="Percent 20 7 2" xfId="2714" xr:uid="{00000000-0005-0000-0000-00007A2C0000}"/>
    <cellStyle name="Percent 20 7 2 2" xfId="10149" xr:uid="{00000000-0005-0000-0000-00007B2C0000}"/>
    <cellStyle name="Percent 20 7 2 2 2" xfId="44243" xr:uid="{14793DE9-208F-4FEA-AC96-67B057F5940A}"/>
    <cellStyle name="Percent 20 7 2 2 3" xfId="44242" xr:uid="{7CE10EE9-7932-4CC9-B53B-D84F6DB6A049}"/>
    <cellStyle name="Percent 20 7 2 3" xfId="12804" xr:uid="{00000000-0005-0000-0000-00007C2C0000}"/>
    <cellStyle name="Percent 20 7 2 3 2" xfId="44245" xr:uid="{B23FA90D-140D-4902-929A-B8AFD67F5752}"/>
    <cellStyle name="Percent 20 7 2 3 3" xfId="44244" xr:uid="{8775C3A9-4760-4D85-ADA1-FC108649DCD7}"/>
    <cellStyle name="Percent 20 7 2 4" xfId="8644" xr:uid="{00000000-0005-0000-0000-00007D2C0000}"/>
    <cellStyle name="Percent 20 7 2 4 2" xfId="44246" xr:uid="{7B29A3C9-2BCE-4968-9C70-510DB5189001}"/>
    <cellStyle name="Percent 20 7 2 5" xfId="44241" xr:uid="{69FA9639-E7FF-45E7-B0FD-FCBB11F9F64E}"/>
    <cellStyle name="Percent 20 7 3" xfId="2715" xr:uid="{00000000-0005-0000-0000-00007E2C0000}"/>
    <cellStyle name="Percent 20 7 3 2" xfId="10150" xr:uid="{00000000-0005-0000-0000-00007F2C0000}"/>
    <cellStyle name="Percent 20 7 3 2 2" xfId="44249" xr:uid="{A5930139-6AA7-4064-9B80-B78898457886}"/>
    <cellStyle name="Percent 20 7 3 2 3" xfId="44248" xr:uid="{0E7D5E7F-800A-4C6E-8B91-2F4A36F9ACC4}"/>
    <cellStyle name="Percent 20 7 3 3" xfId="16383" xr:uid="{00000000-0005-0000-0000-0000802C0000}"/>
    <cellStyle name="Percent 20 7 3 3 2" xfId="44251" xr:uid="{F4584DD5-A98F-4298-8A7F-3C2772DB14E7}"/>
    <cellStyle name="Percent 20 7 3 3 3" xfId="44250" xr:uid="{EF23E8B6-D0E8-4DA1-A96C-411A5EBDA500}"/>
    <cellStyle name="Percent 20 7 3 4" xfId="8645" xr:uid="{00000000-0005-0000-0000-0000812C0000}"/>
    <cellStyle name="Percent 20 7 3 4 2" xfId="44252" xr:uid="{37C855B4-8EE5-496A-8EEC-5C366D1B9940}"/>
    <cellStyle name="Percent 20 7 3 5" xfId="44247" xr:uid="{ED20F225-B843-4860-A722-298F0E4D3673}"/>
    <cellStyle name="Percent 20 7 4" xfId="10148" xr:uid="{00000000-0005-0000-0000-0000822C0000}"/>
    <cellStyle name="Percent 20 7 4 2" xfId="44254" xr:uid="{F0B3E90F-8693-457D-8BD0-E7E5FDB1EC38}"/>
    <cellStyle name="Percent 20 7 4 2 2" xfId="44255" xr:uid="{4E87151E-993C-4285-B097-A278302BD76C}"/>
    <cellStyle name="Percent 20 7 4 2 3" xfId="49853" xr:uid="{2C9506B9-01C4-4388-A976-965247641650}"/>
    <cellStyle name="Percent 20 7 4 3" xfId="44256" xr:uid="{FD1FA568-0058-4E05-8B21-C58C3586A511}"/>
    <cellStyle name="Percent 20 7 4 4" xfId="44253" xr:uid="{A890FCDD-598F-48EA-A648-D0E0D6D6A22B}"/>
    <cellStyle name="Percent 20 7 5" xfId="16300" xr:uid="{00000000-0005-0000-0000-0000832C0000}"/>
    <cellStyle name="Percent 20 7 5 2" xfId="44258" xr:uid="{5135E571-7AFD-4BDE-900E-B9F9B70630B3}"/>
    <cellStyle name="Percent 20 7 5 3" xfId="44259" xr:uid="{C0417DCC-0ACB-41F7-8BCB-241C4C62D079}"/>
    <cellStyle name="Percent 20 7 5 4" xfId="44257" xr:uid="{72A40CA0-C7F1-4A20-9DE2-9E0E086CA9A8}"/>
    <cellStyle name="Percent 20 7 6" xfId="8643" xr:uid="{00000000-0005-0000-0000-0000842C0000}"/>
    <cellStyle name="Percent 20 7 6 2" xfId="44260" xr:uid="{412FBE74-4115-422A-94A1-36181E68D502}"/>
    <cellStyle name="Percent 20 7 7" xfId="16716" xr:uid="{BB5B3BEC-543D-4861-800B-CA45B524E179}"/>
    <cellStyle name="Percent 20 7 7 2" xfId="33444" xr:uid="{8FB1B67A-CD85-4CC0-A858-23D8BD777504}"/>
    <cellStyle name="Percent 20 7 7 3" xfId="44261" xr:uid="{D0BEB1A0-A6E5-42EE-BD17-6E78C5C242B8}"/>
    <cellStyle name="Percent 20 7 8" xfId="44240" xr:uid="{E11E78F5-12D4-4EE5-9863-5A6BBF019B3F}"/>
    <cellStyle name="Percent 20 8" xfId="10151" xr:uid="{00000000-0005-0000-0000-0000852C0000}"/>
    <cellStyle name="Percent 20 8 2" xfId="44263" xr:uid="{7A0F4BAB-FB18-41EE-8512-07052D97FFD1}"/>
    <cellStyle name="Percent 20 8 3" xfId="44262" xr:uid="{C799FC6F-2336-40E2-AD64-180CF23051D4}"/>
    <cellStyle name="Percent 20 9" xfId="10141" xr:uid="{00000000-0005-0000-0000-0000862C0000}"/>
    <cellStyle name="Percent 20 9 2" xfId="44264" xr:uid="{3BC4AD31-0AC6-4BA8-BA6E-2990CEF0A97C}"/>
    <cellStyle name="Percent 21" xfId="2716" xr:uid="{00000000-0005-0000-0000-0000872C0000}"/>
    <cellStyle name="Percent 21 10" xfId="8646" xr:uid="{00000000-0005-0000-0000-0000882C0000}"/>
    <cellStyle name="Percent 21 10 2" xfId="44266" xr:uid="{DD195AC9-F87A-472F-B170-6B031228B87C}"/>
    <cellStyle name="Percent 21 11" xfId="44265" xr:uid="{3CDBD55A-2AF7-4AAE-967C-A4D4C41A5A49}"/>
    <cellStyle name="Percent 21 2" xfId="2717" xr:uid="{00000000-0005-0000-0000-0000892C0000}"/>
    <cellStyle name="Percent 21 2 2" xfId="10153" xr:uid="{00000000-0005-0000-0000-00008A2C0000}"/>
    <cellStyle name="Percent 21 2 2 2" xfId="44268" xr:uid="{0C54A058-54D3-4CD7-9545-604BE36B9717}"/>
    <cellStyle name="Percent 21 2 3" xfId="12821" xr:uid="{00000000-0005-0000-0000-00008B2C0000}"/>
    <cellStyle name="Percent 21 2 3 2" xfId="44269" xr:uid="{AB11B62C-852A-4989-8A23-6DEADA70900E}"/>
    <cellStyle name="Percent 21 2 4" xfId="8647" xr:uid="{00000000-0005-0000-0000-00008C2C0000}"/>
    <cellStyle name="Percent 21 2 4 2" xfId="44270" xr:uid="{B0E04AD2-000F-4A65-B8D4-03EF5C996C9C}"/>
    <cellStyle name="Percent 21 2 5" xfId="44267" xr:uid="{4F349ABF-34AD-4F6E-8006-96237B186DDE}"/>
    <cellStyle name="Percent 21 3" xfId="2718" xr:uid="{00000000-0005-0000-0000-00008D2C0000}"/>
    <cellStyle name="Percent 21 3 2" xfId="10154" xr:uid="{00000000-0005-0000-0000-00008E2C0000}"/>
    <cellStyle name="Percent 21 3 2 2" xfId="44272" xr:uid="{79A31DE4-D15B-46C2-87CA-CCA2DC9ACE88}"/>
    <cellStyle name="Percent 21 3 3" xfId="16627" xr:uid="{00000000-0005-0000-0000-00008F2C0000}"/>
    <cellStyle name="Percent 21 3 3 2" xfId="44273" xr:uid="{BBDED025-7609-4405-9C49-6A294CC24420}"/>
    <cellStyle name="Percent 21 3 4" xfId="8648" xr:uid="{00000000-0005-0000-0000-0000902C0000}"/>
    <cellStyle name="Percent 21 3 4 2" xfId="44274" xr:uid="{A23BFE57-5BA5-4864-B27E-A6EC9A691517}"/>
    <cellStyle name="Percent 21 3 5" xfId="44271" xr:uid="{C29FDF0E-6228-4E50-8B7D-5ECD9467764C}"/>
    <cellStyle name="Percent 21 4" xfId="2719" xr:uid="{00000000-0005-0000-0000-0000912C0000}"/>
    <cellStyle name="Percent 21 4 2" xfId="10155" xr:uid="{00000000-0005-0000-0000-0000922C0000}"/>
    <cellStyle name="Percent 21 4 2 2" xfId="44276" xr:uid="{AFA6D2DF-54B6-436B-9357-336555FBA0A3}"/>
    <cellStyle name="Percent 21 4 3" xfId="12450" xr:uid="{00000000-0005-0000-0000-0000932C0000}"/>
    <cellStyle name="Percent 21 4 3 2" xfId="44277" xr:uid="{2D39000F-BF2D-4926-82F2-6D29608B66BB}"/>
    <cellStyle name="Percent 21 4 4" xfId="8649" xr:uid="{00000000-0005-0000-0000-0000942C0000}"/>
    <cellStyle name="Percent 21 4 4 2" xfId="44278" xr:uid="{42F0A318-326F-4C10-B7FA-7818E2CEDEAB}"/>
    <cellStyle name="Percent 21 4 5" xfId="44275" xr:uid="{B7EFA972-20C9-4B03-993A-1F5CD3520BA4}"/>
    <cellStyle name="Percent 21 5" xfId="2720" xr:uid="{00000000-0005-0000-0000-0000952C0000}"/>
    <cellStyle name="Percent 21 5 2" xfId="10156" xr:uid="{00000000-0005-0000-0000-0000962C0000}"/>
    <cellStyle name="Percent 21 5 2 2" xfId="44280" xr:uid="{22991F15-237D-40E9-B95D-2BA435E75FD0}"/>
    <cellStyle name="Percent 21 5 3" xfId="16365" xr:uid="{00000000-0005-0000-0000-0000972C0000}"/>
    <cellStyle name="Percent 21 5 3 2" xfId="44281" xr:uid="{07385494-A25B-4A7A-8012-8F12F9F50D9B}"/>
    <cellStyle name="Percent 21 5 4" xfId="8650" xr:uid="{00000000-0005-0000-0000-0000982C0000}"/>
    <cellStyle name="Percent 21 5 4 2" xfId="44282" xr:uid="{CE582BD4-8E0A-498B-BACB-63A7977FEF28}"/>
    <cellStyle name="Percent 21 5 5" xfId="44279" xr:uid="{389A41F8-3F5B-40DA-A734-62ED65E65259}"/>
    <cellStyle name="Percent 21 6" xfId="2721" xr:uid="{00000000-0005-0000-0000-0000992C0000}"/>
    <cellStyle name="Percent 21 6 2" xfId="10157" xr:uid="{00000000-0005-0000-0000-00009A2C0000}"/>
    <cellStyle name="Percent 21 6 2 2" xfId="44284" xr:uid="{1A1426E0-E364-4421-81B5-1BB67A8E4B6D}"/>
    <cellStyle name="Percent 21 6 3" xfId="12731" xr:uid="{00000000-0005-0000-0000-00009B2C0000}"/>
    <cellStyle name="Percent 21 6 3 2" xfId="44285" xr:uid="{20C7ADF2-0E04-42D1-88FC-79642DF6C801}"/>
    <cellStyle name="Percent 21 6 4" xfId="8651" xr:uid="{00000000-0005-0000-0000-00009C2C0000}"/>
    <cellStyle name="Percent 21 6 4 2" xfId="44286" xr:uid="{BE17FE5C-D689-4478-BC07-6F84638F72B8}"/>
    <cellStyle name="Percent 21 6 5" xfId="44283" xr:uid="{E769FE4F-E625-4211-B070-F85C9DBF3885}"/>
    <cellStyle name="Percent 21 7" xfId="2722" xr:uid="{00000000-0005-0000-0000-00009D2C0000}"/>
    <cellStyle name="Percent 21 7 2" xfId="2723" xr:uid="{00000000-0005-0000-0000-00009E2C0000}"/>
    <cellStyle name="Percent 21 7 2 2" xfId="10159" xr:uid="{00000000-0005-0000-0000-00009F2C0000}"/>
    <cellStyle name="Percent 21 7 2 2 2" xfId="44290" xr:uid="{B3632FF5-D320-440F-9F8F-438A76BA23C6}"/>
    <cellStyle name="Percent 21 7 2 2 3" xfId="44289" xr:uid="{B9CAED03-8E77-4547-89B2-FD5F14684E3E}"/>
    <cellStyle name="Percent 21 7 2 3" xfId="13487" xr:uid="{00000000-0005-0000-0000-0000A02C0000}"/>
    <cellStyle name="Percent 21 7 2 3 2" xfId="44292" xr:uid="{FC2D055C-825A-47DE-9119-F0258C7A7D30}"/>
    <cellStyle name="Percent 21 7 2 3 3" xfId="44291" xr:uid="{B064660B-30B8-4A44-8440-E444AEEAD052}"/>
    <cellStyle name="Percent 21 7 2 4" xfId="8653" xr:uid="{00000000-0005-0000-0000-0000A12C0000}"/>
    <cellStyle name="Percent 21 7 2 4 2" xfId="44293" xr:uid="{9D7BD783-7BE0-48FA-87C1-7593F20FDAF3}"/>
    <cellStyle name="Percent 21 7 2 5" xfId="44288" xr:uid="{C470A732-137A-407F-A3DC-1B49C5380FD8}"/>
    <cellStyle name="Percent 21 7 3" xfId="2724" xr:uid="{00000000-0005-0000-0000-0000A22C0000}"/>
    <cellStyle name="Percent 21 7 3 2" xfId="10160" xr:uid="{00000000-0005-0000-0000-0000A32C0000}"/>
    <cellStyle name="Percent 21 7 3 2 2" xfId="44296" xr:uid="{353B9A66-FA90-4209-A85F-0619E0E5EA2F}"/>
    <cellStyle name="Percent 21 7 3 2 3" xfId="44295" xr:uid="{CC8AE654-66BE-4BAA-B1C7-147FBD24CAA9}"/>
    <cellStyle name="Percent 21 7 3 3" xfId="16536" xr:uid="{00000000-0005-0000-0000-0000A42C0000}"/>
    <cellStyle name="Percent 21 7 3 3 2" xfId="44298" xr:uid="{925D723B-6D77-4096-ABC9-3759B3486526}"/>
    <cellStyle name="Percent 21 7 3 3 3" xfId="44297" xr:uid="{28C13BEF-42D8-4869-AA1A-DF0DA05FD9CA}"/>
    <cellStyle name="Percent 21 7 3 4" xfId="8654" xr:uid="{00000000-0005-0000-0000-0000A52C0000}"/>
    <cellStyle name="Percent 21 7 3 4 2" xfId="44299" xr:uid="{6249A039-2F46-4EA5-A0E8-3AE440BD569C}"/>
    <cellStyle name="Percent 21 7 3 5" xfId="44294" xr:uid="{B87C5904-12C5-4DD5-A90B-FD31B2160531}"/>
    <cellStyle name="Percent 21 7 4" xfId="10158" xr:uid="{00000000-0005-0000-0000-0000A62C0000}"/>
    <cellStyle name="Percent 21 7 4 2" xfId="44301" xr:uid="{3A162654-4665-4F02-B3E7-2F7815BBB077}"/>
    <cellStyle name="Percent 21 7 4 2 2" xfId="44302" xr:uid="{51E30104-89B2-4B84-9721-0F66591745DF}"/>
    <cellStyle name="Percent 21 7 4 2 3" xfId="49854" xr:uid="{550B1C76-F118-467A-8C20-4CB5F95843AC}"/>
    <cellStyle name="Percent 21 7 4 3" xfId="44303" xr:uid="{D2FF31DD-6D15-45CA-B323-613D56E5BAEA}"/>
    <cellStyle name="Percent 21 7 4 4" xfId="44300" xr:uid="{4B04CD3E-FE17-40B8-B3DB-3E3C50A30E24}"/>
    <cellStyle name="Percent 21 7 5" xfId="12874" xr:uid="{00000000-0005-0000-0000-0000A72C0000}"/>
    <cellStyle name="Percent 21 7 5 2" xfId="44305" xr:uid="{55A89B29-EAB0-4838-B5BC-A0EF1A3C71E2}"/>
    <cellStyle name="Percent 21 7 5 3" xfId="44306" xr:uid="{556AF6A2-3772-46A3-B008-C17B36DCD49F}"/>
    <cellStyle name="Percent 21 7 5 4" xfId="44304" xr:uid="{40EBDF58-5DE6-48C9-9DF4-B7FE274772D4}"/>
    <cellStyle name="Percent 21 7 6" xfId="8652" xr:uid="{00000000-0005-0000-0000-0000A82C0000}"/>
    <cellStyle name="Percent 21 7 6 2" xfId="44307" xr:uid="{8255573B-8AC7-477A-8160-00E41732888B}"/>
    <cellStyle name="Percent 21 7 7" xfId="16717" xr:uid="{D733C25A-381D-4984-9EAF-6689C5A70627}"/>
    <cellStyle name="Percent 21 7 7 2" xfId="33445" xr:uid="{EC4043D5-548C-41DB-BA05-8B694D8EBF54}"/>
    <cellStyle name="Percent 21 7 7 3" xfId="44308" xr:uid="{389029A9-3162-44CC-A45E-2A3DC2BC28B6}"/>
    <cellStyle name="Percent 21 7 8" xfId="44287" xr:uid="{7903997B-DEB8-4AE2-B051-F1977571DD86}"/>
    <cellStyle name="Percent 21 8" xfId="10152" xr:uid="{00000000-0005-0000-0000-0000A92C0000}"/>
    <cellStyle name="Percent 21 8 2" xfId="44309" xr:uid="{DD99E24A-586D-45B4-A202-C16767DFD0C0}"/>
    <cellStyle name="Percent 21 9" xfId="13793" xr:uid="{00000000-0005-0000-0000-0000AA2C0000}"/>
    <cellStyle name="Percent 21 9 2" xfId="44310" xr:uid="{EC9AFB71-E30F-4C5E-A1E4-52D3050035F8}"/>
    <cellStyle name="Percent 22" xfId="2725" xr:uid="{00000000-0005-0000-0000-0000AB2C0000}"/>
    <cellStyle name="Percent 22 10" xfId="8655" xr:uid="{00000000-0005-0000-0000-0000AC2C0000}"/>
    <cellStyle name="Percent 22 10 2" xfId="44312" xr:uid="{1AD09D82-BF28-4E2A-824A-CCE9F731CD00}"/>
    <cellStyle name="Percent 22 11" xfId="44311" xr:uid="{7EB08A02-63F8-49A5-BBC8-6D9FE184E4B0}"/>
    <cellStyle name="Percent 22 2" xfId="2726" xr:uid="{00000000-0005-0000-0000-0000AD2C0000}"/>
    <cellStyle name="Percent 22 2 2" xfId="10162" xr:uid="{00000000-0005-0000-0000-0000AE2C0000}"/>
    <cellStyle name="Percent 22 2 2 2" xfId="44314" xr:uid="{6F33BAB8-08C1-4D34-AD7E-B9888A3066DF}"/>
    <cellStyle name="Percent 22 2 3" xfId="12729" xr:uid="{00000000-0005-0000-0000-0000AF2C0000}"/>
    <cellStyle name="Percent 22 2 3 2" xfId="44315" xr:uid="{06D09C42-BA1B-47D7-A11B-F33DF5E505AA}"/>
    <cellStyle name="Percent 22 2 4" xfId="8656" xr:uid="{00000000-0005-0000-0000-0000B02C0000}"/>
    <cellStyle name="Percent 22 2 4 2" xfId="44316" xr:uid="{F3F34F9E-F04F-484B-A3E5-5556B96F82D6}"/>
    <cellStyle name="Percent 22 2 5" xfId="44313" xr:uid="{D606AA1C-36D1-4771-9E80-10C6BC2E95A4}"/>
    <cellStyle name="Percent 22 3" xfId="2727" xr:uid="{00000000-0005-0000-0000-0000B12C0000}"/>
    <cellStyle name="Percent 22 3 2" xfId="10163" xr:uid="{00000000-0005-0000-0000-0000B22C0000}"/>
    <cellStyle name="Percent 22 3 2 2" xfId="44318" xr:uid="{945B4AED-104F-4964-AA24-5483EE70F212}"/>
    <cellStyle name="Percent 22 3 3" xfId="16424" xr:uid="{00000000-0005-0000-0000-0000B32C0000}"/>
    <cellStyle name="Percent 22 3 3 2" xfId="44319" xr:uid="{3E5A9B23-AB33-4CC5-81CB-39EB7B5F0FF0}"/>
    <cellStyle name="Percent 22 3 4" xfId="8657" xr:uid="{00000000-0005-0000-0000-0000B42C0000}"/>
    <cellStyle name="Percent 22 3 4 2" xfId="44320" xr:uid="{B9F0E6F3-FEAA-4317-A71C-31E06341EF38}"/>
    <cellStyle name="Percent 22 3 5" xfId="44317" xr:uid="{F5D903B8-26A9-4A47-981C-46DA28BB580C}"/>
    <cellStyle name="Percent 22 4" xfId="2728" xr:uid="{00000000-0005-0000-0000-0000B52C0000}"/>
    <cellStyle name="Percent 22 4 2" xfId="10164" xr:uid="{00000000-0005-0000-0000-0000B62C0000}"/>
    <cellStyle name="Percent 22 4 2 2" xfId="44322" xr:uid="{C5502E3F-2629-4C5C-9603-A125309A360A}"/>
    <cellStyle name="Percent 22 4 3" xfId="12842" xr:uid="{00000000-0005-0000-0000-0000B72C0000}"/>
    <cellStyle name="Percent 22 4 3 2" xfId="44323" xr:uid="{4B20DF9A-594B-4F41-9BA6-038146ACA168}"/>
    <cellStyle name="Percent 22 4 4" xfId="8658" xr:uid="{00000000-0005-0000-0000-0000B82C0000}"/>
    <cellStyle name="Percent 22 4 4 2" xfId="44324" xr:uid="{7B6E7B34-11AC-402B-853D-5F5D7A1CFF94}"/>
    <cellStyle name="Percent 22 4 5" xfId="44321" xr:uid="{BA257F58-CDE5-44C9-B45F-B9424B8DB69F}"/>
    <cellStyle name="Percent 22 5" xfId="2729" xr:uid="{00000000-0005-0000-0000-0000B92C0000}"/>
    <cellStyle name="Percent 22 5 2" xfId="10165" xr:uid="{00000000-0005-0000-0000-0000BA2C0000}"/>
    <cellStyle name="Percent 22 5 2 2" xfId="44326" xr:uid="{786C758E-26CB-48DD-9068-FC20F979D930}"/>
    <cellStyle name="Percent 22 5 3" xfId="12596" xr:uid="{00000000-0005-0000-0000-0000BB2C0000}"/>
    <cellStyle name="Percent 22 5 3 2" xfId="44327" xr:uid="{06020508-074D-46A1-8128-E4701738F639}"/>
    <cellStyle name="Percent 22 5 4" xfId="8659" xr:uid="{00000000-0005-0000-0000-0000BC2C0000}"/>
    <cellStyle name="Percent 22 5 4 2" xfId="44328" xr:uid="{D851E5D0-0840-48EC-9CF0-9774971BCAE5}"/>
    <cellStyle name="Percent 22 5 5" xfId="44325" xr:uid="{E3329A2C-FAC0-47AC-8ED3-F954563B8F02}"/>
    <cellStyle name="Percent 22 6" xfId="2730" xr:uid="{00000000-0005-0000-0000-0000BD2C0000}"/>
    <cellStyle name="Percent 22 6 2" xfId="10166" xr:uid="{00000000-0005-0000-0000-0000BE2C0000}"/>
    <cellStyle name="Percent 22 6 2 2" xfId="44330" xr:uid="{8FB51009-F8B4-4B0E-942C-166379FED1AD}"/>
    <cellStyle name="Percent 22 6 3" xfId="16216" xr:uid="{00000000-0005-0000-0000-0000BF2C0000}"/>
    <cellStyle name="Percent 22 6 3 2" xfId="44331" xr:uid="{DAB19E2A-2B3A-49EE-BDC9-A21F6BD81572}"/>
    <cellStyle name="Percent 22 6 4" xfId="8660" xr:uid="{00000000-0005-0000-0000-0000C02C0000}"/>
    <cellStyle name="Percent 22 6 4 2" xfId="44332" xr:uid="{21CF3778-0E6D-49A1-AFF5-38C9E91496B0}"/>
    <cellStyle name="Percent 22 6 5" xfId="44329" xr:uid="{DD1053AD-AE3B-4897-9CE8-48F24B691B3B}"/>
    <cellStyle name="Percent 22 7" xfId="2731" xr:uid="{00000000-0005-0000-0000-0000C12C0000}"/>
    <cellStyle name="Percent 22 7 2" xfId="2732" xr:uid="{00000000-0005-0000-0000-0000C22C0000}"/>
    <cellStyle name="Percent 22 7 2 2" xfId="10168" xr:uid="{00000000-0005-0000-0000-0000C32C0000}"/>
    <cellStyle name="Percent 22 7 2 2 2" xfId="44336" xr:uid="{1772B6FB-71B3-41B3-8195-B97147C88C94}"/>
    <cellStyle name="Percent 22 7 2 2 3" xfId="44335" xr:uid="{278C677D-491C-4414-9111-D7757A9C3A39}"/>
    <cellStyle name="Percent 22 7 2 3" xfId="13733" xr:uid="{00000000-0005-0000-0000-0000C42C0000}"/>
    <cellStyle name="Percent 22 7 2 3 2" xfId="44338" xr:uid="{7BD48E6B-6534-4C7D-9A23-2179DB06255A}"/>
    <cellStyle name="Percent 22 7 2 3 3" xfId="44337" xr:uid="{121D1338-578A-4707-9419-FF0592E8DF58}"/>
    <cellStyle name="Percent 22 7 2 4" xfId="8662" xr:uid="{00000000-0005-0000-0000-0000C52C0000}"/>
    <cellStyle name="Percent 22 7 2 4 2" xfId="44339" xr:uid="{8CCE560A-4E47-4835-B5EC-59CE605C9A6B}"/>
    <cellStyle name="Percent 22 7 2 5" xfId="44334" xr:uid="{3544FCC8-9A47-417E-8DEB-8248D54B0D6B}"/>
    <cellStyle name="Percent 22 7 3" xfId="2733" xr:uid="{00000000-0005-0000-0000-0000C62C0000}"/>
    <cellStyle name="Percent 22 7 3 2" xfId="10169" xr:uid="{00000000-0005-0000-0000-0000C72C0000}"/>
    <cellStyle name="Percent 22 7 3 2 2" xfId="44342" xr:uid="{119F55FB-4885-4D03-8724-E3D265B93E47}"/>
    <cellStyle name="Percent 22 7 3 2 3" xfId="44341" xr:uid="{4C7C636E-DFA5-4FE5-8CEE-A90A35D20276}"/>
    <cellStyle name="Percent 22 7 3 3" xfId="16292" xr:uid="{00000000-0005-0000-0000-0000C82C0000}"/>
    <cellStyle name="Percent 22 7 3 3 2" xfId="44344" xr:uid="{A1D0D3A5-7CD0-4096-BA27-0691F408C601}"/>
    <cellStyle name="Percent 22 7 3 3 3" xfId="44343" xr:uid="{1CF5FE6F-8AD2-4A9D-A2F1-38C67B2FA92D}"/>
    <cellStyle name="Percent 22 7 3 4" xfId="8663" xr:uid="{00000000-0005-0000-0000-0000C92C0000}"/>
    <cellStyle name="Percent 22 7 3 4 2" xfId="44345" xr:uid="{DB33DE9D-9D83-4816-A175-C37A5DA14C45}"/>
    <cellStyle name="Percent 22 7 3 5" xfId="44340" xr:uid="{6DB71A3C-6700-4042-ACCF-4D1E964DFCEA}"/>
    <cellStyle name="Percent 22 7 4" xfId="10167" xr:uid="{00000000-0005-0000-0000-0000CA2C0000}"/>
    <cellStyle name="Percent 22 7 4 2" xfId="44347" xr:uid="{A8330DA5-1DF7-4561-9370-7D47FB0037A5}"/>
    <cellStyle name="Percent 22 7 4 2 2" xfId="44348" xr:uid="{1972D99D-804D-41AA-A3FE-688555E96DD6}"/>
    <cellStyle name="Percent 22 7 4 2 3" xfId="49855" xr:uid="{F1102E5E-E32E-4219-AC84-13C8C7DB2E07}"/>
    <cellStyle name="Percent 22 7 4 3" xfId="44349" xr:uid="{3026AE77-39E6-46DC-885F-2BF3AA3A7FFF}"/>
    <cellStyle name="Percent 22 7 4 4" xfId="44346" xr:uid="{F699BB14-EC77-4A74-97AC-7189E680CD8F}"/>
    <cellStyle name="Percent 22 7 5" xfId="12502" xr:uid="{00000000-0005-0000-0000-0000CB2C0000}"/>
    <cellStyle name="Percent 22 7 5 2" xfId="44351" xr:uid="{6828877B-B3DB-4155-8EEE-11F3B039264A}"/>
    <cellStyle name="Percent 22 7 5 3" xfId="44352" xr:uid="{210BEE6D-77FD-4DEC-B4CB-94CA7A1268A1}"/>
    <cellStyle name="Percent 22 7 5 4" xfId="44350" xr:uid="{ADAE71BC-C10F-4D01-9167-6B64D8ED47EB}"/>
    <cellStyle name="Percent 22 7 6" xfId="8661" xr:uid="{00000000-0005-0000-0000-0000CC2C0000}"/>
    <cellStyle name="Percent 22 7 6 2" xfId="44353" xr:uid="{DA63D3B6-1EB5-4563-9A91-BD914252BDDF}"/>
    <cellStyle name="Percent 22 7 7" xfId="16718" xr:uid="{C977E6A2-FAE8-4984-A584-B2B7AF4C0427}"/>
    <cellStyle name="Percent 22 7 7 2" xfId="33446" xr:uid="{0284EE27-17A7-44B9-9323-9B22C0DAC9F5}"/>
    <cellStyle name="Percent 22 7 7 3" xfId="44354" xr:uid="{89FFBB52-4475-4C3A-938E-006CB19CE2F2}"/>
    <cellStyle name="Percent 22 7 8" xfId="44333" xr:uid="{A6614C76-525D-4B9F-BE88-C3DE3131B6B2}"/>
    <cellStyle name="Percent 22 8" xfId="10161" xr:uid="{00000000-0005-0000-0000-0000CD2C0000}"/>
    <cellStyle name="Percent 22 8 2" xfId="44355" xr:uid="{D811D1AD-A369-4A2F-81BA-6F5F13165543}"/>
    <cellStyle name="Percent 22 9" xfId="16587" xr:uid="{00000000-0005-0000-0000-0000CE2C0000}"/>
    <cellStyle name="Percent 22 9 2" xfId="44356" xr:uid="{0B2DDC84-655F-436D-BEE5-907B084F0D3F}"/>
    <cellStyle name="Percent 23" xfId="2734" xr:uid="{00000000-0005-0000-0000-0000CF2C0000}"/>
    <cellStyle name="Percent 23 10" xfId="8664" xr:uid="{00000000-0005-0000-0000-0000D02C0000}"/>
    <cellStyle name="Percent 23 10 2" xfId="44358" xr:uid="{268EC501-5D8D-46D3-B89B-8DD3D777145B}"/>
    <cellStyle name="Percent 23 11" xfId="44357" xr:uid="{B29F529E-97AB-4296-B9E1-2C8C7E2A09B7}"/>
    <cellStyle name="Percent 23 2" xfId="2735" xr:uid="{00000000-0005-0000-0000-0000D12C0000}"/>
    <cellStyle name="Percent 23 2 2" xfId="10171" xr:uid="{00000000-0005-0000-0000-0000D22C0000}"/>
    <cellStyle name="Percent 23 2 2 2" xfId="44360" xr:uid="{C719C8AD-942A-4FA0-9668-6DE33D4936CD}"/>
    <cellStyle name="Percent 23 2 3" xfId="16327" xr:uid="{00000000-0005-0000-0000-0000D32C0000}"/>
    <cellStyle name="Percent 23 2 3 2" xfId="44361" xr:uid="{587157F7-8907-4B2D-8109-30D7A998C683}"/>
    <cellStyle name="Percent 23 2 4" xfId="8665" xr:uid="{00000000-0005-0000-0000-0000D42C0000}"/>
    <cellStyle name="Percent 23 2 4 2" xfId="44362" xr:uid="{9BB2B8A4-B3D4-4D60-B080-E63E12AC3938}"/>
    <cellStyle name="Percent 23 2 5" xfId="44359" xr:uid="{3F91CBAE-EBDC-4406-A9A2-B8929BC9D5BD}"/>
    <cellStyle name="Percent 23 3" xfId="2736" xr:uid="{00000000-0005-0000-0000-0000D52C0000}"/>
    <cellStyle name="Percent 23 3 2" xfId="10172" xr:uid="{00000000-0005-0000-0000-0000D62C0000}"/>
    <cellStyle name="Percent 23 3 2 2" xfId="44364" xr:uid="{103D16AB-1ECF-4716-B0D6-E91495A3D61A}"/>
    <cellStyle name="Percent 23 3 3" xfId="16467" xr:uid="{00000000-0005-0000-0000-0000D72C0000}"/>
    <cellStyle name="Percent 23 3 3 2" xfId="44365" xr:uid="{4B1C38A9-F8A2-43B7-9718-B915F4B6299A}"/>
    <cellStyle name="Percent 23 3 4" xfId="8666" xr:uid="{00000000-0005-0000-0000-0000D82C0000}"/>
    <cellStyle name="Percent 23 3 4 2" xfId="44366" xr:uid="{453CB69A-DCA6-4A44-B687-D10352A70DE6}"/>
    <cellStyle name="Percent 23 3 5" xfId="44363" xr:uid="{F8D9F857-A4DA-465E-8717-4B978EC905C3}"/>
    <cellStyle name="Percent 23 4" xfId="2737" xr:uid="{00000000-0005-0000-0000-0000D92C0000}"/>
    <cellStyle name="Percent 23 4 2" xfId="10173" xr:uid="{00000000-0005-0000-0000-0000DA2C0000}"/>
    <cellStyle name="Percent 23 4 2 2" xfId="44368" xr:uid="{9C765D8E-0293-4FEF-936C-79EE001F5689}"/>
    <cellStyle name="Percent 23 4 3" xfId="12808" xr:uid="{00000000-0005-0000-0000-0000DB2C0000}"/>
    <cellStyle name="Percent 23 4 3 2" xfId="44369" xr:uid="{4471F4D3-4175-4FED-9D73-B902408BE8D1}"/>
    <cellStyle name="Percent 23 4 4" xfId="8667" xr:uid="{00000000-0005-0000-0000-0000DC2C0000}"/>
    <cellStyle name="Percent 23 4 4 2" xfId="44370" xr:uid="{5C5A1CDA-398E-4120-AAAD-27DB349E112A}"/>
    <cellStyle name="Percent 23 4 5" xfId="44367" xr:uid="{980364B3-4165-46A8-8995-016E9BA8C886}"/>
    <cellStyle name="Percent 23 5" xfId="2738" xr:uid="{00000000-0005-0000-0000-0000DD2C0000}"/>
    <cellStyle name="Percent 23 5 2" xfId="10174" xr:uid="{00000000-0005-0000-0000-0000DE2C0000}"/>
    <cellStyle name="Percent 23 5 2 2" xfId="44372" xr:uid="{9FFF214E-7117-42B5-AF48-960BC1CD7857}"/>
    <cellStyle name="Percent 23 5 3" xfId="12557" xr:uid="{00000000-0005-0000-0000-0000DF2C0000}"/>
    <cellStyle name="Percent 23 5 3 2" xfId="44373" xr:uid="{3B189305-535F-4CDD-A3CD-335773C6A266}"/>
    <cellStyle name="Percent 23 5 4" xfId="8668" xr:uid="{00000000-0005-0000-0000-0000E02C0000}"/>
    <cellStyle name="Percent 23 5 4 2" xfId="44374" xr:uid="{9248167F-B307-4F23-B4C0-6D8042067E11}"/>
    <cellStyle name="Percent 23 5 5" xfId="44371" xr:uid="{EEA3E99B-FE1B-440E-9AC3-87969F6E5AB5}"/>
    <cellStyle name="Percent 23 6" xfId="2739" xr:uid="{00000000-0005-0000-0000-0000E12C0000}"/>
    <cellStyle name="Percent 23 6 2" xfId="10175" xr:uid="{00000000-0005-0000-0000-0000E22C0000}"/>
    <cellStyle name="Percent 23 6 2 2" xfId="44376" xr:uid="{963182B7-362F-488E-B5D0-7FFC0BB6D5EF}"/>
    <cellStyle name="Percent 23 6 3" xfId="16628" xr:uid="{00000000-0005-0000-0000-0000E32C0000}"/>
    <cellStyle name="Percent 23 6 3 2" xfId="44377" xr:uid="{C5DC930F-2A48-4B39-9454-5A9AB3266C09}"/>
    <cellStyle name="Percent 23 6 4" xfId="8669" xr:uid="{00000000-0005-0000-0000-0000E42C0000}"/>
    <cellStyle name="Percent 23 6 4 2" xfId="44378" xr:uid="{FD31877F-B15F-4E76-AC2B-815B5209B719}"/>
    <cellStyle name="Percent 23 6 5" xfId="44375" xr:uid="{587E9CDA-01FC-47E9-AB67-0DA5B986F8EF}"/>
    <cellStyle name="Percent 23 7" xfId="2740" xr:uid="{00000000-0005-0000-0000-0000E52C0000}"/>
    <cellStyle name="Percent 23 7 2" xfId="2741" xr:uid="{00000000-0005-0000-0000-0000E62C0000}"/>
    <cellStyle name="Percent 23 7 2 2" xfId="10177" xr:uid="{00000000-0005-0000-0000-0000E72C0000}"/>
    <cellStyle name="Percent 23 7 2 2 2" xfId="44382" xr:uid="{D9D5A01D-DA3F-498D-B987-4253F5728248}"/>
    <cellStyle name="Percent 23 7 2 2 3" xfId="44381" xr:uid="{530071F8-FFE6-424F-A88D-F5BE8771074A}"/>
    <cellStyle name="Percent 23 7 2 3" xfId="16270" xr:uid="{00000000-0005-0000-0000-0000E82C0000}"/>
    <cellStyle name="Percent 23 7 2 3 2" xfId="44384" xr:uid="{8ECF6777-DB84-409B-A84E-08CFC78895B6}"/>
    <cellStyle name="Percent 23 7 2 3 3" xfId="44383" xr:uid="{BD74A5A7-B76C-4D43-82AF-56152EAFA444}"/>
    <cellStyle name="Percent 23 7 2 4" xfId="8671" xr:uid="{00000000-0005-0000-0000-0000E92C0000}"/>
    <cellStyle name="Percent 23 7 2 4 2" xfId="44385" xr:uid="{29D9706F-F984-403D-8E1B-EA3C7C02B53E}"/>
    <cellStyle name="Percent 23 7 2 5" xfId="44380" xr:uid="{F2E23880-65EF-4634-BDCC-67404D9DDB40}"/>
    <cellStyle name="Percent 23 7 3" xfId="2742" xr:uid="{00000000-0005-0000-0000-0000EA2C0000}"/>
    <cellStyle name="Percent 23 7 3 2" xfId="10178" xr:uid="{00000000-0005-0000-0000-0000EB2C0000}"/>
    <cellStyle name="Percent 23 7 3 2 2" xfId="44388" xr:uid="{2D52552E-DCE9-4A46-998F-25C56FF10720}"/>
    <cellStyle name="Percent 23 7 3 2 3" xfId="44387" xr:uid="{379CCDC4-F240-4891-8DE4-79B13D149E22}"/>
    <cellStyle name="Percent 23 7 3 3" xfId="16210" xr:uid="{00000000-0005-0000-0000-0000EC2C0000}"/>
    <cellStyle name="Percent 23 7 3 3 2" xfId="44390" xr:uid="{994F2E3A-5438-4257-80FA-90DA5B123032}"/>
    <cellStyle name="Percent 23 7 3 3 3" xfId="44389" xr:uid="{74831390-F02E-4433-AED5-1793E3316CA0}"/>
    <cellStyle name="Percent 23 7 3 4" xfId="8672" xr:uid="{00000000-0005-0000-0000-0000ED2C0000}"/>
    <cellStyle name="Percent 23 7 3 4 2" xfId="44391" xr:uid="{DC77BCA4-D746-4F6E-A06D-316B4B7C9F89}"/>
    <cellStyle name="Percent 23 7 3 5" xfId="44386" xr:uid="{24622A6D-2D99-472C-B015-9C3E963B1C17}"/>
    <cellStyle name="Percent 23 7 4" xfId="10176" xr:uid="{00000000-0005-0000-0000-0000EE2C0000}"/>
    <cellStyle name="Percent 23 7 4 2" xfId="44393" xr:uid="{C87166A8-BDDB-4104-B221-257B95F5BF63}"/>
    <cellStyle name="Percent 23 7 4 2 2" xfId="44394" xr:uid="{A9E189FF-9CBA-419E-9214-AAE75253773A}"/>
    <cellStyle name="Percent 23 7 4 2 3" xfId="49856" xr:uid="{1A7A9E1D-3EC5-4FAE-BE86-E4DE22DBD55B}"/>
    <cellStyle name="Percent 23 7 4 3" xfId="44395" xr:uid="{AEA9A403-1F04-4EC2-8D8A-2DEE15F6F771}"/>
    <cellStyle name="Percent 23 7 4 4" xfId="44392" xr:uid="{5C798E83-E38A-48A9-AB54-EEF7294CD2AD}"/>
    <cellStyle name="Percent 23 7 5" xfId="16412" xr:uid="{00000000-0005-0000-0000-0000EF2C0000}"/>
    <cellStyle name="Percent 23 7 5 2" xfId="44397" xr:uid="{44CEF4E8-0CBC-4B18-8D2A-98BF2B82DB06}"/>
    <cellStyle name="Percent 23 7 5 3" xfId="44398" xr:uid="{B8938ECC-0412-4301-95C9-660DE4D81BD3}"/>
    <cellStyle name="Percent 23 7 5 4" xfId="44396" xr:uid="{4B17FB4F-1608-4FC8-9AF3-33E8DBFE3D9F}"/>
    <cellStyle name="Percent 23 7 6" xfId="8670" xr:uid="{00000000-0005-0000-0000-0000F02C0000}"/>
    <cellStyle name="Percent 23 7 6 2" xfId="44399" xr:uid="{09A2DC1E-E4F3-4B2A-963E-A3825C6C5125}"/>
    <cellStyle name="Percent 23 7 7" xfId="16719" xr:uid="{A0EDE842-EB95-4853-B271-2447BAB2E108}"/>
    <cellStyle name="Percent 23 7 7 2" xfId="33447" xr:uid="{7F7A5FD6-24CD-4E08-8897-1B0A7386B00A}"/>
    <cellStyle name="Percent 23 7 7 3" xfId="44400" xr:uid="{CE069F37-08DA-45BF-86FF-EEAAA9249079}"/>
    <cellStyle name="Percent 23 7 8" xfId="44379" xr:uid="{BE69D862-4432-4A05-9495-2C235B2FC5E1}"/>
    <cellStyle name="Percent 23 8" xfId="10170" xr:uid="{00000000-0005-0000-0000-0000F12C0000}"/>
    <cellStyle name="Percent 23 8 2" xfId="44401" xr:uid="{CC17F274-17BE-4C1A-8882-CA0BDC516105}"/>
    <cellStyle name="Percent 23 9" xfId="16233" xr:uid="{00000000-0005-0000-0000-0000F22C0000}"/>
    <cellStyle name="Percent 23 9 2" xfId="44402" xr:uid="{30A9716B-D46C-404E-8971-50697A373DB2}"/>
    <cellStyle name="Percent 24" xfId="4779" xr:uid="{00000000-0005-0000-0000-0000F32C0000}"/>
    <cellStyle name="Percent 24 10" xfId="6429" xr:uid="{00000000-0005-0000-0000-0000F42C0000}"/>
    <cellStyle name="Percent 24 10 2" xfId="7700" xr:uid="{00000000-0005-0000-0000-0000F52C0000}"/>
    <cellStyle name="Percent 24 10 2 2" xfId="16133" xr:uid="{00000000-0005-0000-0000-0000F62C0000}"/>
    <cellStyle name="Percent 24 10 2 2 2" xfId="28027" xr:uid="{2C559BD7-7C25-4A5D-97F6-50ED453C7FA0}"/>
    <cellStyle name="Percent 24 10 2 2 3" xfId="22367" xr:uid="{876BA44C-7BE6-4DBB-A8AC-F8CBB12CAF35}"/>
    <cellStyle name="Percent 24 10 2 2 4" xfId="33407" xr:uid="{3B5B2111-146B-4F54-AB7D-4FF478C92E84}"/>
    <cellStyle name="Percent 24 10 2 2 5" xfId="44406" xr:uid="{51BDBF4D-B136-4EBF-A117-FC7EB1393B29}"/>
    <cellStyle name="Percent 24 10 2 3" xfId="25194" xr:uid="{175442EA-3863-43FA-99A4-A0E359D83530}"/>
    <cellStyle name="Percent 24 10 2 4" xfId="19534" xr:uid="{5F0F72E5-18EB-4F8B-B60E-A5DFEC36E348}"/>
    <cellStyle name="Percent 24 10 2 5" xfId="30855" xr:uid="{C509566F-14E3-4838-97B2-2E43C497B3E0}"/>
    <cellStyle name="Percent 24 10 2 6" xfId="44405" xr:uid="{16EB03D4-BF76-48FD-B38B-BEE1477669EE}"/>
    <cellStyle name="Percent 24 10 3" xfId="14864" xr:uid="{00000000-0005-0000-0000-0000F72C0000}"/>
    <cellStyle name="Percent 24 10 3 2" xfId="26771" xr:uid="{F2D80D71-EBA0-4404-9F9D-293C07FFE732}"/>
    <cellStyle name="Percent 24 10 3 3" xfId="21111" xr:uid="{0223810C-7D80-4036-ABF1-10C63BA22382}"/>
    <cellStyle name="Percent 24 10 3 4" xfId="32151" xr:uid="{4BE00973-5AC7-43F4-AF1E-CC3F29AFCB83}"/>
    <cellStyle name="Percent 24 10 3 5" xfId="44407" xr:uid="{4F782553-6785-4D02-8BD2-60BD5443D3B5}"/>
    <cellStyle name="Percent 24 10 4" xfId="23938" xr:uid="{ABF9D46F-BA4C-4EA1-831E-E86925FDF5D1}"/>
    <cellStyle name="Percent 24 10 5" xfId="18278" xr:uid="{F4A741AC-3FA2-4FC4-9107-D5C16741DB10}"/>
    <cellStyle name="Percent 24 10 6" xfId="29599" xr:uid="{125312FC-47D6-40FB-A50F-66B0C270E010}"/>
    <cellStyle name="Percent 24 10 7" xfId="44404" xr:uid="{50018487-C141-45D5-92BF-B60AA1435A6E}"/>
    <cellStyle name="Percent 24 11" xfId="6647" xr:uid="{00000000-0005-0000-0000-0000F82C0000}"/>
    <cellStyle name="Percent 24 11 2" xfId="15080" xr:uid="{00000000-0005-0000-0000-0000F92C0000}"/>
    <cellStyle name="Percent 24 11 2 2" xfId="26974" xr:uid="{CE22F462-1AD5-49F8-B14D-478EF51320A1}"/>
    <cellStyle name="Percent 24 11 2 3" xfId="21314" xr:uid="{9C85C6C1-7DFA-4266-BDF5-4CB98C9CE3E3}"/>
    <cellStyle name="Percent 24 11 2 4" xfId="32354" xr:uid="{FE681224-E6F4-461F-A09C-2652C5740426}"/>
    <cellStyle name="Percent 24 11 2 5" xfId="44409" xr:uid="{D5BA64C5-972F-41C7-8D8F-5B4D2AB888D3}"/>
    <cellStyle name="Percent 24 11 3" xfId="24141" xr:uid="{9E3A9320-0DA8-4A29-825B-86E1967B5A03}"/>
    <cellStyle name="Percent 24 11 4" xfId="18481" xr:uid="{C937BF25-8684-4DFD-AC0F-31A48AF19699}"/>
    <cellStyle name="Percent 24 11 5" xfId="29802" xr:uid="{E7113B11-4F9D-4CDA-A0A8-079EB870E6DF}"/>
    <cellStyle name="Percent 24 11 6" xfId="44408" xr:uid="{AB548BE0-E9D5-4DF7-BB87-6E5BFC3877CC}"/>
    <cellStyle name="Percent 24 12" xfId="13874" xr:uid="{00000000-0005-0000-0000-0000FA2C0000}"/>
    <cellStyle name="Percent 24 12 2" xfId="25955" xr:uid="{966C9161-62D6-4E70-8521-9CEF53B14EB2}"/>
    <cellStyle name="Percent 24 12 3" xfId="20295" xr:uid="{C3401D48-AF3F-40C1-A81A-40B21D80054F}"/>
    <cellStyle name="Percent 24 12 4" xfId="31335" xr:uid="{8569B076-8B13-48D9-9A4C-70C81C9F5E11}"/>
    <cellStyle name="Percent 24 12 5" xfId="44410" xr:uid="{126B45F0-05AA-44BF-9FE9-410676FE2437}"/>
    <cellStyle name="Percent 24 13" xfId="13875" xr:uid="{00000000-0005-0000-0000-0000FB2C0000}"/>
    <cellStyle name="Percent 24 13 2" xfId="44411" xr:uid="{A6F340D9-6A84-433D-92D3-7ED5B0A8F919}"/>
    <cellStyle name="Percent 24 14" xfId="8673" xr:uid="{00000000-0005-0000-0000-0000FC2C0000}"/>
    <cellStyle name="Percent 24 14 2" xfId="44412" xr:uid="{4E4A4D55-6F17-43DA-92A7-25A88FD8088E}"/>
    <cellStyle name="Percent 24 15" xfId="22579" xr:uid="{D6BBC8C7-F922-4FEE-8F3C-6F868FE75A3A}"/>
    <cellStyle name="Percent 24 15 2" xfId="44413" xr:uid="{73C7E98A-2566-4D41-92CB-3595E288FAC4}"/>
    <cellStyle name="Percent 24 16" xfId="16919" xr:uid="{E5AA77F3-E0B0-4EBF-A93F-722945C5218D}"/>
    <cellStyle name="Percent 24 17" xfId="28240" xr:uid="{201C9039-1727-4DEA-8F66-C812037EA7E8}"/>
    <cellStyle name="Percent 24 18" xfId="44403" xr:uid="{C2F71887-30D1-4932-B8ED-69662F7B2882}"/>
    <cellStyle name="Percent 24 19" xfId="49857" xr:uid="{47CB35BF-6605-4DF8-887F-F72999BDB93E}"/>
    <cellStyle name="Percent 24 2" xfId="2743" xr:uid="{00000000-0005-0000-0000-0000FD2C0000}"/>
    <cellStyle name="Percent 24 2 2" xfId="10179" xr:uid="{00000000-0005-0000-0000-0000FE2C0000}"/>
    <cellStyle name="Percent 24 2 2 2" xfId="44415" xr:uid="{CBD4D286-8DB8-41EC-A070-DDA0A3C65949}"/>
    <cellStyle name="Percent 24 2 3" xfId="13779" xr:uid="{00000000-0005-0000-0000-0000FF2C0000}"/>
    <cellStyle name="Percent 24 2 3 2" xfId="44416" xr:uid="{B99629DA-9588-41D9-ABAE-5419403F055A}"/>
    <cellStyle name="Percent 24 2 4" xfId="8674" xr:uid="{00000000-0005-0000-0000-0000002D0000}"/>
    <cellStyle name="Percent 24 2 4 2" xfId="44417" xr:uid="{BA130BCD-1D1F-4FC5-901F-33397EDFAE5B}"/>
    <cellStyle name="Percent 24 2 5" xfId="44414" xr:uid="{67971809-9A2E-450D-B950-2B2B9D408DCB}"/>
    <cellStyle name="Percent 24 3" xfId="2744" xr:uid="{00000000-0005-0000-0000-0000012D0000}"/>
    <cellStyle name="Percent 24 3 2" xfId="10180" xr:uid="{00000000-0005-0000-0000-0000022D0000}"/>
    <cellStyle name="Percent 24 3 2 2" xfId="44419" xr:uid="{7FFCCF5D-EEFD-461E-8B85-B3C538F77C41}"/>
    <cellStyle name="Percent 24 3 3" xfId="12838" xr:uid="{00000000-0005-0000-0000-0000032D0000}"/>
    <cellStyle name="Percent 24 3 3 2" xfId="44420" xr:uid="{0E503233-D5D1-46CB-ADB3-CA48ABCDD593}"/>
    <cellStyle name="Percent 24 3 4" xfId="8675" xr:uid="{00000000-0005-0000-0000-0000042D0000}"/>
    <cellStyle name="Percent 24 3 4 2" xfId="44421" xr:uid="{74197580-FD04-4401-9C07-F121877351DF}"/>
    <cellStyle name="Percent 24 3 5" xfId="44418" xr:uid="{A35D4F03-2BA7-433C-9741-46E39C8A9E6A}"/>
    <cellStyle name="Percent 24 4" xfId="2745" xr:uid="{00000000-0005-0000-0000-0000052D0000}"/>
    <cellStyle name="Percent 24 4 2" xfId="10181" xr:uid="{00000000-0005-0000-0000-0000062D0000}"/>
    <cellStyle name="Percent 24 4 2 2" xfId="44423" xr:uid="{26E1EA09-0874-4E21-AA78-25134189A1D8}"/>
    <cellStyle name="Percent 24 4 3" xfId="13480" xr:uid="{00000000-0005-0000-0000-0000072D0000}"/>
    <cellStyle name="Percent 24 4 3 2" xfId="44424" xr:uid="{3BE8A2D6-F76C-4991-A8CB-97C52892922B}"/>
    <cellStyle name="Percent 24 4 4" xfId="8676" xr:uid="{00000000-0005-0000-0000-0000082D0000}"/>
    <cellStyle name="Percent 24 4 4 2" xfId="44425" xr:uid="{CC5FE377-30F7-4DDD-94A9-49FC776E2F84}"/>
    <cellStyle name="Percent 24 4 5" xfId="44422" xr:uid="{417306B0-0416-4DEE-89CC-A1F1B9A7EB35}"/>
    <cellStyle name="Percent 24 5" xfId="2746" xr:uid="{00000000-0005-0000-0000-0000092D0000}"/>
    <cellStyle name="Percent 24 5 2" xfId="10182" xr:uid="{00000000-0005-0000-0000-00000A2D0000}"/>
    <cellStyle name="Percent 24 5 2 2" xfId="44427" xr:uid="{37FCA8CC-7703-4A3B-93F3-7C2D1B4FD4A3}"/>
    <cellStyle name="Percent 24 5 3" xfId="12657" xr:uid="{00000000-0005-0000-0000-00000B2D0000}"/>
    <cellStyle name="Percent 24 5 3 2" xfId="44428" xr:uid="{294C9611-F1D9-4115-B1E0-6F4A7358973A}"/>
    <cellStyle name="Percent 24 5 4" xfId="8677" xr:uid="{00000000-0005-0000-0000-00000C2D0000}"/>
    <cellStyle name="Percent 24 5 4 2" xfId="44429" xr:uid="{49832F9E-A855-4F1D-950E-1898066BD800}"/>
    <cellStyle name="Percent 24 5 5" xfId="44426" xr:uid="{8D0E43AF-6527-4FE4-8F3A-6162D7E2548B}"/>
    <cellStyle name="Percent 24 6" xfId="2747" xr:uid="{00000000-0005-0000-0000-00000D2D0000}"/>
    <cellStyle name="Percent 24 6 2" xfId="10183" xr:uid="{00000000-0005-0000-0000-00000E2D0000}"/>
    <cellStyle name="Percent 24 6 2 2" xfId="44431" xr:uid="{ADE72E7E-D89D-4689-8260-3EC678330808}"/>
    <cellStyle name="Percent 24 6 3" xfId="16377" xr:uid="{00000000-0005-0000-0000-00000F2D0000}"/>
    <cellStyle name="Percent 24 6 3 2" xfId="44432" xr:uid="{874B1982-87CD-42A6-A291-9254DE16D07F}"/>
    <cellStyle name="Percent 24 6 4" xfId="8678" xr:uid="{00000000-0005-0000-0000-0000102D0000}"/>
    <cellStyle name="Percent 24 6 4 2" xfId="44433" xr:uid="{8B408F2E-B862-4FC4-B61E-9BDB379C6AB7}"/>
    <cellStyle name="Percent 24 6 5" xfId="44430" xr:uid="{8B2870C9-9AE6-43A5-8505-6F8D9FF941AF}"/>
    <cellStyle name="Percent 24 7" xfId="2748" xr:uid="{00000000-0005-0000-0000-0000112D0000}"/>
    <cellStyle name="Percent 24 7 2" xfId="2749" xr:uid="{00000000-0005-0000-0000-0000122D0000}"/>
    <cellStyle name="Percent 24 7 2 2" xfId="10185" xr:uid="{00000000-0005-0000-0000-0000132D0000}"/>
    <cellStyle name="Percent 24 7 2 2 2" xfId="44437" xr:uid="{68F2431C-C7F8-4267-BD14-44DD0F7DB001}"/>
    <cellStyle name="Percent 24 7 2 2 3" xfId="44436" xr:uid="{08B4E0B6-BAB2-4394-AF4E-6C56DD32B3B9}"/>
    <cellStyle name="Percent 24 7 2 3" xfId="16167" xr:uid="{00000000-0005-0000-0000-0000142D0000}"/>
    <cellStyle name="Percent 24 7 2 3 2" xfId="44439" xr:uid="{F6725993-5693-4E41-BEB6-F8C003408570}"/>
    <cellStyle name="Percent 24 7 2 3 3" xfId="44438" xr:uid="{3712B2DD-7D88-4EBE-8F3F-6E9F46ACA2F9}"/>
    <cellStyle name="Percent 24 7 2 4" xfId="8680" xr:uid="{00000000-0005-0000-0000-0000152D0000}"/>
    <cellStyle name="Percent 24 7 2 4 2" xfId="44440" xr:uid="{5EF9D59F-CAF2-4861-8769-8150079A1C30}"/>
    <cellStyle name="Percent 24 7 2 5" xfId="44435" xr:uid="{5C54228D-B62A-4361-8F71-CC8883E878A3}"/>
    <cellStyle name="Percent 24 7 3" xfId="2750" xr:uid="{00000000-0005-0000-0000-0000162D0000}"/>
    <cellStyle name="Percent 24 7 3 2" xfId="10186" xr:uid="{00000000-0005-0000-0000-0000172D0000}"/>
    <cellStyle name="Percent 24 7 3 2 2" xfId="44443" xr:uid="{173FA87E-91EB-4B71-A590-42C55AE5A9B0}"/>
    <cellStyle name="Percent 24 7 3 2 3" xfId="44442" xr:uid="{0CA2873D-7B83-41EA-B32B-317F95F1724F}"/>
    <cellStyle name="Percent 24 7 3 3" xfId="16421" xr:uid="{00000000-0005-0000-0000-0000182D0000}"/>
    <cellStyle name="Percent 24 7 3 3 2" xfId="44445" xr:uid="{FE2115A6-7009-4C94-8A15-25E22D20D2A2}"/>
    <cellStyle name="Percent 24 7 3 3 3" xfId="44444" xr:uid="{D62F27B1-149E-44E4-B1C4-B25AFDE81C38}"/>
    <cellStyle name="Percent 24 7 3 4" xfId="8681" xr:uid="{00000000-0005-0000-0000-0000192D0000}"/>
    <cellStyle name="Percent 24 7 3 4 2" xfId="44446" xr:uid="{7622DB04-F732-45C7-B492-67A1FE008E51}"/>
    <cellStyle name="Percent 24 7 3 5" xfId="44441" xr:uid="{348F9882-A619-4845-A2BA-81C87021A7F1}"/>
    <cellStyle name="Percent 24 7 4" xfId="10184" xr:uid="{00000000-0005-0000-0000-00001A2D0000}"/>
    <cellStyle name="Percent 24 7 4 2" xfId="44448" xr:uid="{112C6733-56ED-4D03-9FD5-18A1B2082AC5}"/>
    <cellStyle name="Percent 24 7 4 2 2" xfId="44449" xr:uid="{D918201D-D202-4D29-80CE-5A4BD6BC02BF}"/>
    <cellStyle name="Percent 24 7 4 2 3" xfId="49858" xr:uid="{6D9CC762-AA4C-4ABF-90E6-617C7EFF8F33}"/>
    <cellStyle name="Percent 24 7 4 3" xfId="44450" xr:uid="{804030F0-93E1-47DD-B3F8-F2E3DF613D44}"/>
    <cellStyle name="Percent 24 7 4 4" xfId="44447" xr:uid="{D9FD04CE-D1F9-462F-B5B6-78346AD3B52F}"/>
    <cellStyle name="Percent 24 7 5" xfId="13754" xr:uid="{00000000-0005-0000-0000-00001B2D0000}"/>
    <cellStyle name="Percent 24 7 5 2" xfId="44452" xr:uid="{6B00F35D-8CAB-4013-B3D9-48BD90750965}"/>
    <cellStyle name="Percent 24 7 5 3" xfId="44453" xr:uid="{E67A029C-6552-4B08-BB47-C56E6F4B7684}"/>
    <cellStyle name="Percent 24 7 5 4" xfId="44451" xr:uid="{0738477D-F63F-4F98-B401-398DB101F1CF}"/>
    <cellStyle name="Percent 24 7 6" xfId="8679" xr:uid="{00000000-0005-0000-0000-00001C2D0000}"/>
    <cellStyle name="Percent 24 7 6 2" xfId="44454" xr:uid="{F6F05919-B7E1-4D5C-9BEB-7D475BF81E45}"/>
    <cellStyle name="Percent 24 7 7" xfId="16720" xr:uid="{EE631776-8CC2-4592-90C3-4F4CCF812A93}"/>
    <cellStyle name="Percent 24 7 7 2" xfId="33448" xr:uid="{F025F650-E98B-4901-B71B-BE8821211E6F}"/>
    <cellStyle name="Percent 24 7 7 3" xfId="44455" xr:uid="{432C6871-E2BF-4B58-B3E4-6EE009CB5D8E}"/>
    <cellStyle name="Percent 24 7 8" xfId="44434" xr:uid="{5142238D-BACE-4D60-B334-86B65C003B2D}"/>
    <cellStyle name="Percent 24 8" xfId="4993" xr:uid="{00000000-0005-0000-0000-00001D2D0000}"/>
    <cellStyle name="Percent 24 8 10" xfId="28449" xr:uid="{75437264-FA78-4104-AB1D-C014A7EC2D00}"/>
    <cellStyle name="Percent 24 8 11" xfId="44456" xr:uid="{6A91DB30-642B-453D-A1B8-AA0BAA0F21A2}"/>
    <cellStyle name="Percent 24 8 12" xfId="49859" xr:uid="{5CF57659-8516-42F2-BEA7-D0DDD9F33721}"/>
    <cellStyle name="Percent 24 8 2" xfId="5411" xr:uid="{00000000-0005-0000-0000-00001E2D0000}"/>
    <cellStyle name="Percent 24 8 2 2" xfId="7274" xr:uid="{00000000-0005-0000-0000-00001F2D0000}"/>
    <cellStyle name="Percent 24 8 2 2 2" xfId="15707" xr:uid="{00000000-0005-0000-0000-0000202D0000}"/>
    <cellStyle name="Percent 24 8 2 2 2 2" xfId="27601" xr:uid="{7DB51876-B8A0-4709-9F71-3461B340E861}"/>
    <cellStyle name="Percent 24 8 2 2 2 3" xfId="21941" xr:uid="{060B0D20-A5AE-4840-83D7-E7BEBFCC01A3}"/>
    <cellStyle name="Percent 24 8 2 2 2 4" xfId="32981" xr:uid="{D2853EE1-F869-4CCC-8BFC-E265EA937525}"/>
    <cellStyle name="Percent 24 8 2 2 2 5" xfId="44459" xr:uid="{DBA50B20-D2D9-4138-A13B-8591EFB5E882}"/>
    <cellStyle name="Percent 24 8 2 2 3" xfId="24768" xr:uid="{A05666DD-8BCF-403A-A496-C969E435DA61}"/>
    <cellStyle name="Percent 24 8 2 2 4" xfId="19108" xr:uid="{FF3D6067-890B-4C94-8800-A107624DF514}"/>
    <cellStyle name="Percent 24 8 2 2 5" xfId="30429" xr:uid="{9C7D87C5-7F78-4CC0-834C-AE97BDAFE674}"/>
    <cellStyle name="Percent 24 8 2 2 6" xfId="44458" xr:uid="{FEB725C8-4983-40FD-9614-9B7AE48CD77E}"/>
    <cellStyle name="Percent 24 8 2 3" xfId="14297" xr:uid="{00000000-0005-0000-0000-0000212D0000}"/>
    <cellStyle name="Percent 24 8 2 3 2" xfId="26336" xr:uid="{E972F0C9-8D7B-4C35-957D-0EB5664E2D6D}"/>
    <cellStyle name="Percent 24 8 2 3 3" xfId="20676" xr:uid="{85CAF63C-6EF6-4760-95CF-342C80A2ADB0}"/>
    <cellStyle name="Percent 24 8 2 3 4" xfId="31716" xr:uid="{9582A81B-FB4B-41FE-A679-B82551A52CEB}"/>
    <cellStyle name="Percent 24 8 2 3 5" xfId="44460" xr:uid="{280592DD-C8F6-45DC-BC22-B57263633FC6}"/>
    <cellStyle name="Percent 24 8 2 4" xfId="23206" xr:uid="{D4B77375-ED9A-4D0F-A6DA-BCBD5DC084AE}"/>
    <cellStyle name="Percent 24 8 2 5" xfId="17546" xr:uid="{DDAAFF25-5F50-4317-9388-D636E62EE47B}"/>
    <cellStyle name="Percent 24 8 2 6" xfId="28867" xr:uid="{BB01088D-B3B5-4CB3-AECD-4566E21F313C}"/>
    <cellStyle name="Percent 24 8 2 7" xfId="44457" xr:uid="{F1610997-C72A-4654-B8FD-71B7BF797114}"/>
    <cellStyle name="Percent 24 8 3" xfId="6430" xr:uid="{00000000-0005-0000-0000-0000222D0000}"/>
    <cellStyle name="Percent 24 8 3 2" xfId="7701" xr:uid="{00000000-0005-0000-0000-0000232D0000}"/>
    <cellStyle name="Percent 24 8 3 2 2" xfId="16134" xr:uid="{00000000-0005-0000-0000-0000242D0000}"/>
    <cellStyle name="Percent 24 8 3 2 2 2" xfId="28028" xr:uid="{0EBAF834-C572-40ED-ADF8-7214F7F124BC}"/>
    <cellStyle name="Percent 24 8 3 2 2 3" xfId="22368" xr:uid="{47900F94-DB30-4C4D-85BD-955DB796A469}"/>
    <cellStyle name="Percent 24 8 3 2 2 4" xfId="33408" xr:uid="{BCC27EE5-6050-4826-A2C2-6B56E1C396F7}"/>
    <cellStyle name="Percent 24 8 3 2 2 5" xfId="44463" xr:uid="{D3C1320A-AA52-456C-82B0-563FB8A348E3}"/>
    <cellStyle name="Percent 24 8 3 2 3" xfId="25195" xr:uid="{86EFB0E4-BB72-4DE9-98E3-6884EC89FF12}"/>
    <cellStyle name="Percent 24 8 3 2 4" xfId="19535" xr:uid="{90A0B256-B6B2-4822-9814-A7E5CD832707}"/>
    <cellStyle name="Percent 24 8 3 2 5" xfId="30856" xr:uid="{E5986D78-73EE-41D3-BC4A-AA0C9A72B235}"/>
    <cellStyle name="Percent 24 8 3 2 6" xfId="44462" xr:uid="{FC8714CF-F308-4474-B1EC-9420BC8A3D84}"/>
    <cellStyle name="Percent 24 8 3 3" xfId="14865" xr:uid="{00000000-0005-0000-0000-0000252D0000}"/>
    <cellStyle name="Percent 24 8 3 3 2" xfId="26772" xr:uid="{677C3A69-4818-4AD2-8F3C-34435AA8FAF5}"/>
    <cellStyle name="Percent 24 8 3 3 3" xfId="21112" xr:uid="{A92F65B9-E3F0-4539-8446-315CA48A6ED4}"/>
    <cellStyle name="Percent 24 8 3 3 4" xfId="32152" xr:uid="{C8CE67B5-E27F-48A7-BFFE-80323433D3CC}"/>
    <cellStyle name="Percent 24 8 3 3 5" xfId="44464" xr:uid="{2748F392-52D6-42BC-B9BB-CD7178C8EBBA}"/>
    <cellStyle name="Percent 24 8 3 4" xfId="23939" xr:uid="{CF9AA3F8-1BB0-4679-AD30-8C164DEC8F61}"/>
    <cellStyle name="Percent 24 8 3 5" xfId="18279" xr:uid="{9680E6E4-AA97-4B8A-889D-14E01CE31D6F}"/>
    <cellStyle name="Percent 24 8 3 6" xfId="29600" xr:uid="{34266897-23A5-4CBA-B052-6BE9CE2A3081}"/>
    <cellStyle name="Percent 24 8 3 7" xfId="44461" xr:uid="{EF38A14C-9529-4D5C-8A7E-2A2469366FD9}"/>
    <cellStyle name="Percent 24 8 4" xfId="6856" xr:uid="{00000000-0005-0000-0000-0000262D0000}"/>
    <cellStyle name="Percent 24 8 4 2" xfId="15289" xr:uid="{00000000-0005-0000-0000-0000272D0000}"/>
    <cellStyle name="Percent 24 8 4 2 2" xfId="27183" xr:uid="{592FEAFE-D220-4DAA-B6BA-33F6CAF73B25}"/>
    <cellStyle name="Percent 24 8 4 2 3" xfId="21523" xr:uid="{EB2D3735-453F-4A1A-85D2-7959A7DB3F51}"/>
    <cellStyle name="Percent 24 8 4 2 4" xfId="32563" xr:uid="{5230B46A-FD1B-4F5F-9954-46C79DA2A8FD}"/>
    <cellStyle name="Percent 24 8 4 2 5" xfId="44466" xr:uid="{CAD116BC-141D-4ED0-AE57-F75EFD0FB4D6}"/>
    <cellStyle name="Percent 24 8 4 3" xfId="24350" xr:uid="{73930FFA-287C-4962-A96A-EB225CD99FE0}"/>
    <cellStyle name="Percent 24 8 4 4" xfId="18690" xr:uid="{11BAD074-BBB8-459F-B418-33E214C75738}"/>
    <cellStyle name="Percent 24 8 4 5" xfId="30011" xr:uid="{AC28A702-115E-4791-95A0-6C19137DE1E2}"/>
    <cellStyle name="Percent 24 8 4 6" xfId="44465" xr:uid="{ADFAEFD2-7F9B-4A44-842A-285D415C5A40}"/>
    <cellStyle name="Percent 24 8 5" xfId="13919" xr:uid="{00000000-0005-0000-0000-0000282D0000}"/>
    <cellStyle name="Percent 24 8 5 2" xfId="25962" xr:uid="{DAE46C78-8F3A-4E2C-87E1-54D55FE86526}"/>
    <cellStyle name="Percent 24 8 5 3" xfId="20302" xr:uid="{5328EB5D-6EF4-4B2E-AFF8-14AA613FB601}"/>
    <cellStyle name="Percent 24 8 5 4" xfId="31342" xr:uid="{19CE9ED6-9E45-4B48-BF75-1E2D764960D4}"/>
    <cellStyle name="Percent 24 8 5 5" xfId="44467" xr:uid="{0A04E263-08E6-457E-B1F7-4B0EDC1BC21F}"/>
    <cellStyle name="Percent 24 8 6" xfId="16339" xr:uid="{00000000-0005-0000-0000-0000292D0000}"/>
    <cellStyle name="Percent 24 8 6 2" xfId="44468" xr:uid="{DF492A11-9439-4199-A5F8-4CC533518D35}"/>
    <cellStyle name="Percent 24 8 7" xfId="8682" xr:uid="{00000000-0005-0000-0000-00002A2D0000}"/>
    <cellStyle name="Percent 24 8 7 2" xfId="44469" xr:uid="{F2F32B0D-99D0-460D-B66A-BABB61AE2933}"/>
    <cellStyle name="Percent 24 8 8" xfId="22788" xr:uid="{7CE4C469-EA00-4888-AD1B-12DD7B792368}"/>
    <cellStyle name="Percent 24 8 8 2" xfId="44470" xr:uid="{D24B03BE-C420-4A7F-A952-A742CFDB01CE}"/>
    <cellStyle name="Percent 24 8 9" xfId="17128" xr:uid="{7CEE9169-BFF5-4A72-818D-150C0E7027E9}"/>
    <cellStyle name="Percent 24 9" xfId="5202" xr:uid="{00000000-0005-0000-0000-00002B2D0000}"/>
    <cellStyle name="Percent 24 9 2" xfId="7065" xr:uid="{00000000-0005-0000-0000-00002C2D0000}"/>
    <cellStyle name="Percent 24 9 2 2" xfId="15498" xr:uid="{00000000-0005-0000-0000-00002D2D0000}"/>
    <cellStyle name="Percent 24 9 2 2 2" xfId="27392" xr:uid="{B922CAA6-EE2B-4A95-9014-16D46910B6A1}"/>
    <cellStyle name="Percent 24 9 2 2 3" xfId="21732" xr:uid="{91E3C227-B990-46C4-9B1C-E81054121AA1}"/>
    <cellStyle name="Percent 24 9 2 2 4" xfId="32772" xr:uid="{F015E398-4A36-4D0B-8E40-42D266C9D1C2}"/>
    <cellStyle name="Percent 24 9 2 2 5" xfId="44473" xr:uid="{8929E940-3EA7-4E14-BC00-B624E99BEEB5}"/>
    <cellStyle name="Percent 24 9 2 3" xfId="24559" xr:uid="{6B5809A7-65CD-4ED8-9672-EA0D7DEAC62D}"/>
    <cellStyle name="Percent 24 9 2 4" xfId="18899" xr:uid="{202B4CE4-B4BF-4508-BF4A-93D3C3D7971F}"/>
    <cellStyle name="Percent 24 9 2 5" xfId="30220" xr:uid="{35BC6383-351F-4710-B73B-AA9992B25F08}"/>
    <cellStyle name="Percent 24 9 2 6" xfId="44472" xr:uid="{864DEF9E-33BF-48B3-B547-532B020CBB04}"/>
    <cellStyle name="Percent 24 9 3" xfId="14088" xr:uid="{00000000-0005-0000-0000-00002E2D0000}"/>
    <cellStyle name="Percent 24 9 3 2" xfId="26127" xr:uid="{843E7699-09E2-4D3D-BFEA-9C2EDE11A40A}"/>
    <cellStyle name="Percent 24 9 3 3" xfId="20467" xr:uid="{B4DC521F-6D1C-4856-B924-5C8C99466086}"/>
    <cellStyle name="Percent 24 9 3 4" xfId="31507" xr:uid="{ED201D46-91F4-4043-A046-BCB875D35158}"/>
    <cellStyle name="Percent 24 9 3 5" xfId="44474" xr:uid="{5CBD56C3-65BC-4CAD-9CED-9E3ABA717A56}"/>
    <cellStyle name="Percent 24 9 4" xfId="22997" xr:uid="{1BD3C72B-62B6-4FFD-8092-5402174D40E7}"/>
    <cellStyle name="Percent 24 9 5" xfId="17337" xr:uid="{AA23850C-AD55-4428-B971-308187EADE76}"/>
    <cellStyle name="Percent 24 9 6" xfId="28658" xr:uid="{145AA4AD-4D58-4924-93A4-0452F9B18B99}"/>
    <cellStyle name="Percent 24 9 7" xfId="44471" xr:uid="{E249EC1E-EF45-4F09-9559-4215C31868DE}"/>
    <cellStyle name="Percent 25" xfId="2751" xr:uid="{00000000-0005-0000-0000-00002F2D0000}"/>
    <cellStyle name="Percent 25 10" xfId="8683" xr:uid="{00000000-0005-0000-0000-0000302D0000}"/>
    <cellStyle name="Percent 25 10 2" xfId="44476" xr:uid="{59F4067D-6654-48BA-BBAC-46559166A0C8}"/>
    <cellStyle name="Percent 25 11" xfId="44475" xr:uid="{2384DE31-FB3A-44ED-917F-AA17941B1C33}"/>
    <cellStyle name="Percent 25 2" xfId="2752" xr:uid="{00000000-0005-0000-0000-0000312D0000}"/>
    <cellStyle name="Percent 25 2 2" xfId="10188" xr:uid="{00000000-0005-0000-0000-0000322D0000}"/>
    <cellStyle name="Percent 25 2 2 2" xfId="44478" xr:uid="{302868CE-4477-4B9D-A562-D2B591EAFBFE}"/>
    <cellStyle name="Percent 25 2 3" xfId="16640" xr:uid="{00000000-0005-0000-0000-0000332D0000}"/>
    <cellStyle name="Percent 25 2 3 2" xfId="44479" xr:uid="{98168CEB-5DD9-412A-9220-BA47920BABCC}"/>
    <cellStyle name="Percent 25 2 4" xfId="8684" xr:uid="{00000000-0005-0000-0000-0000342D0000}"/>
    <cellStyle name="Percent 25 2 4 2" xfId="44480" xr:uid="{61691D9E-F369-430E-9444-1218AF79AF8A}"/>
    <cellStyle name="Percent 25 2 5" xfId="44477" xr:uid="{85E207D9-652E-4F85-9210-5188F007A3BB}"/>
    <cellStyle name="Percent 25 3" xfId="2753" xr:uid="{00000000-0005-0000-0000-0000352D0000}"/>
    <cellStyle name="Percent 25 3 2" xfId="10189" xr:uid="{00000000-0005-0000-0000-0000362D0000}"/>
    <cellStyle name="Percent 25 3 2 2" xfId="44482" xr:uid="{43BCD33B-2D4C-4FD5-9E5A-CF4805CFE541}"/>
    <cellStyle name="Percent 25 3 3" xfId="12744" xr:uid="{00000000-0005-0000-0000-0000372D0000}"/>
    <cellStyle name="Percent 25 3 3 2" xfId="44483" xr:uid="{E675A4B7-4DDD-404F-90D8-FA7CFE21303D}"/>
    <cellStyle name="Percent 25 3 4" xfId="8685" xr:uid="{00000000-0005-0000-0000-0000382D0000}"/>
    <cellStyle name="Percent 25 3 4 2" xfId="44484" xr:uid="{E0F6E0E3-1941-4A75-8C9E-36FDF92C3ADD}"/>
    <cellStyle name="Percent 25 3 5" xfId="44481" xr:uid="{9B45AF76-5627-41D6-BA0D-E080030F6885}"/>
    <cellStyle name="Percent 25 4" xfId="2754" xr:uid="{00000000-0005-0000-0000-0000392D0000}"/>
    <cellStyle name="Percent 25 4 2" xfId="10190" xr:uid="{00000000-0005-0000-0000-00003A2D0000}"/>
    <cellStyle name="Percent 25 4 2 2" xfId="44486" xr:uid="{79449590-4028-40A8-BCC8-1633D7CB67B6}"/>
    <cellStyle name="Percent 25 4 3" xfId="12530" xr:uid="{00000000-0005-0000-0000-00003B2D0000}"/>
    <cellStyle name="Percent 25 4 3 2" xfId="44487" xr:uid="{33956D11-4288-4673-BC91-30D7AFCD3CBB}"/>
    <cellStyle name="Percent 25 4 4" xfId="8686" xr:uid="{00000000-0005-0000-0000-00003C2D0000}"/>
    <cellStyle name="Percent 25 4 4 2" xfId="44488" xr:uid="{9C84A962-08C2-4F76-A579-1DE09B03DC89}"/>
    <cellStyle name="Percent 25 4 5" xfId="44485" xr:uid="{11A2449D-BFF5-4A90-91C5-EE455BB42FF5}"/>
    <cellStyle name="Percent 25 5" xfId="2755" xr:uid="{00000000-0005-0000-0000-00003D2D0000}"/>
    <cellStyle name="Percent 25 5 2" xfId="10191" xr:uid="{00000000-0005-0000-0000-00003E2D0000}"/>
    <cellStyle name="Percent 25 5 2 2" xfId="44490" xr:uid="{613541EB-BBEA-418A-A127-20BEB3D540EA}"/>
    <cellStyle name="Percent 25 5 3" xfId="13842" xr:uid="{00000000-0005-0000-0000-00003F2D0000}"/>
    <cellStyle name="Percent 25 5 3 2" xfId="44491" xr:uid="{85498EF4-E15D-40F2-9202-01540E48257A}"/>
    <cellStyle name="Percent 25 5 4" xfId="8687" xr:uid="{00000000-0005-0000-0000-0000402D0000}"/>
    <cellStyle name="Percent 25 5 4 2" xfId="44492" xr:uid="{C980C372-0D63-4785-8246-1A7415E726EB}"/>
    <cellStyle name="Percent 25 5 5" xfId="44489" xr:uid="{DA731E09-76EA-404E-98BF-EDA38335872E}"/>
    <cellStyle name="Percent 25 6" xfId="2756" xr:uid="{00000000-0005-0000-0000-0000412D0000}"/>
    <cellStyle name="Percent 25 6 2" xfId="10192" xr:uid="{00000000-0005-0000-0000-0000422D0000}"/>
    <cellStyle name="Percent 25 6 2 2" xfId="44494" xr:uid="{A9FE73E9-0050-4D55-A88F-15AA3B4998F7}"/>
    <cellStyle name="Percent 25 6 3" xfId="16547" xr:uid="{00000000-0005-0000-0000-0000432D0000}"/>
    <cellStyle name="Percent 25 6 3 2" xfId="44495" xr:uid="{62224CBB-B492-4648-BB09-1370182C3C84}"/>
    <cellStyle name="Percent 25 6 4" xfId="8688" xr:uid="{00000000-0005-0000-0000-0000442D0000}"/>
    <cellStyle name="Percent 25 6 4 2" xfId="44496" xr:uid="{3A277430-8FE0-4E97-87D9-C1C5AEBDC8D5}"/>
    <cellStyle name="Percent 25 6 5" xfId="44493" xr:uid="{514CCF90-1295-4FFA-900F-7912B6EFEEF4}"/>
    <cellStyle name="Percent 25 7" xfId="2757" xr:uid="{00000000-0005-0000-0000-0000452D0000}"/>
    <cellStyle name="Percent 25 7 2" xfId="2758" xr:uid="{00000000-0005-0000-0000-0000462D0000}"/>
    <cellStyle name="Percent 25 7 2 2" xfId="10194" xr:uid="{00000000-0005-0000-0000-0000472D0000}"/>
    <cellStyle name="Percent 25 7 2 2 2" xfId="44500" xr:uid="{F975A128-0834-4F30-8E90-0A29E5F8C1D1}"/>
    <cellStyle name="Percent 25 7 2 2 3" xfId="44499" xr:uid="{772CD383-D445-4E90-83AF-87B11BE1ED56}"/>
    <cellStyle name="Percent 25 7 2 3" xfId="14341" xr:uid="{00000000-0005-0000-0000-0000482D0000}"/>
    <cellStyle name="Percent 25 7 2 3 2" xfId="44502" xr:uid="{14F410FC-3FC4-42B0-B13D-044E13952C33}"/>
    <cellStyle name="Percent 25 7 2 3 3" xfId="44501" xr:uid="{D516192A-0425-4990-8F71-6A440B426519}"/>
    <cellStyle name="Percent 25 7 2 4" xfId="8690" xr:uid="{00000000-0005-0000-0000-0000492D0000}"/>
    <cellStyle name="Percent 25 7 2 4 2" xfId="44503" xr:uid="{44F8BF7B-DFD8-4863-B823-032D75173D16}"/>
    <cellStyle name="Percent 25 7 2 5" xfId="44498" xr:uid="{5D777A88-E592-4F67-9F01-C654F18E71EA}"/>
    <cellStyle name="Percent 25 7 3" xfId="2759" xr:uid="{00000000-0005-0000-0000-00004A2D0000}"/>
    <cellStyle name="Percent 25 7 3 2" xfId="10195" xr:uid="{00000000-0005-0000-0000-00004B2D0000}"/>
    <cellStyle name="Percent 25 7 3 2 2" xfId="44506" xr:uid="{3D0E5A3B-7CAA-4725-9ACD-B0B5A624AF58}"/>
    <cellStyle name="Percent 25 7 3 2 3" xfId="44505" xr:uid="{AF86916C-DFAF-495A-9B0E-AE01907A8985}"/>
    <cellStyle name="Percent 25 7 3 3" xfId="13920" xr:uid="{00000000-0005-0000-0000-00004C2D0000}"/>
    <cellStyle name="Percent 25 7 3 3 2" xfId="44508" xr:uid="{79E7E024-E71E-4108-AFC9-5585B2AAB3D6}"/>
    <cellStyle name="Percent 25 7 3 3 3" xfId="44507" xr:uid="{C6B65911-593C-4D7F-A365-2418DFC42326}"/>
    <cellStyle name="Percent 25 7 3 4" xfId="8691" xr:uid="{00000000-0005-0000-0000-00004D2D0000}"/>
    <cellStyle name="Percent 25 7 3 4 2" xfId="44509" xr:uid="{255FAFE2-CEAC-47B4-A7D7-0A9C29CDE7BC}"/>
    <cellStyle name="Percent 25 7 3 5" xfId="44504" xr:uid="{841832AA-8EC5-4040-9807-6C90CA3BC28B}"/>
    <cellStyle name="Percent 25 7 4" xfId="10193" xr:uid="{00000000-0005-0000-0000-00004E2D0000}"/>
    <cellStyle name="Percent 25 7 4 2" xfId="44511" xr:uid="{35FDFA22-1824-4199-952A-A05F30F18671}"/>
    <cellStyle name="Percent 25 7 4 2 2" xfId="44512" xr:uid="{20DEE127-B63C-40BC-BF9A-84C4E7EF8114}"/>
    <cellStyle name="Percent 25 7 4 2 3" xfId="49860" xr:uid="{04F4FD59-27CF-49D9-A39A-421CCAEC1240}"/>
    <cellStyle name="Percent 25 7 4 3" xfId="44513" xr:uid="{F4457A44-FC1B-4365-9125-5720EDC46082}"/>
    <cellStyle name="Percent 25 7 4 4" xfId="44510" xr:uid="{394B341D-DDB0-4777-8995-9291DE1E9285}"/>
    <cellStyle name="Percent 25 7 5" xfId="16562" xr:uid="{00000000-0005-0000-0000-00004F2D0000}"/>
    <cellStyle name="Percent 25 7 5 2" xfId="44515" xr:uid="{C9D8C03C-B8E8-41B7-B1E5-0342FD2A7F87}"/>
    <cellStyle name="Percent 25 7 5 3" xfId="44516" xr:uid="{2846F365-F21C-41CA-940A-665839714983}"/>
    <cellStyle name="Percent 25 7 5 4" xfId="44514" xr:uid="{6FB5D2D6-AF4D-49E9-A89E-9F4D238F3B6F}"/>
    <cellStyle name="Percent 25 7 6" xfId="8689" xr:uid="{00000000-0005-0000-0000-0000502D0000}"/>
    <cellStyle name="Percent 25 7 6 2" xfId="44517" xr:uid="{E089A0BE-6DC6-4E8F-A721-58B3991B65CE}"/>
    <cellStyle name="Percent 25 7 7" xfId="16721" xr:uid="{7F772BE5-092F-446A-A9DD-5EBCE3FF4680}"/>
    <cellStyle name="Percent 25 7 7 2" xfId="33449" xr:uid="{245A178E-1399-4FBE-B40A-2FEB6A9EC1D9}"/>
    <cellStyle name="Percent 25 7 7 3" xfId="44518" xr:uid="{36DE5B1B-ECA6-4787-AAFD-A352BDF53661}"/>
    <cellStyle name="Percent 25 7 8" xfId="44497" xr:uid="{3FD3AF28-0E74-4B8F-A77F-3DB82B130353}"/>
    <cellStyle name="Percent 25 8" xfId="10187" xr:uid="{00000000-0005-0000-0000-0000512D0000}"/>
    <cellStyle name="Percent 25 8 2" xfId="44519" xr:uid="{3AC8DFED-4ACB-42AF-A1C7-2A77DD18CD2E}"/>
    <cellStyle name="Percent 25 9" xfId="16438" xr:uid="{00000000-0005-0000-0000-0000522D0000}"/>
    <cellStyle name="Percent 25 9 2" xfId="44520" xr:uid="{004BD5C8-C7C2-47D3-8966-1929730F7683}"/>
    <cellStyle name="Percent 26" xfId="2760" xr:uid="{00000000-0005-0000-0000-0000532D0000}"/>
    <cellStyle name="Percent 26 10" xfId="8692" xr:uid="{00000000-0005-0000-0000-0000542D0000}"/>
    <cellStyle name="Percent 26 10 2" xfId="44522" xr:uid="{8C74DEA6-3AC1-4DA4-AD7A-69DA4B0814BA}"/>
    <cellStyle name="Percent 26 11" xfId="44521" xr:uid="{21E6FAEE-76CF-4F7F-8A5A-A291125333CA}"/>
    <cellStyle name="Percent 26 2" xfId="2761" xr:uid="{00000000-0005-0000-0000-0000552D0000}"/>
    <cellStyle name="Percent 26 2 2" xfId="10197" xr:uid="{00000000-0005-0000-0000-0000562D0000}"/>
    <cellStyle name="Percent 26 2 2 2" xfId="44524" xr:uid="{11F6E9EC-C91D-40F6-AC05-7A2B2567C649}"/>
    <cellStyle name="Percent 26 2 3" xfId="13827" xr:uid="{00000000-0005-0000-0000-0000572D0000}"/>
    <cellStyle name="Percent 26 2 3 2" xfId="44525" xr:uid="{AB89F1BE-187F-4DC3-88DC-573E41E8465D}"/>
    <cellStyle name="Percent 26 2 4" xfId="8693" xr:uid="{00000000-0005-0000-0000-0000582D0000}"/>
    <cellStyle name="Percent 26 2 4 2" xfId="44526" xr:uid="{8D0F7AE3-883F-4A1C-8484-EB729255090F}"/>
    <cellStyle name="Percent 26 2 5" xfId="44523" xr:uid="{6C90A457-A27E-4FFC-A58C-DE205E14BBA1}"/>
    <cellStyle name="Percent 26 3" xfId="2762" xr:uid="{00000000-0005-0000-0000-0000592D0000}"/>
    <cellStyle name="Percent 26 3 2" xfId="10198" xr:uid="{00000000-0005-0000-0000-00005A2D0000}"/>
    <cellStyle name="Percent 26 3 2 2" xfId="44528" xr:uid="{E306EAED-F0B5-4AD0-B6FF-21BFC34A5113}"/>
    <cellStyle name="Percent 26 3 3" xfId="13474" xr:uid="{00000000-0005-0000-0000-00005B2D0000}"/>
    <cellStyle name="Percent 26 3 3 2" xfId="44529" xr:uid="{510F79A8-17EB-4776-85B9-B60844367502}"/>
    <cellStyle name="Percent 26 3 4" xfId="8694" xr:uid="{00000000-0005-0000-0000-00005C2D0000}"/>
    <cellStyle name="Percent 26 3 4 2" xfId="44530" xr:uid="{32E68977-BFA1-4FD5-9B8C-D0144A11F15D}"/>
    <cellStyle name="Percent 26 3 5" xfId="44527" xr:uid="{37F7C429-F947-4AFA-8C2B-46DFFB032804}"/>
    <cellStyle name="Percent 26 4" xfId="2763" xr:uid="{00000000-0005-0000-0000-00005D2D0000}"/>
    <cellStyle name="Percent 26 4 2" xfId="10199" xr:uid="{00000000-0005-0000-0000-00005E2D0000}"/>
    <cellStyle name="Percent 26 4 2 2" xfId="44532" xr:uid="{C2EE81F5-5CF3-4396-AE05-56CE7D88535C}"/>
    <cellStyle name="Percent 26 4 3" xfId="12801" xr:uid="{00000000-0005-0000-0000-00005F2D0000}"/>
    <cellStyle name="Percent 26 4 3 2" xfId="44533" xr:uid="{3CBEE824-70B2-478F-AE5C-F6EAF0E6D094}"/>
    <cellStyle name="Percent 26 4 4" xfId="8695" xr:uid="{00000000-0005-0000-0000-0000602D0000}"/>
    <cellStyle name="Percent 26 4 4 2" xfId="44534" xr:uid="{7E254FB1-02EC-43A9-AE50-5ED9B1756F3C}"/>
    <cellStyle name="Percent 26 4 5" xfId="44531" xr:uid="{F1374393-EE6E-417A-8BCB-CB6BFCC6940F}"/>
    <cellStyle name="Percent 26 5" xfId="2764" xr:uid="{00000000-0005-0000-0000-0000612D0000}"/>
    <cellStyle name="Percent 26 5 2" xfId="10200" xr:uid="{00000000-0005-0000-0000-0000622D0000}"/>
    <cellStyle name="Percent 26 5 2 2" xfId="44536" xr:uid="{5AAA62B6-2389-4BE6-AFD8-A8E74D315E23}"/>
    <cellStyle name="Percent 26 5 3" xfId="13757" xr:uid="{00000000-0005-0000-0000-0000632D0000}"/>
    <cellStyle name="Percent 26 5 3 2" xfId="44537" xr:uid="{33B9242A-3FAA-4206-878A-69C96D476910}"/>
    <cellStyle name="Percent 26 5 4" xfId="8696" xr:uid="{00000000-0005-0000-0000-0000642D0000}"/>
    <cellStyle name="Percent 26 5 4 2" xfId="44538" xr:uid="{3AC317A0-6954-4C26-957E-99405C06C692}"/>
    <cellStyle name="Percent 26 5 5" xfId="44535" xr:uid="{BC1D08FD-8FF7-46B9-955B-3327FD59FB02}"/>
    <cellStyle name="Percent 26 6" xfId="2765" xr:uid="{00000000-0005-0000-0000-0000652D0000}"/>
    <cellStyle name="Percent 26 6 2" xfId="10201" xr:uid="{00000000-0005-0000-0000-0000662D0000}"/>
    <cellStyle name="Percent 26 6 2 2" xfId="44540" xr:uid="{A1E8E9F2-2711-4A98-9BD0-7EB311D6B2DE}"/>
    <cellStyle name="Percent 26 6 3" xfId="16661" xr:uid="{00000000-0005-0000-0000-0000672D0000}"/>
    <cellStyle name="Percent 26 6 3 2" xfId="44541" xr:uid="{103B07BD-BD4A-46B6-B29B-3A6923B94F63}"/>
    <cellStyle name="Percent 26 6 4" xfId="8697" xr:uid="{00000000-0005-0000-0000-0000682D0000}"/>
    <cellStyle name="Percent 26 6 4 2" xfId="44542" xr:uid="{FA31B033-F796-4A4D-8E4C-6B60F2561E5C}"/>
    <cellStyle name="Percent 26 6 5" xfId="44539" xr:uid="{E825F17F-6AF7-4A20-8A36-177FF35C63FD}"/>
    <cellStyle name="Percent 26 7" xfId="2766" xr:uid="{00000000-0005-0000-0000-0000692D0000}"/>
    <cellStyle name="Percent 26 7 2" xfId="2767" xr:uid="{00000000-0005-0000-0000-00006A2D0000}"/>
    <cellStyle name="Percent 26 7 2 2" xfId="10203" xr:uid="{00000000-0005-0000-0000-00006B2D0000}"/>
    <cellStyle name="Percent 26 7 2 2 2" xfId="44546" xr:uid="{230845C4-44F2-418C-BDE5-2E8A876395E8}"/>
    <cellStyle name="Percent 26 7 2 2 3" xfId="44545" xr:uid="{39CD05D7-F3DE-41E9-8F31-5FBB388E7299}"/>
    <cellStyle name="Percent 26 7 2 3" xfId="16326" xr:uid="{00000000-0005-0000-0000-00006C2D0000}"/>
    <cellStyle name="Percent 26 7 2 3 2" xfId="44548" xr:uid="{92942B64-E41B-40A1-BC42-81ACD9C22206}"/>
    <cellStyle name="Percent 26 7 2 3 3" xfId="44547" xr:uid="{13DEEC61-1BBE-4F66-92BD-DB0FBA8CB74F}"/>
    <cellStyle name="Percent 26 7 2 4" xfId="8699" xr:uid="{00000000-0005-0000-0000-00006D2D0000}"/>
    <cellStyle name="Percent 26 7 2 4 2" xfId="44549" xr:uid="{A18BC9B7-3785-48D1-8A69-4D085DBC7F1F}"/>
    <cellStyle name="Percent 26 7 2 5" xfId="44544" xr:uid="{2BE5D6AC-E1BC-4F44-AA92-BC96D4F0E5D1}"/>
    <cellStyle name="Percent 26 7 3" xfId="2768" xr:uid="{00000000-0005-0000-0000-00006E2D0000}"/>
    <cellStyle name="Percent 26 7 3 2" xfId="10204" xr:uid="{00000000-0005-0000-0000-00006F2D0000}"/>
    <cellStyle name="Percent 26 7 3 2 2" xfId="44552" xr:uid="{FC83039A-4A2A-4FB7-B95A-4293CECAD066}"/>
    <cellStyle name="Percent 26 7 3 2 3" xfId="44551" xr:uid="{33B374E3-FC75-4B96-8049-AF85441A1886}"/>
    <cellStyle name="Percent 26 7 3 3" xfId="14366" xr:uid="{00000000-0005-0000-0000-0000702D0000}"/>
    <cellStyle name="Percent 26 7 3 3 2" xfId="44554" xr:uid="{D8BF27F6-CE9B-4777-AF5D-50423395269E}"/>
    <cellStyle name="Percent 26 7 3 3 3" xfId="44553" xr:uid="{81B77973-36FF-4A44-9794-C76C03EEAF1F}"/>
    <cellStyle name="Percent 26 7 3 4" xfId="8700" xr:uid="{00000000-0005-0000-0000-0000712D0000}"/>
    <cellStyle name="Percent 26 7 3 4 2" xfId="44555" xr:uid="{F764780B-3DF6-4BA9-8B02-A56319AF0BA8}"/>
    <cellStyle name="Percent 26 7 3 5" xfId="44550" xr:uid="{EF368A60-8319-4943-99A8-0167AAD8A274}"/>
    <cellStyle name="Percent 26 7 4" xfId="10202" xr:uid="{00000000-0005-0000-0000-0000722D0000}"/>
    <cellStyle name="Percent 26 7 4 2" xfId="44557" xr:uid="{FE0F7074-E464-400A-9B64-5BD91EEE96EF}"/>
    <cellStyle name="Percent 26 7 4 2 2" xfId="44558" xr:uid="{1F142CB5-4025-4E99-B0F5-E31461225F48}"/>
    <cellStyle name="Percent 26 7 4 2 3" xfId="49861" xr:uid="{2895B9CC-2884-405D-91F8-178474977622}"/>
    <cellStyle name="Percent 26 7 4 3" xfId="44559" xr:uid="{072FFFEA-79E0-4841-B764-C04FEB7A7923}"/>
    <cellStyle name="Percent 26 7 4 4" xfId="44556" xr:uid="{359726DD-57F8-4916-99B9-CB696F10FE97}"/>
    <cellStyle name="Percent 26 7 5" xfId="13886" xr:uid="{00000000-0005-0000-0000-0000732D0000}"/>
    <cellStyle name="Percent 26 7 5 2" xfId="44561" xr:uid="{945D8CA7-8A88-473E-A578-FA683A3F0D0B}"/>
    <cellStyle name="Percent 26 7 5 3" xfId="44562" xr:uid="{C9E4D292-834B-46A1-8CA2-D42C3EDB07E8}"/>
    <cellStyle name="Percent 26 7 5 4" xfId="44560" xr:uid="{E932E96E-9533-4F1D-B0D5-93148599B118}"/>
    <cellStyle name="Percent 26 7 6" xfId="8698" xr:uid="{00000000-0005-0000-0000-0000742D0000}"/>
    <cellStyle name="Percent 26 7 6 2" xfId="44563" xr:uid="{FDCFC193-A342-4167-9375-1E0158122327}"/>
    <cellStyle name="Percent 26 7 7" xfId="16722" xr:uid="{C02CBECA-A893-4CE3-8EAB-18ABADE12022}"/>
    <cellStyle name="Percent 26 7 7 2" xfId="33450" xr:uid="{9AE00138-2554-44E9-9D94-B4E81DAC4B7B}"/>
    <cellStyle name="Percent 26 7 7 3" xfId="44564" xr:uid="{52397968-AD13-42A4-81AA-2D489B094573}"/>
    <cellStyle name="Percent 26 7 8" xfId="44543" xr:uid="{18678A20-C39F-4603-AFCF-F498E913C340}"/>
    <cellStyle name="Percent 26 8" xfId="10196" xr:uid="{00000000-0005-0000-0000-0000752D0000}"/>
    <cellStyle name="Percent 26 8 2" xfId="44565" xr:uid="{D711E83A-3364-4280-BDC9-07411B0ECCE0}"/>
    <cellStyle name="Percent 26 9" xfId="12784" xr:uid="{00000000-0005-0000-0000-0000762D0000}"/>
    <cellStyle name="Percent 26 9 2" xfId="44566" xr:uid="{1A67311A-8274-4352-BA20-4C07DFA5F45C}"/>
    <cellStyle name="Percent 27" xfId="2769" xr:uid="{00000000-0005-0000-0000-0000772D0000}"/>
    <cellStyle name="Percent 27 2" xfId="10205" xr:uid="{00000000-0005-0000-0000-0000782D0000}"/>
    <cellStyle name="Percent 27 2 2" xfId="44568" xr:uid="{6BDF4841-84CE-4A1A-9B06-86FE9733776E}"/>
    <cellStyle name="Percent 27 3" xfId="12501" xr:uid="{00000000-0005-0000-0000-0000792D0000}"/>
    <cellStyle name="Percent 27 3 2" xfId="44569" xr:uid="{23F47516-2E80-4187-B807-A2219251AB0E}"/>
    <cellStyle name="Percent 27 4" xfId="8701" xr:uid="{00000000-0005-0000-0000-00007A2D0000}"/>
    <cellStyle name="Percent 27 4 2" xfId="44570" xr:uid="{6A96D247-D387-4D74-A2FB-2E84CD16EBD5}"/>
    <cellStyle name="Percent 27 5" xfId="44567" xr:uid="{296F4AFE-D0EE-474B-A02B-EFEE0344C05F}"/>
    <cellStyle name="Percent 28" xfId="4795" xr:uid="{00000000-0005-0000-0000-00007B2D0000}"/>
    <cellStyle name="Percent 28 10" xfId="16935" xr:uid="{EB1A2406-BCAE-46B4-96DE-0FA88E978475}"/>
    <cellStyle name="Percent 28 11" xfId="28256" xr:uid="{7D085DF0-C87A-4B15-BC9B-A4E8090E2340}"/>
    <cellStyle name="Percent 28 12" xfId="44571" xr:uid="{552B2236-D6ED-4646-95BE-FD9387CFBFA4}"/>
    <cellStyle name="Percent 28 13" xfId="49862" xr:uid="{CBA6B382-6D27-42BB-B284-E5BE17B00561}"/>
    <cellStyle name="Percent 28 2" xfId="5009" xr:uid="{00000000-0005-0000-0000-00007C2D0000}"/>
    <cellStyle name="Percent 28 2 10" xfId="28465" xr:uid="{59B2F699-6D19-42F9-BF3A-6767319460C9}"/>
    <cellStyle name="Percent 28 2 11" xfId="44572" xr:uid="{9EE694F8-2205-4025-8DF4-ADC3267C3801}"/>
    <cellStyle name="Percent 28 2 12" xfId="49863" xr:uid="{DD43CE39-0000-42F6-B6D0-56C0471634A2}"/>
    <cellStyle name="Percent 28 2 2" xfId="5427" xr:uid="{00000000-0005-0000-0000-00007D2D0000}"/>
    <cellStyle name="Percent 28 2 2 2" xfId="7290" xr:uid="{00000000-0005-0000-0000-00007E2D0000}"/>
    <cellStyle name="Percent 28 2 2 2 2" xfId="15723" xr:uid="{00000000-0005-0000-0000-00007F2D0000}"/>
    <cellStyle name="Percent 28 2 2 2 2 2" xfId="27617" xr:uid="{12798EF2-5D32-4D71-818A-4B89A2CE48CA}"/>
    <cellStyle name="Percent 28 2 2 2 2 3" xfId="21957" xr:uid="{1C3B4862-0F7B-4C8C-8984-7AE2CAC74B2D}"/>
    <cellStyle name="Percent 28 2 2 2 2 4" xfId="32997" xr:uid="{74A08D50-FCD3-4429-9CFB-886B2EB1D11C}"/>
    <cellStyle name="Percent 28 2 2 2 2 5" xfId="44575" xr:uid="{521CFF96-B6F1-475F-9572-0ADB3B410B70}"/>
    <cellStyle name="Percent 28 2 2 2 3" xfId="24784" xr:uid="{1DC1C9E9-C7F0-48EB-AFE1-75A0439A2966}"/>
    <cellStyle name="Percent 28 2 2 2 4" xfId="19124" xr:uid="{8D4D4983-493C-479A-9E96-11C0FBAF0BFC}"/>
    <cellStyle name="Percent 28 2 2 2 5" xfId="30445" xr:uid="{75E3554B-675C-45B6-8932-E1AD344C076F}"/>
    <cellStyle name="Percent 28 2 2 2 6" xfId="44574" xr:uid="{4DEE1B31-E206-4D62-B2DF-9C7360B094E3}"/>
    <cellStyle name="Percent 28 2 2 3" xfId="14313" xr:uid="{00000000-0005-0000-0000-0000802D0000}"/>
    <cellStyle name="Percent 28 2 2 3 2" xfId="26352" xr:uid="{F01A66D4-12B4-4D14-8CF1-F5084681C9D5}"/>
    <cellStyle name="Percent 28 2 2 3 3" xfId="20692" xr:uid="{C81D8DB4-619F-4642-8312-FAEF3A06A201}"/>
    <cellStyle name="Percent 28 2 2 3 4" xfId="31732" xr:uid="{DA6FCDC3-898F-4D5B-9446-B445FB8AC8FA}"/>
    <cellStyle name="Percent 28 2 2 3 5" xfId="44576" xr:uid="{5152DF3D-BE1F-43D4-9A73-C8586FA86C40}"/>
    <cellStyle name="Percent 28 2 2 4" xfId="23222" xr:uid="{16EAF5C6-8391-4A38-8B4E-080BE74392DC}"/>
    <cellStyle name="Percent 28 2 2 5" xfId="17562" xr:uid="{41AD5E51-2A10-4F94-888E-47CF85AAC0BF}"/>
    <cellStyle name="Percent 28 2 2 6" xfId="28883" xr:uid="{2FF88466-62E8-47EB-B5FC-A911D52A9B8A}"/>
    <cellStyle name="Percent 28 2 2 7" xfId="44573" xr:uid="{909CD878-D189-4608-B322-5F80C845231A}"/>
    <cellStyle name="Percent 28 2 3" xfId="6431" xr:uid="{00000000-0005-0000-0000-0000812D0000}"/>
    <cellStyle name="Percent 28 2 3 2" xfId="7702" xr:uid="{00000000-0005-0000-0000-0000822D0000}"/>
    <cellStyle name="Percent 28 2 3 2 2" xfId="16135" xr:uid="{00000000-0005-0000-0000-0000832D0000}"/>
    <cellStyle name="Percent 28 2 3 2 2 2" xfId="28029" xr:uid="{BF6377B4-17AF-40A4-A6DA-7DF2E09CB93E}"/>
    <cellStyle name="Percent 28 2 3 2 2 3" xfId="22369" xr:uid="{E5689336-0BE9-43C0-943A-CB9B61191FB8}"/>
    <cellStyle name="Percent 28 2 3 2 2 4" xfId="33409" xr:uid="{E234B38C-6563-4619-B524-1ECD9D5B9956}"/>
    <cellStyle name="Percent 28 2 3 2 2 5" xfId="44579" xr:uid="{64E53FA7-78C3-4060-9F46-821B34010A8B}"/>
    <cellStyle name="Percent 28 2 3 2 3" xfId="25196" xr:uid="{F6D9A2C0-609C-4DEE-A6BD-9DA3B61E8400}"/>
    <cellStyle name="Percent 28 2 3 2 4" xfId="19536" xr:uid="{3D5D58F1-3808-4CEE-B047-1B4CCA93458C}"/>
    <cellStyle name="Percent 28 2 3 2 5" xfId="30857" xr:uid="{70DF66BA-954F-41F4-8A46-53966327EF50}"/>
    <cellStyle name="Percent 28 2 3 2 6" xfId="44578" xr:uid="{660FA086-A58D-419D-9AE0-16698650082B}"/>
    <cellStyle name="Percent 28 2 3 3" xfId="14866" xr:uid="{00000000-0005-0000-0000-0000842D0000}"/>
    <cellStyle name="Percent 28 2 3 3 2" xfId="26773" xr:uid="{236138D5-1965-42D0-9E07-B681DD49B16A}"/>
    <cellStyle name="Percent 28 2 3 3 3" xfId="21113" xr:uid="{1259F189-D83E-4B0C-9498-0B32D896427E}"/>
    <cellStyle name="Percent 28 2 3 3 4" xfId="32153" xr:uid="{7E31B399-248D-43EE-A972-6CEC702B1611}"/>
    <cellStyle name="Percent 28 2 3 3 5" xfId="44580" xr:uid="{C03BAF2D-555C-446D-8A4C-361283415EBE}"/>
    <cellStyle name="Percent 28 2 3 4" xfId="23940" xr:uid="{2D117E18-D292-4AFC-A73C-9119B25554BE}"/>
    <cellStyle name="Percent 28 2 3 5" xfId="18280" xr:uid="{3C8BE872-DEAF-47A7-AD0F-C04CCF184675}"/>
    <cellStyle name="Percent 28 2 3 6" xfId="29601" xr:uid="{84000E08-8978-4AF0-BE7A-38DB998F14F8}"/>
    <cellStyle name="Percent 28 2 3 7" xfId="44577" xr:uid="{0BAEE862-1E7D-4BF1-AF03-4DFBA28EF8FB}"/>
    <cellStyle name="Percent 28 2 4" xfId="6872" xr:uid="{00000000-0005-0000-0000-0000852D0000}"/>
    <cellStyle name="Percent 28 2 4 2" xfId="15305" xr:uid="{00000000-0005-0000-0000-0000862D0000}"/>
    <cellStyle name="Percent 28 2 4 2 2" xfId="27199" xr:uid="{FCA53C6E-B5A3-4AAF-9F5E-6149EEAC9B3B}"/>
    <cellStyle name="Percent 28 2 4 2 3" xfId="21539" xr:uid="{F0842E0B-7D85-4EB0-A745-E2591FF556C4}"/>
    <cellStyle name="Percent 28 2 4 2 4" xfId="32579" xr:uid="{0050BFF1-8DD8-43F5-B324-ECD46FCED9C1}"/>
    <cellStyle name="Percent 28 2 4 2 5" xfId="44582" xr:uid="{54D8C1BC-F03A-4539-930F-FC72761FF7A0}"/>
    <cellStyle name="Percent 28 2 4 3" xfId="24366" xr:uid="{4D547E8F-301B-44CA-9679-F60A880D3512}"/>
    <cellStyle name="Percent 28 2 4 4" xfId="18706" xr:uid="{B804E57A-5945-46D1-B000-C996D6236CF5}"/>
    <cellStyle name="Percent 28 2 4 5" xfId="30027" xr:uid="{0EB6D63C-59AE-4729-86C7-62F50A01F979}"/>
    <cellStyle name="Percent 28 2 4 6" xfId="44581" xr:uid="{CBC794CF-89A6-4DEE-992D-560C560692A6}"/>
    <cellStyle name="Percent 28 2 5" xfId="13922" xr:uid="{00000000-0005-0000-0000-0000872D0000}"/>
    <cellStyle name="Percent 28 2 5 2" xfId="25963" xr:uid="{2976D137-3246-4F9E-9E0B-89A1470457A2}"/>
    <cellStyle name="Percent 28 2 5 3" xfId="20303" xr:uid="{7E1D214E-010E-48F9-BDE7-FC7F8E894499}"/>
    <cellStyle name="Percent 28 2 5 4" xfId="31343" xr:uid="{8F1E7642-2828-4045-A170-59CAF396FDD9}"/>
    <cellStyle name="Percent 28 2 5 5" xfId="44583" xr:uid="{CF38664B-4B05-4E09-A50A-9ED7DB3F72BE}"/>
    <cellStyle name="Percent 28 2 6" xfId="12497" xr:uid="{00000000-0005-0000-0000-0000882D0000}"/>
    <cellStyle name="Percent 28 2 6 2" xfId="44584" xr:uid="{0EC843A2-013C-4FAC-92E6-3C2F9C77861F}"/>
    <cellStyle name="Percent 28 2 7" xfId="8703" xr:uid="{00000000-0005-0000-0000-0000892D0000}"/>
    <cellStyle name="Percent 28 2 7 2" xfId="44585" xr:uid="{EFBBA4E6-39E2-4D64-99EB-0EA1116F9341}"/>
    <cellStyle name="Percent 28 2 8" xfId="22804" xr:uid="{904E7E26-C91B-46E0-8D0A-B4A76129195B}"/>
    <cellStyle name="Percent 28 2 8 2" xfId="44586" xr:uid="{D644CB2C-128F-4551-9D25-275FF41A9B39}"/>
    <cellStyle name="Percent 28 2 9" xfId="17144" xr:uid="{B85C2372-0F99-4E99-AF41-ED3CC2B120CF}"/>
    <cellStyle name="Percent 28 3" xfId="5218" xr:uid="{00000000-0005-0000-0000-00008A2D0000}"/>
    <cellStyle name="Percent 28 3 2" xfId="7081" xr:uid="{00000000-0005-0000-0000-00008B2D0000}"/>
    <cellStyle name="Percent 28 3 2 2" xfId="15514" xr:uid="{00000000-0005-0000-0000-00008C2D0000}"/>
    <cellStyle name="Percent 28 3 2 2 2" xfId="27408" xr:uid="{85A5AAEC-3AF1-4597-BD75-2F938C877C3F}"/>
    <cellStyle name="Percent 28 3 2 2 3" xfId="21748" xr:uid="{A20C72BA-C001-41C7-9603-5122DA06B897}"/>
    <cellStyle name="Percent 28 3 2 2 4" xfId="32788" xr:uid="{545C7242-97AE-4EDE-B305-E811CE708C39}"/>
    <cellStyle name="Percent 28 3 2 2 5" xfId="44589" xr:uid="{2D3A67CA-2CDD-4ECB-BE88-8DE4D1F65DFA}"/>
    <cellStyle name="Percent 28 3 2 3" xfId="24575" xr:uid="{06EE6C26-4F77-4CCC-B8B3-DFBF1C5F4743}"/>
    <cellStyle name="Percent 28 3 2 4" xfId="18915" xr:uid="{D6C1A2D2-5FA3-414B-A0F3-358F86ED68AB}"/>
    <cellStyle name="Percent 28 3 2 5" xfId="30236" xr:uid="{09C8510F-547F-44F6-9BF6-63E44C982D49}"/>
    <cellStyle name="Percent 28 3 2 6" xfId="44588" xr:uid="{4A4B0C58-BDD2-4082-990C-874907CACBBA}"/>
    <cellStyle name="Percent 28 3 3" xfId="14104" xr:uid="{00000000-0005-0000-0000-00008D2D0000}"/>
    <cellStyle name="Percent 28 3 3 2" xfId="26143" xr:uid="{D83DFBE1-E2AF-4A28-B69A-26D53AB81477}"/>
    <cellStyle name="Percent 28 3 3 3" xfId="20483" xr:uid="{17768D3A-2AA7-401D-949D-18B546A5D3B9}"/>
    <cellStyle name="Percent 28 3 3 4" xfId="31523" xr:uid="{43B62347-D22E-4868-9854-820B501501BC}"/>
    <cellStyle name="Percent 28 3 3 5" xfId="44590" xr:uid="{14776FE6-8FF5-427D-B23E-683CADC1F396}"/>
    <cellStyle name="Percent 28 3 4" xfId="23013" xr:uid="{F4547612-3353-46F3-A27D-6DD6931D30E9}"/>
    <cellStyle name="Percent 28 3 5" xfId="17353" xr:uid="{F47AB66F-5F52-49C5-AF2C-E3C38E8B72F3}"/>
    <cellStyle name="Percent 28 3 6" xfId="28674" xr:uid="{44C3E66D-9A65-4CF7-B75B-DAAFA061300B}"/>
    <cellStyle name="Percent 28 3 7" xfId="44587" xr:uid="{0CD0BA86-15BE-4A03-AC4F-E3804575BE94}"/>
    <cellStyle name="Percent 28 4" xfId="5819" xr:uid="{00000000-0005-0000-0000-00008E2D0000}"/>
    <cellStyle name="Percent 28 4 2" xfId="7308" xr:uid="{00000000-0005-0000-0000-00008F2D0000}"/>
    <cellStyle name="Percent 28 4 2 2" xfId="15741" xr:uid="{00000000-0005-0000-0000-0000902D0000}"/>
    <cellStyle name="Percent 28 4 2 2 2" xfId="27635" xr:uid="{5DA8DD17-F118-47D0-A3C8-F7520D1543BF}"/>
    <cellStyle name="Percent 28 4 2 2 3" xfId="21975" xr:uid="{162CFDF5-DAD6-444D-B9BF-1107F0832980}"/>
    <cellStyle name="Percent 28 4 2 2 4" xfId="33015" xr:uid="{A7A34263-69D8-48E0-9D3D-58357B24FD11}"/>
    <cellStyle name="Percent 28 4 2 2 5" xfId="44593" xr:uid="{583497C7-0B4F-4F15-8588-8304276957F0}"/>
    <cellStyle name="Percent 28 4 2 3" xfId="24802" xr:uid="{899B50D8-367E-47BE-B5D0-9651DE56FAF8}"/>
    <cellStyle name="Percent 28 4 2 4" xfId="19142" xr:uid="{75E9DACB-4BED-4E60-8A8F-1D0E7F2367BD}"/>
    <cellStyle name="Percent 28 4 2 5" xfId="30463" xr:uid="{88A5988B-BA35-48FC-8D37-CF0FB2259847}"/>
    <cellStyle name="Percent 28 4 2 6" xfId="44592" xr:uid="{782BD225-60F5-4E56-B936-8D478750D7CB}"/>
    <cellStyle name="Percent 28 4 3" xfId="14395" xr:uid="{00000000-0005-0000-0000-0000912D0000}"/>
    <cellStyle name="Percent 28 4 3 2" xfId="26377" xr:uid="{3968B3AC-2E6F-4CD2-B5D1-173DE545D449}"/>
    <cellStyle name="Percent 28 4 3 3" xfId="20717" xr:uid="{857C0FBD-C202-4EDF-B4EC-F4BFC6949AD1}"/>
    <cellStyle name="Percent 28 4 3 4" xfId="31757" xr:uid="{685FB31F-DB41-44FD-8905-B3E41B1361C5}"/>
    <cellStyle name="Percent 28 4 3 5" xfId="44594" xr:uid="{3BC97F69-90B7-4A3B-88AD-B767BB134135}"/>
    <cellStyle name="Percent 28 4 4" xfId="23461" xr:uid="{53CBD877-90F7-4FB0-8D87-57AEE5567218}"/>
    <cellStyle name="Percent 28 4 5" xfId="17801" xr:uid="{484C2407-C6FB-4B3B-A0D2-C03699845F8A}"/>
    <cellStyle name="Percent 28 4 6" xfId="29122" xr:uid="{C9674CAA-9232-4729-8C31-6F2C73AE330D}"/>
    <cellStyle name="Percent 28 4 7" xfId="44591" xr:uid="{2AEFC43E-10BB-44E4-989B-570622DBD7BD}"/>
    <cellStyle name="Percent 28 5" xfId="6663" xr:uid="{00000000-0005-0000-0000-0000922D0000}"/>
    <cellStyle name="Percent 28 5 2" xfId="15096" xr:uid="{00000000-0005-0000-0000-0000932D0000}"/>
    <cellStyle name="Percent 28 5 2 2" xfId="26990" xr:uid="{C6C58E8E-0A96-4722-946A-456B67490AEA}"/>
    <cellStyle name="Percent 28 5 2 3" xfId="21330" xr:uid="{C49317A1-09BA-4531-8450-DA3CB3BD4750}"/>
    <cellStyle name="Percent 28 5 2 4" xfId="32370" xr:uid="{BCC10A4C-D480-47A6-9179-EC9EC17C1D47}"/>
    <cellStyle name="Percent 28 5 2 5" xfId="44596" xr:uid="{595F89B9-6861-4271-BAB2-1798393AAB32}"/>
    <cellStyle name="Percent 28 5 3" xfId="24157" xr:uid="{76BC7E6B-DF10-471D-A322-E291D6BEE635}"/>
    <cellStyle name="Percent 28 5 4" xfId="18497" xr:uid="{1CA80F6B-B9CF-4103-8B3A-4798D152590C}"/>
    <cellStyle name="Percent 28 5 5" xfId="29818" xr:uid="{6EB40A33-6DE6-4C51-9D0D-CBC14297B23E}"/>
    <cellStyle name="Percent 28 5 6" xfId="44595" xr:uid="{0A2FA459-8589-4D29-8407-9DA7BE0881E4}"/>
    <cellStyle name="Percent 28 6" xfId="13877" xr:uid="{00000000-0005-0000-0000-0000942D0000}"/>
    <cellStyle name="Percent 28 6 2" xfId="25956" xr:uid="{8FFD45DA-18F1-4FF1-BB08-3108E171EBF4}"/>
    <cellStyle name="Percent 28 6 3" xfId="20296" xr:uid="{727C23DD-9E93-47DB-B638-417E1E948562}"/>
    <cellStyle name="Percent 28 6 4" xfId="31336" xr:uid="{6F9416AE-FFF9-4342-8539-81406729CCE2}"/>
    <cellStyle name="Percent 28 6 5" xfId="44597" xr:uid="{3E843B6B-281F-4369-8FE2-A1F57DB0B679}"/>
    <cellStyle name="Percent 28 7" xfId="12525" xr:uid="{00000000-0005-0000-0000-0000952D0000}"/>
    <cellStyle name="Percent 28 7 2" xfId="44598" xr:uid="{0D060A09-76EB-46FD-941E-E6C66CFBD2AB}"/>
    <cellStyle name="Percent 28 8" xfId="8702" xr:uid="{00000000-0005-0000-0000-0000962D0000}"/>
    <cellStyle name="Percent 28 8 2" xfId="44599" xr:uid="{8BD35182-99DE-4602-BE75-7454BE5B2F6F}"/>
    <cellStyle name="Percent 28 9" xfId="22595" xr:uid="{92A80ECB-914E-4846-B701-E5C974CC3577}"/>
    <cellStyle name="Percent 28 9 2" xfId="44600" xr:uid="{381EA061-4AC4-4176-B026-A278D05E303E}"/>
    <cellStyle name="Percent 29" xfId="16707" xr:uid="{B5FBD157-3846-4D13-9103-49720230A32D}"/>
    <cellStyle name="Percent 29 2" xfId="33435" xr:uid="{058E480B-72C8-409C-AB8F-F2A75A3F73E3}"/>
    <cellStyle name="Percent 29 3" xfId="44601" xr:uid="{04098B62-D49E-455D-AF84-069103BBE01A}"/>
    <cellStyle name="Percent 3" xfId="216" xr:uid="{00000000-0005-0000-0000-0000972D0000}"/>
    <cellStyle name="Percent 3 10" xfId="2771" xr:uid="{00000000-0005-0000-0000-0000982D0000}"/>
    <cellStyle name="Percent 3 10 10" xfId="2772" xr:uid="{00000000-0005-0000-0000-0000992D0000}"/>
    <cellStyle name="Percent 3 10 10 2" xfId="10207" xr:uid="{00000000-0005-0000-0000-00009A2D0000}"/>
    <cellStyle name="Percent 3 10 10 2 2" xfId="44605" xr:uid="{367927ED-B6B0-4441-A225-1D8FD40BCE53}"/>
    <cellStyle name="Percent 3 10 10 3" xfId="14398" xr:uid="{00000000-0005-0000-0000-00009B2D0000}"/>
    <cellStyle name="Percent 3 10 10 3 2" xfId="44606" xr:uid="{5F0FF04F-FA39-402E-86DF-43DF774208A8}"/>
    <cellStyle name="Percent 3 10 10 4" xfId="8705" xr:uid="{00000000-0005-0000-0000-00009C2D0000}"/>
    <cellStyle name="Percent 3 10 10 4 2" xfId="44607" xr:uid="{C7BBE383-D1FB-475C-BB48-9F1ADDB14650}"/>
    <cellStyle name="Percent 3 10 10 5" xfId="44604" xr:uid="{B36B887E-C822-48CB-A8F6-6CE8749F3937}"/>
    <cellStyle name="Percent 3 10 11" xfId="2773" xr:uid="{00000000-0005-0000-0000-00009D2D0000}"/>
    <cellStyle name="Percent 3 10 11 2" xfId="10208" xr:uid="{00000000-0005-0000-0000-00009E2D0000}"/>
    <cellStyle name="Percent 3 10 11 2 2" xfId="44609" xr:uid="{E23D388E-74C2-4138-9144-7853F0F9D821}"/>
    <cellStyle name="Percent 3 10 11 3" xfId="16414" xr:uid="{00000000-0005-0000-0000-00009F2D0000}"/>
    <cellStyle name="Percent 3 10 11 3 2" xfId="44610" xr:uid="{F84BB99E-5B62-456C-88EF-B75444B22417}"/>
    <cellStyle name="Percent 3 10 11 4" xfId="8706" xr:uid="{00000000-0005-0000-0000-0000A02D0000}"/>
    <cellStyle name="Percent 3 10 11 4 2" xfId="44611" xr:uid="{7B1C4743-CAAA-4132-AF87-7EBC90D31776}"/>
    <cellStyle name="Percent 3 10 11 5" xfId="44608" xr:uid="{54805AAC-A288-4728-9A8D-2921F3A6FD89}"/>
    <cellStyle name="Percent 3 10 12" xfId="2774" xr:uid="{00000000-0005-0000-0000-0000A12D0000}"/>
    <cellStyle name="Percent 3 10 12 2" xfId="10209" xr:uid="{00000000-0005-0000-0000-0000A22D0000}"/>
    <cellStyle name="Percent 3 10 12 2 2" xfId="44613" xr:uid="{345D2C5A-D15A-46B6-A2A5-FDF39141C19C}"/>
    <cellStyle name="Percent 3 10 12 3" xfId="13903" xr:uid="{00000000-0005-0000-0000-0000A32D0000}"/>
    <cellStyle name="Percent 3 10 12 3 2" xfId="44614" xr:uid="{89F1D8A2-D345-416C-9228-D73E49E54FBE}"/>
    <cellStyle name="Percent 3 10 12 4" xfId="8707" xr:uid="{00000000-0005-0000-0000-0000A42D0000}"/>
    <cellStyle name="Percent 3 10 12 4 2" xfId="44615" xr:uid="{277648F7-71EB-44F6-8D2E-74B2F4F0E1AB}"/>
    <cellStyle name="Percent 3 10 12 5" xfId="44612" xr:uid="{C70D3F83-9221-473F-A243-FCB91BC655CB}"/>
    <cellStyle name="Percent 3 10 13" xfId="2775" xr:uid="{00000000-0005-0000-0000-0000A52D0000}"/>
    <cellStyle name="Percent 3 10 13 2" xfId="10210" xr:uid="{00000000-0005-0000-0000-0000A62D0000}"/>
    <cellStyle name="Percent 3 10 13 2 2" xfId="44617" xr:uid="{B6BDE42E-FA11-4B1D-9EE5-134A219ABD28}"/>
    <cellStyle name="Percent 3 10 13 3" xfId="13492" xr:uid="{00000000-0005-0000-0000-0000A72D0000}"/>
    <cellStyle name="Percent 3 10 13 3 2" xfId="44618" xr:uid="{5FF05CD8-6016-441B-864C-D76AD43D7AB8}"/>
    <cellStyle name="Percent 3 10 13 4" xfId="8708" xr:uid="{00000000-0005-0000-0000-0000A82D0000}"/>
    <cellStyle name="Percent 3 10 13 4 2" xfId="44619" xr:uid="{435269D9-6CC3-4DD0-9330-2105EEB22D35}"/>
    <cellStyle name="Percent 3 10 13 5" xfId="44616" xr:uid="{DA112DE0-17E9-472B-B327-75E08D3D908C}"/>
    <cellStyle name="Percent 3 10 14" xfId="2776" xr:uid="{00000000-0005-0000-0000-0000A92D0000}"/>
    <cellStyle name="Percent 3 10 14 2" xfId="10211" xr:uid="{00000000-0005-0000-0000-0000AA2D0000}"/>
    <cellStyle name="Percent 3 10 14 2 2" xfId="44621" xr:uid="{3FAA0E62-6A98-4C14-BC7F-5EAC8AC49583}"/>
    <cellStyle name="Percent 3 10 14 3" xfId="16286" xr:uid="{00000000-0005-0000-0000-0000AB2D0000}"/>
    <cellStyle name="Percent 3 10 14 3 2" xfId="44622" xr:uid="{088B9E25-DB21-405D-83F1-D5FA217A03D9}"/>
    <cellStyle name="Percent 3 10 14 4" xfId="8709" xr:uid="{00000000-0005-0000-0000-0000AC2D0000}"/>
    <cellStyle name="Percent 3 10 14 4 2" xfId="44623" xr:uid="{B1C4AACA-230D-4C9E-B92C-75E59F165448}"/>
    <cellStyle name="Percent 3 10 14 5" xfId="44620" xr:uid="{BD4BFBF2-A6F3-49CB-A4D6-4ECC60A3D7F9}"/>
    <cellStyle name="Percent 3 10 15" xfId="2777" xr:uid="{00000000-0005-0000-0000-0000AD2D0000}"/>
    <cellStyle name="Percent 3 10 15 2" xfId="10212" xr:uid="{00000000-0005-0000-0000-0000AE2D0000}"/>
    <cellStyle name="Percent 3 10 15 2 2" xfId="44625" xr:uid="{207F076E-30F9-4EB7-B379-1DEEF7628D53}"/>
    <cellStyle name="Percent 3 10 15 3" xfId="16337" xr:uid="{00000000-0005-0000-0000-0000AF2D0000}"/>
    <cellStyle name="Percent 3 10 15 3 2" xfId="44626" xr:uid="{B8EDEBB0-81AE-45EB-B9FC-8828420710EC}"/>
    <cellStyle name="Percent 3 10 15 4" xfId="8710" xr:uid="{00000000-0005-0000-0000-0000B02D0000}"/>
    <cellStyle name="Percent 3 10 15 4 2" xfId="44627" xr:uid="{A8539188-D1E3-430A-8305-510F172BEEEA}"/>
    <cellStyle name="Percent 3 10 15 5" xfId="44624" xr:uid="{8B99A9EA-D6F4-48CD-A5B2-D27E66331878}"/>
    <cellStyle name="Percent 3 10 16" xfId="10206" xr:uid="{00000000-0005-0000-0000-0000B12D0000}"/>
    <cellStyle name="Percent 3 10 16 2" xfId="44628" xr:uid="{66EA7DE4-CA13-4CD0-822E-B43920D67A8B}"/>
    <cellStyle name="Percent 3 10 17" xfId="16630" xr:uid="{00000000-0005-0000-0000-0000B22D0000}"/>
    <cellStyle name="Percent 3 10 17 2" xfId="44629" xr:uid="{C5C5EC75-EDC3-41CA-BFCF-59A1A49F84BF}"/>
    <cellStyle name="Percent 3 10 18" xfId="8704" xr:uid="{00000000-0005-0000-0000-0000B32D0000}"/>
    <cellStyle name="Percent 3 10 18 2" xfId="44630" xr:uid="{15A1491A-4634-4591-9602-FED4A852DDB4}"/>
    <cellStyle name="Percent 3 10 19" xfId="44603" xr:uid="{384C5F03-EAC7-4640-A196-83043372B066}"/>
    <cellStyle name="Percent 3 10 2" xfId="2778" xr:uid="{00000000-0005-0000-0000-0000B42D0000}"/>
    <cellStyle name="Percent 3 10 2 2" xfId="10213" xr:uid="{00000000-0005-0000-0000-0000B52D0000}"/>
    <cellStyle name="Percent 3 10 2 2 2" xfId="44632" xr:uid="{6775058A-896F-4705-BE3B-8B90FE922D17}"/>
    <cellStyle name="Percent 3 10 2 3" xfId="16484" xr:uid="{00000000-0005-0000-0000-0000B62D0000}"/>
    <cellStyle name="Percent 3 10 2 3 2" xfId="44633" xr:uid="{D0AA65F5-0E9E-4D66-B251-13F4BC8030B5}"/>
    <cellStyle name="Percent 3 10 2 4" xfId="8711" xr:uid="{00000000-0005-0000-0000-0000B72D0000}"/>
    <cellStyle name="Percent 3 10 2 4 2" xfId="44634" xr:uid="{40326AA2-4406-4216-A37F-B76B89B4485C}"/>
    <cellStyle name="Percent 3 10 2 5" xfId="44631" xr:uid="{DA2F2D95-D765-4985-8D84-DB8203C0F147}"/>
    <cellStyle name="Percent 3 10 3" xfId="2779" xr:uid="{00000000-0005-0000-0000-0000B82D0000}"/>
    <cellStyle name="Percent 3 10 3 2" xfId="10214" xr:uid="{00000000-0005-0000-0000-0000B92D0000}"/>
    <cellStyle name="Percent 3 10 3 2 2" xfId="44636" xr:uid="{FF081FEB-ACE4-48E3-888E-16EF9C1C94A3}"/>
    <cellStyle name="Percent 3 10 3 3" xfId="14324" xr:uid="{00000000-0005-0000-0000-0000BA2D0000}"/>
    <cellStyle name="Percent 3 10 3 3 2" xfId="44637" xr:uid="{4D211B0E-83CE-4A2E-BFA2-FF920BDADC76}"/>
    <cellStyle name="Percent 3 10 3 4" xfId="8712" xr:uid="{00000000-0005-0000-0000-0000BB2D0000}"/>
    <cellStyle name="Percent 3 10 3 4 2" xfId="44638" xr:uid="{8B813BE2-4E4D-4B08-AA27-B859ABE48F7F}"/>
    <cellStyle name="Percent 3 10 3 5" xfId="44635" xr:uid="{4EFBDC02-B75E-4EF8-83F4-D6EE4822B301}"/>
    <cellStyle name="Percent 3 10 4" xfId="2780" xr:uid="{00000000-0005-0000-0000-0000BC2D0000}"/>
    <cellStyle name="Percent 3 10 4 2" xfId="10215" xr:uid="{00000000-0005-0000-0000-0000BD2D0000}"/>
    <cellStyle name="Percent 3 10 4 2 2" xfId="44640" xr:uid="{925AAB7D-0BBB-4EDA-A17D-6B5BE1CC7A9D}"/>
    <cellStyle name="Percent 3 10 4 3" xfId="12534" xr:uid="{00000000-0005-0000-0000-0000BE2D0000}"/>
    <cellStyle name="Percent 3 10 4 3 2" xfId="44641" xr:uid="{EF69C0F7-8A14-4B2D-B22F-87203ADB153D}"/>
    <cellStyle name="Percent 3 10 4 4" xfId="8713" xr:uid="{00000000-0005-0000-0000-0000BF2D0000}"/>
    <cellStyle name="Percent 3 10 4 4 2" xfId="44642" xr:uid="{F966FF5C-FDBC-44C1-97D3-F94F467FA64A}"/>
    <cellStyle name="Percent 3 10 4 5" xfId="44639" xr:uid="{ED691DA9-CB36-4A14-89C0-7E48BB16F7E1}"/>
    <cellStyle name="Percent 3 10 5" xfId="2781" xr:uid="{00000000-0005-0000-0000-0000C02D0000}"/>
    <cellStyle name="Percent 3 10 5 2" xfId="10216" xr:uid="{00000000-0005-0000-0000-0000C12D0000}"/>
    <cellStyle name="Percent 3 10 5 2 2" xfId="44644" xr:uid="{9C704949-73EA-48AE-BC81-EB3F1A8FBEB6}"/>
    <cellStyle name="Percent 3 10 5 3" xfId="12751" xr:uid="{00000000-0005-0000-0000-0000C22D0000}"/>
    <cellStyle name="Percent 3 10 5 3 2" xfId="44645" xr:uid="{8F8457E0-B1BF-4AFF-B2D9-E40B9A3EF412}"/>
    <cellStyle name="Percent 3 10 5 4" xfId="8714" xr:uid="{00000000-0005-0000-0000-0000C32D0000}"/>
    <cellStyle name="Percent 3 10 5 4 2" xfId="44646" xr:uid="{C22F0CB5-437C-4F94-B3C7-2B0AEF15B77E}"/>
    <cellStyle name="Percent 3 10 5 5" xfId="44643" xr:uid="{ED6E8E4D-0F88-4173-B205-82D8E5881AAF}"/>
    <cellStyle name="Percent 3 10 6" xfId="2782" xr:uid="{00000000-0005-0000-0000-0000C42D0000}"/>
    <cellStyle name="Percent 3 10 6 2" xfId="10217" xr:uid="{00000000-0005-0000-0000-0000C52D0000}"/>
    <cellStyle name="Percent 3 10 6 2 2" xfId="44648" xr:uid="{B99F4B2D-3367-46CC-957F-BFFD7B0FF087}"/>
    <cellStyle name="Percent 3 10 6 3" xfId="16653" xr:uid="{00000000-0005-0000-0000-0000C62D0000}"/>
    <cellStyle name="Percent 3 10 6 3 2" xfId="44649" xr:uid="{7A94F78B-7923-4DD3-9B1B-AAA4A524B9EA}"/>
    <cellStyle name="Percent 3 10 6 4" xfId="8715" xr:uid="{00000000-0005-0000-0000-0000C72D0000}"/>
    <cellStyle name="Percent 3 10 6 4 2" xfId="44650" xr:uid="{CA7733B2-F2A2-45B2-9DB8-AAB837EF1E2B}"/>
    <cellStyle name="Percent 3 10 6 5" xfId="44647" xr:uid="{AA776871-E706-49BD-A743-DED3F3C10227}"/>
    <cellStyle name="Percent 3 10 7" xfId="2783" xr:uid="{00000000-0005-0000-0000-0000C82D0000}"/>
    <cellStyle name="Percent 3 10 7 2" xfId="10218" xr:uid="{00000000-0005-0000-0000-0000C92D0000}"/>
    <cellStyle name="Percent 3 10 7 2 2" xfId="44652" xr:uid="{33019882-22D1-46DA-A380-2D9B8BEFFF51}"/>
    <cellStyle name="Percent 3 10 7 3" xfId="13061" xr:uid="{00000000-0005-0000-0000-0000CA2D0000}"/>
    <cellStyle name="Percent 3 10 7 3 2" xfId="44653" xr:uid="{120B2612-1B15-4B54-97AF-B52CF4B437C5}"/>
    <cellStyle name="Percent 3 10 7 4" xfId="8716" xr:uid="{00000000-0005-0000-0000-0000CB2D0000}"/>
    <cellStyle name="Percent 3 10 7 4 2" xfId="44654" xr:uid="{65279B8C-94DF-4823-B9E5-1A43D562BF89}"/>
    <cellStyle name="Percent 3 10 7 5" xfId="44651" xr:uid="{7E238554-A6C4-419B-B053-25F28876819F}"/>
    <cellStyle name="Percent 3 10 8" xfId="2784" xr:uid="{00000000-0005-0000-0000-0000CC2D0000}"/>
    <cellStyle name="Percent 3 10 8 2" xfId="10219" xr:uid="{00000000-0005-0000-0000-0000CD2D0000}"/>
    <cellStyle name="Percent 3 10 8 2 2" xfId="44656" xr:uid="{631D0EFA-2AA7-4B0E-9CFE-888EEEA512A0}"/>
    <cellStyle name="Percent 3 10 8 3" xfId="14419" xr:uid="{00000000-0005-0000-0000-0000CE2D0000}"/>
    <cellStyle name="Percent 3 10 8 3 2" xfId="44657" xr:uid="{6E63E65F-5790-4B48-9D26-F75906CEFC5F}"/>
    <cellStyle name="Percent 3 10 8 4" xfId="8717" xr:uid="{00000000-0005-0000-0000-0000CF2D0000}"/>
    <cellStyle name="Percent 3 10 8 4 2" xfId="44658" xr:uid="{26F5EDDA-186A-42BF-BBAC-3BC22ADB195E}"/>
    <cellStyle name="Percent 3 10 8 5" xfId="44655" xr:uid="{A1BB1D42-9FD2-45EF-B074-D55DD40CA0DF}"/>
    <cellStyle name="Percent 3 10 9" xfId="2785" xr:uid="{00000000-0005-0000-0000-0000D02D0000}"/>
    <cellStyle name="Percent 3 10 9 2" xfId="10220" xr:uid="{00000000-0005-0000-0000-0000D12D0000}"/>
    <cellStyle name="Percent 3 10 9 2 2" xfId="44660" xr:uid="{689BF666-B79F-4698-9C7A-86068263934F}"/>
    <cellStyle name="Percent 3 10 9 3" xfId="13792" xr:uid="{00000000-0005-0000-0000-0000D22D0000}"/>
    <cellStyle name="Percent 3 10 9 3 2" xfId="44661" xr:uid="{51B2D5CF-1182-4AF0-B984-1F4F9081102C}"/>
    <cellStyle name="Percent 3 10 9 4" xfId="8718" xr:uid="{00000000-0005-0000-0000-0000D32D0000}"/>
    <cellStyle name="Percent 3 10 9 4 2" xfId="44662" xr:uid="{ECB5266A-D1A9-4208-A55B-40EA5EEEAEC5}"/>
    <cellStyle name="Percent 3 10 9 5" xfId="44659" xr:uid="{AD127462-8EFA-4477-9F25-DC3EC4DC93D7}"/>
    <cellStyle name="Percent 3 11" xfId="2786" xr:uid="{00000000-0005-0000-0000-0000D42D0000}"/>
    <cellStyle name="Percent 3 11 2" xfId="10221" xr:uid="{00000000-0005-0000-0000-0000D52D0000}"/>
    <cellStyle name="Percent 3 11 2 2" xfId="44664" xr:uid="{BFCEF49E-3622-4B3A-A0B8-38C9CD744A78}"/>
    <cellStyle name="Percent 3 11 3" xfId="12459" xr:uid="{00000000-0005-0000-0000-0000D62D0000}"/>
    <cellStyle name="Percent 3 11 3 2" xfId="44665" xr:uid="{7D63B6CF-F73B-4005-82C8-7357C925DD8D}"/>
    <cellStyle name="Percent 3 11 4" xfId="8719" xr:uid="{00000000-0005-0000-0000-0000D72D0000}"/>
    <cellStyle name="Percent 3 11 4 2" xfId="44666" xr:uid="{2A8AD7F1-C0EA-47C9-9A7F-3044DF00AC92}"/>
    <cellStyle name="Percent 3 11 5" xfId="44663" xr:uid="{D089EBDE-BCA1-472F-9F1E-FA5AECEB72B7}"/>
    <cellStyle name="Percent 3 12" xfId="2787" xr:uid="{00000000-0005-0000-0000-0000D82D0000}"/>
    <cellStyle name="Percent 3 12 2" xfId="10222" xr:uid="{00000000-0005-0000-0000-0000D92D0000}"/>
    <cellStyle name="Percent 3 12 2 2" xfId="44668" xr:uid="{06A67949-0874-47DF-9D56-13BAC5660420}"/>
    <cellStyle name="Percent 3 12 3" xfId="13488" xr:uid="{00000000-0005-0000-0000-0000DA2D0000}"/>
    <cellStyle name="Percent 3 12 3 2" xfId="44669" xr:uid="{0C7F6991-6696-4B9E-82C3-12077BA382C9}"/>
    <cellStyle name="Percent 3 12 4" xfId="8720" xr:uid="{00000000-0005-0000-0000-0000DB2D0000}"/>
    <cellStyle name="Percent 3 12 4 2" xfId="44670" xr:uid="{91D50AA2-A35F-4B7F-9BB1-E64B0A42113F}"/>
    <cellStyle name="Percent 3 12 5" xfId="44667" xr:uid="{A71047AC-3E76-4F37-AD5A-8FA4BBE2C810}"/>
    <cellStyle name="Percent 3 13" xfId="2788" xr:uid="{00000000-0005-0000-0000-0000DC2D0000}"/>
    <cellStyle name="Percent 3 13 2" xfId="10223" xr:uid="{00000000-0005-0000-0000-0000DD2D0000}"/>
    <cellStyle name="Percent 3 13 2 2" xfId="44672" xr:uid="{188ADC9B-2D06-4640-AEC1-38E266259E04}"/>
    <cellStyle name="Percent 3 13 3" xfId="16443" xr:uid="{00000000-0005-0000-0000-0000DE2D0000}"/>
    <cellStyle name="Percent 3 13 3 2" xfId="44673" xr:uid="{5BE690FB-1A99-44A1-8CDD-A39B9D05B197}"/>
    <cellStyle name="Percent 3 13 4" xfId="8721" xr:uid="{00000000-0005-0000-0000-0000DF2D0000}"/>
    <cellStyle name="Percent 3 13 4 2" xfId="44674" xr:uid="{DBE02C34-D7F0-461E-92E9-CB68FB1FB27C}"/>
    <cellStyle name="Percent 3 13 5" xfId="44671" xr:uid="{91BDD9D8-EEB1-43DC-A95F-319B142A3C51}"/>
    <cellStyle name="Percent 3 14" xfId="2789" xr:uid="{00000000-0005-0000-0000-0000E02D0000}"/>
    <cellStyle name="Percent 3 14 2" xfId="10224" xr:uid="{00000000-0005-0000-0000-0000E12D0000}"/>
    <cellStyle name="Percent 3 14 2 2" xfId="44676" xr:uid="{5E31280C-4EED-48CF-AAFE-1D7DE0D56F6F}"/>
    <cellStyle name="Percent 3 14 3" xfId="12824" xr:uid="{00000000-0005-0000-0000-0000E22D0000}"/>
    <cellStyle name="Percent 3 14 3 2" xfId="44677" xr:uid="{1E933CE1-FEF0-4CDE-BA48-838A260DBF67}"/>
    <cellStyle name="Percent 3 14 4" xfId="8722" xr:uid="{00000000-0005-0000-0000-0000E32D0000}"/>
    <cellStyle name="Percent 3 14 4 2" xfId="44678" xr:uid="{270B6A27-D647-4CCE-A0A8-A8F30F1C823E}"/>
    <cellStyle name="Percent 3 14 5" xfId="44675" xr:uid="{BC006694-2F6B-4DEC-AE8C-534C3E4A7126}"/>
    <cellStyle name="Percent 3 15" xfId="2790" xr:uid="{00000000-0005-0000-0000-0000E42D0000}"/>
    <cellStyle name="Percent 3 15 2" xfId="10225" xr:uid="{00000000-0005-0000-0000-0000E52D0000}"/>
    <cellStyle name="Percent 3 15 2 2" xfId="44680" xr:uid="{147E077F-C814-4C2A-A0F9-DDF65BB59740}"/>
    <cellStyle name="Percent 3 15 3" xfId="14325" xr:uid="{00000000-0005-0000-0000-0000E62D0000}"/>
    <cellStyle name="Percent 3 15 3 2" xfId="44681" xr:uid="{66922DE6-2F5A-4CE4-AA51-57434E17648A}"/>
    <cellStyle name="Percent 3 15 4" xfId="8723" xr:uid="{00000000-0005-0000-0000-0000E72D0000}"/>
    <cellStyle name="Percent 3 15 4 2" xfId="44682" xr:uid="{31E81EA8-A70C-4EAE-BC3C-46490CF1FD02}"/>
    <cellStyle name="Percent 3 15 5" xfId="44679" xr:uid="{7D599D5D-BECF-455F-B7DF-3ED7EA48005A}"/>
    <cellStyle name="Percent 3 16" xfId="2791" xr:uid="{00000000-0005-0000-0000-0000E82D0000}"/>
    <cellStyle name="Percent 3 16 2" xfId="10226" xr:uid="{00000000-0005-0000-0000-0000E92D0000}"/>
    <cellStyle name="Percent 3 16 2 2" xfId="44684" xr:uid="{4F527EEE-2113-4D2D-B28A-3C3EEFEE44DA}"/>
    <cellStyle name="Percent 3 16 3" xfId="13508" xr:uid="{00000000-0005-0000-0000-0000EA2D0000}"/>
    <cellStyle name="Percent 3 16 3 2" xfId="44685" xr:uid="{D2500F51-E454-48B5-B4AA-25321C2052EE}"/>
    <cellStyle name="Percent 3 16 4" xfId="8724" xr:uid="{00000000-0005-0000-0000-0000EB2D0000}"/>
    <cellStyle name="Percent 3 16 4 2" xfId="44686" xr:uid="{C6FF8EE4-7F19-471B-BD19-598778D1A67F}"/>
    <cellStyle name="Percent 3 16 5" xfId="44683" xr:uid="{2CC9138D-E127-493D-9F3D-9D53CE1B2FE2}"/>
    <cellStyle name="Percent 3 17" xfId="2792" xr:uid="{00000000-0005-0000-0000-0000EC2D0000}"/>
    <cellStyle name="Percent 3 17 2" xfId="10227" xr:uid="{00000000-0005-0000-0000-0000ED2D0000}"/>
    <cellStyle name="Percent 3 17 2 2" xfId="44688" xr:uid="{7F47E1A6-E35D-46B4-92B6-7DBB88B38C83}"/>
    <cellStyle name="Percent 3 17 3" xfId="16208" xr:uid="{00000000-0005-0000-0000-0000EE2D0000}"/>
    <cellStyle name="Percent 3 17 3 2" xfId="44689" xr:uid="{5E68E30A-A488-4BCB-B592-F5BFD9F579F6}"/>
    <cellStyle name="Percent 3 17 4" xfId="8725" xr:uid="{00000000-0005-0000-0000-0000EF2D0000}"/>
    <cellStyle name="Percent 3 17 4 2" xfId="44690" xr:uid="{CF0B36E0-2667-4B0B-8A19-5FD1981CD447}"/>
    <cellStyle name="Percent 3 17 5" xfId="44687" xr:uid="{B4D7BA7B-CC3B-42E6-9277-C20F9154C1BE}"/>
    <cellStyle name="Percent 3 18" xfId="2793" xr:uid="{00000000-0005-0000-0000-0000F02D0000}"/>
    <cellStyle name="Percent 3 18 2" xfId="10228" xr:uid="{00000000-0005-0000-0000-0000F12D0000}"/>
    <cellStyle name="Percent 3 18 2 2" xfId="44692" xr:uid="{91140478-7FF0-4130-AD77-47672757F932}"/>
    <cellStyle name="Percent 3 18 3" xfId="12661" xr:uid="{00000000-0005-0000-0000-0000F22D0000}"/>
    <cellStyle name="Percent 3 18 3 2" xfId="44693" xr:uid="{7367B9DB-76A9-4289-921E-9B86BCF44F23}"/>
    <cellStyle name="Percent 3 18 4" xfId="8726" xr:uid="{00000000-0005-0000-0000-0000F32D0000}"/>
    <cellStyle name="Percent 3 18 4 2" xfId="44694" xr:uid="{FFF8A17B-FF78-43F5-B466-26D0FC9D8579}"/>
    <cellStyle name="Percent 3 18 5" xfId="44691" xr:uid="{B2B25A9F-DD05-425C-87FB-E53B0B8B3A9E}"/>
    <cellStyle name="Percent 3 19" xfId="2794" xr:uid="{00000000-0005-0000-0000-0000F42D0000}"/>
    <cellStyle name="Percent 3 19 2" xfId="10229" xr:uid="{00000000-0005-0000-0000-0000F52D0000}"/>
    <cellStyle name="Percent 3 19 2 2" xfId="44696" xr:uid="{F5B360EF-1BD3-4438-998C-50982526FD2E}"/>
    <cellStyle name="Percent 3 19 3" xfId="12528" xr:uid="{00000000-0005-0000-0000-0000F62D0000}"/>
    <cellStyle name="Percent 3 19 3 2" xfId="44697" xr:uid="{9C3C877A-F752-4578-A725-63F671334E78}"/>
    <cellStyle name="Percent 3 19 4" xfId="8727" xr:uid="{00000000-0005-0000-0000-0000F72D0000}"/>
    <cellStyle name="Percent 3 19 4 2" xfId="44698" xr:uid="{BCF3EE92-1234-4D61-BECD-82A48B0CC0F2}"/>
    <cellStyle name="Percent 3 19 5" xfId="44695" xr:uid="{0CDF2182-5148-4D37-A426-88800701CBD2}"/>
    <cellStyle name="Percent 3 2" xfId="217" xr:uid="{00000000-0005-0000-0000-0000F82D0000}"/>
    <cellStyle name="Percent 3 2 10" xfId="2796" xr:uid="{00000000-0005-0000-0000-0000F92D0000}"/>
    <cellStyle name="Percent 3 2 10 2" xfId="10231" xr:uid="{00000000-0005-0000-0000-0000FA2D0000}"/>
    <cellStyle name="Percent 3 2 10 2 2" xfId="44701" xr:uid="{D975C943-BAB6-46CD-A2E8-1580B02F7742}"/>
    <cellStyle name="Percent 3 2 10 3" xfId="12825" xr:uid="{00000000-0005-0000-0000-0000FB2D0000}"/>
    <cellStyle name="Percent 3 2 10 3 2" xfId="44702" xr:uid="{DDB1C3E3-2E7C-4462-9527-1D19AFA111D2}"/>
    <cellStyle name="Percent 3 2 10 4" xfId="8729" xr:uid="{00000000-0005-0000-0000-0000FC2D0000}"/>
    <cellStyle name="Percent 3 2 10 4 2" xfId="44703" xr:uid="{F85DF503-5006-4C59-8FA1-A4CE28075852}"/>
    <cellStyle name="Percent 3 2 10 5" xfId="44700" xr:uid="{62C59044-3F85-4570-938E-611A0A9EA3B4}"/>
    <cellStyle name="Percent 3 2 11" xfId="2797" xr:uid="{00000000-0005-0000-0000-0000FD2D0000}"/>
    <cellStyle name="Percent 3 2 11 2" xfId="10232" xr:uid="{00000000-0005-0000-0000-0000FE2D0000}"/>
    <cellStyle name="Percent 3 2 11 2 2" xfId="44705" xr:uid="{51AF1648-D22A-444A-809E-18717ACE26A1}"/>
    <cellStyle name="Percent 3 2 11 3" xfId="16364" xr:uid="{00000000-0005-0000-0000-0000FF2D0000}"/>
    <cellStyle name="Percent 3 2 11 3 2" xfId="44706" xr:uid="{CD82CEAE-D3A0-4837-BF90-D7A32B99BE58}"/>
    <cellStyle name="Percent 3 2 11 4" xfId="8730" xr:uid="{00000000-0005-0000-0000-0000002E0000}"/>
    <cellStyle name="Percent 3 2 11 4 2" xfId="44707" xr:uid="{FB379F97-4D04-49EB-A5CE-AA1A67378294}"/>
    <cellStyle name="Percent 3 2 11 5" xfId="44704" xr:uid="{4907D36B-AD1A-4BE1-93C5-B48BA52ED116}"/>
    <cellStyle name="Percent 3 2 12" xfId="2798" xr:uid="{00000000-0005-0000-0000-0000012E0000}"/>
    <cellStyle name="Percent 3 2 12 2" xfId="10233" xr:uid="{00000000-0005-0000-0000-0000022E0000}"/>
    <cellStyle name="Percent 3 2 12 2 2" xfId="44709" xr:uid="{6B695ECB-712D-4A59-B6DC-20B3C9C79AF1}"/>
    <cellStyle name="Percent 3 2 12 3" xfId="12616" xr:uid="{00000000-0005-0000-0000-0000032E0000}"/>
    <cellStyle name="Percent 3 2 12 3 2" xfId="44710" xr:uid="{6B17131F-80A8-4D31-A716-81729AEB7B6D}"/>
    <cellStyle name="Percent 3 2 12 4" xfId="8731" xr:uid="{00000000-0005-0000-0000-0000042E0000}"/>
    <cellStyle name="Percent 3 2 12 4 2" xfId="44711" xr:uid="{9584726E-A184-45CD-B999-48822FA15ACB}"/>
    <cellStyle name="Percent 3 2 12 5" xfId="44708" xr:uid="{A1642A02-8C70-4689-A737-42942273FFF7}"/>
    <cellStyle name="Percent 3 2 13" xfId="2799" xr:uid="{00000000-0005-0000-0000-0000052E0000}"/>
    <cellStyle name="Percent 3 2 13 2" xfId="10234" xr:uid="{00000000-0005-0000-0000-0000062E0000}"/>
    <cellStyle name="Percent 3 2 13 2 2" xfId="44713" xr:uid="{D442CA12-AD13-4682-A285-F9FED619E39F}"/>
    <cellStyle name="Percent 3 2 13 3" xfId="16495" xr:uid="{00000000-0005-0000-0000-0000072E0000}"/>
    <cellStyle name="Percent 3 2 13 3 2" xfId="44714" xr:uid="{57CC65ED-E173-4EA0-9CA6-116ED66D58B3}"/>
    <cellStyle name="Percent 3 2 13 4" xfId="8732" xr:uid="{00000000-0005-0000-0000-0000082E0000}"/>
    <cellStyle name="Percent 3 2 13 4 2" xfId="44715" xr:uid="{66D83C03-3656-4C4D-A837-718511A4290C}"/>
    <cellStyle name="Percent 3 2 13 5" xfId="44712" xr:uid="{C1CAC360-E63D-46D0-991F-967ABB651255}"/>
    <cellStyle name="Percent 3 2 14" xfId="2800" xr:uid="{00000000-0005-0000-0000-0000092E0000}"/>
    <cellStyle name="Percent 3 2 14 2" xfId="12939" xr:uid="{00000000-0005-0000-0000-00000A2E0000}"/>
    <cellStyle name="Percent 3 2 14 2 2" xfId="44717" xr:uid="{5580B00D-F033-4830-8A73-3FF3C4C9AC3F}"/>
    <cellStyle name="Percent 3 2 14 3" xfId="12601" xr:uid="{00000000-0005-0000-0000-00000B2E0000}"/>
    <cellStyle name="Percent 3 2 14 3 2" xfId="44718" xr:uid="{EC67D85C-9A29-43D1-BD25-05C34E7C2398}"/>
    <cellStyle name="Percent 3 2 14 4" xfId="8733" xr:uid="{00000000-0005-0000-0000-00000C2E0000}"/>
    <cellStyle name="Percent 3 2 14 4 2" xfId="44719" xr:uid="{E297F386-C4B2-414C-AD3E-D277209BA521}"/>
    <cellStyle name="Percent 3 2 14 5" xfId="44716" xr:uid="{01469505-736E-4F47-82B5-53DD4DEF5FB9}"/>
    <cellStyle name="Percent 3 2 15" xfId="2801" xr:uid="{00000000-0005-0000-0000-00000D2E0000}"/>
    <cellStyle name="Percent 3 2 15 2" xfId="12940" xr:uid="{00000000-0005-0000-0000-00000E2E0000}"/>
    <cellStyle name="Percent 3 2 15 2 2" xfId="44721" xr:uid="{152CDFEB-02B9-4E14-B0B8-1B7B28B4D4CF}"/>
    <cellStyle name="Percent 3 2 15 3" xfId="12391" xr:uid="{00000000-0005-0000-0000-00000F2E0000}"/>
    <cellStyle name="Percent 3 2 15 3 2" xfId="44722" xr:uid="{48CBB4F7-6E8B-4939-8E29-B74DCEE9FBF3}"/>
    <cellStyle name="Percent 3 2 15 4" xfId="8734" xr:uid="{00000000-0005-0000-0000-0000102E0000}"/>
    <cellStyle name="Percent 3 2 15 4 2" xfId="44723" xr:uid="{07D037E5-B1D5-4B61-8EF9-456E52EBDB6C}"/>
    <cellStyle name="Percent 3 2 15 5" xfId="44720" xr:uid="{9FF1AADD-CF97-4B77-A4CB-CF4E8A70B13D}"/>
    <cellStyle name="Percent 3 2 16" xfId="2802" xr:uid="{00000000-0005-0000-0000-0000112E0000}"/>
    <cellStyle name="Percent 3 2 16 2" xfId="12941" xr:uid="{00000000-0005-0000-0000-0000122E0000}"/>
    <cellStyle name="Percent 3 2 16 2 2" xfId="44725" xr:uid="{70AFA7DD-BAE7-4596-8513-649424FD05AB}"/>
    <cellStyle name="Percent 3 2 16 3" xfId="16553" xr:uid="{00000000-0005-0000-0000-0000132E0000}"/>
    <cellStyle name="Percent 3 2 16 3 2" xfId="44726" xr:uid="{0F145166-F676-4604-BDB1-E0605A950B4B}"/>
    <cellStyle name="Percent 3 2 16 4" xfId="8735" xr:uid="{00000000-0005-0000-0000-0000142E0000}"/>
    <cellStyle name="Percent 3 2 16 4 2" xfId="44727" xr:uid="{2819A171-728F-438F-91B5-0F2DFFDAFE30}"/>
    <cellStyle name="Percent 3 2 16 5" xfId="44724" xr:uid="{4D9CCC0C-6C28-4BE8-B15A-56F7D398F784}"/>
    <cellStyle name="Percent 3 2 17" xfId="2795" xr:uid="{00000000-0005-0000-0000-0000152E0000}"/>
    <cellStyle name="Percent 3 2 17 2" xfId="12937" xr:uid="{00000000-0005-0000-0000-0000162E0000}"/>
    <cellStyle name="Percent 3 2 17 2 2" xfId="44729" xr:uid="{FF362139-69A7-4696-84DD-1052CE582D8D}"/>
    <cellStyle name="Percent 3 2 17 3" xfId="16260" xr:uid="{00000000-0005-0000-0000-0000172E0000}"/>
    <cellStyle name="Percent 3 2 17 3 2" xfId="44730" xr:uid="{AB90A2BF-FEA0-428E-9FFE-F48452F48CD1}"/>
    <cellStyle name="Percent 3 2 17 4" xfId="8736" xr:uid="{00000000-0005-0000-0000-0000182E0000}"/>
    <cellStyle name="Percent 3 2 17 4 2" xfId="44731" xr:uid="{FBE6BC58-7CC8-48A0-A14E-B0FE82DBDB4B}"/>
    <cellStyle name="Percent 3 2 17 5" xfId="44728" xr:uid="{18A525AD-8B14-4623-A832-04766D4A3F63}"/>
    <cellStyle name="Percent 3 2 18" xfId="10230" xr:uid="{00000000-0005-0000-0000-0000192E0000}"/>
    <cellStyle name="Percent 3 2 18 2" xfId="44732" xr:uid="{BDDF0F76-8BCB-4BE6-B7C5-468200D091DF}"/>
    <cellStyle name="Percent 3 2 19" xfId="16523" xr:uid="{00000000-0005-0000-0000-00001A2E0000}"/>
    <cellStyle name="Percent 3 2 19 2" xfId="44733" xr:uid="{D91E459A-E439-4C27-8E14-7624C2176A8B}"/>
    <cellStyle name="Percent 3 2 2" xfId="218" xr:uid="{00000000-0005-0000-0000-00001B2E0000}"/>
    <cellStyle name="Percent 3 2 2 2" xfId="2804" xr:uid="{00000000-0005-0000-0000-00001C2E0000}"/>
    <cellStyle name="Percent 3 2 2 2 2" xfId="4678" xr:uid="{00000000-0005-0000-0000-00001D2E0000}"/>
    <cellStyle name="Percent 3 2 2 2 2 2" xfId="13843" xr:uid="{00000000-0005-0000-0000-00001E2E0000}"/>
    <cellStyle name="Percent 3 2 2 2 2 2 2" xfId="44737" xr:uid="{65372F14-32CB-440B-B754-834867B2E201}"/>
    <cellStyle name="Percent 3 2 2 2 2 3" xfId="16558" xr:uid="{00000000-0005-0000-0000-00001F2E0000}"/>
    <cellStyle name="Percent 3 2 2 2 2 3 2" xfId="44738" xr:uid="{FE27B500-E96C-4B61-B102-4A7CB783A37D}"/>
    <cellStyle name="Percent 3 2 2 2 2 4" xfId="8739" xr:uid="{00000000-0005-0000-0000-0000202E0000}"/>
    <cellStyle name="Percent 3 2 2 2 2 4 2" xfId="44739" xr:uid="{D32A0C60-017D-4B80-AFBB-4E74F9D35560}"/>
    <cellStyle name="Percent 3 2 2 2 2 5" xfId="44736" xr:uid="{05306E34-FD35-472E-856B-167EC45411B6}"/>
    <cellStyle name="Percent 3 2 2 2 3" xfId="8740" xr:uid="{00000000-0005-0000-0000-0000212E0000}"/>
    <cellStyle name="Percent 3 2 2 2 3 2" xfId="13483" xr:uid="{00000000-0005-0000-0000-0000222E0000}"/>
    <cellStyle name="Percent 3 2 2 2 3 2 2" xfId="44741" xr:uid="{1DBA81B2-DE14-4D26-BC9D-4919C4613A78}"/>
    <cellStyle name="Percent 3 2 2 2 3 3" xfId="44740" xr:uid="{86C382A7-36A9-4FCA-A3B5-320C0A40AD7F}"/>
    <cellStyle name="Percent 3 2 2 2 4" xfId="12213" xr:uid="{00000000-0005-0000-0000-0000232E0000}"/>
    <cellStyle name="Percent 3 2 2 2 4 2" xfId="44742" xr:uid="{FC7304ED-A50A-4C0E-A82B-8ED18DB6388F}"/>
    <cellStyle name="Percent 3 2 2 2 5" xfId="12943" xr:uid="{00000000-0005-0000-0000-0000242E0000}"/>
    <cellStyle name="Percent 3 2 2 2 5 2" xfId="44743" xr:uid="{AC7BAFE6-7BB8-4235-9AF1-278B68A0BB88}"/>
    <cellStyle name="Percent 3 2 2 2 6" xfId="16579" xr:uid="{00000000-0005-0000-0000-0000252E0000}"/>
    <cellStyle name="Percent 3 2 2 2 6 2" xfId="44744" xr:uid="{16ECD7D0-4F43-4B80-9E7A-75EF942908F1}"/>
    <cellStyle name="Percent 3 2 2 2 7" xfId="8738" xr:uid="{00000000-0005-0000-0000-0000262E0000}"/>
    <cellStyle name="Percent 3 2 2 2 7 2" xfId="44745" xr:uid="{09155A59-1855-4441-B607-6F1DF78B8621}"/>
    <cellStyle name="Percent 3 2 2 2 8" xfId="44735" xr:uid="{27547494-1F50-416A-BC1E-82941C632A68}"/>
    <cellStyle name="Percent 3 2 2 3" xfId="2803" xr:uid="{00000000-0005-0000-0000-0000272E0000}"/>
    <cellStyle name="Percent 3 2 2 3 2" xfId="12214" xr:uid="{00000000-0005-0000-0000-0000282E0000}"/>
    <cellStyle name="Percent 3 2 2 3 2 2" xfId="44747" xr:uid="{E7267476-1C31-4A3B-9FA3-89965C46781F}"/>
    <cellStyle name="Percent 3 2 2 3 3" xfId="12942" xr:uid="{00000000-0005-0000-0000-0000292E0000}"/>
    <cellStyle name="Percent 3 2 2 3 3 2" xfId="44748" xr:uid="{46EA93A7-2DE2-4061-BDA5-5DA10512548D}"/>
    <cellStyle name="Percent 3 2 2 3 4" xfId="16257" xr:uid="{00000000-0005-0000-0000-00002A2E0000}"/>
    <cellStyle name="Percent 3 2 2 3 4 2" xfId="44749" xr:uid="{3B244D3B-2D1B-4088-BCF1-54F422A75EA0}"/>
    <cellStyle name="Percent 3 2 2 3 5" xfId="8741" xr:uid="{00000000-0005-0000-0000-00002B2E0000}"/>
    <cellStyle name="Percent 3 2 2 3 5 2" xfId="44750" xr:uid="{376D3A68-469D-4251-906B-8ED3070CCF2F}"/>
    <cellStyle name="Percent 3 2 2 3 6" xfId="44746" xr:uid="{498ECD98-D01D-4E60-9F43-9DD2B045516A}"/>
    <cellStyle name="Percent 3 2 2 4" xfId="5810" xr:uid="{00000000-0005-0000-0000-00002C2E0000}"/>
    <cellStyle name="Percent 3 2 2 4 2" xfId="14387" xr:uid="{00000000-0005-0000-0000-00002D2E0000}"/>
    <cellStyle name="Percent 3 2 2 4 2 2" xfId="44752" xr:uid="{0FEE75E7-7B22-4C00-9EC4-718C3D98526C}"/>
    <cellStyle name="Percent 3 2 2 4 3" xfId="12212" xr:uid="{00000000-0005-0000-0000-00002E2E0000}"/>
    <cellStyle name="Percent 3 2 2 4 3 2" xfId="44753" xr:uid="{50CAC334-D36C-449D-ACCE-84AA50E21C8E}"/>
    <cellStyle name="Percent 3 2 2 4 4" xfId="44751" xr:uid="{BEF7B414-4E89-486F-8E5D-F71ADD5A15CD}"/>
    <cellStyle name="Percent 3 2 2 5" xfId="16153" xr:uid="{00000000-0005-0000-0000-00002F2E0000}"/>
    <cellStyle name="Percent 3 2 2 5 2" xfId="44754" xr:uid="{A7D373C2-CC70-47EC-84DB-6F36FAF93169}"/>
    <cellStyle name="Percent 3 2 2 6" xfId="8737" xr:uid="{00000000-0005-0000-0000-0000302E0000}"/>
    <cellStyle name="Percent 3 2 2 6 2" xfId="44755" xr:uid="{61A5807A-6E31-4DB8-8BF2-D7DD65090FFC}"/>
    <cellStyle name="Percent 3 2 2 7" xfId="44734" xr:uid="{C31CB757-E2B1-49FC-8E16-823B5716E6C1}"/>
    <cellStyle name="Percent 3 2 20" xfId="8728" xr:uid="{00000000-0005-0000-0000-0000312E0000}"/>
    <cellStyle name="Percent 3 2 20 2" xfId="44756" xr:uid="{6DE828B3-AE87-4CE6-8D52-62512A32A904}"/>
    <cellStyle name="Percent 3 2 21" xfId="44699" xr:uid="{8CB8A009-02F6-4105-91F9-988EB39A97F0}"/>
    <cellStyle name="Percent 3 2 3" xfId="219" xr:uid="{00000000-0005-0000-0000-0000322E0000}"/>
    <cellStyle name="Percent 3 2 3 2" xfId="2805" xr:uid="{00000000-0005-0000-0000-0000332E0000}"/>
    <cellStyle name="Percent 3 2 3 2 2" xfId="12944" xr:uid="{00000000-0005-0000-0000-0000342E0000}"/>
    <cellStyle name="Percent 3 2 3 2 2 2" xfId="44760" xr:uid="{E41433AA-158D-4BDA-BA7F-37B39EE65BA0}"/>
    <cellStyle name="Percent 3 2 3 2 2 3" xfId="44759" xr:uid="{921865E3-3B8C-4D76-9FE5-26617D669CC5}"/>
    <cellStyle name="Percent 3 2 3 2 3" xfId="16637" xr:uid="{00000000-0005-0000-0000-0000352E0000}"/>
    <cellStyle name="Percent 3 2 3 2 3 2" xfId="44761" xr:uid="{53199059-00EC-48B5-8C89-71D0D2D1F9A6}"/>
    <cellStyle name="Percent 3 2 3 2 4" xfId="8743" xr:uid="{00000000-0005-0000-0000-0000362E0000}"/>
    <cellStyle name="Percent 3 2 3 2 4 2" xfId="44762" xr:uid="{109EF446-1833-4EEB-B2E2-88430DB0AACB}"/>
    <cellStyle name="Percent 3 2 3 2 5" xfId="44763" xr:uid="{8B2697A6-312F-4115-80C8-AD5038696E8E}"/>
    <cellStyle name="Percent 3 2 3 2 6" xfId="44758" xr:uid="{9054B144-669C-4523-BF0D-202583C4AC9F}"/>
    <cellStyle name="Percent 3 2 3 3" xfId="8744" xr:uid="{00000000-0005-0000-0000-0000372E0000}"/>
    <cellStyle name="Percent 3 2 3 3 2" xfId="16354" xr:uid="{00000000-0005-0000-0000-0000382E0000}"/>
    <cellStyle name="Percent 3 2 3 3 2 2" xfId="44765" xr:uid="{2EFDEFDF-C285-40F4-A423-2076242F33E0}"/>
    <cellStyle name="Percent 3 2 3 3 3" xfId="44764" xr:uid="{E7BFF182-8886-492E-B583-F315EE4B11B9}"/>
    <cellStyle name="Percent 3 2 3 4" xfId="12215" xr:uid="{00000000-0005-0000-0000-0000392E0000}"/>
    <cellStyle name="Percent 3 2 3 4 2" xfId="44766" xr:uid="{BE7BA7E8-E486-4C63-9B99-243AAFCE5CA2}"/>
    <cellStyle name="Percent 3 2 3 5" xfId="12440" xr:uid="{00000000-0005-0000-0000-00003A2E0000}"/>
    <cellStyle name="Percent 3 2 3 5 2" xfId="44767" xr:uid="{5778A35C-97AF-4D18-9795-76DC2367CE0F}"/>
    <cellStyle name="Percent 3 2 3 6" xfId="16608" xr:uid="{00000000-0005-0000-0000-00003B2E0000}"/>
    <cellStyle name="Percent 3 2 3 6 2" xfId="44768" xr:uid="{C6A50173-62AF-4464-A5DA-26D1DB1EA080}"/>
    <cellStyle name="Percent 3 2 3 7" xfId="8742" xr:uid="{00000000-0005-0000-0000-00003C2E0000}"/>
    <cellStyle name="Percent 3 2 3 7 2" xfId="44769" xr:uid="{231214AC-98C9-4512-9CC6-45FD27B84F88}"/>
    <cellStyle name="Percent 3 2 3 8" xfId="44757" xr:uid="{2753C65F-F986-4E6D-A00B-73759DACB990}"/>
    <cellStyle name="Percent 3 2 4" xfId="220" xr:uid="{00000000-0005-0000-0000-00003D2E0000}"/>
    <cellStyle name="Percent 3 2 4 2" xfId="12441" xr:uid="{00000000-0005-0000-0000-00003E2E0000}"/>
    <cellStyle name="Percent 3 2 4 2 2" xfId="44771" xr:uid="{8AAF8BAB-9EBC-4345-BA73-FCF1F40DE1FE}"/>
    <cellStyle name="Percent 3 2 4 3" xfId="16550" xr:uid="{00000000-0005-0000-0000-00003F2E0000}"/>
    <cellStyle name="Percent 3 2 4 3 2" xfId="44772" xr:uid="{38CAE3C6-3997-4ED3-85FF-C68D2B21DC91}"/>
    <cellStyle name="Percent 3 2 4 4" xfId="8745" xr:uid="{00000000-0005-0000-0000-0000402E0000}"/>
    <cellStyle name="Percent 3 2 4 4 2" xfId="44773" xr:uid="{D8687B41-CB16-4B12-ACEE-0BF609A28FFD}"/>
    <cellStyle name="Percent 3 2 4 5" xfId="44770" xr:uid="{95A32E3C-7AD6-4651-B259-B48026F52289}"/>
    <cellStyle name="Percent 3 2 5" xfId="2806" xr:uid="{00000000-0005-0000-0000-0000412E0000}"/>
    <cellStyle name="Percent 3 2 5 2" xfId="12945" xr:uid="{00000000-0005-0000-0000-0000422E0000}"/>
    <cellStyle name="Percent 3 2 5 2 2" xfId="44775" xr:uid="{BA5ACB42-A81E-4D36-A3EF-B4D29F50D044}"/>
    <cellStyle name="Percent 3 2 5 3" xfId="12770" xr:uid="{00000000-0005-0000-0000-0000432E0000}"/>
    <cellStyle name="Percent 3 2 5 3 2" xfId="44776" xr:uid="{12FA0D48-5C40-4729-8B62-9C63AAF0DCE7}"/>
    <cellStyle name="Percent 3 2 5 4" xfId="8746" xr:uid="{00000000-0005-0000-0000-0000442E0000}"/>
    <cellStyle name="Percent 3 2 5 4 2" xfId="44777" xr:uid="{7BAD1BFA-C038-4326-B7DC-E10568D10328}"/>
    <cellStyle name="Percent 3 2 5 5" xfId="44774" xr:uid="{3EACA478-A18C-455E-8D71-E9BBD5C052A3}"/>
    <cellStyle name="Percent 3 2 6" xfId="2807" xr:uid="{00000000-0005-0000-0000-0000452E0000}"/>
    <cellStyle name="Percent 3 2 6 2" xfId="12946" xr:uid="{00000000-0005-0000-0000-0000462E0000}"/>
    <cellStyle name="Percent 3 2 6 2 2" xfId="44779" xr:uid="{9F59FC49-CF8E-4821-8220-17E3DFF48A78}"/>
    <cellStyle name="Percent 3 2 6 3" xfId="16407" xr:uid="{00000000-0005-0000-0000-0000472E0000}"/>
    <cellStyle name="Percent 3 2 6 3 2" xfId="44780" xr:uid="{8D7FDFAF-65B5-43F9-BE13-B3BB69E3B39D}"/>
    <cellStyle name="Percent 3 2 6 4" xfId="8747" xr:uid="{00000000-0005-0000-0000-0000482E0000}"/>
    <cellStyle name="Percent 3 2 6 4 2" xfId="44781" xr:uid="{8F56BB5C-FEE6-4DD6-9E80-D93FD0D6A036}"/>
    <cellStyle name="Percent 3 2 6 5" xfId="44778" xr:uid="{C9A82443-3289-40FF-AF1F-C60A86FCE4EB}"/>
    <cellStyle name="Percent 3 2 7" xfId="2808" xr:uid="{00000000-0005-0000-0000-0000492E0000}"/>
    <cellStyle name="Percent 3 2 7 2" xfId="12947" xr:uid="{00000000-0005-0000-0000-00004A2E0000}"/>
    <cellStyle name="Percent 3 2 7 2 2" xfId="44783" xr:uid="{95AB0051-DBC3-46C2-8ADF-3AF0F66EA5A3}"/>
    <cellStyle name="Percent 3 2 7 3" xfId="12746" xr:uid="{00000000-0005-0000-0000-00004B2E0000}"/>
    <cellStyle name="Percent 3 2 7 3 2" xfId="44784" xr:uid="{9F71BB60-C9FD-480E-B764-231316ADBA2E}"/>
    <cellStyle name="Percent 3 2 7 4" xfId="8748" xr:uid="{00000000-0005-0000-0000-00004C2E0000}"/>
    <cellStyle name="Percent 3 2 7 4 2" xfId="44785" xr:uid="{B341BE65-33ED-4DB2-B061-799F7CF80F2F}"/>
    <cellStyle name="Percent 3 2 7 5" xfId="44782" xr:uid="{A9135A64-92A2-4354-9CF7-7125AC2987A4}"/>
    <cellStyle name="Percent 3 2 8" xfId="2809" xr:uid="{00000000-0005-0000-0000-00004D2E0000}"/>
    <cellStyle name="Percent 3 2 8 2" xfId="12948" xr:uid="{00000000-0005-0000-0000-00004E2E0000}"/>
    <cellStyle name="Percent 3 2 8 2 2" xfId="44787" xr:uid="{027A863D-5492-46BD-90F4-AFDD003F8AC2}"/>
    <cellStyle name="Percent 3 2 8 3" xfId="12637" xr:uid="{00000000-0005-0000-0000-00004F2E0000}"/>
    <cellStyle name="Percent 3 2 8 3 2" xfId="44788" xr:uid="{8DABD618-D050-4DAA-A74E-A1E79985C541}"/>
    <cellStyle name="Percent 3 2 8 4" xfId="8749" xr:uid="{00000000-0005-0000-0000-0000502E0000}"/>
    <cellStyle name="Percent 3 2 8 4 2" xfId="44789" xr:uid="{82CB178D-9DA9-4938-8EE3-26DA214AC25B}"/>
    <cellStyle name="Percent 3 2 8 5" xfId="44786" xr:uid="{0E532CCE-5DAC-4CCD-A8AB-CFD0E5B7EAC6}"/>
    <cellStyle name="Percent 3 2 9" xfId="2810" xr:uid="{00000000-0005-0000-0000-0000512E0000}"/>
    <cellStyle name="Percent 3 2 9 2" xfId="12949" xr:uid="{00000000-0005-0000-0000-0000522E0000}"/>
    <cellStyle name="Percent 3 2 9 2 2" xfId="44791" xr:uid="{748B1EC2-CC22-4CFB-91FA-F89DDB4E913A}"/>
    <cellStyle name="Percent 3 2 9 3" xfId="16594" xr:uid="{00000000-0005-0000-0000-0000532E0000}"/>
    <cellStyle name="Percent 3 2 9 3 2" xfId="44792" xr:uid="{C2033A17-D2B8-4D8C-BDE7-E6E88BA30C31}"/>
    <cellStyle name="Percent 3 2 9 4" xfId="8750" xr:uid="{00000000-0005-0000-0000-0000542E0000}"/>
    <cellStyle name="Percent 3 2 9 4 2" xfId="44793" xr:uid="{098EE911-A3C7-4611-A347-1B87640C1934}"/>
    <cellStyle name="Percent 3 2 9 5" xfId="44790" xr:uid="{6E3C99DE-BCB2-49C4-B3A7-CAA4DF3653E0}"/>
    <cellStyle name="Percent 3 20" xfId="2811" xr:uid="{00000000-0005-0000-0000-0000552E0000}"/>
    <cellStyle name="Percent 3 20 2" xfId="12950" xr:uid="{00000000-0005-0000-0000-0000562E0000}"/>
    <cellStyle name="Percent 3 20 2 2" xfId="44795" xr:uid="{AFF6F2B0-D002-480E-8FDD-44E91E13DDA7}"/>
    <cellStyle name="Percent 3 20 3" xfId="12384" xr:uid="{00000000-0005-0000-0000-0000572E0000}"/>
    <cellStyle name="Percent 3 20 3 2" xfId="44796" xr:uid="{167C55C5-1930-476A-A005-3A37419A3E04}"/>
    <cellStyle name="Percent 3 20 4" xfId="8751" xr:uid="{00000000-0005-0000-0000-0000582E0000}"/>
    <cellStyle name="Percent 3 20 4 2" xfId="44797" xr:uid="{5874C505-438F-4FF7-9D9A-CEABEFDC7DF8}"/>
    <cellStyle name="Percent 3 20 5" xfId="44794" xr:uid="{1884C264-6711-4D82-AB5D-4BDD5D887DF8}"/>
    <cellStyle name="Percent 3 21" xfId="2812" xr:uid="{00000000-0005-0000-0000-0000592E0000}"/>
    <cellStyle name="Percent 3 21 2" xfId="12951" xr:uid="{00000000-0005-0000-0000-00005A2E0000}"/>
    <cellStyle name="Percent 3 21 2 2" xfId="44799" xr:uid="{18A5AA40-2765-434A-BF2E-F7D6913B8E9B}"/>
    <cellStyle name="Percent 3 21 3" xfId="13887" xr:uid="{00000000-0005-0000-0000-00005B2E0000}"/>
    <cellStyle name="Percent 3 21 3 2" xfId="44800" xr:uid="{71FD7840-669C-44B2-B8B4-817B54A036CF}"/>
    <cellStyle name="Percent 3 21 4" xfId="8752" xr:uid="{00000000-0005-0000-0000-00005C2E0000}"/>
    <cellStyle name="Percent 3 21 4 2" xfId="44801" xr:uid="{6C545C7B-E865-423D-A389-0DE3D56D0ED1}"/>
    <cellStyle name="Percent 3 21 5" xfId="44798" xr:uid="{A0BC481E-3276-4116-B96F-1A5EA5B7DCBC}"/>
    <cellStyle name="Percent 3 22" xfId="2813" xr:uid="{00000000-0005-0000-0000-00005D2E0000}"/>
    <cellStyle name="Percent 3 22 2" xfId="12952" xr:uid="{00000000-0005-0000-0000-00005E2E0000}"/>
    <cellStyle name="Percent 3 22 2 2" xfId="44803" xr:uid="{7EB4C9E5-5B66-423E-99B4-6C7A3ADDF9CA}"/>
    <cellStyle name="Percent 3 22 3" xfId="12485" xr:uid="{00000000-0005-0000-0000-00005F2E0000}"/>
    <cellStyle name="Percent 3 22 3 2" xfId="44804" xr:uid="{72D20E93-B795-4E6D-828F-FFFA9E6F9B5A}"/>
    <cellStyle name="Percent 3 22 4" xfId="8753" xr:uid="{00000000-0005-0000-0000-0000602E0000}"/>
    <cellStyle name="Percent 3 22 4 2" xfId="44805" xr:uid="{3DCF460F-C1D1-4E98-ACB8-68DE17BC8477}"/>
    <cellStyle name="Percent 3 22 5" xfId="44802" xr:uid="{1C2835A0-5F15-4826-A3BB-8555FD89ECF8}"/>
    <cellStyle name="Percent 3 23" xfId="2814" xr:uid="{00000000-0005-0000-0000-0000612E0000}"/>
    <cellStyle name="Percent 3 23 2" xfId="12953" xr:uid="{00000000-0005-0000-0000-0000622E0000}"/>
    <cellStyle name="Percent 3 23 2 2" xfId="44807" xr:uid="{012C39AA-F277-48B8-ADCE-8878B97FBFC1}"/>
    <cellStyle name="Percent 3 23 3" xfId="16333" xr:uid="{00000000-0005-0000-0000-0000632E0000}"/>
    <cellStyle name="Percent 3 23 3 2" xfId="44808" xr:uid="{764DDC15-511B-4803-B386-7CDC63B59083}"/>
    <cellStyle name="Percent 3 23 4" xfId="8754" xr:uid="{00000000-0005-0000-0000-0000642E0000}"/>
    <cellStyle name="Percent 3 23 4 2" xfId="44809" xr:uid="{3D46FDF5-9B0B-4A4D-A68A-8B1B38CDE56B}"/>
    <cellStyle name="Percent 3 23 5" xfId="44806" xr:uid="{4CD98483-FF6C-4A53-8504-151E6E0C6198}"/>
    <cellStyle name="Percent 3 24" xfId="2815" xr:uid="{00000000-0005-0000-0000-0000652E0000}"/>
    <cellStyle name="Percent 3 24 2" xfId="12954" xr:uid="{00000000-0005-0000-0000-0000662E0000}"/>
    <cellStyle name="Percent 3 24 2 2" xfId="44811" xr:uid="{E6863750-3A07-4F8D-831E-1A6BC9F2D8A9}"/>
    <cellStyle name="Percent 3 24 3" xfId="12668" xr:uid="{00000000-0005-0000-0000-0000672E0000}"/>
    <cellStyle name="Percent 3 24 3 2" xfId="44812" xr:uid="{DBE2259B-5C01-4FAC-8FB0-1D40F1DF80ED}"/>
    <cellStyle name="Percent 3 24 4" xfId="8755" xr:uid="{00000000-0005-0000-0000-0000682E0000}"/>
    <cellStyle name="Percent 3 24 4 2" xfId="44813" xr:uid="{0499451C-9224-48DB-9E10-4B7B2D7E6A17}"/>
    <cellStyle name="Percent 3 24 5" xfId="44810" xr:uid="{2721AA0C-C79C-4D78-81E1-5306B2BF9DDA}"/>
    <cellStyle name="Percent 3 25" xfId="2816" xr:uid="{00000000-0005-0000-0000-0000692E0000}"/>
    <cellStyle name="Percent 3 25 2" xfId="12955" xr:uid="{00000000-0005-0000-0000-00006A2E0000}"/>
    <cellStyle name="Percent 3 25 2 2" xfId="44815" xr:uid="{9289287F-EC9D-4233-AEEA-F4572005614E}"/>
    <cellStyle name="Percent 3 25 3" xfId="12533" xr:uid="{00000000-0005-0000-0000-00006B2E0000}"/>
    <cellStyle name="Percent 3 25 3 2" xfId="44816" xr:uid="{42D5C008-CCCA-41AA-9742-A32F14047A39}"/>
    <cellStyle name="Percent 3 25 4" xfId="8756" xr:uid="{00000000-0005-0000-0000-00006C2E0000}"/>
    <cellStyle name="Percent 3 25 4 2" xfId="44817" xr:uid="{1331570C-8157-419B-992E-4924E7AD9184}"/>
    <cellStyle name="Percent 3 25 5" xfId="44814" xr:uid="{948809FC-E298-4C30-A2EC-5B1F6F29A53A}"/>
    <cellStyle name="Percent 3 26" xfId="2817" xr:uid="{00000000-0005-0000-0000-00006D2E0000}"/>
    <cellStyle name="Percent 3 26 2" xfId="12956" xr:uid="{00000000-0005-0000-0000-00006E2E0000}"/>
    <cellStyle name="Percent 3 26 2 2" xfId="44819" xr:uid="{9E2E34C4-DF50-4EAF-8FFB-B16C3626B443}"/>
    <cellStyle name="Percent 3 26 3" xfId="12936" xr:uid="{00000000-0005-0000-0000-00006F2E0000}"/>
    <cellStyle name="Percent 3 26 3 2" xfId="44820" xr:uid="{0EA04368-4936-4396-B211-8C0E1AAD73DC}"/>
    <cellStyle name="Percent 3 26 4" xfId="8757" xr:uid="{00000000-0005-0000-0000-0000702E0000}"/>
    <cellStyle name="Percent 3 26 4 2" xfId="44821" xr:uid="{1EC5FFB2-A38A-445A-BE7E-251F48C35043}"/>
    <cellStyle name="Percent 3 26 5" xfId="44818" xr:uid="{6B40F5C6-091B-4A3C-A823-6F1627071DA3}"/>
    <cellStyle name="Percent 3 27" xfId="2818" xr:uid="{00000000-0005-0000-0000-0000712E0000}"/>
    <cellStyle name="Percent 3 27 2" xfId="12957" xr:uid="{00000000-0005-0000-0000-0000722E0000}"/>
    <cellStyle name="Percent 3 27 2 2" xfId="44823" xr:uid="{B43C22AA-A0BE-40EB-AAB5-18D85F394924}"/>
    <cellStyle name="Percent 3 27 3" xfId="12715" xr:uid="{00000000-0005-0000-0000-0000732E0000}"/>
    <cellStyle name="Percent 3 27 3 2" xfId="44824" xr:uid="{6A2DA685-DB70-4671-B5CE-DF0C47E90648}"/>
    <cellStyle name="Percent 3 27 4" xfId="8758" xr:uid="{00000000-0005-0000-0000-0000742E0000}"/>
    <cellStyle name="Percent 3 27 4 2" xfId="44825" xr:uid="{CBCA5719-F0F9-4BB1-A371-2AE3A3BC438B}"/>
    <cellStyle name="Percent 3 27 5" xfId="44822" xr:uid="{5C3C314B-A4BA-4B1A-8AA5-0400027D8C6F}"/>
    <cellStyle name="Percent 3 28" xfId="2819" xr:uid="{00000000-0005-0000-0000-0000752E0000}"/>
    <cellStyle name="Percent 3 28 2" xfId="12958" xr:uid="{00000000-0005-0000-0000-0000762E0000}"/>
    <cellStyle name="Percent 3 28 2 2" xfId="44827" xr:uid="{C899AEAC-7959-4651-8CC1-FE601E1577E6}"/>
    <cellStyle name="Percent 3 28 3" xfId="12670" xr:uid="{00000000-0005-0000-0000-0000772E0000}"/>
    <cellStyle name="Percent 3 28 3 2" xfId="44828" xr:uid="{9236C6C3-914A-4649-A05E-2D7D991DB292}"/>
    <cellStyle name="Percent 3 28 4" xfId="8759" xr:uid="{00000000-0005-0000-0000-0000782E0000}"/>
    <cellStyle name="Percent 3 28 4 2" xfId="44829" xr:uid="{A723A807-21B9-4E47-B5D1-2001F2E2E3A7}"/>
    <cellStyle name="Percent 3 28 5" xfId="44826" xr:uid="{0AB559CF-0308-4DBA-8EC6-094A1CEF739F}"/>
    <cellStyle name="Percent 3 29" xfId="2820" xr:uid="{00000000-0005-0000-0000-0000792E0000}"/>
    <cellStyle name="Percent 3 29 2" xfId="12959" xr:uid="{00000000-0005-0000-0000-00007A2E0000}"/>
    <cellStyle name="Percent 3 29 2 2" xfId="44831" xr:uid="{941A4DA0-8C44-49B5-A79A-154BD6491054}"/>
    <cellStyle name="Percent 3 29 3" xfId="16209" xr:uid="{00000000-0005-0000-0000-00007B2E0000}"/>
    <cellStyle name="Percent 3 29 3 2" xfId="44832" xr:uid="{0C9E1205-01C8-4B8E-A949-3A72C2ED8624}"/>
    <cellStyle name="Percent 3 29 4" xfId="8760" xr:uid="{00000000-0005-0000-0000-00007C2E0000}"/>
    <cellStyle name="Percent 3 29 4 2" xfId="44833" xr:uid="{3E9AD57A-BF45-4B77-A3E4-EF7AD4975518}"/>
    <cellStyle name="Percent 3 29 5" xfId="44834" xr:uid="{0C793488-97E3-4DA4-926C-043650D174E1}"/>
    <cellStyle name="Percent 3 29 6" xfId="44830" xr:uid="{659C1643-1C15-485F-9FA3-E2EAA10AA484}"/>
    <cellStyle name="Percent 3 3" xfId="221" xr:uid="{00000000-0005-0000-0000-00007D2E0000}"/>
    <cellStyle name="Percent 3 3 10" xfId="2821" xr:uid="{00000000-0005-0000-0000-00007E2E0000}"/>
    <cellStyle name="Percent 3 3 10 2" xfId="12960" xr:uid="{00000000-0005-0000-0000-00007F2E0000}"/>
    <cellStyle name="Percent 3 3 10 2 2" xfId="44837" xr:uid="{806CA3F5-362B-45AB-827F-559225CB6C49}"/>
    <cellStyle name="Percent 3 3 10 3" xfId="13498" xr:uid="{00000000-0005-0000-0000-0000802E0000}"/>
    <cellStyle name="Percent 3 3 10 3 2" xfId="44838" xr:uid="{90BE101F-3CB9-4084-9D0C-4569A4588118}"/>
    <cellStyle name="Percent 3 3 10 4" xfId="8762" xr:uid="{00000000-0005-0000-0000-0000812E0000}"/>
    <cellStyle name="Percent 3 3 10 4 2" xfId="44839" xr:uid="{D4F879A2-8440-48F5-8580-B7F5ECFC54EB}"/>
    <cellStyle name="Percent 3 3 10 5" xfId="44836" xr:uid="{59B118F4-146F-44E4-B874-6F10F5E6C9C9}"/>
    <cellStyle name="Percent 3 3 11" xfId="2822" xr:uid="{00000000-0005-0000-0000-0000822E0000}"/>
    <cellStyle name="Percent 3 3 11 2" xfId="12961" xr:uid="{00000000-0005-0000-0000-0000832E0000}"/>
    <cellStyle name="Percent 3 3 11 2 2" xfId="44841" xr:uid="{71CC2F23-DBDB-49CE-AA37-323D03325387}"/>
    <cellStyle name="Percent 3 3 11 3" xfId="12552" xr:uid="{00000000-0005-0000-0000-0000842E0000}"/>
    <cellStyle name="Percent 3 3 11 3 2" xfId="44842" xr:uid="{C6AC30B8-8C75-4560-9E78-DF4FB23AABDF}"/>
    <cellStyle name="Percent 3 3 11 4" xfId="8763" xr:uid="{00000000-0005-0000-0000-0000852E0000}"/>
    <cellStyle name="Percent 3 3 11 4 2" xfId="44843" xr:uid="{6A257E4E-C7C4-4563-B8C5-BE2857966CE9}"/>
    <cellStyle name="Percent 3 3 11 5" xfId="44840" xr:uid="{49D7C824-97F5-481E-90D8-80BAC075E28D}"/>
    <cellStyle name="Percent 3 3 12" xfId="2823" xr:uid="{00000000-0005-0000-0000-0000862E0000}"/>
    <cellStyle name="Percent 3 3 12 2" xfId="12962" xr:uid="{00000000-0005-0000-0000-0000872E0000}"/>
    <cellStyle name="Percent 3 3 12 2 2" xfId="44845" xr:uid="{E0AC6FE7-2F73-46BC-8B87-5E15EE7139F8}"/>
    <cellStyle name="Percent 3 3 12 3" xfId="12587" xr:uid="{00000000-0005-0000-0000-0000882E0000}"/>
    <cellStyle name="Percent 3 3 12 3 2" xfId="44846" xr:uid="{43F4C392-94A1-409B-B63A-799EF68EFF62}"/>
    <cellStyle name="Percent 3 3 12 4" xfId="8764" xr:uid="{00000000-0005-0000-0000-0000892E0000}"/>
    <cellStyle name="Percent 3 3 12 4 2" xfId="44847" xr:uid="{FDF2E259-7489-4412-AFAC-243B8FB2D131}"/>
    <cellStyle name="Percent 3 3 12 5" xfId="44844" xr:uid="{135164E4-409A-479A-9264-6C2E4CEF90C0}"/>
    <cellStyle name="Percent 3 3 13" xfId="2824" xr:uid="{00000000-0005-0000-0000-00008A2E0000}"/>
    <cellStyle name="Percent 3 3 13 2" xfId="12963" xr:uid="{00000000-0005-0000-0000-00008B2E0000}"/>
    <cellStyle name="Percent 3 3 13 2 2" xfId="44849" xr:uid="{944CD422-EB4E-4CFF-AC2E-791C8CE59EAB}"/>
    <cellStyle name="Percent 3 3 13 3" xfId="16283" xr:uid="{00000000-0005-0000-0000-00008C2E0000}"/>
    <cellStyle name="Percent 3 3 13 3 2" xfId="44850" xr:uid="{A1595C42-808D-4A99-BAB5-E678C9F8FCA3}"/>
    <cellStyle name="Percent 3 3 13 4" xfId="8765" xr:uid="{00000000-0005-0000-0000-00008D2E0000}"/>
    <cellStyle name="Percent 3 3 13 4 2" xfId="44851" xr:uid="{9AC3FFCE-7988-43BE-BBE8-818EC4F5D297}"/>
    <cellStyle name="Percent 3 3 13 5" xfId="44848" xr:uid="{2B4403A8-08F2-42CF-9B49-8D892267310E}"/>
    <cellStyle name="Percent 3 3 14" xfId="2825" xr:uid="{00000000-0005-0000-0000-00008E2E0000}"/>
    <cellStyle name="Percent 3 3 14 2" xfId="12964" xr:uid="{00000000-0005-0000-0000-00008F2E0000}"/>
    <cellStyle name="Percent 3 3 14 2 2" xfId="44853" xr:uid="{6F545861-7F7C-418D-87D6-CD5890FFC64C}"/>
    <cellStyle name="Percent 3 3 14 3" xfId="12733" xr:uid="{00000000-0005-0000-0000-0000902E0000}"/>
    <cellStyle name="Percent 3 3 14 3 2" xfId="44854" xr:uid="{E4096D40-5C95-4E15-92F4-31382C0286F7}"/>
    <cellStyle name="Percent 3 3 14 4" xfId="8766" xr:uid="{00000000-0005-0000-0000-0000912E0000}"/>
    <cellStyle name="Percent 3 3 14 4 2" xfId="44855" xr:uid="{80EE8985-0A20-4F4D-858D-A61542E85576}"/>
    <cellStyle name="Percent 3 3 14 5" xfId="44852" xr:uid="{01E7264A-EFD8-453B-BBE1-A7EFB0383DEC}"/>
    <cellStyle name="Percent 3 3 15" xfId="2826" xr:uid="{00000000-0005-0000-0000-0000922E0000}"/>
    <cellStyle name="Percent 3 3 15 2" xfId="12965" xr:uid="{00000000-0005-0000-0000-0000932E0000}"/>
    <cellStyle name="Percent 3 3 15 2 2" xfId="44857" xr:uid="{2D26AC63-9069-45E9-B672-CE679E997360}"/>
    <cellStyle name="Percent 3 3 15 3" xfId="12777" xr:uid="{00000000-0005-0000-0000-0000942E0000}"/>
    <cellStyle name="Percent 3 3 15 3 2" xfId="44858" xr:uid="{0AAED919-2CCD-4506-AF9F-5C34D2D720D3}"/>
    <cellStyle name="Percent 3 3 15 4" xfId="8767" xr:uid="{00000000-0005-0000-0000-0000952E0000}"/>
    <cellStyle name="Percent 3 3 15 4 2" xfId="44859" xr:uid="{25CFC12E-4986-4F9A-B884-4FC5591E7908}"/>
    <cellStyle name="Percent 3 3 15 5" xfId="44856" xr:uid="{C9B1C007-9A9C-4F87-88E0-60B70692EBC4}"/>
    <cellStyle name="Percent 3 3 16" xfId="12216" xr:uid="{00000000-0005-0000-0000-0000962E0000}"/>
    <cellStyle name="Percent 3 3 16 2" xfId="44860" xr:uid="{748C97FE-FB17-4CA6-8354-A9C90DB6BEAA}"/>
    <cellStyle name="Percent 3 3 17" xfId="12458" xr:uid="{00000000-0005-0000-0000-0000972E0000}"/>
    <cellStyle name="Percent 3 3 17 2" xfId="44861" xr:uid="{CC57F1B0-6894-479F-9940-2447055030A3}"/>
    <cellStyle name="Percent 3 3 18" xfId="8761" xr:uid="{00000000-0005-0000-0000-0000982E0000}"/>
    <cellStyle name="Percent 3 3 18 2" xfId="44862" xr:uid="{5BDCFB98-CDAF-49AC-8F87-81CCCBC586EE}"/>
    <cellStyle name="Percent 3 3 19" xfId="44835" xr:uid="{0B7CD853-4A0C-47D3-8BD3-CB10757EF588}"/>
    <cellStyle name="Percent 3 3 2" xfId="222" xr:uid="{00000000-0005-0000-0000-0000992E0000}"/>
    <cellStyle name="Percent 3 3 2 2" xfId="12442" xr:uid="{00000000-0005-0000-0000-00009A2E0000}"/>
    <cellStyle name="Percent 3 3 2 2 2" xfId="44864" xr:uid="{8DACE2C7-8B97-4F9A-9152-8B6F8CD30061}"/>
    <cellStyle name="Percent 3 3 2 3" xfId="16400" xr:uid="{00000000-0005-0000-0000-00009B2E0000}"/>
    <cellStyle name="Percent 3 3 2 3 2" xfId="44865" xr:uid="{AAC98575-41A8-4101-A3DC-22F12BF75F0B}"/>
    <cellStyle name="Percent 3 3 2 4" xfId="8768" xr:uid="{00000000-0005-0000-0000-00009C2E0000}"/>
    <cellStyle name="Percent 3 3 2 4 2" xfId="44866" xr:uid="{141DF312-F2E1-4CF0-A525-C89ACA7085B1}"/>
    <cellStyle name="Percent 3 3 2 5" xfId="44863" xr:uid="{17A9706F-FA1C-4485-A6BD-6B91B8533F5C}"/>
    <cellStyle name="Percent 3 3 3" xfId="223" xr:uid="{00000000-0005-0000-0000-00009D2E0000}"/>
    <cellStyle name="Percent 3 3 3 2" xfId="224" xr:uid="{00000000-0005-0000-0000-00009E2E0000}"/>
    <cellStyle name="Percent 3 3 3 2 2" xfId="12444" xr:uid="{00000000-0005-0000-0000-00009F2E0000}"/>
    <cellStyle name="Percent 3 3 3 2 2 2" xfId="44869" xr:uid="{B40A495A-4267-481D-846A-170DEC5C2C3B}"/>
    <cellStyle name="Percent 3 3 3 2 3" xfId="16685" xr:uid="{00000000-0005-0000-0000-0000A02E0000}"/>
    <cellStyle name="Percent 3 3 3 2 3 2" xfId="44870" xr:uid="{F185F8C2-11B4-44DD-838E-7DEDD8641EF5}"/>
    <cellStyle name="Percent 3 3 3 2 4" xfId="8770" xr:uid="{00000000-0005-0000-0000-0000A12E0000}"/>
    <cellStyle name="Percent 3 3 3 2 4 2" xfId="44871" xr:uid="{F286D899-3C0D-4E0E-872E-AC05C610A2B7}"/>
    <cellStyle name="Percent 3 3 3 2 5" xfId="44868" xr:uid="{01F275CD-1FAD-44DF-A428-19EC85FC9326}"/>
    <cellStyle name="Percent 3 3 3 3" xfId="225" xr:uid="{00000000-0005-0000-0000-0000A22E0000}"/>
    <cellStyle name="Percent 3 3 3 3 2" xfId="226" xr:uid="{00000000-0005-0000-0000-0000A32E0000}"/>
    <cellStyle name="Percent 3 3 3 3 2 2" xfId="12446" xr:uid="{00000000-0005-0000-0000-0000A42E0000}"/>
    <cellStyle name="Percent 3 3 3 3 2 2 2" xfId="44874" xr:uid="{6BA9B45D-FC60-4967-AC73-A55993D34CB3}"/>
    <cellStyle name="Percent 3 3 3 3 2 3" xfId="16274" xr:uid="{00000000-0005-0000-0000-0000A52E0000}"/>
    <cellStyle name="Percent 3 3 3 3 2 3 2" xfId="44875" xr:uid="{B63D3887-D587-47E2-8D5A-0356D3722944}"/>
    <cellStyle name="Percent 3 3 3 3 2 4" xfId="8772" xr:uid="{00000000-0005-0000-0000-0000A62E0000}"/>
    <cellStyle name="Percent 3 3 3 3 2 4 2" xfId="44876" xr:uid="{D1A2F793-10D9-4FFB-B573-0B6F71DE4AE6}"/>
    <cellStyle name="Percent 3 3 3 3 2 5" xfId="44873" xr:uid="{66AE80D8-8496-47B5-846A-5E05CCB2679A}"/>
    <cellStyle name="Percent 3 3 3 3 3" xfId="227" xr:uid="{00000000-0005-0000-0000-0000A72E0000}"/>
    <cellStyle name="Percent 3 3 3 3 3 2" xfId="12447" xr:uid="{00000000-0005-0000-0000-0000A82E0000}"/>
    <cellStyle name="Percent 3 3 3 3 3 2 2" xfId="44878" xr:uid="{78D49AE1-050A-4D3B-9BBB-A127368C65BA}"/>
    <cellStyle name="Percent 3 3 3 3 3 3" xfId="14396" xr:uid="{00000000-0005-0000-0000-0000A92E0000}"/>
    <cellStyle name="Percent 3 3 3 3 3 3 2" xfId="44879" xr:uid="{9E267DB6-ED59-4540-95D7-49A97C8E4957}"/>
    <cellStyle name="Percent 3 3 3 3 3 4" xfId="8773" xr:uid="{00000000-0005-0000-0000-0000AA2E0000}"/>
    <cellStyle name="Percent 3 3 3 3 3 4 2" xfId="44880" xr:uid="{183CF5DC-F47D-44B4-8819-DB6883D6868D}"/>
    <cellStyle name="Percent 3 3 3 3 3 5" xfId="44877" xr:uid="{F36184FA-C689-4FE0-852A-EB37E351A3AD}"/>
    <cellStyle name="Percent 3 3 3 3 4" xfId="332" xr:uid="{00000000-0005-0000-0000-0000AB2E0000}"/>
    <cellStyle name="Percent 3 3 3 3 4 2" xfId="2827" xr:uid="{00000000-0005-0000-0000-0000AC2E0000}"/>
    <cellStyle name="Percent 3 3 3 3 4 2 2" xfId="12966" xr:uid="{00000000-0005-0000-0000-0000AD2E0000}"/>
    <cellStyle name="Percent 3 3 3 3 4 2 2 2" xfId="44883" xr:uid="{DC24B4F8-C866-417A-9EA9-66FB4F324EB7}"/>
    <cellStyle name="Percent 3 3 3 3 4 2 3" xfId="16430" xr:uid="{00000000-0005-0000-0000-0000AE2E0000}"/>
    <cellStyle name="Percent 3 3 3 3 4 2 3 2" xfId="44884" xr:uid="{2156DA84-05D2-46A9-A952-7EBAA0C30D16}"/>
    <cellStyle name="Percent 3 3 3 3 4 2 4" xfId="8775" xr:uid="{00000000-0005-0000-0000-0000AF2E0000}"/>
    <cellStyle name="Percent 3 3 3 3 4 2 4 2" xfId="44885" xr:uid="{3C31CC7E-7EDF-4408-AC75-2C6B6A741AC3}"/>
    <cellStyle name="Percent 3 3 3 3 4 2 5" xfId="44882" xr:uid="{498DF0CD-3941-4AF6-B60D-BA5637133AF0}"/>
    <cellStyle name="Percent 3 3 3 3 4 3" xfId="12490" xr:uid="{00000000-0005-0000-0000-0000B02E0000}"/>
    <cellStyle name="Percent 3 3 3 3 4 3 2" xfId="44886" xr:uid="{9E218297-E3E7-44DD-9CC1-39BF9BFC561B}"/>
    <cellStyle name="Percent 3 3 3 3 4 4" xfId="16239" xr:uid="{00000000-0005-0000-0000-0000B12E0000}"/>
    <cellStyle name="Percent 3 3 3 3 4 4 2" xfId="44887" xr:uid="{398DBDB5-ACE4-406F-853D-CD1F34F5D3D0}"/>
    <cellStyle name="Percent 3 3 3 3 4 5" xfId="8774" xr:uid="{00000000-0005-0000-0000-0000B22E0000}"/>
    <cellStyle name="Percent 3 3 3 3 4 5 2" xfId="44888" xr:uid="{65328B94-B556-4C54-BBA8-C1FAB9D02618}"/>
    <cellStyle name="Percent 3 3 3 3 4 6" xfId="44881" xr:uid="{BF80DD04-E8B3-46D9-AF56-27415FDEC62D}"/>
    <cellStyle name="Percent 3 3 3 3 5" xfId="12445" xr:uid="{00000000-0005-0000-0000-0000B32E0000}"/>
    <cellStyle name="Percent 3 3 3 3 5 2" xfId="44889" xr:uid="{83F323CE-3FC2-4DDE-8469-C0C8AC91FA7E}"/>
    <cellStyle name="Percent 3 3 3 3 6" xfId="16251" xr:uid="{00000000-0005-0000-0000-0000B42E0000}"/>
    <cellStyle name="Percent 3 3 3 3 6 2" xfId="44890" xr:uid="{9CC402E9-BA0F-4879-B18A-B1A4EF83C279}"/>
    <cellStyle name="Percent 3 3 3 3 7" xfId="8771" xr:uid="{00000000-0005-0000-0000-0000B52E0000}"/>
    <cellStyle name="Percent 3 3 3 3 7 2" xfId="44891" xr:uid="{AC7FE279-EEC9-43D2-A40B-0C109083FB09}"/>
    <cellStyle name="Percent 3 3 3 3 8" xfId="44872" xr:uid="{C3F4CCE8-A1CB-410F-8778-48DC26D47B0A}"/>
    <cellStyle name="Percent 3 3 3 4" xfId="12443" xr:uid="{00000000-0005-0000-0000-0000B62E0000}"/>
    <cellStyle name="Percent 3 3 3 4 2" xfId="44892" xr:uid="{D75AD6E0-64BF-4104-B30F-413E641067B2}"/>
    <cellStyle name="Percent 3 3 3 5" xfId="16238" xr:uid="{00000000-0005-0000-0000-0000B72E0000}"/>
    <cellStyle name="Percent 3 3 3 5 2" xfId="44893" xr:uid="{9203712B-22C8-4168-9649-AB09129BFBC4}"/>
    <cellStyle name="Percent 3 3 3 6" xfId="8769" xr:uid="{00000000-0005-0000-0000-0000B82E0000}"/>
    <cellStyle name="Percent 3 3 3 6 2" xfId="44894" xr:uid="{F645A0C3-53DA-4B68-94B2-70F5870D9FF9}"/>
    <cellStyle name="Percent 3 3 3 7" xfId="44867" xr:uid="{0A614E46-8F5E-4DE0-8FA4-A133F4720CDD}"/>
    <cellStyle name="Percent 3 3 4" xfId="228" xr:uid="{00000000-0005-0000-0000-0000B92E0000}"/>
    <cellStyle name="Percent 3 3 4 2" xfId="2828" xr:uid="{00000000-0005-0000-0000-0000BA2E0000}"/>
    <cellStyle name="Percent 3 3 4 2 2" xfId="12967" xr:uid="{00000000-0005-0000-0000-0000BB2E0000}"/>
    <cellStyle name="Percent 3 3 4 2 2 2" xfId="44897" xr:uid="{80E313A7-D237-40D4-AE97-A57DDE2EB9CD}"/>
    <cellStyle name="Percent 3 3 4 2 3" xfId="16166" xr:uid="{00000000-0005-0000-0000-0000BC2E0000}"/>
    <cellStyle name="Percent 3 3 4 2 3 2" xfId="44898" xr:uid="{1077736B-0B4B-4A91-B3C4-EE5771BB8820}"/>
    <cellStyle name="Percent 3 3 4 2 4" xfId="8777" xr:uid="{00000000-0005-0000-0000-0000BD2E0000}"/>
    <cellStyle name="Percent 3 3 4 2 4 2" xfId="44899" xr:uid="{DBA93CE9-4600-466D-8233-90E3C90B767F}"/>
    <cellStyle name="Percent 3 3 4 2 5" xfId="44896" xr:uid="{DBA635D1-5920-4E93-80FE-4AF851FBC88C}"/>
    <cellStyle name="Percent 3 3 4 3" xfId="12448" xr:uid="{00000000-0005-0000-0000-0000BE2E0000}"/>
    <cellStyle name="Percent 3 3 4 3 2" xfId="44900" xr:uid="{5C27C98D-4811-4A52-ABC0-DA66015E5AD4}"/>
    <cellStyle name="Percent 3 3 4 4" xfId="16597" xr:uid="{00000000-0005-0000-0000-0000BF2E0000}"/>
    <cellStyle name="Percent 3 3 4 4 2" xfId="44901" xr:uid="{1C1E2A53-33E6-4767-B4DB-62C38C140ABB}"/>
    <cellStyle name="Percent 3 3 4 5" xfId="8776" xr:uid="{00000000-0005-0000-0000-0000C02E0000}"/>
    <cellStyle name="Percent 3 3 4 5 2" xfId="44902" xr:uid="{98C0CDA7-581A-4A86-837F-E847A49DA405}"/>
    <cellStyle name="Percent 3 3 4 6" xfId="44903" xr:uid="{28265ED4-5C21-42BE-B050-F6429EA06DF4}"/>
    <cellStyle name="Percent 3 3 4 7" xfId="44895" xr:uid="{1F54032D-8786-4777-9ACF-07130EB53DAF}"/>
    <cellStyle name="Percent 3 3 5" xfId="229" xr:uid="{00000000-0005-0000-0000-0000C12E0000}"/>
    <cellStyle name="Percent 3 3 5 2" xfId="10235" xr:uid="{00000000-0005-0000-0000-0000C22E0000}"/>
    <cellStyle name="Percent 3 3 5 2 2" xfId="44905" xr:uid="{E9F073A9-1BC4-4C56-B7E3-E4664162B6C4}"/>
    <cellStyle name="Percent 3 3 5 3" xfId="10236" xr:uid="{00000000-0005-0000-0000-0000C32E0000}"/>
    <cellStyle name="Percent 3 3 5 3 2" xfId="44906" xr:uid="{676F41A6-AB18-43C6-9A3F-9C452AAF7376}"/>
    <cellStyle name="Percent 3 3 5 4" xfId="12449" xr:uid="{00000000-0005-0000-0000-0000C42E0000}"/>
    <cellStyle name="Percent 3 3 5 4 2" xfId="44907" xr:uid="{E142138A-2152-4889-AC64-4350AC3C2D88}"/>
    <cellStyle name="Percent 3 3 5 5" xfId="12603" xr:uid="{00000000-0005-0000-0000-0000C52E0000}"/>
    <cellStyle name="Percent 3 3 5 5 2" xfId="44908" xr:uid="{7350596E-F4B9-4B80-96D0-68D06E2A8985}"/>
    <cellStyle name="Percent 3 3 5 6" xfId="8778" xr:uid="{00000000-0005-0000-0000-0000C62E0000}"/>
    <cellStyle name="Percent 3 3 5 6 2" xfId="44909" xr:uid="{8E24A80F-746A-4FD4-A75D-8256244F60D5}"/>
    <cellStyle name="Percent 3 3 5 7" xfId="44904" xr:uid="{1EFA8787-EEE5-466D-B392-3A8C0A75B5EF}"/>
    <cellStyle name="Percent 3 3 6" xfId="331" xr:uid="{00000000-0005-0000-0000-0000C72E0000}"/>
    <cellStyle name="Percent 3 3 6 2" xfId="2829" xr:uid="{00000000-0005-0000-0000-0000C82E0000}"/>
    <cellStyle name="Percent 3 3 6 2 2" xfId="12968" xr:uid="{00000000-0005-0000-0000-0000C92E0000}"/>
    <cellStyle name="Percent 3 3 6 2 2 2" xfId="44912" xr:uid="{B0F1100F-ED4B-472A-A372-293251548212}"/>
    <cellStyle name="Percent 3 3 6 2 3" xfId="12782" xr:uid="{00000000-0005-0000-0000-0000CA2E0000}"/>
    <cellStyle name="Percent 3 3 6 2 3 2" xfId="44913" xr:uid="{735E2A17-7216-43C7-A860-1AD63F3BF924}"/>
    <cellStyle name="Percent 3 3 6 2 4" xfId="8780" xr:uid="{00000000-0005-0000-0000-0000CB2E0000}"/>
    <cellStyle name="Percent 3 3 6 2 4 2" xfId="44914" xr:uid="{B491A88E-C0A4-4408-9FDC-0B50F7D10551}"/>
    <cellStyle name="Percent 3 3 6 2 5" xfId="44911" xr:uid="{3A6277B7-5BC1-4A77-AEA0-0F259836D5D8}"/>
    <cellStyle name="Percent 3 3 6 3" xfId="10237" xr:uid="{00000000-0005-0000-0000-0000CC2E0000}"/>
    <cellStyle name="Percent 3 3 6 3 2" xfId="44915" xr:uid="{1C98F27E-684B-4C0C-8CBF-E632B876D12E}"/>
    <cellStyle name="Percent 3 3 6 4" xfId="12489" xr:uid="{00000000-0005-0000-0000-0000CD2E0000}"/>
    <cellStyle name="Percent 3 3 6 4 2" xfId="44916" xr:uid="{8CBC1D53-D86E-4C25-AB59-8087B66B38DB}"/>
    <cellStyle name="Percent 3 3 6 5" xfId="12741" xr:uid="{00000000-0005-0000-0000-0000CE2E0000}"/>
    <cellStyle name="Percent 3 3 6 5 2" xfId="44917" xr:uid="{CF365A68-EFDC-4F17-90B5-D7F3A00379AC}"/>
    <cellStyle name="Percent 3 3 6 6" xfId="8779" xr:uid="{00000000-0005-0000-0000-0000CF2E0000}"/>
    <cellStyle name="Percent 3 3 6 6 2" xfId="44918" xr:uid="{A841C600-586A-41FB-B11F-78AA3F595271}"/>
    <cellStyle name="Percent 3 3 6 7" xfId="44910" xr:uid="{A66727D6-E68B-4060-A48E-1314AFBEC6C4}"/>
    <cellStyle name="Percent 3 3 7" xfId="2830" xr:uid="{00000000-0005-0000-0000-0000D02E0000}"/>
    <cellStyle name="Percent 3 3 7 2" xfId="10238" xr:uid="{00000000-0005-0000-0000-0000D12E0000}"/>
    <cellStyle name="Percent 3 3 7 2 2" xfId="44920" xr:uid="{C1A9A07B-D8ED-4934-8160-F7829AB7392F}"/>
    <cellStyle name="Percent 3 3 7 3" xfId="10239" xr:uid="{00000000-0005-0000-0000-0000D22E0000}"/>
    <cellStyle name="Percent 3 3 7 3 2" xfId="44921" xr:uid="{B4C6FEC3-82F8-4D4B-A04A-7ECDD23696B8}"/>
    <cellStyle name="Percent 3 3 7 4" xfId="12969" xr:uid="{00000000-0005-0000-0000-0000D32E0000}"/>
    <cellStyle name="Percent 3 3 7 4 2" xfId="44922" xr:uid="{CFB21052-7444-4E19-9204-6BFE4D480867}"/>
    <cellStyle name="Percent 3 3 7 5" xfId="12785" xr:uid="{00000000-0005-0000-0000-0000D42E0000}"/>
    <cellStyle name="Percent 3 3 7 5 2" xfId="44923" xr:uid="{CB392D1B-D895-421C-90AF-6ED2EEB0B24C}"/>
    <cellStyle name="Percent 3 3 7 6" xfId="8781" xr:uid="{00000000-0005-0000-0000-0000D52E0000}"/>
    <cellStyle name="Percent 3 3 7 6 2" xfId="44924" xr:uid="{6553FE0D-730B-4557-9EB6-BFA7CC3247F0}"/>
    <cellStyle name="Percent 3 3 7 7" xfId="44919" xr:uid="{7CA88808-0B67-4B0F-8060-07D312128D8A}"/>
    <cellStyle name="Percent 3 3 8" xfId="2831" xr:uid="{00000000-0005-0000-0000-0000D62E0000}"/>
    <cellStyle name="Percent 3 3 8 2" xfId="10240" xr:uid="{00000000-0005-0000-0000-0000D72E0000}"/>
    <cellStyle name="Percent 3 3 8 2 2" xfId="44926" xr:uid="{A5B61D3C-6F80-40F6-8B7B-403263BC8895}"/>
    <cellStyle name="Percent 3 3 8 3" xfId="10241" xr:uid="{00000000-0005-0000-0000-0000D82E0000}"/>
    <cellStyle name="Percent 3 3 8 3 2" xfId="44927" xr:uid="{931F4E24-2AF8-45BF-B1CF-27881B9EC87C}"/>
    <cellStyle name="Percent 3 3 8 4" xfId="12970" xr:uid="{00000000-0005-0000-0000-0000D92E0000}"/>
    <cellStyle name="Percent 3 3 8 4 2" xfId="44928" xr:uid="{2F4C27ED-E74B-48BA-A6C2-5519BB179256}"/>
    <cellStyle name="Percent 3 3 8 5" xfId="16687" xr:uid="{00000000-0005-0000-0000-0000DA2E0000}"/>
    <cellStyle name="Percent 3 3 8 5 2" xfId="44929" xr:uid="{A5B6EBEB-8434-4068-9774-24F7F9CD9CDC}"/>
    <cellStyle name="Percent 3 3 8 6" xfId="8782" xr:uid="{00000000-0005-0000-0000-0000DB2E0000}"/>
    <cellStyle name="Percent 3 3 8 6 2" xfId="44930" xr:uid="{9F73140A-AA77-4E88-9607-A2C21683D2D7}"/>
    <cellStyle name="Percent 3 3 8 7" xfId="44925" xr:uid="{2FC5419B-773A-4595-97D2-FA89CB911A80}"/>
    <cellStyle name="Percent 3 3 9" xfId="2832" xr:uid="{00000000-0005-0000-0000-0000DC2E0000}"/>
    <cellStyle name="Percent 3 3 9 2" xfId="10242" xr:uid="{00000000-0005-0000-0000-0000DD2E0000}"/>
    <cellStyle name="Percent 3 3 9 2 2" xfId="44932" xr:uid="{90E6921E-5967-4735-9A9A-E0482DC80BE9}"/>
    <cellStyle name="Percent 3 3 9 3" xfId="10243" xr:uid="{00000000-0005-0000-0000-0000DE2E0000}"/>
    <cellStyle name="Percent 3 3 9 3 2" xfId="44933" xr:uid="{E9B79012-FF55-4D95-99B0-744C79BC0875}"/>
    <cellStyle name="Percent 3 3 9 4" xfId="12971" xr:uid="{00000000-0005-0000-0000-0000DF2E0000}"/>
    <cellStyle name="Percent 3 3 9 4 2" xfId="44934" xr:uid="{0D4A95DB-9069-4156-9535-689B6B7BC08F}"/>
    <cellStyle name="Percent 3 3 9 5" xfId="12742" xr:uid="{00000000-0005-0000-0000-0000E02E0000}"/>
    <cellStyle name="Percent 3 3 9 5 2" xfId="44935" xr:uid="{31B6F167-47F4-4DFC-87F9-EB81EE2D4F95}"/>
    <cellStyle name="Percent 3 3 9 6" xfId="8783" xr:uid="{00000000-0005-0000-0000-0000E12E0000}"/>
    <cellStyle name="Percent 3 3 9 6 2" xfId="44936" xr:uid="{6E318E01-5396-4656-81AC-CCA56BD5F853}"/>
    <cellStyle name="Percent 3 3 9 7" xfId="44931" xr:uid="{09EA5884-DDDE-4320-AF60-E7A9907539AD}"/>
    <cellStyle name="Percent 3 30" xfId="2770" xr:uid="{00000000-0005-0000-0000-0000E22E0000}"/>
    <cellStyle name="Percent 3 30 2" xfId="12932" xr:uid="{00000000-0005-0000-0000-0000E32E0000}"/>
    <cellStyle name="Percent 3 30 2 2" xfId="44938" xr:uid="{1CFA682F-ACF9-42D7-8B7E-38A414430AD2}"/>
    <cellStyle name="Percent 3 30 3" xfId="14420" xr:uid="{00000000-0005-0000-0000-0000E42E0000}"/>
    <cellStyle name="Percent 3 30 3 2" xfId="44939" xr:uid="{DB01DAD6-2BE3-4943-8834-37BB41B09FCA}"/>
    <cellStyle name="Percent 3 30 4" xfId="8784" xr:uid="{00000000-0005-0000-0000-0000E52E0000}"/>
    <cellStyle name="Percent 3 30 4 2" xfId="44940" xr:uid="{AAE75747-F057-4611-AF6F-348FE9E235BF}"/>
    <cellStyle name="Percent 3 30 5" xfId="44941" xr:uid="{ACE83770-ACEE-4FEF-A345-E46C5999BEB5}"/>
    <cellStyle name="Percent 3 30 6" xfId="44937" xr:uid="{12F5CAD4-683A-4032-8D78-28DFC21F0486}"/>
    <cellStyle name="Percent 3 31" xfId="44602" xr:uid="{10F9298D-72CD-4655-9F73-C5B769A8C607}"/>
    <cellStyle name="Percent 3 4" xfId="230" xr:uid="{00000000-0005-0000-0000-0000E62E0000}"/>
    <cellStyle name="Percent 3 4 10" xfId="2833" xr:uid="{00000000-0005-0000-0000-0000E72E0000}"/>
    <cellStyle name="Percent 3 4 10 2" xfId="10244" xr:uid="{00000000-0005-0000-0000-0000E82E0000}"/>
    <cellStyle name="Percent 3 4 10 2 2" xfId="44944" xr:uid="{EEBA49C5-CC57-4EF8-9A6C-491C5B234E0A}"/>
    <cellStyle name="Percent 3 4 10 3" xfId="10245" xr:uid="{00000000-0005-0000-0000-0000E92E0000}"/>
    <cellStyle name="Percent 3 4 10 3 2" xfId="44945" xr:uid="{B4589D08-56B1-44A9-9064-FC7F7A68856F}"/>
    <cellStyle name="Percent 3 4 10 4" xfId="12972" xr:uid="{00000000-0005-0000-0000-0000EA2E0000}"/>
    <cellStyle name="Percent 3 4 10 4 2" xfId="44946" xr:uid="{700852C0-4489-4E49-A8B0-EFD0C81FCFFD}"/>
    <cellStyle name="Percent 3 4 10 5" xfId="13841" xr:uid="{00000000-0005-0000-0000-0000EB2E0000}"/>
    <cellStyle name="Percent 3 4 10 5 2" xfId="44947" xr:uid="{633B5EC7-A859-4DED-A790-1750DA781717}"/>
    <cellStyle name="Percent 3 4 10 6" xfId="8786" xr:uid="{00000000-0005-0000-0000-0000EC2E0000}"/>
    <cellStyle name="Percent 3 4 10 6 2" xfId="44948" xr:uid="{B3522936-8D2D-449D-90EF-2EC8158532CC}"/>
    <cellStyle name="Percent 3 4 10 7" xfId="44943" xr:uid="{BF22C693-6B10-445F-A328-52FED025BC3F}"/>
    <cellStyle name="Percent 3 4 11" xfId="2834" xr:uid="{00000000-0005-0000-0000-0000ED2E0000}"/>
    <cellStyle name="Percent 3 4 11 2" xfId="10246" xr:uid="{00000000-0005-0000-0000-0000EE2E0000}"/>
    <cellStyle name="Percent 3 4 11 2 2" xfId="44950" xr:uid="{35767C00-B3EB-4846-833B-113999E58340}"/>
    <cellStyle name="Percent 3 4 11 3" xfId="10247" xr:uid="{00000000-0005-0000-0000-0000EF2E0000}"/>
    <cellStyle name="Percent 3 4 11 3 2" xfId="44951" xr:uid="{D53D6514-B16A-4777-AF55-72ED365EFEB8}"/>
    <cellStyle name="Percent 3 4 11 4" xfId="12973" xr:uid="{00000000-0005-0000-0000-0000F02E0000}"/>
    <cellStyle name="Percent 3 4 11 4 2" xfId="44952" xr:uid="{B24B8AB9-56AC-4E10-ACDA-B54773984108}"/>
    <cellStyle name="Percent 3 4 11 5" xfId="16186" xr:uid="{00000000-0005-0000-0000-0000F12E0000}"/>
    <cellStyle name="Percent 3 4 11 5 2" xfId="44953" xr:uid="{17E00A07-7A43-4B4A-A8DA-45B66B1046ED}"/>
    <cellStyle name="Percent 3 4 11 6" xfId="8787" xr:uid="{00000000-0005-0000-0000-0000F22E0000}"/>
    <cellStyle name="Percent 3 4 11 6 2" xfId="44954" xr:uid="{192BA352-2D60-4CD4-A011-B4E7C87A6750}"/>
    <cellStyle name="Percent 3 4 11 7" xfId="44949" xr:uid="{ACDF2458-5366-49BB-B7C7-AF67DCC8A982}"/>
    <cellStyle name="Percent 3 4 12" xfId="2835" xr:uid="{00000000-0005-0000-0000-0000F32E0000}"/>
    <cellStyle name="Percent 3 4 12 2" xfId="10248" xr:uid="{00000000-0005-0000-0000-0000F42E0000}"/>
    <cellStyle name="Percent 3 4 12 2 2" xfId="44956" xr:uid="{5010E34B-987C-42D0-AD9C-E28AEC78744E}"/>
    <cellStyle name="Percent 3 4 12 3" xfId="10249" xr:uid="{00000000-0005-0000-0000-0000F52E0000}"/>
    <cellStyle name="Percent 3 4 12 3 2" xfId="44957" xr:uid="{39880343-9B7C-4B51-B194-47792C5B6FE6}"/>
    <cellStyle name="Percent 3 4 12 4" xfId="12974" xr:uid="{00000000-0005-0000-0000-0000F62E0000}"/>
    <cellStyle name="Percent 3 4 12 4 2" xfId="44958" xr:uid="{48858AA5-D923-40C0-917D-60A48DEC0D3E}"/>
    <cellStyle name="Percent 3 4 12 5" xfId="16415" xr:uid="{00000000-0005-0000-0000-0000F72E0000}"/>
    <cellStyle name="Percent 3 4 12 5 2" xfId="44959" xr:uid="{D0DC2F8C-751A-4932-8279-38251AEB46BF}"/>
    <cellStyle name="Percent 3 4 12 6" xfId="8788" xr:uid="{00000000-0005-0000-0000-0000F82E0000}"/>
    <cellStyle name="Percent 3 4 12 6 2" xfId="44960" xr:uid="{C7B818A8-81CA-44B6-B76F-70A562BCB743}"/>
    <cellStyle name="Percent 3 4 12 7" xfId="44955" xr:uid="{CCA36090-A510-4431-8122-4C024E00317F}"/>
    <cellStyle name="Percent 3 4 13" xfId="2836" xr:uid="{00000000-0005-0000-0000-0000F92E0000}"/>
    <cellStyle name="Percent 3 4 13 2" xfId="10250" xr:uid="{00000000-0005-0000-0000-0000FA2E0000}"/>
    <cellStyle name="Percent 3 4 13 2 2" xfId="44962" xr:uid="{45BD963E-49DE-4588-8EDD-67F6B2052484}"/>
    <cellStyle name="Percent 3 4 13 3" xfId="10251" xr:uid="{00000000-0005-0000-0000-0000FB2E0000}"/>
    <cellStyle name="Percent 3 4 13 3 2" xfId="44963" xr:uid="{D10C3C8B-D21D-4C74-AA8C-7379B6538816}"/>
    <cellStyle name="Percent 3 4 13 4" xfId="12975" xr:uid="{00000000-0005-0000-0000-0000FC2E0000}"/>
    <cellStyle name="Percent 3 4 13 4 2" xfId="44964" xr:uid="{0D7B3D0B-806A-4DC3-991D-3BA735D2C570}"/>
    <cellStyle name="Percent 3 4 13 5" xfId="12833" xr:uid="{00000000-0005-0000-0000-0000FD2E0000}"/>
    <cellStyle name="Percent 3 4 13 5 2" xfId="44965" xr:uid="{FEB39F16-2353-4F9B-89AF-BA7E6AF104F5}"/>
    <cellStyle name="Percent 3 4 13 6" xfId="8789" xr:uid="{00000000-0005-0000-0000-0000FE2E0000}"/>
    <cellStyle name="Percent 3 4 13 6 2" xfId="44966" xr:uid="{FED00FD6-FE44-4714-9905-5776F738B3DE}"/>
    <cellStyle name="Percent 3 4 13 7" xfId="44961" xr:uid="{72246A7F-C0D2-4B3F-B83F-358BD780BC50}"/>
    <cellStyle name="Percent 3 4 14" xfId="2837" xr:uid="{00000000-0005-0000-0000-0000FF2E0000}"/>
    <cellStyle name="Percent 3 4 14 2" xfId="10252" xr:uid="{00000000-0005-0000-0000-0000002F0000}"/>
    <cellStyle name="Percent 3 4 14 2 2" xfId="44968" xr:uid="{4B0C3C96-10E5-41AB-BD9D-FF7F5D5C7D1F}"/>
    <cellStyle name="Percent 3 4 14 3" xfId="10253" xr:uid="{00000000-0005-0000-0000-0000012F0000}"/>
    <cellStyle name="Percent 3 4 14 3 2" xfId="44969" xr:uid="{76A76057-57F7-4F4E-BEC4-CA0D32A01F01}"/>
    <cellStyle name="Percent 3 4 14 4" xfId="12976" xr:uid="{00000000-0005-0000-0000-0000022F0000}"/>
    <cellStyle name="Percent 3 4 14 4 2" xfId="44970" xr:uid="{4C969D80-941A-4B13-9C40-B3441B38B129}"/>
    <cellStyle name="Percent 3 4 14 5" xfId="13802" xr:uid="{00000000-0005-0000-0000-0000032F0000}"/>
    <cellStyle name="Percent 3 4 14 5 2" xfId="44971" xr:uid="{6643FC9A-8411-4067-8212-6F7241EE92E0}"/>
    <cellStyle name="Percent 3 4 14 6" xfId="8790" xr:uid="{00000000-0005-0000-0000-0000042F0000}"/>
    <cellStyle name="Percent 3 4 14 6 2" xfId="44972" xr:uid="{43157265-C4E0-4F20-9DC1-725C62F292CD}"/>
    <cellStyle name="Percent 3 4 14 7" xfId="44967" xr:uid="{461C9EEA-F976-425D-91C4-0FF26D785D75}"/>
    <cellStyle name="Percent 3 4 15" xfId="2838" xr:uid="{00000000-0005-0000-0000-0000052F0000}"/>
    <cellStyle name="Percent 3 4 15 2" xfId="10254" xr:uid="{00000000-0005-0000-0000-0000062F0000}"/>
    <cellStyle name="Percent 3 4 15 2 2" xfId="44974" xr:uid="{0CAB6236-8614-40E7-B48D-32F72BB4D2C7}"/>
    <cellStyle name="Percent 3 4 15 3" xfId="10255" xr:uid="{00000000-0005-0000-0000-0000072F0000}"/>
    <cellStyle name="Percent 3 4 15 3 2" xfId="44975" xr:uid="{8FD52FF1-6603-4D02-BAE5-749911E20823}"/>
    <cellStyle name="Percent 3 4 15 4" xfId="12977" xr:uid="{00000000-0005-0000-0000-0000082F0000}"/>
    <cellStyle name="Percent 3 4 15 4 2" xfId="44976" xr:uid="{82D9C5AE-F24F-412A-B77D-E19A7E7EDF14}"/>
    <cellStyle name="Percent 3 4 15 5" xfId="16188" xr:uid="{00000000-0005-0000-0000-0000092F0000}"/>
    <cellStyle name="Percent 3 4 15 5 2" xfId="44977" xr:uid="{B2958E5A-D9B7-44D0-A5E9-0726D1122FF8}"/>
    <cellStyle name="Percent 3 4 15 6" xfId="8791" xr:uid="{00000000-0005-0000-0000-00000A2F0000}"/>
    <cellStyle name="Percent 3 4 15 6 2" xfId="44978" xr:uid="{2E867345-3CEB-4F13-8617-994E9F7C0C92}"/>
    <cellStyle name="Percent 3 4 15 7" xfId="44973" xr:uid="{300793F9-9832-4872-9D03-4CA76E69CE07}"/>
    <cellStyle name="Percent 3 4 16" xfId="10256" xr:uid="{00000000-0005-0000-0000-00000B2F0000}"/>
    <cellStyle name="Percent 3 4 16 2" xfId="44979" xr:uid="{5D4F096A-E7D4-4B66-9002-41E1721F267A}"/>
    <cellStyle name="Percent 3 4 17" xfId="10257" xr:uid="{00000000-0005-0000-0000-00000C2F0000}"/>
    <cellStyle name="Percent 3 4 17 2" xfId="44980" xr:uid="{1CC1D0C3-966E-4053-9369-E98A77518C7F}"/>
    <cellStyle name="Percent 3 4 18" xfId="12217" xr:uid="{00000000-0005-0000-0000-00000D2F0000}"/>
    <cellStyle name="Percent 3 4 18 2" xfId="44981" xr:uid="{135C0DB5-5551-4677-A309-AE69A7B40BEC}"/>
    <cellStyle name="Percent 3 4 19" xfId="12868" xr:uid="{00000000-0005-0000-0000-00000E2F0000}"/>
    <cellStyle name="Percent 3 4 19 2" xfId="44982" xr:uid="{07AB76FC-9C8C-40D5-9930-892551EAED94}"/>
    <cellStyle name="Percent 3 4 2" xfId="231" xr:uid="{00000000-0005-0000-0000-00000F2F0000}"/>
    <cellStyle name="Percent 3 4 2 2" xfId="10258" xr:uid="{00000000-0005-0000-0000-0000102F0000}"/>
    <cellStyle name="Percent 3 4 2 2 2" xfId="44984" xr:uid="{CB94064C-CBFD-427E-818A-FF4020952120}"/>
    <cellStyle name="Percent 3 4 2 3" xfId="10259" xr:uid="{00000000-0005-0000-0000-0000112F0000}"/>
    <cellStyle name="Percent 3 4 2 3 2" xfId="44985" xr:uid="{40644353-ABA1-43D2-B4BE-2A0D217A9549}"/>
    <cellStyle name="Percent 3 4 2 4" xfId="10260" xr:uid="{00000000-0005-0000-0000-0000122F0000}"/>
    <cellStyle name="Percent 3 4 2 4 2" xfId="44986" xr:uid="{84E92417-2567-4BF7-A0A7-FEB65B7E25F5}"/>
    <cellStyle name="Percent 3 4 2 5" xfId="12451" xr:uid="{00000000-0005-0000-0000-0000132F0000}"/>
    <cellStyle name="Percent 3 4 2 5 2" xfId="44987" xr:uid="{EBE4537A-D6F2-4707-BEB1-3AF758958C2A}"/>
    <cellStyle name="Percent 3 4 2 6" xfId="16361" xr:uid="{00000000-0005-0000-0000-0000142F0000}"/>
    <cellStyle name="Percent 3 4 2 6 2" xfId="44988" xr:uid="{4A6F8D4B-7A9F-4B9F-A69F-FAD42504042D}"/>
    <cellStyle name="Percent 3 4 2 7" xfId="8792" xr:uid="{00000000-0005-0000-0000-0000152F0000}"/>
    <cellStyle name="Percent 3 4 2 7 2" xfId="44989" xr:uid="{B5160A57-6049-42C8-94DF-4D98AD25FF48}"/>
    <cellStyle name="Percent 3 4 2 8" xfId="44983" xr:uid="{6F89CF76-E9D5-4320-B7DF-FD87BCD7FBDC}"/>
    <cellStyle name="Percent 3 4 20" xfId="8785" xr:uid="{00000000-0005-0000-0000-0000162F0000}"/>
    <cellStyle name="Percent 3 4 20 2" xfId="44990" xr:uid="{B02EF8DE-8EDC-4F9E-AB38-2F127BD378F8}"/>
    <cellStyle name="Percent 3 4 21" xfId="44942" xr:uid="{2149E0A0-E36B-416E-8582-358A19E747B8}"/>
    <cellStyle name="Percent 3 4 3" xfId="232" xr:uid="{00000000-0005-0000-0000-0000172F0000}"/>
    <cellStyle name="Percent 3 4 3 2" xfId="10261" xr:uid="{00000000-0005-0000-0000-0000182F0000}"/>
    <cellStyle name="Percent 3 4 3 2 2" xfId="44992" xr:uid="{505981CA-17EA-44CD-9BF2-89082369D1BE}"/>
    <cellStyle name="Percent 3 4 3 3" xfId="10262" xr:uid="{00000000-0005-0000-0000-0000192F0000}"/>
    <cellStyle name="Percent 3 4 3 3 2" xfId="44993" xr:uid="{48488945-A2F5-496E-9D2E-40AA2CEE1C89}"/>
    <cellStyle name="Percent 3 4 3 4" xfId="10263" xr:uid="{00000000-0005-0000-0000-00001A2F0000}"/>
    <cellStyle name="Percent 3 4 3 4 2" xfId="44994" xr:uid="{32486CF8-DB3C-4268-91C9-F14C351F0EFA}"/>
    <cellStyle name="Percent 3 4 3 5" xfId="12452" xr:uid="{00000000-0005-0000-0000-00001B2F0000}"/>
    <cellStyle name="Percent 3 4 3 5 2" xfId="44995" xr:uid="{BC4AADA8-E2B9-4694-AABE-6510A6E1FFE8}"/>
    <cellStyle name="Percent 3 4 3 6" xfId="16507" xr:uid="{00000000-0005-0000-0000-00001C2F0000}"/>
    <cellStyle name="Percent 3 4 3 6 2" xfId="44996" xr:uid="{58EE930C-25E8-4B26-9E85-7DE33776A446}"/>
    <cellStyle name="Percent 3 4 3 7" xfId="8793" xr:uid="{00000000-0005-0000-0000-00001D2F0000}"/>
    <cellStyle name="Percent 3 4 3 7 2" xfId="44997" xr:uid="{E48E5654-DACE-4C5C-B9DA-88583363DF02}"/>
    <cellStyle name="Percent 3 4 3 8" xfId="44991" xr:uid="{20AA7CE1-9CDB-4154-90DF-E37A1C924AE6}"/>
    <cellStyle name="Percent 3 4 4" xfId="333" xr:uid="{00000000-0005-0000-0000-00001E2F0000}"/>
    <cellStyle name="Percent 3 4 4 2" xfId="2839" xr:uid="{00000000-0005-0000-0000-00001F2F0000}"/>
    <cellStyle name="Percent 3 4 4 2 2" xfId="12978" xr:uid="{00000000-0005-0000-0000-0000202F0000}"/>
    <cellStyle name="Percent 3 4 4 2 2 2" xfId="45000" xr:uid="{C124F0C0-C30D-4E95-8D80-25712E3ECB38}"/>
    <cellStyle name="Percent 3 4 4 2 3" xfId="13772" xr:uid="{00000000-0005-0000-0000-0000212F0000}"/>
    <cellStyle name="Percent 3 4 4 2 3 2" xfId="45001" xr:uid="{E36E839C-E77C-4F42-BF53-A46AC0311F2B}"/>
    <cellStyle name="Percent 3 4 4 2 4" xfId="8795" xr:uid="{00000000-0005-0000-0000-0000222F0000}"/>
    <cellStyle name="Percent 3 4 4 2 4 2" xfId="45002" xr:uid="{AA52DCD9-8112-40CE-95BC-CCDF21D02660}"/>
    <cellStyle name="Percent 3 4 4 2 5" xfId="44999" xr:uid="{A9461058-C5CC-44A8-8606-E10F538709C0}"/>
    <cellStyle name="Percent 3 4 4 3" xfId="10264" xr:uid="{00000000-0005-0000-0000-0000232F0000}"/>
    <cellStyle name="Percent 3 4 4 3 2" xfId="45003" xr:uid="{A56C7BED-88D4-4AFC-941E-53CD1DB9327C}"/>
    <cellStyle name="Percent 3 4 4 4" xfId="10265" xr:uid="{00000000-0005-0000-0000-0000242F0000}"/>
    <cellStyle name="Percent 3 4 4 4 2" xfId="45004" xr:uid="{2F20C1A1-9DA7-436E-82CF-107C90EF6492}"/>
    <cellStyle name="Percent 3 4 4 5" xfId="12491" xr:uid="{00000000-0005-0000-0000-0000252F0000}"/>
    <cellStyle name="Percent 3 4 4 5 2" xfId="45005" xr:uid="{59F1B474-B9A1-4D0B-A44A-48DD94405835}"/>
    <cellStyle name="Percent 3 4 4 6" xfId="14327" xr:uid="{00000000-0005-0000-0000-0000262F0000}"/>
    <cellStyle name="Percent 3 4 4 6 2" xfId="45006" xr:uid="{05A9A5DF-845D-4F4E-8BA0-60EF5916FD69}"/>
    <cellStyle name="Percent 3 4 4 7" xfId="8794" xr:uid="{00000000-0005-0000-0000-0000272F0000}"/>
    <cellStyle name="Percent 3 4 4 7 2" xfId="45007" xr:uid="{412212B4-231F-41C7-8C92-70EF5DCDAD2B}"/>
    <cellStyle name="Percent 3 4 4 8" xfId="44998" xr:uid="{B0382560-0612-4E29-A820-3554E08210DF}"/>
    <cellStyle name="Percent 3 4 5" xfId="2840" xr:uid="{00000000-0005-0000-0000-0000282F0000}"/>
    <cellStyle name="Percent 3 4 5 2" xfId="10266" xr:uid="{00000000-0005-0000-0000-0000292F0000}"/>
    <cellStyle name="Percent 3 4 5 2 2" xfId="45009" xr:uid="{8F23E200-8E3F-4E93-A867-CA32C996F596}"/>
    <cellStyle name="Percent 3 4 5 3" xfId="10267" xr:uid="{00000000-0005-0000-0000-00002A2F0000}"/>
    <cellStyle name="Percent 3 4 5 3 2" xfId="45010" xr:uid="{CC1BFD1C-7657-4EE6-9EFA-8746E111D2AA}"/>
    <cellStyle name="Percent 3 4 5 4" xfId="10268" xr:uid="{00000000-0005-0000-0000-00002B2F0000}"/>
    <cellStyle name="Percent 3 4 5 4 2" xfId="45011" xr:uid="{A53B84FB-E070-4F37-B214-49072003F896}"/>
    <cellStyle name="Percent 3 4 5 5" xfId="12979" xr:uid="{00000000-0005-0000-0000-00002C2F0000}"/>
    <cellStyle name="Percent 3 4 5 5 2" xfId="45012" xr:uid="{0199011D-72FF-4535-8AE9-E8BA5F354C3B}"/>
    <cellStyle name="Percent 3 4 5 6" xfId="14331" xr:uid="{00000000-0005-0000-0000-00002D2F0000}"/>
    <cellStyle name="Percent 3 4 5 6 2" xfId="45013" xr:uid="{1D1458A2-D8ED-477E-913D-17975529040F}"/>
    <cellStyle name="Percent 3 4 5 7" xfId="8796" xr:uid="{00000000-0005-0000-0000-00002E2F0000}"/>
    <cellStyle name="Percent 3 4 5 7 2" xfId="45014" xr:uid="{048C799C-C694-4615-B28F-C492F49F9C11}"/>
    <cellStyle name="Percent 3 4 5 8" xfId="45008" xr:uid="{B5DA088D-0D44-4930-B99A-F17DFF8DD4BB}"/>
    <cellStyle name="Percent 3 4 6" xfId="2841" xr:uid="{00000000-0005-0000-0000-00002F2F0000}"/>
    <cellStyle name="Percent 3 4 6 2" xfId="10269" xr:uid="{00000000-0005-0000-0000-0000302F0000}"/>
    <cellStyle name="Percent 3 4 6 2 2" xfId="45016" xr:uid="{E46F7D0C-DED9-472F-AF53-F80E16B2384D}"/>
    <cellStyle name="Percent 3 4 6 3" xfId="10270" xr:uid="{00000000-0005-0000-0000-0000312F0000}"/>
    <cellStyle name="Percent 3 4 6 3 2" xfId="45017" xr:uid="{9999D80B-0227-4306-A1B4-DC7A39A06246}"/>
    <cellStyle name="Percent 3 4 6 4" xfId="10271" xr:uid="{00000000-0005-0000-0000-0000322F0000}"/>
    <cellStyle name="Percent 3 4 6 4 2" xfId="45018" xr:uid="{5910C138-D19E-4E7D-B189-EDB8F2D90A45}"/>
    <cellStyle name="Percent 3 4 6 5" xfId="12980" xr:uid="{00000000-0005-0000-0000-0000332F0000}"/>
    <cellStyle name="Percent 3 4 6 5 2" xfId="45019" xr:uid="{F3B60A2B-D6FE-4DB8-A30E-E201D0345DFD}"/>
    <cellStyle name="Percent 3 4 6 6" xfId="16619" xr:uid="{00000000-0005-0000-0000-0000342F0000}"/>
    <cellStyle name="Percent 3 4 6 6 2" xfId="45020" xr:uid="{C2F68BAC-B589-475B-BF1A-77B2A9B69D31}"/>
    <cellStyle name="Percent 3 4 6 7" xfId="8797" xr:uid="{00000000-0005-0000-0000-0000352F0000}"/>
    <cellStyle name="Percent 3 4 6 7 2" xfId="45021" xr:uid="{A952DE72-EFAC-40C1-92DB-F229E154148C}"/>
    <cellStyle name="Percent 3 4 6 8" xfId="45015" xr:uid="{7DBA07E1-7718-4785-A13B-7BEAB077D0BD}"/>
    <cellStyle name="Percent 3 4 7" xfId="2842" xr:uid="{00000000-0005-0000-0000-0000362F0000}"/>
    <cellStyle name="Percent 3 4 7 2" xfId="10272" xr:uid="{00000000-0005-0000-0000-0000372F0000}"/>
    <cellStyle name="Percent 3 4 7 2 2" xfId="45023" xr:uid="{DF742C30-79E0-4BA2-88A8-4005CB993A69}"/>
    <cellStyle name="Percent 3 4 7 3" xfId="10273" xr:uid="{00000000-0005-0000-0000-0000382F0000}"/>
    <cellStyle name="Percent 3 4 7 3 2" xfId="45024" xr:uid="{0149AC9D-D165-47E6-809C-E3710226804A}"/>
    <cellStyle name="Percent 3 4 7 4" xfId="10274" xr:uid="{00000000-0005-0000-0000-0000392F0000}"/>
    <cellStyle name="Percent 3 4 7 4 2" xfId="45025" xr:uid="{317EA310-4A4F-42D3-B250-9E4F18B82341}"/>
    <cellStyle name="Percent 3 4 7 5" xfId="12981" xr:uid="{00000000-0005-0000-0000-00003A2F0000}"/>
    <cellStyle name="Percent 3 4 7 5 2" xfId="45026" xr:uid="{B938AD16-0180-47AC-AD2E-8CAD8CAD4633}"/>
    <cellStyle name="Percent 3 4 7 6" xfId="12930" xr:uid="{00000000-0005-0000-0000-00003B2F0000}"/>
    <cellStyle name="Percent 3 4 7 6 2" xfId="45027" xr:uid="{E93C5560-BBCF-46D1-B54D-AF320E79214B}"/>
    <cellStyle name="Percent 3 4 7 7" xfId="8798" xr:uid="{00000000-0005-0000-0000-00003C2F0000}"/>
    <cellStyle name="Percent 3 4 7 7 2" xfId="45028" xr:uid="{B0D33824-5172-488D-B185-CFE139B8191F}"/>
    <cellStyle name="Percent 3 4 7 8" xfId="45022" xr:uid="{67F0DD4E-E861-4311-A80D-18CBFBF76CB7}"/>
    <cellStyle name="Percent 3 4 8" xfId="2843" xr:uid="{00000000-0005-0000-0000-00003D2F0000}"/>
    <cellStyle name="Percent 3 4 8 10" xfId="45029" xr:uid="{4653B125-71D7-404E-B55C-4E514E54BB1F}"/>
    <cellStyle name="Percent 3 4 8 2" xfId="10275" xr:uid="{00000000-0005-0000-0000-00003E2F0000}"/>
    <cellStyle name="Percent 3 4 8 2 2" xfId="45030" xr:uid="{E7C1E3F2-845D-43D6-8269-DCE2B59A24B8}"/>
    <cellStyle name="Percent 3 4 8 3" xfId="10276" xr:uid="{00000000-0005-0000-0000-00003F2F0000}"/>
    <cellStyle name="Percent 3 4 8 3 2" xfId="45031" xr:uid="{96FBE2B7-3B03-4AA0-B76F-F0E009097527}"/>
    <cellStyle name="Percent 3 4 8 4" xfId="10277" xr:uid="{00000000-0005-0000-0000-0000402F0000}"/>
    <cellStyle name="Percent 3 4 8 4 2" xfId="45032" xr:uid="{6DDCC2D5-F7AC-4BBA-8C4C-E25F05DD4F91}"/>
    <cellStyle name="Percent 3 4 8 5" xfId="10278" xr:uid="{00000000-0005-0000-0000-0000412F0000}"/>
    <cellStyle name="Percent 3 4 8 5 2" xfId="45033" xr:uid="{76038E17-CD9E-4C1F-8147-9AA89A1550B3}"/>
    <cellStyle name="Percent 3 4 8 6" xfId="10279" xr:uid="{00000000-0005-0000-0000-0000422F0000}"/>
    <cellStyle name="Percent 3 4 8 6 2" xfId="45034" xr:uid="{314DA607-0B60-4DF4-839F-5BA004E32C0F}"/>
    <cellStyle name="Percent 3 4 8 7" xfId="12982" xr:uid="{00000000-0005-0000-0000-0000432F0000}"/>
    <cellStyle name="Percent 3 4 8 7 2" xfId="45035" xr:uid="{6CC97C0B-A351-449A-AF89-1BCE4AB148A9}"/>
    <cellStyle name="Percent 3 4 8 8" xfId="16449" xr:uid="{00000000-0005-0000-0000-0000442F0000}"/>
    <cellStyle name="Percent 3 4 8 8 2" xfId="45036" xr:uid="{3630CB4C-CE55-4F56-ACB1-8E5748CC52D8}"/>
    <cellStyle name="Percent 3 4 8 9" xfId="8799" xr:uid="{00000000-0005-0000-0000-0000452F0000}"/>
    <cellStyle name="Percent 3 4 8 9 2" xfId="45037" xr:uid="{3AE605C5-F515-4223-B099-AE585C3D587D}"/>
    <cellStyle name="Percent 3 4 9" xfId="2844" xr:uid="{00000000-0005-0000-0000-0000462F0000}"/>
    <cellStyle name="Percent 3 4 9 10" xfId="45038" xr:uid="{26B81845-68C3-4C9C-8D05-AA6DD5CBAC16}"/>
    <cellStyle name="Percent 3 4 9 2" xfId="10280" xr:uid="{00000000-0005-0000-0000-0000472F0000}"/>
    <cellStyle name="Percent 3 4 9 2 2" xfId="45039" xr:uid="{492C9317-FBB1-4C18-8830-E258A697E988}"/>
    <cellStyle name="Percent 3 4 9 3" xfId="10281" xr:uid="{00000000-0005-0000-0000-0000482F0000}"/>
    <cellStyle name="Percent 3 4 9 3 2" xfId="45040" xr:uid="{C7F04CF8-4448-4A3F-B030-44177A3F07DA}"/>
    <cellStyle name="Percent 3 4 9 4" xfId="10282" xr:uid="{00000000-0005-0000-0000-0000492F0000}"/>
    <cellStyle name="Percent 3 4 9 4 2" xfId="45041" xr:uid="{72F7D0EF-2693-4B26-A21E-82FCBCA2D4FB}"/>
    <cellStyle name="Percent 3 4 9 5" xfId="10283" xr:uid="{00000000-0005-0000-0000-00004A2F0000}"/>
    <cellStyle name="Percent 3 4 9 5 2" xfId="45042" xr:uid="{EDC37143-D6A9-43B9-B1B7-F74631146251}"/>
    <cellStyle name="Percent 3 4 9 6" xfId="10284" xr:uid="{00000000-0005-0000-0000-00004B2F0000}"/>
    <cellStyle name="Percent 3 4 9 6 2" xfId="45043" xr:uid="{26A1D37A-D3F8-43D3-965E-8B12F2F7CF4D}"/>
    <cellStyle name="Percent 3 4 9 7" xfId="12983" xr:uid="{00000000-0005-0000-0000-00004C2F0000}"/>
    <cellStyle name="Percent 3 4 9 7 2" xfId="45044" xr:uid="{0ABD92EB-5762-43A7-A0E9-48E486FB7BC2}"/>
    <cellStyle name="Percent 3 4 9 8" xfId="16622" xr:uid="{00000000-0005-0000-0000-00004D2F0000}"/>
    <cellStyle name="Percent 3 4 9 8 2" xfId="45045" xr:uid="{54CA028E-2B2A-4397-BF20-7A9FF57C5EC5}"/>
    <cellStyle name="Percent 3 4 9 9" xfId="8800" xr:uid="{00000000-0005-0000-0000-00004E2F0000}"/>
    <cellStyle name="Percent 3 4 9 9 2" xfId="45046" xr:uid="{3268A292-5B2C-4929-8836-A32ABFE23E7E}"/>
    <cellStyle name="Percent 3 5" xfId="233" xr:uid="{00000000-0005-0000-0000-00004F2F0000}"/>
    <cellStyle name="Percent 3 5 10" xfId="2845" xr:uid="{00000000-0005-0000-0000-0000502F0000}"/>
    <cellStyle name="Percent 3 5 10 10" xfId="45048" xr:uid="{92B32153-6F24-43CD-927B-6DD37213533A}"/>
    <cellStyle name="Percent 3 5 10 2" xfId="10285" xr:uid="{00000000-0005-0000-0000-0000512F0000}"/>
    <cellStyle name="Percent 3 5 10 2 2" xfId="45049" xr:uid="{0E856303-4A7F-4313-8D2B-49279E6EC485}"/>
    <cellStyle name="Percent 3 5 10 3" xfId="10286" xr:uid="{00000000-0005-0000-0000-0000522F0000}"/>
    <cellStyle name="Percent 3 5 10 3 2" xfId="45050" xr:uid="{6BCA30F9-8191-44C2-9A15-A34FAC6D2809}"/>
    <cellStyle name="Percent 3 5 10 4" xfId="10287" xr:uid="{00000000-0005-0000-0000-0000532F0000}"/>
    <cellStyle name="Percent 3 5 10 4 2" xfId="45051" xr:uid="{9E445B54-1A15-4CB1-8F3A-3D8CC10F56FD}"/>
    <cellStyle name="Percent 3 5 10 5" xfId="10288" xr:uid="{00000000-0005-0000-0000-0000542F0000}"/>
    <cellStyle name="Percent 3 5 10 5 2" xfId="45052" xr:uid="{6E1A2059-6948-4164-AAFE-FE045C9523A3}"/>
    <cellStyle name="Percent 3 5 10 6" xfId="10289" xr:uid="{00000000-0005-0000-0000-0000552F0000}"/>
    <cellStyle name="Percent 3 5 10 6 2" xfId="45053" xr:uid="{972EB54F-975C-47E6-B75F-D49EB8955CEC}"/>
    <cellStyle name="Percent 3 5 10 7" xfId="12984" xr:uid="{00000000-0005-0000-0000-0000562F0000}"/>
    <cellStyle name="Percent 3 5 10 7 2" xfId="45054" xr:uid="{6EE31C7E-5C7C-4C1B-B9F5-D62AA87F5A59}"/>
    <cellStyle name="Percent 3 5 10 8" xfId="12583" xr:uid="{00000000-0005-0000-0000-0000572F0000}"/>
    <cellStyle name="Percent 3 5 10 8 2" xfId="45055" xr:uid="{3F429A7A-32C0-4531-B946-FC351E497208}"/>
    <cellStyle name="Percent 3 5 10 9" xfId="8802" xr:uid="{00000000-0005-0000-0000-0000582F0000}"/>
    <cellStyle name="Percent 3 5 10 9 2" xfId="45056" xr:uid="{B3213D37-4308-46A4-B429-A5175310D473}"/>
    <cellStyle name="Percent 3 5 11" xfId="2846" xr:uid="{00000000-0005-0000-0000-0000592F0000}"/>
    <cellStyle name="Percent 3 5 11 10" xfId="45057" xr:uid="{1E9B0962-E368-4016-8297-A380660CDABE}"/>
    <cellStyle name="Percent 3 5 11 2" xfId="10290" xr:uid="{00000000-0005-0000-0000-00005A2F0000}"/>
    <cellStyle name="Percent 3 5 11 2 2" xfId="45058" xr:uid="{17ADCD00-D862-4C4E-8643-218B977FE0BC}"/>
    <cellStyle name="Percent 3 5 11 3" xfId="10291" xr:uid="{00000000-0005-0000-0000-00005B2F0000}"/>
    <cellStyle name="Percent 3 5 11 3 2" xfId="45059" xr:uid="{81B39559-C1FF-4B0B-93C3-9355E451EDCF}"/>
    <cellStyle name="Percent 3 5 11 4" xfId="10292" xr:uid="{00000000-0005-0000-0000-00005C2F0000}"/>
    <cellStyle name="Percent 3 5 11 4 2" xfId="45060" xr:uid="{ADA9F306-A518-460B-8822-ECC1A2E0691B}"/>
    <cellStyle name="Percent 3 5 11 5" xfId="10293" xr:uid="{00000000-0005-0000-0000-00005D2F0000}"/>
    <cellStyle name="Percent 3 5 11 5 2" xfId="45061" xr:uid="{73079FFA-07B1-49BE-A29A-4AB208772AEE}"/>
    <cellStyle name="Percent 3 5 11 6" xfId="10294" xr:uid="{00000000-0005-0000-0000-00005E2F0000}"/>
    <cellStyle name="Percent 3 5 11 6 2" xfId="45062" xr:uid="{DCF0EA23-31D3-4B36-9B6E-41DD7F53F4F7}"/>
    <cellStyle name="Percent 3 5 11 7" xfId="12985" xr:uid="{00000000-0005-0000-0000-00005F2F0000}"/>
    <cellStyle name="Percent 3 5 11 7 2" xfId="45063" xr:uid="{46C0144C-C64C-43ED-8F24-A67FABB41DFE}"/>
    <cellStyle name="Percent 3 5 11 8" xfId="13970" xr:uid="{00000000-0005-0000-0000-0000602F0000}"/>
    <cellStyle name="Percent 3 5 11 8 2" xfId="45064" xr:uid="{17AB4BE0-BAAB-49AE-9F48-129454127C15}"/>
    <cellStyle name="Percent 3 5 11 9" xfId="8803" xr:uid="{00000000-0005-0000-0000-0000612F0000}"/>
    <cellStyle name="Percent 3 5 11 9 2" xfId="45065" xr:uid="{7E0ABFAA-3F08-41B6-BAE7-52D5E546BB00}"/>
    <cellStyle name="Percent 3 5 12" xfId="2847" xr:uid="{00000000-0005-0000-0000-0000622F0000}"/>
    <cellStyle name="Percent 3 5 12 10" xfId="45066" xr:uid="{30B71EC6-071C-45C4-9790-ECB3F32619E5}"/>
    <cellStyle name="Percent 3 5 12 2" xfId="10295" xr:uid="{00000000-0005-0000-0000-0000632F0000}"/>
    <cellStyle name="Percent 3 5 12 2 2" xfId="45067" xr:uid="{1480A185-6890-4215-9F39-A2F0C9C0C71A}"/>
    <cellStyle name="Percent 3 5 12 3" xfId="10296" xr:uid="{00000000-0005-0000-0000-0000642F0000}"/>
    <cellStyle name="Percent 3 5 12 3 2" xfId="45068" xr:uid="{DD064BD1-8EA6-4FE5-92D4-580749A9B210}"/>
    <cellStyle name="Percent 3 5 12 4" xfId="10297" xr:uid="{00000000-0005-0000-0000-0000652F0000}"/>
    <cellStyle name="Percent 3 5 12 4 2" xfId="45069" xr:uid="{6266B9B6-6CEF-4263-8CC0-36EE2CE2C5F0}"/>
    <cellStyle name="Percent 3 5 12 5" xfId="10298" xr:uid="{00000000-0005-0000-0000-0000662F0000}"/>
    <cellStyle name="Percent 3 5 12 5 2" xfId="45070" xr:uid="{8139DF4B-A789-4824-862E-261694C6CCBB}"/>
    <cellStyle name="Percent 3 5 12 6" xfId="10299" xr:uid="{00000000-0005-0000-0000-0000672F0000}"/>
    <cellStyle name="Percent 3 5 12 6 2" xfId="45071" xr:uid="{635D71BB-C310-46DC-814B-6217C91A4B12}"/>
    <cellStyle name="Percent 3 5 12 7" xfId="12986" xr:uid="{00000000-0005-0000-0000-0000682F0000}"/>
    <cellStyle name="Percent 3 5 12 7 2" xfId="45072" xr:uid="{74286E6D-5725-4FD9-BA22-7D6855F72E6C}"/>
    <cellStyle name="Percent 3 5 12 8" xfId="16288" xr:uid="{00000000-0005-0000-0000-0000692F0000}"/>
    <cellStyle name="Percent 3 5 12 8 2" xfId="45073" xr:uid="{E75202DA-4862-4008-B4AC-940BD8C1BE26}"/>
    <cellStyle name="Percent 3 5 12 9" xfId="8804" xr:uid="{00000000-0005-0000-0000-00006A2F0000}"/>
    <cellStyle name="Percent 3 5 12 9 2" xfId="45074" xr:uid="{C4A171D2-A2D4-490F-AE85-0C5CAA3DA52B}"/>
    <cellStyle name="Percent 3 5 13" xfId="2848" xr:uid="{00000000-0005-0000-0000-00006B2F0000}"/>
    <cellStyle name="Percent 3 5 13 10" xfId="45075" xr:uid="{4D7CB944-AF81-41E0-8F49-FE496518F562}"/>
    <cellStyle name="Percent 3 5 13 2" xfId="10300" xr:uid="{00000000-0005-0000-0000-00006C2F0000}"/>
    <cellStyle name="Percent 3 5 13 2 2" xfId="45076" xr:uid="{29C6F79B-45AE-4DF3-BFDA-35522EFD4379}"/>
    <cellStyle name="Percent 3 5 13 3" xfId="10301" xr:uid="{00000000-0005-0000-0000-00006D2F0000}"/>
    <cellStyle name="Percent 3 5 13 3 2" xfId="45077" xr:uid="{873D32EB-69D3-4AEF-80D5-29438A5D9039}"/>
    <cellStyle name="Percent 3 5 13 4" xfId="10302" xr:uid="{00000000-0005-0000-0000-00006E2F0000}"/>
    <cellStyle name="Percent 3 5 13 4 2" xfId="45078" xr:uid="{BDC149CB-0B88-4BB9-9376-0C4B0D94C28C}"/>
    <cellStyle name="Percent 3 5 13 5" xfId="10303" xr:uid="{00000000-0005-0000-0000-00006F2F0000}"/>
    <cellStyle name="Percent 3 5 13 5 2" xfId="45079" xr:uid="{CED9A8F1-4C69-4FE2-9956-E8A297F96194}"/>
    <cellStyle name="Percent 3 5 13 6" xfId="10304" xr:uid="{00000000-0005-0000-0000-0000702F0000}"/>
    <cellStyle name="Percent 3 5 13 6 2" xfId="45080" xr:uid="{96144C7E-2FAB-46E2-8897-134CB896D1A9}"/>
    <cellStyle name="Percent 3 5 13 7" xfId="12987" xr:uid="{00000000-0005-0000-0000-0000712F0000}"/>
    <cellStyle name="Percent 3 5 13 7 2" xfId="45081" xr:uid="{1FC0FD8C-B3AB-456A-84EC-1279B06D8D07}"/>
    <cellStyle name="Percent 3 5 13 8" xfId="14375" xr:uid="{00000000-0005-0000-0000-0000722F0000}"/>
    <cellStyle name="Percent 3 5 13 8 2" xfId="45082" xr:uid="{61ECE8D3-292E-416D-A016-E568B44F8B29}"/>
    <cellStyle name="Percent 3 5 13 9" xfId="8805" xr:uid="{00000000-0005-0000-0000-0000732F0000}"/>
    <cellStyle name="Percent 3 5 13 9 2" xfId="45083" xr:uid="{65871BF9-FB5C-4159-899F-1D49E9881F50}"/>
    <cellStyle name="Percent 3 5 14" xfId="2849" xr:uid="{00000000-0005-0000-0000-0000742F0000}"/>
    <cellStyle name="Percent 3 5 14 10" xfId="45084" xr:uid="{C1A782C5-F1F5-4ACD-A46F-9B91A83B466C}"/>
    <cellStyle name="Percent 3 5 14 2" xfId="10305" xr:uid="{00000000-0005-0000-0000-0000752F0000}"/>
    <cellStyle name="Percent 3 5 14 2 2" xfId="45085" xr:uid="{C52BAE0B-9854-4046-A884-84EC4A2BCFF9}"/>
    <cellStyle name="Percent 3 5 14 3" xfId="10306" xr:uid="{00000000-0005-0000-0000-0000762F0000}"/>
    <cellStyle name="Percent 3 5 14 3 2" xfId="45086" xr:uid="{2FF9D12C-D76F-46DB-AAFB-0C53B30416E4}"/>
    <cellStyle name="Percent 3 5 14 4" xfId="10307" xr:uid="{00000000-0005-0000-0000-0000772F0000}"/>
    <cellStyle name="Percent 3 5 14 4 2" xfId="45087" xr:uid="{1E458671-9C7F-4A60-BD6A-AF8745A57FB2}"/>
    <cellStyle name="Percent 3 5 14 5" xfId="10308" xr:uid="{00000000-0005-0000-0000-0000782F0000}"/>
    <cellStyle name="Percent 3 5 14 5 2" xfId="45088" xr:uid="{FDEB5A6C-FFE8-430F-9BB7-21C1CDD51302}"/>
    <cellStyle name="Percent 3 5 14 6" xfId="10309" xr:uid="{00000000-0005-0000-0000-0000792F0000}"/>
    <cellStyle name="Percent 3 5 14 6 2" xfId="45089" xr:uid="{F2267689-EB9C-4E91-AF89-82C65FB27D9F}"/>
    <cellStyle name="Percent 3 5 14 7" xfId="12988" xr:uid="{00000000-0005-0000-0000-00007A2F0000}"/>
    <cellStyle name="Percent 3 5 14 7 2" xfId="45090" xr:uid="{F536444B-0AE8-4AFA-891C-573FA838251C}"/>
    <cellStyle name="Percent 3 5 14 8" xfId="16163" xr:uid="{00000000-0005-0000-0000-00007B2F0000}"/>
    <cellStyle name="Percent 3 5 14 8 2" xfId="45091" xr:uid="{249C4845-977F-435D-8EF4-F2B4B0B59A78}"/>
    <cellStyle name="Percent 3 5 14 9" xfId="8806" xr:uid="{00000000-0005-0000-0000-00007C2F0000}"/>
    <cellStyle name="Percent 3 5 14 9 2" xfId="45092" xr:uid="{9B3600FB-15B7-4CC6-AA35-B775D50B5F93}"/>
    <cellStyle name="Percent 3 5 15" xfId="2850" xr:uid="{00000000-0005-0000-0000-00007D2F0000}"/>
    <cellStyle name="Percent 3 5 15 10" xfId="45093" xr:uid="{8FD4FAB3-8B44-4093-AF95-FEF3682465A4}"/>
    <cellStyle name="Percent 3 5 15 2" xfId="10310" xr:uid="{00000000-0005-0000-0000-00007E2F0000}"/>
    <cellStyle name="Percent 3 5 15 2 2" xfId="45094" xr:uid="{0667BB46-135F-4372-A385-A8E04C1D3980}"/>
    <cellStyle name="Percent 3 5 15 3" xfId="10311" xr:uid="{00000000-0005-0000-0000-00007F2F0000}"/>
    <cellStyle name="Percent 3 5 15 3 2" xfId="45095" xr:uid="{4E55F9A6-91D0-412C-8FA8-FBF778493FA5}"/>
    <cellStyle name="Percent 3 5 15 4" xfId="10312" xr:uid="{00000000-0005-0000-0000-0000802F0000}"/>
    <cellStyle name="Percent 3 5 15 4 2" xfId="45096" xr:uid="{74B9A6C3-91E6-4612-BAE0-C4071E86279A}"/>
    <cellStyle name="Percent 3 5 15 5" xfId="10313" xr:uid="{00000000-0005-0000-0000-0000812F0000}"/>
    <cellStyle name="Percent 3 5 15 5 2" xfId="45097" xr:uid="{3B613EF7-3277-4BBF-B024-7B16E12AEE3F}"/>
    <cellStyle name="Percent 3 5 15 6" xfId="10314" xr:uid="{00000000-0005-0000-0000-0000822F0000}"/>
    <cellStyle name="Percent 3 5 15 6 2" xfId="45098" xr:uid="{04B2A59F-0898-466D-86F0-DF60942A7475}"/>
    <cellStyle name="Percent 3 5 15 7" xfId="12989" xr:uid="{00000000-0005-0000-0000-0000832F0000}"/>
    <cellStyle name="Percent 3 5 15 7 2" xfId="45099" xr:uid="{4C11D0DC-F1A4-4A0D-974C-C3BE008B9EE7}"/>
    <cellStyle name="Percent 3 5 15 8" xfId="13799" xr:uid="{00000000-0005-0000-0000-0000842F0000}"/>
    <cellStyle name="Percent 3 5 15 8 2" xfId="45100" xr:uid="{8A2FF62E-071E-4E24-B0AC-7EEC411F346B}"/>
    <cellStyle name="Percent 3 5 15 9" xfId="8807" xr:uid="{00000000-0005-0000-0000-0000852F0000}"/>
    <cellStyle name="Percent 3 5 15 9 2" xfId="45101" xr:uid="{8F011AD9-8511-46FA-9C43-32035E1F7648}"/>
    <cellStyle name="Percent 3 5 16" xfId="2851" xr:uid="{00000000-0005-0000-0000-0000862F0000}"/>
    <cellStyle name="Percent 3 5 16 2" xfId="12990" xr:uid="{00000000-0005-0000-0000-0000872F0000}"/>
    <cellStyle name="Percent 3 5 16 2 2" xfId="45104" xr:uid="{F15E6EC9-BB99-42C0-ACCD-C8F84A9F7D27}"/>
    <cellStyle name="Percent 3 5 16 2 3" xfId="45103" xr:uid="{35C5F841-DF81-4ED4-95AD-2CD3D0B5F49C}"/>
    <cellStyle name="Percent 3 5 16 3" xfId="12763" xr:uid="{00000000-0005-0000-0000-0000882F0000}"/>
    <cellStyle name="Percent 3 5 16 3 2" xfId="45105" xr:uid="{BF105229-0B6D-44C4-907D-F2DA6455C259}"/>
    <cellStyle name="Percent 3 5 16 4" xfId="8808" xr:uid="{00000000-0005-0000-0000-0000892F0000}"/>
    <cellStyle name="Percent 3 5 16 4 2" xfId="45106" xr:uid="{FC661812-BC71-4D96-A8F8-DDFE1BF20954}"/>
    <cellStyle name="Percent 3 5 16 5" xfId="45107" xr:uid="{C5CD5CD6-0BCD-4E5D-945C-F4A3C1A96DA4}"/>
    <cellStyle name="Percent 3 5 16 6" xfId="45102" xr:uid="{F0068188-76D0-4951-BA28-CF6B47A7D639}"/>
    <cellStyle name="Percent 3 5 17" xfId="5811" xr:uid="{00000000-0005-0000-0000-00008A2F0000}"/>
    <cellStyle name="Percent 3 5 17 2" xfId="14388" xr:uid="{00000000-0005-0000-0000-00008B2F0000}"/>
    <cellStyle name="Percent 3 5 17 2 2" xfId="45109" xr:uid="{E25A3142-3495-416D-9B17-6E73DE2001E1}"/>
    <cellStyle name="Percent 3 5 17 3" xfId="13776" xr:uid="{00000000-0005-0000-0000-00008C2F0000}"/>
    <cellStyle name="Percent 3 5 17 3 2" xfId="45110" xr:uid="{05615414-6FC2-4958-AD2B-C1500AD37534}"/>
    <cellStyle name="Percent 3 5 17 4" xfId="8809" xr:uid="{00000000-0005-0000-0000-00008D2F0000}"/>
    <cellStyle name="Percent 3 5 17 4 2" xfId="45111" xr:uid="{9D9D8150-AB9A-4B04-99AD-CB1AB9746E55}"/>
    <cellStyle name="Percent 3 5 17 5" xfId="45108" xr:uid="{7FF4CA28-6438-46CE-A99E-A11513191F04}"/>
    <cellStyle name="Percent 3 5 18" xfId="10315" xr:uid="{00000000-0005-0000-0000-00008E2F0000}"/>
    <cellStyle name="Percent 3 5 18 2" xfId="45112" xr:uid="{DFFA013B-6872-4F9A-88C4-E65618331BDB}"/>
    <cellStyle name="Percent 3 5 19" xfId="10316" xr:uid="{00000000-0005-0000-0000-00008F2F0000}"/>
    <cellStyle name="Percent 3 5 19 2" xfId="45113" xr:uid="{53D44E3D-1510-4C6D-BE58-BF29BE60DB6B}"/>
    <cellStyle name="Percent 3 5 2" xfId="2852" xr:uid="{00000000-0005-0000-0000-0000902F0000}"/>
    <cellStyle name="Percent 3 5 2 10" xfId="45114" xr:uid="{A4A54FC0-3CDB-4075-B2D0-6B89C58CC16F}"/>
    <cellStyle name="Percent 3 5 2 2" xfId="10317" xr:uid="{00000000-0005-0000-0000-0000912F0000}"/>
    <cellStyle name="Percent 3 5 2 2 2" xfId="45115" xr:uid="{377F0C7C-AFE7-4766-ACE2-70AD7F8DFD7A}"/>
    <cellStyle name="Percent 3 5 2 3" xfId="10318" xr:uid="{00000000-0005-0000-0000-0000922F0000}"/>
    <cellStyle name="Percent 3 5 2 3 2" xfId="45116" xr:uid="{39B7D0E0-5620-4B66-99A0-A1AC2DFD3A10}"/>
    <cellStyle name="Percent 3 5 2 4" xfId="10319" xr:uid="{00000000-0005-0000-0000-0000932F0000}"/>
    <cellStyle name="Percent 3 5 2 4 2" xfId="45117" xr:uid="{F6102157-CB58-4AF6-A9FF-24CC48C987EB}"/>
    <cellStyle name="Percent 3 5 2 5" xfId="10320" xr:uid="{00000000-0005-0000-0000-0000942F0000}"/>
    <cellStyle name="Percent 3 5 2 5 2" xfId="45118" xr:uid="{DFC47315-54F9-437A-BC62-8CC271C99DCA}"/>
    <cellStyle name="Percent 3 5 2 6" xfId="10321" xr:uid="{00000000-0005-0000-0000-0000952F0000}"/>
    <cellStyle name="Percent 3 5 2 6 2" xfId="45119" xr:uid="{B7F3801C-A649-41DB-A9A7-FF7196524C63}"/>
    <cellStyle name="Percent 3 5 2 7" xfId="12991" xr:uid="{00000000-0005-0000-0000-0000962F0000}"/>
    <cellStyle name="Percent 3 5 2 7 2" xfId="45120" xr:uid="{060BE248-E869-4DAF-9FBC-CC4460843DBD}"/>
    <cellStyle name="Percent 3 5 2 8" xfId="16223" xr:uid="{00000000-0005-0000-0000-0000972F0000}"/>
    <cellStyle name="Percent 3 5 2 8 2" xfId="45121" xr:uid="{3956AC30-4A11-4FA0-AB91-93FD4DFC3CD5}"/>
    <cellStyle name="Percent 3 5 2 9" xfId="8810" xr:uid="{00000000-0005-0000-0000-0000982F0000}"/>
    <cellStyle name="Percent 3 5 2 9 2" xfId="45122" xr:uid="{86674351-F9F9-434C-8533-8BD62E0EE950}"/>
    <cellStyle name="Percent 3 5 20" xfId="10322" xr:uid="{00000000-0005-0000-0000-0000992F0000}"/>
    <cellStyle name="Percent 3 5 20 2" xfId="45123" xr:uid="{037ED543-33FF-4CE9-8A00-BFECEE44B62F}"/>
    <cellStyle name="Percent 3 5 21" xfId="12218" xr:uid="{00000000-0005-0000-0000-00009A2F0000}"/>
    <cellStyle name="Percent 3 5 21 2" xfId="45124" xr:uid="{82A52604-0D0D-4CEC-850E-C1BFC0259F9A}"/>
    <cellStyle name="Percent 3 5 22" xfId="12453" xr:uid="{00000000-0005-0000-0000-00009B2F0000}"/>
    <cellStyle name="Percent 3 5 22 2" xfId="45125" xr:uid="{A0D15A4C-30A9-4447-A418-7E8CE86B813B}"/>
    <cellStyle name="Percent 3 5 23" xfId="13899" xr:uid="{00000000-0005-0000-0000-00009C2F0000}"/>
    <cellStyle name="Percent 3 5 23 2" xfId="45126" xr:uid="{8193F319-82CF-465A-87CC-454D68E7E627}"/>
    <cellStyle name="Percent 3 5 24" xfId="8801" xr:uid="{00000000-0005-0000-0000-00009D2F0000}"/>
    <cellStyle name="Percent 3 5 24 2" xfId="45127" xr:uid="{B1E88F21-D93C-4EA5-BE86-A85F933BC555}"/>
    <cellStyle name="Percent 3 5 25" xfId="45047" xr:uid="{2F956AC6-6027-4DD8-8CF2-97CFD4A32D96}"/>
    <cellStyle name="Percent 3 5 3" xfId="2853" xr:uid="{00000000-0005-0000-0000-00009E2F0000}"/>
    <cellStyle name="Percent 3 5 3 10" xfId="45128" xr:uid="{97155145-260F-4146-8091-B7AFA1C76E29}"/>
    <cellStyle name="Percent 3 5 3 2" xfId="10323" xr:uid="{00000000-0005-0000-0000-00009F2F0000}"/>
    <cellStyle name="Percent 3 5 3 2 2" xfId="45129" xr:uid="{2FDF3AF5-8C12-4BA9-86F5-84F18F6582F8}"/>
    <cellStyle name="Percent 3 5 3 3" xfId="10324" xr:uid="{00000000-0005-0000-0000-0000A02F0000}"/>
    <cellStyle name="Percent 3 5 3 3 2" xfId="45130" xr:uid="{D935E815-46BC-4638-A919-D5DEAF6E1B3B}"/>
    <cellStyle name="Percent 3 5 3 4" xfId="10325" xr:uid="{00000000-0005-0000-0000-0000A12F0000}"/>
    <cellStyle name="Percent 3 5 3 4 2" xfId="45131" xr:uid="{9D2C56E2-3C34-41D7-879E-F203C04C49DA}"/>
    <cellStyle name="Percent 3 5 3 5" xfId="10326" xr:uid="{00000000-0005-0000-0000-0000A22F0000}"/>
    <cellStyle name="Percent 3 5 3 5 2" xfId="45132" xr:uid="{984A6809-21BA-49F7-9722-58E876AAF035}"/>
    <cellStyle name="Percent 3 5 3 6" xfId="10327" xr:uid="{00000000-0005-0000-0000-0000A32F0000}"/>
    <cellStyle name="Percent 3 5 3 6 2" xfId="45133" xr:uid="{6B1C9F63-6346-40B7-A008-F1A1F42409B7}"/>
    <cellStyle name="Percent 3 5 3 7" xfId="12992" xr:uid="{00000000-0005-0000-0000-0000A42F0000}"/>
    <cellStyle name="Percent 3 5 3 7 2" xfId="45134" xr:uid="{F9107C23-B920-4DB7-9EE1-EDCD19A522EC}"/>
    <cellStyle name="Percent 3 5 3 8" xfId="12526" xr:uid="{00000000-0005-0000-0000-0000A52F0000}"/>
    <cellStyle name="Percent 3 5 3 8 2" xfId="45135" xr:uid="{52984125-04F1-4A79-B4E5-34B520185E3E}"/>
    <cellStyle name="Percent 3 5 3 9" xfId="8811" xr:uid="{00000000-0005-0000-0000-0000A62F0000}"/>
    <cellStyle name="Percent 3 5 3 9 2" xfId="45136" xr:uid="{3877FE8E-A01D-49C3-B840-1D8655638601}"/>
    <cellStyle name="Percent 3 5 4" xfId="2854" xr:uid="{00000000-0005-0000-0000-0000A72F0000}"/>
    <cellStyle name="Percent 3 5 4 10" xfId="45137" xr:uid="{8DEED4B6-EACC-41A9-9E58-8FDEF94DE0F4}"/>
    <cellStyle name="Percent 3 5 4 2" xfId="10328" xr:uid="{00000000-0005-0000-0000-0000A82F0000}"/>
    <cellStyle name="Percent 3 5 4 2 2" xfId="45138" xr:uid="{FCB740BA-D65C-4F3D-8FF3-585E84F6188C}"/>
    <cellStyle name="Percent 3 5 4 3" xfId="10329" xr:uid="{00000000-0005-0000-0000-0000A92F0000}"/>
    <cellStyle name="Percent 3 5 4 3 2" xfId="45139" xr:uid="{AD6391A8-D5B3-4202-BCF6-EE82C29B40B3}"/>
    <cellStyle name="Percent 3 5 4 4" xfId="10330" xr:uid="{00000000-0005-0000-0000-0000AA2F0000}"/>
    <cellStyle name="Percent 3 5 4 4 2" xfId="45140" xr:uid="{4FCEF609-680A-4833-8FA6-DEAA99E81593}"/>
    <cellStyle name="Percent 3 5 4 5" xfId="10331" xr:uid="{00000000-0005-0000-0000-0000AB2F0000}"/>
    <cellStyle name="Percent 3 5 4 5 2" xfId="45141" xr:uid="{FA038E99-F63A-49DD-8C38-4B508063E2A9}"/>
    <cellStyle name="Percent 3 5 4 6" xfId="10332" xr:uid="{00000000-0005-0000-0000-0000AC2F0000}"/>
    <cellStyle name="Percent 3 5 4 6 2" xfId="45142" xr:uid="{9167BBED-3A1D-40DE-B6AF-AE4F4AF64809}"/>
    <cellStyle name="Percent 3 5 4 7" xfId="12993" xr:uid="{00000000-0005-0000-0000-0000AD2F0000}"/>
    <cellStyle name="Percent 3 5 4 7 2" xfId="45143" xr:uid="{C1AE2F52-58F9-48BE-9DE4-45CCF565791B}"/>
    <cellStyle name="Percent 3 5 4 8" xfId="12760" xr:uid="{00000000-0005-0000-0000-0000AE2F0000}"/>
    <cellStyle name="Percent 3 5 4 8 2" xfId="45144" xr:uid="{57962C36-4460-435F-878E-FD2A44FC8B36}"/>
    <cellStyle name="Percent 3 5 4 9" xfId="8812" xr:uid="{00000000-0005-0000-0000-0000AF2F0000}"/>
    <cellStyle name="Percent 3 5 4 9 2" xfId="45145" xr:uid="{10B90CF5-DA15-4D86-9C59-D88D919D0EB5}"/>
    <cellStyle name="Percent 3 5 5" xfId="2855" xr:uid="{00000000-0005-0000-0000-0000B02F0000}"/>
    <cellStyle name="Percent 3 5 5 10" xfId="45146" xr:uid="{4387AD18-5121-4C15-B3B9-CC6C3D951ACB}"/>
    <cellStyle name="Percent 3 5 5 2" xfId="10333" xr:uid="{00000000-0005-0000-0000-0000B12F0000}"/>
    <cellStyle name="Percent 3 5 5 2 2" xfId="45147" xr:uid="{B22F0F5D-31BA-41F2-9899-FF3D5EB8F6CA}"/>
    <cellStyle name="Percent 3 5 5 3" xfId="10334" xr:uid="{00000000-0005-0000-0000-0000B22F0000}"/>
    <cellStyle name="Percent 3 5 5 3 2" xfId="45148" xr:uid="{DC090C23-8705-42AE-A24A-387610D4D46F}"/>
    <cellStyle name="Percent 3 5 5 4" xfId="10335" xr:uid="{00000000-0005-0000-0000-0000B32F0000}"/>
    <cellStyle name="Percent 3 5 5 4 2" xfId="45149" xr:uid="{DA39409A-EB10-4522-A087-9CFBE43FCD03}"/>
    <cellStyle name="Percent 3 5 5 5" xfId="10336" xr:uid="{00000000-0005-0000-0000-0000B42F0000}"/>
    <cellStyle name="Percent 3 5 5 5 2" xfId="45150" xr:uid="{7DA9D786-56ED-4320-A4D7-C43C5519679F}"/>
    <cellStyle name="Percent 3 5 5 6" xfId="10337" xr:uid="{00000000-0005-0000-0000-0000B52F0000}"/>
    <cellStyle name="Percent 3 5 5 6 2" xfId="45151" xr:uid="{B610CA02-CEFC-426D-9143-D8A76AF56735}"/>
    <cellStyle name="Percent 3 5 5 7" xfId="12994" xr:uid="{00000000-0005-0000-0000-0000B62F0000}"/>
    <cellStyle name="Percent 3 5 5 7 2" xfId="45152" xr:uid="{40B141B9-2E29-4C9B-A502-48AC54E98DF8}"/>
    <cellStyle name="Percent 3 5 5 8" xfId="12674" xr:uid="{00000000-0005-0000-0000-0000B72F0000}"/>
    <cellStyle name="Percent 3 5 5 8 2" xfId="45153" xr:uid="{2DB22331-FDED-4F88-8C11-B2529A14C21B}"/>
    <cellStyle name="Percent 3 5 5 9" xfId="8813" xr:uid="{00000000-0005-0000-0000-0000B82F0000}"/>
    <cellStyle name="Percent 3 5 5 9 2" xfId="45154" xr:uid="{9CA48A85-5C12-432D-B19A-0542E32F3E5A}"/>
    <cellStyle name="Percent 3 5 6" xfId="2856" xr:uid="{00000000-0005-0000-0000-0000B92F0000}"/>
    <cellStyle name="Percent 3 5 6 10" xfId="45155" xr:uid="{A8F6C3A1-1237-45CD-AE2C-0FE0E4BF1949}"/>
    <cellStyle name="Percent 3 5 6 2" xfId="10338" xr:uid="{00000000-0005-0000-0000-0000BA2F0000}"/>
    <cellStyle name="Percent 3 5 6 2 2" xfId="45156" xr:uid="{A6505AB6-9419-482C-87AE-5203F24AF77E}"/>
    <cellStyle name="Percent 3 5 6 3" xfId="10339" xr:uid="{00000000-0005-0000-0000-0000BB2F0000}"/>
    <cellStyle name="Percent 3 5 6 3 2" xfId="45157" xr:uid="{13EF0E8E-BB72-46F9-AF26-130FA9A9BE35}"/>
    <cellStyle name="Percent 3 5 6 4" xfId="10340" xr:uid="{00000000-0005-0000-0000-0000BC2F0000}"/>
    <cellStyle name="Percent 3 5 6 4 2" xfId="45158" xr:uid="{9AB2A2DA-8C66-4EE7-8072-7AFBEDF291DA}"/>
    <cellStyle name="Percent 3 5 6 5" xfId="10341" xr:uid="{00000000-0005-0000-0000-0000BD2F0000}"/>
    <cellStyle name="Percent 3 5 6 5 2" xfId="45159" xr:uid="{61CA56F6-B609-419D-A87A-8B1952F1CC08}"/>
    <cellStyle name="Percent 3 5 6 6" xfId="10342" xr:uid="{00000000-0005-0000-0000-0000BE2F0000}"/>
    <cellStyle name="Percent 3 5 6 6 2" xfId="45160" xr:uid="{37D8AF47-FFBB-43E1-AAA1-305975BAFDE3}"/>
    <cellStyle name="Percent 3 5 6 7" xfId="12995" xr:uid="{00000000-0005-0000-0000-0000BF2F0000}"/>
    <cellStyle name="Percent 3 5 6 7 2" xfId="45161" xr:uid="{09910A84-D943-4C20-8056-A8E28E684E00}"/>
    <cellStyle name="Percent 3 5 6 8" xfId="13821" xr:uid="{00000000-0005-0000-0000-0000C02F0000}"/>
    <cellStyle name="Percent 3 5 6 8 2" xfId="45162" xr:uid="{D72B4579-7CF2-47AA-8EEB-47A5915EB23B}"/>
    <cellStyle name="Percent 3 5 6 9" xfId="8814" xr:uid="{00000000-0005-0000-0000-0000C12F0000}"/>
    <cellStyle name="Percent 3 5 6 9 2" xfId="45163" xr:uid="{72D5FB18-6960-44FF-86C9-06392267B257}"/>
    <cellStyle name="Percent 3 5 7" xfId="2857" xr:uid="{00000000-0005-0000-0000-0000C22F0000}"/>
    <cellStyle name="Percent 3 5 7 10" xfId="45164" xr:uid="{B2F33A00-56F0-4562-B7A7-561A97F49E3C}"/>
    <cellStyle name="Percent 3 5 7 2" xfId="10343" xr:uid="{00000000-0005-0000-0000-0000C32F0000}"/>
    <cellStyle name="Percent 3 5 7 2 2" xfId="45165" xr:uid="{E89DB107-F03B-44E7-B64C-EE63F54E8F8F}"/>
    <cellStyle name="Percent 3 5 7 3" xfId="10344" xr:uid="{00000000-0005-0000-0000-0000C42F0000}"/>
    <cellStyle name="Percent 3 5 7 3 2" xfId="45166" xr:uid="{C46EEFAE-3267-4041-8F03-953C8C892958}"/>
    <cellStyle name="Percent 3 5 7 4" xfId="10345" xr:uid="{00000000-0005-0000-0000-0000C52F0000}"/>
    <cellStyle name="Percent 3 5 7 4 2" xfId="45167" xr:uid="{BF97E1EB-9D33-4C89-AE3F-4FF7D86CF968}"/>
    <cellStyle name="Percent 3 5 7 5" xfId="10346" xr:uid="{00000000-0005-0000-0000-0000C62F0000}"/>
    <cellStyle name="Percent 3 5 7 5 2" xfId="45168" xr:uid="{1EB80B8A-F60C-4CDF-B67A-33FE3F71DE0B}"/>
    <cellStyle name="Percent 3 5 7 6" xfId="10347" xr:uid="{00000000-0005-0000-0000-0000C72F0000}"/>
    <cellStyle name="Percent 3 5 7 6 2" xfId="45169" xr:uid="{9044E833-6B9C-4811-808D-DA5C20E2970B}"/>
    <cellStyle name="Percent 3 5 7 7" xfId="12996" xr:uid="{00000000-0005-0000-0000-0000C82F0000}"/>
    <cellStyle name="Percent 3 5 7 7 2" xfId="45170" xr:uid="{DDF59386-3B54-4F77-9C9F-40C0D5024468}"/>
    <cellStyle name="Percent 3 5 7 8" xfId="16206" xr:uid="{00000000-0005-0000-0000-0000C92F0000}"/>
    <cellStyle name="Percent 3 5 7 8 2" xfId="45171" xr:uid="{CE6A8079-7318-4971-BBC1-D3B948B6892C}"/>
    <cellStyle name="Percent 3 5 7 9" xfId="8815" xr:uid="{00000000-0005-0000-0000-0000CA2F0000}"/>
    <cellStyle name="Percent 3 5 7 9 2" xfId="45172" xr:uid="{323B01A1-B2D7-418E-8AD8-B59B870255D6}"/>
    <cellStyle name="Percent 3 5 8" xfId="2858" xr:uid="{00000000-0005-0000-0000-0000CB2F0000}"/>
    <cellStyle name="Percent 3 5 8 10" xfId="45173" xr:uid="{ADC57F1A-F854-48A1-B995-D059DD9195ED}"/>
    <cellStyle name="Percent 3 5 8 2" xfId="10348" xr:uid="{00000000-0005-0000-0000-0000CC2F0000}"/>
    <cellStyle name="Percent 3 5 8 2 2" xfId="45174" xr:uid="{DFD79F9C-BAA8-42AB-9EC9-02F149BDCAE1}"/>
    <cellStyle name="Percent 3 5 8 3" xfId="10349" xr:uid="{00000000-0005-0000-0000-0000CD2F0000}"/>
    <cellStyle name="Percent 3 5 8 3 2" xfId="45175" xr:uid="{9508D9EA-F421-411A-A267-C6EC8C803B33}"/>
    <cellStyle name="Percent 3 5 8 4" xfId="10350" xr:uid="{00000000-0005-0000-0000-0000CE2F0000}"/>
    <cellStyle name="Percent 3 5 8 4 2" xfId="45176" xr:uid="{571660D6-1610-406B-8503-69DD350A3B9B}"/>
    <cellStyle name="Percent 3 5 8 5" xfId="10351" xr:uid="{00000000-0005-0000-0000-0000CF2F0000}"/>
    <cellStyle name="Percent 3 5 8 5 2" xfId="45177" xr:uid="{DB94C59F-5F07-49C9-8CFF-4C853FD82130}"/>
    <cellStyle name="Percent 3 5 8 6" xfId="10352" xr:uid="{00000000-0005-0000-0000-0000D02F0000}"/>
    <cellStyle name="Percent 3 5 8 6 2" xfId="45178" xr:uid="{1231AAAA-D762-4E36-9837-E259A9449A1C}"/>
    <cellStyle name="Percent 3 5 8 7" xfId="12997" xr:uid="{00000000-0005-0000-0000-0000D12F0000}"/>
    <cellStyle name="Percent 3 5 8 7 2" xfId="45179" xr:uid="{93CB7BB7-B54A-4606-A7C8-AD0C0E15C63F}"/>
    <cellStyle name="Percent 3 5 8 8" xfId="16525" xr:uid="{00000000-0005-0000-0000-0000D22F0000}"/>
    <cellStyle name="Percent 3 5 8 8 2" xfId="45180" xr:uid="{2655EB83-67CC-43C6-B5F5-29D79F77831A}"/>
    <cellStyle name="Percent 3 5 8 9" xfId="8816" xr:uid="{00000000-0005-0000-0000-0000D32F0000}"/>
    <cellStyle name="Percent 3 5 8 9 2" xfId="45181" xr:uid="{D8A75C23-BE7A-40A8-B658-CE471489B0F4}"/>
    <cellStyle name="Percent 3 5 9" xfId="2859" xr:uid="{00000000-0005-0000-0000-0000D42F0000}"/>
    <cellStyle name="Percent 3 5 9 10" xfId="45182" xr:uid="{4D84BDF9-CB05-40D0-8BA2-464811BAF57F}"/>
    <cellStyle name="Percent 3 5 9 2" xfId="10353" xr:uid="{00000000-0005-0000-0000-0000D52F0000}"/>
    <cellStyle name="Percent 3 5 9 2 2" xfId="45183" xr:uid="{348DB15E-ED6C-49AF-8E85-A50FA4301B09}"/>
    <cellStyle name="Percent 3 5 9 3" xfId="10354" xr:uid="{00000000-0005-0000-0000-0000D62F0000}"/>
    <cellStyle name="Percent 3 5 9 3 2" xfId="45184" xr:uid="{5B641993-BC80-4D5E-859A-09D56939BB31}"/>
    <cellStyle name="Percent 3 5 9 4" xfId="10355" xr:uid="{00000000-0005-0000-0000-0000D72F0000}"/>
    <cellStyle name="Percent 3 5 9 4 2" xfId="45185" xr:uid="{F9D35256-6D62-4571-9C7C-AAEC35AEE02A}"/>
    <cellStyle name="Percent 3 5 9 5" xfId="10356" xr:uid="{00000000-0005-0000-0000-0000D82F0000}"/>
    <cellStyle name="Percent 3 5 9 5 2" xfId="45186" xr:uid="{46C1BEBF-7FCF-4DDC-996B-E45F7EE091B7}"/>
    <cellStyle name="Percent 3 5 9 6" xfId="10357" xr:uid="{00000000-0005-0000-0000-0000D92F0000}"/>
    <cellStyle name="Percent 3 5 9 6 2" xfId="45187" xr:uid="{EF948754-4438-4E6C-B558-1F581CB39D61}"/>
    <cellStyle name="Percent 3 5 9 7" xfId="12998" xr:uid="{00000000-0005-0000-0000-0000DA2F0000}"/>
    <cellStyle name="Percent 3 5 9 7 2" xfId="45188" xr:uid="{0772F552-055C-4D25-AC76-828B8BF1CF6D}"/>
    <cellStyle name="Percent 3 5 9 8" xfId="12482" xr:uid="{00000000-0005-0000-0000-0000DB2F0000}"/>
    <cellStyle name="Percent 3 5 9 8 2" xfId="45189" xr:uid="{7F73FA43-0D96-4AF0-8F40-56A82A8D54A5}"/>
    <cellStyle name="Percent 3 5 9 9" xfId="8817" xr:uid="{00000000-0005-0000-0000-0000DC2F0000}"/>
    <cellStyle name="Percent 3 5 9 9 2" xfId="45190" xr:uid="{86B1F6F6-9832-46FB-B826-B8A3F12FF399}"/>
    <cellStyle name="Percent 3 6" xfId="234" xr:uid="{00000000-0005-0000-0000-0000DD2F0000}"/>
    <cellStyle name="Percent 3 6 10" xfId="2860" xr:uid="{00000000-0005-0000-0000-0000DE2F0000}"/>
    <cellStyle name="Percent 3 6 10 10" xfId="45192" xr:uid="{469E2AA9-5ED9-48CE-A937-4D73D6F8E395}"/>
    <cellStyle name="Percent 3 6 10 2" xfId="10358" xr:uid="{00000000-0005-0000-0000-0000DF2F0000}"/>
    <cellStyle name="Percent 3 6 10 2 2" xfId="45193" xr:uid="{22A22D92-2799-4C4E-811E-94CD27DD21F1}"/>
    <cellStyle name="Percent 3 6 10 3" xfId="10359" xr:uid="{00000000-0005-0000-0000-0000E02F0000}"/>
    <cellStyle name="Percent 3 6 10 3 2" xfId="45194" xr:uid="{1CF2DDE6-CEAC-46C2-B072-AFA74008CA10}"/>
    <cellStyle name="Percent 3 6 10 4" xfId="10360" xr:uid="{00000000-0005-0000-0000-0000E12F0000}"/>
    <cellStyle name="Percent 3 6 10 4 2" xfId="45195" xr:uid="{4A66A0CF-4B70-43AB-B8A2-FDDA7A9C629B}"/>
    <cellStyle name="Percent 3 6 10 5" xfId="10361" xr:uid="{00000000-0005-0000-0000-0000E22F0000}"/>
    <cellStyle name="Percent 3 6 10 5 2" xfId="45196" xr:uid="{E282424F-481C-4E7C-83CE-6A59C9696069}"/>
    <cellStyle name="Percent 3 6 10 6" xfId="10362" xr:uid="{00000000-0005-0000-0000-0000E32F0000}"/>
    <cellStyle name="Percent 3 6 10 6 2" xfId="45197" xr:uid="{14EBB7DB-13C2-4D28-A17C-516C298D5FE3}"/>
    <cellStyle name="Percent 3 6 10 7" xfId="12999" xr:uid="{00000000-0005-0000-0000-0000E42F0000}"/>
    <cellStyle name="Percent 3 6 10 7 2" xfId="45198" xr:uid="{2C23ACF2-EB8B-4FFE-B3EA-73A7D72CD09C}"/>
    <cellStyle name="Percent 3 6 10 8" xfId="13900" xr:uid="{00000000-0005-0000-0000-0000E52F0000}"/>
    <cellStyle name="Percent 3 6 10 8 2" xfId="45199" xr:uid="{5764602A-31B3-4978-AC94-E7BE9D3C5FC6}"/>
    <cellStyle name="Percent 3 6 10 9" xfId="8819" xr:uid="{00000000-0005-0000-0000-0000E62F0000}"/>
    <cellStyle name="Percent 3 6 10 9 2" xfId="45200" xr:uid="{6D337CF0-6AE5-421D-9EA9-3BDB943BFF57}"/>
    <cellStyle name="Percent 3 6 11" xfId="2861" xr:uid="{00000000-0005-0000-0000-0000E72F0000}"/>
    <cellStyle name="Percent 3 6 11 10" xfId="45201" xr:uid="{F8D03D0E-55A2-4BD8-AC5B-C28F1C82DC35}"/>
    <cellStyle name="Percent 3 6 11 2" xfId="10363" xr:uid="{00000000-0005-0000-0000-0000E82F0000}"/>
    <cellStyle name="Percent 3 6 11 2 2" xfId="45202" xr:uid="{1886BE28-45B6-4EA8-B97E-4A2829167BAC}"/>
    <cellStyle name="Percent 3 6 11 3" xfId="10364" xr:uid="{00000000-0005-0000-0000-0000E92F0000}"/>
    <cellStyle name="Percent 3 6 11 3 2" xfId="45203" xr:uid="{4D118852-05AE-406D-BF9C-93DEF76E673F}"/>
    <cellStyle name="Percent 3 6 11 4" xfId="10365" xr:uid="{00000000-0005-0000-0000-0000EA2F0000}"/>
    <cellStyle name="Percent 3 6 11 4 2" xfId="45204" xr:uid="{890C87F2-3265-41C0-B903-85A8AB9C93E2}"/>
    <cellStyle name="Percent 3 6 11 5" xfId="10366" xr:uid="{00000000-0005-0000-0000-0000EB2F0000}"/>
    <cellStyle name="Percent 3 6 11 5 2" xfId="45205" xr:uid="{4844F93A-5B06-400B-9FBA-4F63C0E2D19C}"/>
    <cellStyle name="Percent 3 6 11 6" xfId="10367" xr:uid="{00000000-0005-0000-0000-0000EC2F0000}"/>
    <cellStyle name="Percent 3 6 11 6 2" xfId="45206" xr:uid="{824C5295-84A4-4C07-90BD-BF32B8D1D07D}"/>
    <cellStyle name="Percent 3 6 11 7" xfId="13000" xr:uid="{00000000-0005-0000-0000-0000ED2F0000}"/>
    <cellStyle name="Percent 3 6 11 7 2" xfId="45207" xr:uid="{436DFF9F-DA84-42BE-BD70-AA43EB0B691A}"/>
    <cellStyle name="Percent 3 6 11 8" xfId="16629" xr:uid="{00000000-0005-0000-0000-0000EE2F0000}"/>
    <cellStyle name="Percent 3 6 11 8 2" xfId="45208" xr:uid="{99DDB832-4D30-44FF-88C2-089A47F9ADEB}"/>
    <cellStyle name="Percent 3 6 11 9" xfId="8820" xr:uid="{00000000-0005-0000-0000-0000EF2F0000}"/>
    <cellStyle name="Percent 3 6 11 9 2" xfId="45209" xr:uid="{1FAC24ED-4B0B-4D96-AE5C-600039EBC52B}"/>
    <cellStyle name="Percent 3 6 12" xfId="2862" xr:uid="{00000000-0005-0000-0000-0000F02F0000}"/>
    <cellStyle name="Percent 3 6 12 10" xfId="45210" xr:uid="{011F366C-86F0-45FF-93C0-FCB51A9F7324}"/>
    <cellStyle name="Percent 3 6 12 2" xfId="10368" xr:uid="{00000000-0005-0000-0000-0000F12F0000}"/>
    <cellStyle name="Percent 3 6 12 2 2" xfId="45211" xr:uid="{F102C84A-3F60-4B99-9A17-251519786183}"/>
    <cellStyle name="Percent 3 6 12 3" xfId="10369" xr:uid="{00000000-0005-0000-0000-0000F22F0000}"/>
    <cellStyle name="Percent 3 6 12 3 2" xfId="45212" xr:uid="{75842D88-8B4A-47CA-AA80-90187FEFFF35}"/>
    <cellStyle name="Percent 3 6 12 4" xfId="10370" xr:uid="{00000000-0005-0000-0000-0000F32F0000}"/>
    <cellStyle name="Percent 3 6 12 4 2" xfId="45213" xr:uid="{56E961DA-615B-4152-9C14-F64C0235D05D}"/>
    <cellStyle name="Percent 3 6 12 5" xfId="10371" xr:uid="{00000000-0005-0000-0000-0000F42F0000}"/>
    <cellStyle name="Percent 3 6 12 5 2" xfId="45214" xr:uid="{6C65C7D7-0996-456B-8833-713FE45992B0}"/>
    <cellStyle name="Percent 3 6 12 6" xfId="10372" xr:uid="{00000000-0005-0000-0000-0000F52F0000}"/>
    <cellStyle name="Percent 3 6 12 6 2" xfId="45215" xr:uid="{A5723FAB-F824-422B-87F3-40A8E0EB033F}"/>
    <cellStyle name="Percent 3 6 12 7" xfId="13001" xr:uid="{00000000-0005-0000-0000-0000F62F0000}"/>
    <cellStyle name="Percent 3 6 12 7 2" xfId="45216" xr:uid="{3C34B67B-8A8A-4A42-BD8E-34BE54D6B117}"/>
    <cellStyle name="Percent 3 6 12 8" xfId="12464" xr:uid="{00000000-0005-0000-0000-0000F72F0000}"/>
    <cellStyle name="Percent 3 6 12 8 2" xfId="45217" xr:uid="{89D36F45-77BB-463D-93E1-6184538AF98A}"/>
    <cellStyle name="Percent 3 6 12 9" xfId="8821" xr:uid="{00000000-0005-0000-0000-0000F82F0000}"/>
    <cellStyle name="Percent 3 6 12 9 2" xfId="45218" xr:uid="{E548204A-B53E-422C-BBBA-B4D165CC2352}"/>
    <cellStyle name="Percent 3 6 13" xfId="2863" xr:uid="{00000000-0005-0000-0000-0000F92F0000}"/>
    <cellStyle name="Percent 3 6 13 10" xfId="45219" xr:uid="{89E201B0-80AD-4B4E-B32E-56E4C97DCD12}"/>
    <cellStyle name="Percent 3 6 13 2" xfId="10373" xr:uid="{00000000-0005-0000-0000-0000FA2F0000}"/>
    <cellStyle name="Percent 3 6 13 2 2" xfId="45220" xr:uid="{0E1A641C-7518-4247-BB71-D57997B13DB1}"/>
    <cellStyle name="Percent 3 6 13 3" xfId="10374" xr:uid="{00000000-0005-0000-0000-0000FB2F0000}"/>
    <cellStyle name="Percent 3 6 13 3 2" xfId="45221" xr:uid="{9C7EBE8D-7989-4C83-9B46-37DB001B097C}"/>
    <cellStyle name="Percent 3 6 13 4" xfId="10375" xr:uid="{00000000-0005-0000-0000-0000FC2F0000}"/>
    <cellStyle name="Percent 3 6 13 4 2" xfId="45222" xr:uid="{8F8CFC80-E03E-4B7C-97EE-867C557E7579}"/>
    <cellStyle name="Percent 3 6 13 5" xfId="10376" xr:uid="{00000000-0005-0000-0000-0000FD2F0000}"/>
    <cellStyle name="Percent 3 6 13 5 2" xfId="45223" xr:uid="{0B5826E1-2E6E-4353-8AAA-C2A4D3CC8D60}"/>
    <cellStyle name="Percent 3 6 13 6" xfId="10377" xr:uid="{00000000-0005-0000-0000-0000FE2F0000}"/>
    <cellStyle name="Percent 3 6 13 6 2" xfId="45224" xr:uid="{D2935B4E-A710-4311-BE00-F9B75985F387}"/>
    <cellStyle name="Percent 3 6 13 7" xfId="13002" xr:uid="{00000000-0005-0000-0000-0000FF2F0000}"/>
    <cellStyle name="Percent 3 6 13 7 2" xfId="45225" xr:uid="{3A0452F6-2EC5-4A3A-8343-96404684B3EA}"/>
    <cellStyle name="Percent 3 6 13 8" xfId="13739" xr:uid="{00000000-0005-0000-0000-000000300000}"/>
    <cellStyle name="Percent 3 6 13 8 2" xfId="45226" xr:uid="{11E093F4-216B-4420-80BA-E294DA1C28B6}"/>
    <cellStyle name="Percent 3 6 13 9" xfId="8822" xr:uid="{00000000-0005-0000-0000-000001300000}"/>
    <cellStyle name="Percent 3 6 13 9 2" xfId="45227" xr:uid="{D469BA03-BEFB-40A8-947A-C285ADB0DB59}"/>
    <cellStyle name="Percent 3 6 14" xfId="2864" xr:uid="{00000000-0005-0000-0000-000002300000}"/>
    <cellStyle name="Percent 3 6 14 10" xfId="45228" xr:uid="{482909FF-D4A2-4704-AF84-64DA46CB7303}"/>
    <cellStyle name="Percent 3 6 14 2" xfId="10378" xr:uid="{00000000-0005-0000-0000-000003300000}"/>
    <cellStyle name="Percent 3 6 14 2 2" xfId="45229" xr:uid="{E12B7215-0B29-4400-9EFB-EADA21AFA2EA}"/>
    <cellStyle name="Percent 3 6 14 3" xfId="10379" xr:uid="{00000000-0005-0000-0000-000004300000}"/>
    <cellStyle name="Percent 3 6 14 3 2" xfId="45230" xr:uid="{070EEE74-B92F-4D56-91BA-FF8C9AE60B0E}"/>
    <cellStyle name="Percent 3 6 14 4" xfId="10380" xr:uid="{00000000-0005-0000-0000-000005300000}"/>
    <cellStyle name="Percent 3 6 14 4 2" xfId="45231" xr:uid="{2D97EBEF-D67B-472B-87DA-FB1019620470}"/>
    <cellStyle name="Percent 3 6 14 5" xfId="10381" xr:uid="{00000000-0005-0000-0000-000006300000}"/>
    <cellStyle name="Percent 3 6 14 5 2" xfId="45232" xr:uid="{F22CC14D-AFC6-416D-84B2-4CFF2BB174A8}"/>
    <cellStyle name="Percent 3 6 14 6" xfId="10382" xr:uid="{00000000-0005-0000-0000-000007300000}"/>
    <cellStyle name="Percent 3 6 14 6 2" xfId="45233" xr:uid="{E9D2D55D-3F8B-4199-88E6-4B93E18D1E95}"/>
    <cellStyle name="Percent 3 6 14 7" xfId="13003" xr:uid="{00000000-0005-0000-0000-000008300000}"/>
    <cellStyle name="Percent 3 6 14 7 2" xfId="45234" xr:uid="{7C3D27B7-635B-49DE-9EDD-DADF7A6EF812}"/>
    <cellStyle name="Percent 3 6 14 8" xfId="16349" xr:uid="{00000000-0005-0000-0000-000009300000}"/>
    <cellStyle name="Percent 3 6 14 8 2" xfId="45235" xr:uid="{AFA0F9C0-F1CA-4C16-9CD2-A2C9A5A8E0EE}"/>
    <cellStyle name="Percent 3 6 14 9" xfId="8823" xr:uid="{00000000-0005-0000-0000-00000A300000}"/>
    <cellStyle name="Percent 3 6 14 9 2" xfId="45236" xr:uid="{B2CA91FC-4AAD-4C4A-81B7-DD6FDB001111}"/>
    <cellStyle name="Percent 3 6 15" xfId="2865" xr:uid="{00000000-0005-0000-0000-00000B300000}"/>
    <cellStyle name="Percent 3 6 15 10" xfId="45237" xr:uid="{F660DD40-BC5A-4F58-B56B-6E35A5936A18}"/>
    <cellStyle name="Percent 3 6 15 2" xfId="10383" xr:uid="{00000000-0005-0000-0000-00000C300000}"/>
    <cellStyle name="Percent 3 6 15 2 2" xfId="45238" xr:uid="{E9C4AD76-C010-4074-9930-BF5E4D85DEFB}"/>
    <cellStyle name="Percent 3 6 15 3" xfId="10384" xr:uid="{00000000-0005-0000-0000-00000D300000}"/>
    <cellStyle name="Percent 3 6 15 3 2" xfId="45239" xr:uid="{ED926841-9037-4A23-A821-AF59E9E445A3}"/>
    <cellStyle name="Percent 3 6 15 4" xfId="10385" xr:uid="{00000000-0005-0000-0000-00000E300000}"/>
    <cellStyle name="Percent 3 6 15 4 2" xfId="45240" xr:uid="{88EB182B-D4E2-461F-A218-2D7E250AF189}"/>
    <cellStyle name="Percent 3 6 15 5" xfId="10386" xr:uid="{00000000-0005-0000-0000-00000F300000}"/>
    <cellStyle name="Percent 3 6 15 5 2" xfId="45241" xr:uid="{245F2FE1-E368-4002-B340-8568A28B9DBF}"/>
    <cellStyle name="Percent 3 6 15 6" xfId="10387" xr:uid="{00000000-0005-0000-0000-000010300000}"/>
    <cellStyle name="Percent 3 6 15 6 2" xfId="45242" xr:uid="{FA8E2006-5C31-4A57-B7CB-4D6C9EE5F79A}"/>
    <cellStyle name="Percent 3 6 15 7" xfId="13004" xr:uid="{00000000-0005-0000-0000-000011300000}"/>
    <cellStyle name="Percent 3 6 15 7 2" xfId="45243" xr:uid="{CC3EB946-DB04-4B2D-8B3B-AC88FFE8C885}"/>
    <cellStyle name="Percent 3 6 15 8" xfId="12875" xr:uid="{00000000-0005-0000-0000-000012300000}"/>
    <cellStyle name="Percent 3 6 15 8 2" xfId="45244" xr:uid="{583DACE8-EFDE-4412-8830-2DEACCC92C06}"/>
    <cellStyle name="Percent 3 6 15 9" xfId="8824" xr:uid="{00000000-0005-0000-0000-000013300000}"/>
    <cellStyle name="Percent 3 6 15 9 2" xfId="45245" xr:uid="{2B86906E-887A-4440-A763-B5CCB410B52F}"/>
    <cellStyle name="Percent 3 6 16" xfId="10388" xr:uid="{00000000-0005-0000-0000-000014300000}"/>
    <cellStyle name="Percent 3 6 16 2" xfId="45246" xr:uid="{A50A7629-6448-4CD2-99A2-A1AD674FB2CF}"/>
    <cellStyle name="Percent 3 6 17" xfId="10389" xr:uid="{00000000-0005-0000-0000-000015300000}"/>
    <cellStyle name="Percent 3 6 17 2" xfId="45247" xr:uid="{E1910EA3-83EF-4D59-9A0D-D38C02E6961D}"/>
    <cellStyle name="Percent 3 6 18" xfId="10390" xr:uid="{00000000-0005-0000-0000-000016300000}"/>
    <cellStyle name="Percent 3 6 18 2" xfId="45248" xr:uid="{6671E377-3617-47AD-A926-0A7CD6435F03}"/>
    <cellStyle name="Percent 3 6 19" xfId="10391" xr:uid="{00000000-0005-0000-0000-000017300000}"/>
    <cellStyle name="Percent 3 6 19 2" xfId="45249" xr:uid="{4EE90017-4704-4F17-8B63-53384C964A27}"/>
    <cellStyle name="Percent 3 6 2" xfId="2866" xr:uid="{00000000-0005-0000-0000-000018300000}"/>
    <cellStyle name="Percent 3 6 2 10" xfId="45250" xr:uid="{3850DCEF-12DA-4DA8-BECD-C2D2018DAE3C}"/>
    <cellStyle name="Percent 3 6 2 2" xfId="10392" xr:uid="{00000000-0005-0000-0000-000019300000}"/>
    <cellStyle name="Percent 3 6 2 2 2" xfId="45251" xr:uid="{613000E7-56E3-4CEF-9DB4-E80D5B809F8F}"/>
    <cellStyle name="Percent 3 6 2 3" xfId="10393" xr:uid="{00000000-0005-0000-0000-00001A300000}"/>
    <cellStyle name="Percent 3 6 2 3 2" xfId="45252" xr:uid="{6C7A9C88-B6FB-4B60-ABB3-2D8B3223A275}"/>
    <cellStyle name="Percent 3 6 2 4" xfId="10394" xr:uid="{00000000-0005-0000-0000-00001B300000}"/>
    <cellStyle name="Percent 3 6 2 4 2" xfId="45253" xr:uid="{876AB0D9-A1BD-4F0E-B70E-643AED67A6D4}"/>
    <cellStyle name="Percent 3 6 2 5" xfId="10395" xr:uid="{00000000-0005-0000-0000-00001C300000}"/>
    <cellStyle name="Percent 3 6 2 5 2" xfId="45254" xr:uid="{10058D6D-1914-467A-8EAD-73A926327DDA}"/>
    <cellStyle name="Percent 3 6 2 6" xfId="10396" xr:uid="{00000000-0005-0000-0000-00001D300000}"/>
    <cellStyle name="Percent 3 6 2 6 2" xfId="45255" xr:uid="{0413FDB6-9C0D-4F74-B066-E144B1B3C988}"/>
    <cellStyle name="Percent 3 6 2 7" xfId="13005" xr:uid="{00000000-0005-0000-0000-00001E300000}"/>
    <cellStyle name="Percent 3 6 2 7 2" xfId="45256" xr:uid="{99CEABFD-5839-43C5-8806-A1D574DB36F0}"/>
    <cellStyle name="Percent 3 6 2 8" xfId="16513" xr:uid="{00000000-0005-0000-0000-00001F300000}"/>
    <cellStyle name="Percent 3 6 2 8 2" xfId="45257" xr:uid="{E9F1EDC3-C4B4-4071-B867-245FA342B704}"/>
    <cellStyle name="Percent 3 6 2 9" xfId="8825" xr:uid="{00000000-0005-0000-0000-000020300000}"/>
    <cellStyle name="Percent 3 6 2 9 2" xfId="45258" xr:uid="{0556BDA4-9FB3-479E-BA65-662ED197E155}"/>
    <cellStyle name="Percent 3 6 20" xfId="10397" xr:uid="{00000000-0005-0000-0000-000021300000}"/>
    <cellStyle name="Percent 3 6 20 2" xfId="45259" xr:uid="{A7E2623A-8C5A-404A-935A-719A609605CB}"/>
    <cellStyle name="Percent 3 6 21" xfId="12219" xr:uid="{00000000-0005-0000-0000-000022300000}"/>
    <cellStyle name="Percent 3 6 21 2" xfId="45260" xr:uid="{4C1645CD-A443-4175-87D4-8BB11FDCC9C6}"/>
    <cellStyle name="Percent 3 6 22" xfId="12428" xr:uid="{00000000-0005-0000-0000-000023300000}"/>
    <cellStyle name="Percent 3 6 22 2" xfId="45261" xr:uid="{F97482F0-85D4-4710-A09D-683123D763E3}"/>
    <cellStyle name="Percent 3 6 23" xfId="8818" xr:uid="{00000000-0005-0000-0000-000024300000}"/>
    <cellStyle name="Percent 3 6 23 2" xfId="45262" xr:uid="{16C14913-F0F1-40A2-BE48-9C168B76D6F6}"/>
    <cellStyle name="Percent 3 6 24" xfId="45191" xr:uid="{78FD63D6-351C-41B9-A759-D2A297850F2F}"/>
    <cellStyle name="Percent 3 6 3" xfId="2867" xr:uid="{00000000-0005-0000-0000-000025300000}"/>
    <cellStyle name="Percent 3 6 3 10" xfId="45263" xr:uid="{DACBA41F-D33E-4046-B57D-741FF0B482CE}"/>
    <cellStyle name="Percent 3 6 3 2" xfId="10398" xr:uid="{00000000-0005-0000-0000-000026300000}"/>
    <cellStyle name="Percent 3 6 3 2 2" xfId="45264" xr:uid="{8814B922-ADDC-4543-A3BA-1C9799427029}"/>
    <cellStyle name="Percent 3 6 3 3" xfId="10399" xr:uid="{00000000-0005-0000-0000-000027300000}"/>
    <cellStyle name="Percent 3 6 3 3 2" xfId="45265" xr:uid="{B2CB2A74-311A-4F30-8346-743DAF63D0D4}"/>
    <cellStyle name="Percent 3 6 3 4" xfId="10400" xr:uid="{00000000-0005-0000-0000-000028300000}"/>
    <cellStyle name="Percent 3 6 3 4 2" xfId="45266" xr:uid="{BB37A705-943B-422B-BEC8-5004F46889BB}"/>
    <cellStyle name="Percent 3 6 3 5" xfId="10401" xr:uid="{00000000-0005-0000-0000-000029300000}"/>
    <cellStyle name="Percent 3 6 3 5 2" xfId="45267" xr:uid="{F0F2376C-EED1-4C39-BEF5-0FB0BF1A7886}"/>
    <cellStyle name="Percent 3 6 3 6" xfId="10402" xr:uid="{00000000-0005-0000-0000-00002A300000}"/>
    <cellStyle name="Percent 3 6 3 6 2" xfId="45268" xr:uid="{7C757408-C15D-43D4-BFF7-9D5D6FD95427}"/>
    <cellStyle name="Percent 3 6 3 7" xfId="13006" xr:uid="{00000000-0005-0000-0000-00002B300000}"/>
    <cellStyle name="Percent 3 6 3 7 2" xfId="45269" xr:uid="{16443362-181D-4E00-8EF6-90CB18F95D47}"/>
    <cellStyle name="Percent 3 6 3 8" xfId="13820" xr:uid="{00000000-0005-0000-0000-00002C300000}"/>
    <cellStyle name="Percent 3 6 3 8 2" xfId="45270" xr:uid="{FD71047E-DDF1-4108-BBF1-F44A74AFF353}"/>
    <cellStyle name="Percent 3 6 3 9" xfId="8826" xr:uid="{00000000-0005-0000-0000-00002D300000}"/>
    <cellStyle name="Percent 3 6 3 9 2" xfId="45271" xr:uid="{4FD35D22-3E25-45C9-A24A-26EBE382541F}"/>
    <cellStyle name="Percent 3 6 4" xfId="2868" xr:uid="{00000000-0005-0000-0000-00002E300000}"/>
    <cellStyle name="Percent 3 6 4 10" xfId="45272" xr:uid="{0D0AA9CE-4538-487E-B78D-FF156AA632B3}"/>
    <cellStyle name="Percent 3 6 4 2" xfId="10403" xr:uid="{00000000-0005-0000-0000-00002F300000}"/>
    <cellStyle name="Percent 3 6 4 2 2" xfId="45273" xr:uid="{494050F7-2A7C-48E4-A545-44A1AEBF6F6C}"/>
    <cellStyle name="Percent 3 6 4 3" xfId="10404" xr:uid="{00000000-0005-0000-0000-000030300000}"/>
    <cellStyle name="Percent 3 6 4 3 2" xfId="45274" xr:uid="{F51F9FA1-7445-4DE5-97FB-935FE66F64B7}"/>
    <cellStyle name="Percent 3 6 4 4" xfId="10405" xr:uid="{00000000-0005-0000-0000-000031300000}"/>
    <cellStyle name="Percent 3 6 4 4 2" xfId="45275" xr:uid="{8DFB768E-1C3A-4D4D-928E-6458D6A9374D}"/>
    <cellStyle name="Percent 3 6 4 5" xfId="10406" xr:uid="{00000000-0005-0000-0000-000032300000}"/>
    <cellStyle name="Percent 3 6 4 5 2" xfId="45276" xr:uid="{9095FAA7-AEBE-4C03-AC42-5ED0B82D5028}"/>
    <cellStyle name="Percent 3 6 4 6" xfId="10407" xr:uid="{00000000-0005-0000-0000-000033300000}"/>
    <cellStyle name="Percent 3 6 4 6 2" xfId="45277" xr:uid="{A3495E1B-28DD-4693-8257-0D7A18577C6D}"/>
    <cellStyle name="Percent 3 6 4 7" xfId="13007" xr:uid="{00000000-0005-0000-0000-000034300000}"/>
    <cellStyle name="Percent 3 6 4 7 2" xfId="45278" xr:uid="{BB6798D4-266D-4539-BADD-FC6602E101D3}"/>
    <cellStyle name="Percent 3 6 4 8" xfId="12649" xr:uid="{00000000-0005-0000-0000-000035300000}"/>
    <cellStyle name="Percent 3 6 4 8 2" xfId="45279" xr:uid="{8A1FD972-3375-4FBA-B50B-047F7422AC5C}"/>
    <cellStyle name="Percent 3 6 4 9" xfId="8827" xr:uid="{00000000-0005-0000-0000-000036300000}"/>
    <cellStyle name="Percent 3 6 4 9 2" xfId="45280" xr:uid="{3C16C49A-A5DB-4B04-A9D6-1AC09FCDE975}"/>
    <cellStyle name="Percent 3 6 5" xfId="2869" xr:uid="{00000000-0005-0000-0000-000037300000}"/>
    <cellStyle name="Percent 3 6 5 10" xfId="45281" xr:uid="{B5E17AD8-3C0C-46CA-A726-698F71C5ADE5}"/>
    <cellStyle name="Percent 3 6 5 2" xfId="10408" xr:uid="{00000000-0005-0000-0000-000038300000}"/>
    <cellStyle name="Percent 3 6 5 2 2" xfId="45282" xr:uid="{F254E88D-66EB-458E-944F-09C296920418}"/>
    <cellStyle name="Percent 3 6 5 3" xfId="10409" xr:uid="{00000000-0005-0000-0000-000039300000}"/>
    <cellStyle name="Percent 3 6 5 3 2" xfId="45283" xr:uid="{6FF609AE-FFA6-4F10-84A0-F1DD75268616}"/>
    <cellStyle name="Percent 3 6 5 4" xfId="10410" xr:uid="{00000000-0005-0000-0000-00003A300000}"/>
    <cellStyle name="Percent 3 6 5 4 2" xfId="45284" xr:uid="{E2E02889-D94A-4ED9-94E6-C2498BB8BA47}"/>
    <cellStyle name="Percent 3 6 5 5" xfId="10411" xr:uid="{00000000-0005-0000-0000-00003B300000}"/>
    <cellStyle name="Percent 3 6 5 5 2" xfId="45285" xr:uid="{DC0BEFC5-CC26-4D57-B3A3-6979C055C2F4}"/>
    <cellStyle name="Percent 3 6 5 6" xfId="10412" xr:uid="{00000000-0005-0000-0000-00003C300000}"/>
    <cellStyle name="Percent 3 6 5 6 2" xfId="45286" xr:uid="{ACB9A1D7-93AA-47A8-8ED4-35D1987CFE02}"/>
    <cellStyle name="Percent 3 6 5 7" xfId="13008" xr:uid="{00000000-0005-0000-0000-00003D300000}"/>
    <cellStyle name="Percent 3 6 5 7 2" xfId="45287" xr:uid="{5B335394-C675-4EAD-AF97-5B8A50741278}"/>
    <cellStyle name="Percent 3 6 5 8" xfId="12761" xr:uid="{00000000-0005-0000-0000-00003E300000}"/>
    <cellStyle name="Percent 3 6 5 8 2" xfId="45288" xr:uid="{01D8C10C-6998-458C-85FA-43CAE266B523}"/>
    <cellStyle name="Percent 3 6 5 9" xfId="8828" xr:uid="{00000000-0005-0000-0000-00003F300000}"/>
    <cellStyle name="Percent 3 6 5 9 2" xfId="45289" xr:uid="{1B2A7573-0214-477E-9DA1-0E3DD0662A0D}"/>
    <cellStyle name="Percent 3 6 6" xfId="2870" xr:uid="{00000000-0005-0000-0000-000040300000}"/>
    <cellStyle name="Percent 3 6 6 10" xfId="45290" xr:uid="{607D96A0-B709-4C6A-8321-8D707170D0F2}"/>
    <cellStyle name="Percent 3 6 6 2" xfId="10413" xr:uid="{00000000-0005-0000-0000-000041300000}"/>
    <cellStyle name="Percent 3 6 6 2 2" xfId="45291" xr:uid="{F5EC9769-D94E-467E-BBB1-C87E308F65CD}"/>
    <cellStyle name="Percent 3 6 6 3" xfId="10414" xr:uid="{00000000-0005-0000-0000-000042300000}"/>
    <cellStyle name="Percent 3 6 6 3 2" xfId="45292" xr:uid="{DAB89CF1-0F81-4A4C-B09C-D59B25B3503F}"/>
    <cellStyle name="Percent 3 6 6 4" xfId="10415" xr:uid="{00000000-0005-0000-0000-000043300000}"/>
    <cellStyle name="Percent 3 6 6 4 2" xfId="45293" xr:uid="{57091D2C-EE3D-40A1-A874-1CA9EBAE74F9}"/>
    <cellStyle name="Percent 3 6 6 5" xfId="10416" xr:uid="{00000000-0005-0000-0000-000044300000}"/>
    <cellStyle name="Percent 3 6 6 5 2" xfId="45294" xr:uid="{B8B78925-8D29-48E9-8A89-D513B96C99E1}"/>
    <cellStyle name="Percent 3 6 6 6" xfId="10417" xr:uid="{00000000-0005-0000-0000-000045300000}"/>
    <cellStyle name="Percent 3 6 6 6 2" xfId="45295" xr:uid="{98CB9B46-6DC8-4146-8CBE-F069262C6F92}"/>
    <cellStyle name="Percent 3 6 6 7" xfId="13009" xr:uid="{00000000-0005-0000-0000-000046300000}"/>
    <cellStyle name="Percent 3 6 6 7 2" xfId="45296" xr:uid="{BAA9988C-22AF-41A8-A23C-050800EE6DB2}"/>
    <cellStyle name="Percent 3 6 6 8" xfId="16315" xr:uid="{00000000-0005-0000-0000-000047300000}"/>
    <cellStyle name="Percent 3 6 6 8 2" xfId="45297" xr:uid="{02DC9243-6BFD-407A-A860-82ACC4DFA1EE}"/>
    <cellStyle name="Percent 3 6 6 9" xfId="8829" xr:uid="{00000000-0005-0000-0000-000048300000}"/>
    <cellStyle name="Percent 3 6 6 9 2" xfId="45298" xr:uid="{12474A19-E044-4B9D-81B7-77F6C313AFB6}"/>
    <cellStyle name="Percent 3 6 7" xfId="2871" xr:uid="{00000000-0005-0000-0000-000049300000}"/>
    <cellStyle name="Percent 3 6 7 10" xfId="45299" xr:uid="{4675E7D6-5988-497C-861B-73799320BD62}"/>
    <cellStyle name="Percent 3 6 7 2" xfId="10418" xr:uid="{00000000-0005-0000-0000-00004A300000}"/>
    <cellStyle name="Percent 3 6 7 2 2" xfId="45300" xr:uid="{B68310E5-DBFA-43A8-922B-3AFA5235A3C1}"/>
    <cellStyle name="Percent 3 6 7 3" xfId="10419" xr:uid="{00000000-0005-0000-0000-00004B300000}"/>
    <cellStyle name="Percent 3 6 7 3 2" xfId="45301" xr:uid="{BB858F04-DEA4-4141-BFA6-98EE9CC8F447}"/>
    <cellStyle name="Percent 3 6 7 4" xfId="10420" xr:uid="{00000000-0005-0000-0000-00004C300000}"/>
    <cellStyle name="Percent 3 6 7 4 2" xfId="45302" xr:uid="{EFAF45BA-7E8B-44E0-B4E0-D82927EF56A4}"/>
    <cellStyle name="Percent 3 6 7 5" xfId="10421" xr:uid="{00000000-0005-0000-0000-00004D300000}"/>
    <cellStyle name="Percent 3 6 7 5 2" xfId="45303" xr:uid="{81CE3092-F3D3-48F6-A9E1-1F364990C407}"/>
    <cellStyle name="Percent 3 6 7 6" xfId="10422" xr:uid="{00000000-0005-0000-0000-00004E300000}"/>
    <cellStyle name="Percent 3 6 7 6 2" xfId="45304" xr:uid="{24905592-E7D1-4C5E-9BFE-F7B6F917B5B4}"/>
    <cellStyle name="Percent 3 6 7 7" xfId="13010" xr:uid="{00000000-0005-0000-0000-00004F300000}"/>
    <cellStyle name="Percent 3 6 7 7 2" xfId="45305" xr:uid="{0AD6C6BF-F8F0-4D54-9CAF-1304442C865C}"/>
    <cellStyle name="Percent 3 6 7 8" xfId="16682" xr:uid="{00000000-0005-0000-0000-000050300000}"/>
    <cellStyle name="Percent 3 6 7 8 2" xfId="45306" xr:uid="{7B51469F-64CD-4CF6-ACA2-2A7F3C56E3F2}"/>
    <cellStyle name="Percent 3 6 7 9" xfId="8830" xr:uid="{00000000-0005-0000-0000-000051300000}"/>
    <cellStyle name="Percent 3 6 7 9 2" xfId="45307" xr:uid="{DB28D2E2-3E2B-4217-9EA8-B61B5EB5230F}"/>
    <cellStyle name="Percent 3 6 8" xfId="2872" xr:uid="{00000000-0005-0000-0000-000052300000}"/>
    <cellStyle name="Percent 3 6 8 10" xfId="45308" xr:uid="{222A360E-FBF8-4110-8B4F-CA3C1C1301CE}"/>
    <cellStyle name="Percent 3 6 8 2" xfId="10423" xr:uid="{00000000-0005-0000-0000-000053300000}"/>
    <cellStyle name="Percent 3 6 8 2 2" xfId="45309" xr:uid="{A93F018C-7129-4B16-95FB-F6B2AF4261EC}"/>
    <cellStyle name="Percent 3 6 8 3" xfId="10424" xr:uid="{00000000-0005-0000-0000-000054300000}"/>
    <cellStyle name="Percent 3 6 8 3 2" xfId="45310" xr:uid="{9C7F220C-B3FA-494C-BC88-7D0D930B8118}"/>
    <cellStyle name="Percent 3 6 8 4" xfId="10425" xr:uid="{00000000-0005-0000-0000-000055300000}"/>
    <cellStyle name="Percent 3 6 8 4 2" xfId="45311" xr:uid="{1D88E76D-B20E-472A-BE61-DC1DC647D5DC}"/>
    <cellStyle name="Percent 3 6 8 5" xfId="10426" xr:uid="{00000000-0005-0000-0000-000056300000}"/>
    <cellStyle name="Percent 3 6 8 5 2" xfId="45312" xr:uid="{3741EC6D-E63C-45C6-B12B-166ABECA2EA0}"/>
    <cellStyle name="Percent 3 6 8 6" xfId="10427" xr:uid="{00000000-0005-0000-0000-000057300000}"/>
    <cellStyle name="Percent 3 6 8 6 2" xfId="45313" xr:uid="{C245F139-3472-4CDA-95A0-403C815B9CA9}"/>
    <cellStyle name="Percent 3 6 8 7" xfId="13011" xr:uid="{00000000-0005-0000-0000-000058300000}"/>
    <cellStyle name="Percent 3 6 8 7 2" xfId="45314" xr:uid="{A5E8C0E0-8416-4759-917F-903C04F75EAB}"/>
    <cellStyle name="Percent 3 6 8 8" xfId="13710" xr:uid="{00000000-0005-0000-0000-000059300000}"/>
    <cellStyle name="Percent 3 6 8 8 2" xfId="45315" xr:uid="{CF3A997F-EC4B-48FB-BA21-BA7193BD08D9}"/>
    <cellStyle name="Percent 3 6 8 9" xfId="8831" xr:uid="{00000000-0005-0000-0000-00005A300000}"/>
    <cellStyle name="Percent 3 6 8 9 2" xfId="45316" xr:uid="{79A8C25D-0084-4E28-AFA8-F89D9E207615}"/>
    <cellStyle name="Percent 3 6 9" xfId="2873" xr:uid="{00000000-0005-0000-0000-00005B300000}"/>
    <cellStyle name="Percent 3 6 9 10" xfId="45317" xr:uid="{5ED5A2A1-00D5-4D17-AB3F-217D7B33F2BB}"/>
    <cellStyle name="Percent 3 6 9 2" xfId="10428" xr:uid="{00000000-0005-0000-0000-00005C300000}"/>
    <cellStyle name="Percent 3 6 9 2 2" xfId="45318" xr:uid="{123F652E-12CC-45FD-985C-EB418A735966}"/>
    <cellStyle name="Percent 3 6 9 3" xfId="10429" xr:uid="{00000000-0005-0000-0000-00005D300000}"/>
    <cellStyle name="Percent 3 6 9 3 2" xfId="45319" xr:uid="{6887E3EA-C0ED-4C96-A9F0-9D76DAF70661}"/>
    <cellStyle name="Percent 3 6 9 4" xfId="10430" xr:uid="{00000000-0005-0000-0000-00005E300000}"/>
    <cellStyle name="Percent 3 6 9 4 2" xfId="45320" xr:uid="{9CAC0A2E-5534-4B1D-A501-0CD86D16D086}"/>
    <cellStyle name="Percent 3 6 9 5" xfId="10431" xr:uid="{00000000-0005-0000-0000-00005F300000}"/>
    <cellStyle name="Percent 3 6 9 5 2" xfId="45321" xr:uid="{348005C4-70A3-4458-A683-4B220F2EDAA3}"/>
    <cellStyle name="Percent 3 6 9 6" xfId="10432" xr:uid="{00000000-0005-0000-0000-000060300000}"/>
    <cellStyle name="Percent 3 6 9 6 2" xfId="45322" xr:uid="{7DCA764E-9EE1-46AC-8323-4B1FC06A4C1A}"/>
    <cellStyle name="Percent 3 6 9 7" xfId="13012" xr:uid="{00000000-0005-0000-0000-000061300000}"/>
    <cellStyle name="Percent 3 6 9 7 2" xfId="45323" xr:uid="{EF39CE87-88FD-46AE-870F-F2F53FB090DF}"/>
    <cellStyle name="Percent 3 6 9 8" xfId="12909" xr:uid="{00000000-0005-0000-0000-000062300000}"/>
    <cellStyle name="Percent 3 6 9 8 2" xfId="45324" xr:uid="{53305167-E98F-4E95-938D-406C340FFA82}"/>
    <cellStyle name="Percent 3 6 9 9" xfId="8832" xr:uid="{00000000-0005-0000-0000-000063300000}"/>
    <cellStyle name="Percent 3 6 9 9 2" xfId="45325" xr:uid="{D79F91CB-5544-40D2-9570-F9527DCD4A63}"/>
    <cellStyle name="Percent 3 7" xfId="235" xr:uid="{00000000-0005-0000-0000-000064300000}"/>
    <cellStyle name="Percent 3 7 10" xfId="2874" xr:uid="{00000000-0005-0000-0000-000065300000}"/>
    <cellStyle name="Percent 3 7 10 10" xfId="45327" xr:uid="{3F029658-4085-4A44-8CC7-F29F0202C198}"/>
    <cellStyle name="Percent 3 7 10 2" xfId="10433" xr:uid="{00000000-0005-0000-0000-000066300000}"/>
    <cellStyle name="Percent 3 7 10 2 2" xfId="45328" xr:uid="{8B5D33F4-1772-496D-ABC6-38D0BF5298B2}"/>
    <cellStyle name="Percent 3 7 10 3" xfId="10434" xr:uid="{00000000-0005-0000-0000-000067300000}"/>
    <cellStyle name="Percent 3 7 10 3 2" xfId="45329" xr:uid="{FAB8A4AD-94E1-468B-8664-A49BB21416CA}"/>
    <cellStyle name="Percent 3 7 10 4" xfId="10435" xr:uid="{00000000-0005-0000-0000-000068300000}"/>
    <cellStyle name="Percent 3 7 10 4 2" xfId="45330" xr:uid="{2618FF6E-8709-4C29-BE5A-C7569974F078}"/>
    <cellStyle name="Percent 3 7 10 5" xfId="10436" xr:uid="{00000000-0005-0000-0000-000069300000}"/>
    <cellStyle name="Percent 3 7 10 5 2" xfId="45331" xr:uid="{9B9D1CA0-A04F-46A5-AC78-33B15066D359}"/>
    <cellStyle name="Percent 3 7 10 6" xfId="10437" xr:uid="{00000000-0005-0000-0000-00006A300000}"/>
    <cellStyle name="Percent 3 7 10 6 2" xfId="45332" xr:uid="{5F999AD7-020A-46BD-88F9-EC9E3A1E574A}"/>
    <cellStyle name="Percent 3 7 10 7" xfId="13013" xr:uid="{00000000-0005-0000-0000-00006B300000}"/>
    <cellStyle name="Percent 3 7 10 7 2" xfId="45333" xr:uid="{0BE47838-92F9-48A7-8AD8-A904CECD0A1B}"/>
    <cellStyle name="Percent 3 7 10 8" xfId="12735" xr:uid="{00000000-0005-0000-0000-00006C300000}"/>
    <cellStyle name="Percent 3 7 10 8 2" xfId="45334" xr:uid="{6383D3FC-177F-4AE3-A11C-B63F941FA56C}"/>
    <cellStyle name="Percent 3 7 10 9" xfId="8834" xr:uid="{00000000-0005-0000-0000-00006D300000}"/>
    <cellStyle name="Percent 3 7 10 9 2" xfId="45335" xr:uid="{43D212CE-C9CA-45FA-A1D5-FBCE5D8AE874}"/>
    <cellStyle name="Percent 3 7 11" xfId="2875" xr:uid="{00000000-0005-0000-0000-00006E300000}"/>
    <cellStyle name="Percent 3 7 11 10" xfId="45336" xr:uid="{9A877F74-6865-4867-92FB-E2ECFBDBD0D5}"/>
    <cellStyle name="Percent 3 7 11 2" xfId="10438" xr:uid="{00000000-0005-0000-0000-00006F300000}"/>
    <cellStyle name="Percent 3 7 11 2 2" xfId="45337" xr:uid="{9011FF61-561B-4F9A-9336-23D68D2B96F6}"/>
    <cellStyle name="Percent 3 7 11 3" xfId="10439" xr:uid="{00000000-0005-0000-0000-000070300000}"/>
    <cellStyle name="Percent 3 7 11 3 2" xfId="45338" xr:uid="{67B3D8C4-E1D2-42D8-A9B8-567C2E67AF58}"/>
    <cellStyle name="Percent 3 7 11 4" xfId="10440" xr:uid="{00000000-0005-0000-0000-000071300000}"/>
    <cellStyle name="Percent 3 7 11 4 2" xfId="45339" xr:uid="{C66BED6D-036E-4EAB-B582-11916A9EA550}"/>
    <cellStyle name="Percent 3 7 11 5" xfId="10441" xr:uid="{00000000-0005-0000-0000-000072300000}"/>
    <cellStyle name="Percent 3 7 11 5 2" xfId="45340" xr:uid="{27BC4196-7EAF-46C9-855A-281C938A48B9}"/>
    <cellStyle name="Percent 3 7 11 6" xfId="10442" xr:uid="{00000000-0005-0000-0000-000073300000}"/>
    <cellStyle name="Percent 3 7 11 6 2" xfId="45341" xr:uid="{DBAB78AB-B62E-495F-9D3D-849A8364C799}"/>
    <cellStyle name="Percent 3 7 11 7" xfId="13014" xr:uid="{00000000-0005-0000-0000-000074300000}"/>
    <cellStyle name="Percent 3 7 11 7 2" xfId="45342" xr:uid="{A7343D4F-FA4C-4FB5-A631-CBEC213A8E97}"/>
    <cellStyle name="Percent 3 7 11 8" xfId="16174" xr:uid="{00000000-0005-0000-0000-000075300000}"/>
    <cellStyle name="Percent 3 7 11 8 2" xfId="45343" xr:uid="{D8B7505C-0E58-4F34-9C95-DAAA3C88F2CD}"/>
    <cellStyle name="Percent 3 7 11 9" xfId="8835" xr:uid="{00000000-0005-0000-0000-000076300000}"/>
    <cellStyle name="Percent 3 7 11 9 2" xfId="45344" xr:uid="{C1888209-EFB0-4B35-874A-44DED7B7CA19}"/>
    <cellStyle name="Percent 3 7 12" xfId="2876" xr:uid="{00000000-0005-0000-0000-000077300000}"/>
    <cellStyle name="Percent 3 7 12 10" xfId="45345" xr:uid="{9CC5023E-8998-49D2-B469-CAFB2A43D3D0}"/>
    <cellStyle name="Percent 3 7 12 2" xfId="10443" xr:uid="{00000000-0005-0000-0000-000078300000}"/>
    <cellStyle name="Percent 3 7 12 2 2" xfId="45346" xr:uid="{067D9532-9FEE-4D3B-BCF4-29F226B54D4A}"/>
    <cellStyle name="Percent 3 7 12 3" xfId="10444" xr:uid="{00000000-0005-0000-0000-000079300000}"/>
    <cellStyle name="Percent 3 7 12 3 2" xfId="45347" xr:uid="{B043F242-0202-4DCD-8EB7-157611BDA6DA}"/>
    <cellStyle name="Percent 3 7 12 4" xfId="10445" xr:uid="{00000000-0005-0000-0000-00007A300000}"/>
    <cellStyle name="Percent 3 7 12 4 2" xfId="45348" xr:uid="{CCC28208-981D-4BC6-B4D0-5FB8F75E0C34}"/>
    <cellStyle name="Percent 3 7 12 5" xfId="10446" xr:uid="{00000000-0005-0000-0000-00007B300000}"/>
    <cellStyle name="Percent 3 7 12 5 2" xfId="45349" xr:uid="{C437DE2A-0DC1-4F8A-85A1-BA7AE0B6D0A7}"/>
    <cellStyle name="Percent 3 7 12 6" xfId="10447" xr:uid="{00000000-0005-0000-0000-00007C300000}"/>
    <cellStyle name="Percent 3 7 12 6 2" xfId="45350" xr:uid="{66380B94-B20F-4291-99C4-EA110A244BA1}"/>
    <cellStyle name="Percent 3 7 12 7" xfId="13015" xr:uid="{00000000-0005-0000-0000-00007D300000}"/>
    <cellStyle name="Percent 3 7 12 7 2" xfId="45351" xr:uid="{1930F775-C795-4557-A712-493088DA11F9}"/>
    <cellStyle name="Percent 3 7 12 8" xfId="16311" xr:uid="{00000000-0005-0000-0000-00007E300000}"/>
    <cellStyle name="Percent 3 7 12 8 2" xfId="45352" xr:uid="{326FBFE9-76EB-43D2-A5EF-4BDCABD94B03}"/>
    <cellStyle name="Percent 3 7 12 9" xfId="8836" xr:uid="{00000000-0005-0000-0000-00007F300000}"/>
    <cellStyle name="Percent 3 7 12 9 2" xfId="45353" xr:uid="{91AD4AE2-6B1A-43E5-95FA-7F09765BC3D7}"/>
    <cellStyle name="Percent 3 7 13" xfId="2877" xr:uid="{00000000-0005-0000-0000-000080300000}"/>
    <cellStyle name="Percent 3 7 13 10" xfId="45354" xr:uid="{472D234A-24E9-4541-B620-4B4720BD4C61}"/>
    <cellStyle name="Percent 3 7 13 2" xfId="10448" xr:uid="{00000000-0005-0000-0000-000081300000}"/>
    <cellStyle name="Percent 3 7 13 2 2" xfId="45355" xr:uid="{3DD208C8-2CE8-4C9E-8468-2F6B2FF20B7D}"/>
    <cellStyle name="Percent 3 7 13 3" xfId="10449" xr:uid="{00000000-0005-0000-0000-000082300000}"/>
    <cellStyle name="Percent 3 7 13 3 2" xfId="45356" xr:uid="{4C2049A8-33DB-4593-BC71-8235804A1DD1}"/>
    <cellStyle name="Percent 3 7 13 4" xfId="10450" xr:uid="{00000000-0005-0000-0000-000083300000}"/>
    <cellStyle name="Percent 3 7 13 4 2" xfId="45357" xr:uid="{D81C6A49-5953-4BD9-8E87-CF97A48F092A}"/>
    <cellStyle name="Percent 3 7 13 5" xfId="10451" xr:uid="{00000000-0005-0000-0000-000084300000}"/>
    <cellStyle name="Percent 3 7 13 5 2" xfId="45358" xr:uid="{4D757315-BC09-4E11-B797-E90C3684A8D6}"/>
    <cellStyle name="Percent 3 7 13 6" xfId="10452" xr:uid="{00000000-0005-0000-0000-000085300000}"/>
    <cellStyle name="Percent 3 7 13 6 2" xfId="45359" xr:uid="{C1599807-2091-4B70-B3E5-5DF405154ADB}"/>
    <cellStyle name="Percent 3 7 13 7" xfId="13016" xr:uid="{00000000-0005-0000-0000-000086300000}"/>
    <cellStyle name="Percent 3 7 13 7 2" xfId="45360" xr:uid="{4D9F0E39-3B23-4D25-BF24-1CDEC0BB24BC}"/>
    <cellStyle name="Percent 3 7 13 8" xfId="13506" xr:uid="{00000000-0005-0000-0000-000087300000}"/>
    <cellStyle name="Percent 3 7 13 8 2" xfId="45361" xr:uid="{160D8148-58A5-45C4-AF84-AE6F0231A5F2}"/>
    <cellStyle name="Percent 3 7 13 9" xfId="8837" xr:uid="{00000000-0005-0000-0000-000088300000}"/>
    <cellStyle name="Percent 3 7 13 9 2" xfId="45362" xr:uid="{EA0D48BD-78EC-46DD-98A4-8032CADD8868}"/>
    <cellStyle name="Percent 3 7 14" xfId="2878" xr:uid="{00000000-0005-0000-0000-000089300000}"/>
    <cellStyle name="Percent 3 7 14 10" xfId="45363" xr:uid="{C470517A-493F-44E1-9E4A-A2EB4EB80D82}"/>
    <cellStyle name="Percent 3 7 14 2" xfId="10453" xr:uid="{00000000-0005-0000-0000-00008A300000}"/>
    <cellStyle name="Percent 3 7 14 2 2" xfId="45364" xr:uid="{D8FE3B3D-5E76-4346-AB63-AF64FAAA34AE}"/>
    <cellStyle name="Percent 3 7 14 3" xfId="10454" xr:uid="{00000000-0005-0000-0000-00008B300000}"/>
    <cellStyle name="Percent 3 7 14 3 2" xfId="45365" xr:uid="{A03FF338-8C37-433D-A315-72CD1F4CCA52}"/>
    <cellStyle name="Percent 3 7 14 4" xfId="10455" xr:uid="{00000000-0005-0000-0000-00008C300000}"/>
    <cellStyle name="Percent 3 7 14 4 2" xfId="45366" xr:uid="{2079C55A-2F9F-4AB2-BDF1-0F4C8F716AB4}"/>
    <cellStyle name="Percent 3 7 14 5" xfId="10456" xr:uid="{00000000-0005-0000-0000-00008D300000}"/>
    <cellStyle name="Percent 3 7 14 5 2" xfId="45367" xr:uid="{5121493F-C94C-478C-865E-6A913E10C776}"/>
    <cellStyle name="Percent 3 7 14 6" xfId="10457" xr:uid="{00000000-0005-0000-0000-00008E300000}"/>
    <cellStyle name="Percent 3 7 14 6 2" xfId="45368" xr:uid="{21485EDC-F4C2-4175-A8BA-4AA6BFBBB93F}"/>
    <cellStyle name="Percent 3 7 14 7" xfId="13017" xr:uid="{00000000-0005-0000-0000-00008F300000}"/>
    <cellStyle name="Percent 3 7 14 7 2" xfId="45369" xr:uid="{A6261532-A86B-4F91-945A-C507C582FA90}"/>
    <cellStyle name="Percent 3 7 14 8" xfId="16474" xr:uid="{00000000-0005-0000-0000-000090300000}"/>
    <cellStyle name="Percent 3 7 14 8 2" xfId="45370" xr:uid="{EF7F6148-5627-44AB-AFA1-7A3FC295618D}"/>
    <cellStyle name="Percent 3 7 14 9" xfId="8838" xr:uid="{00000000-0005-0000-0000-000091300000}"/>
    <cellStyle name="Percent 3 7 14 9 2" xfId="45371" xr:uid="{5427AB14-60F8-4BD4-95B1-D6EE7A8F37A1}"/>
    <cellStyle name="Percent 3 7 15" xfId="2879" xr:uid="{00000000-0005-0000-0000-000092300000}"/>
    <cellStyle name="Percent 3 7 15 10" xfId="45372" xr:uid="{A090746C-2C26-4715-8015-4B53EBF8D11C}"/>
    <cellStyle name="Percent 3 7 15 2" xfId="10458" xr:uid="{00000000-0005-0000-0000-000093300000}"/>
    <cellStyle name="Percent 3 7 15 2 2" xfId="45373" xr:uid="{369B9A5B-7C45-46D0-A272-8F75A8B6437A}"/>
    <cellStyle name="Percent 3 7 15 3" xfId="10459" xr:uid="{00000000-0005-0000-0000-000094300000}"/>
    <cellStyle name="Percent 3 7 15 3 2" xfId="45374" xr:uid="{7ECB1BE4-47CA-4770-BD61-86B6379C9E40}"/>
    <cellStyle name="Percent 3 7 15 4" xfId="10460" xr:uid="{00000000-0005-0000-0000-000095300000}"/>
    <cellStyle name="Percent 3 7 15 4 2" xfId="45375" xr:uid="{30CBF412-5E47-47C6-8615-B7AC3607FCEA}"/>
    <cellStyle name="Percent 3 7 15 5" xfId="10461" xr:uid="{00000000-0005-0000-0000-000096300000}"/>
    <cellStyle name="Percent 3 7 15 5 2" xfId="45376" xr:uid="{6603561B-FCB4-42F6-B1D4-D5FEE0923428}"/>
    <cellStyle name="Percent 3 7 15 6" xfId="10462" xr:uid="{00000000-0005-0000-0000-000097300000}"/>
    <cellStyle name="Percent 3 7 15 6 2" xfId="45377" xr:uid="{B004B183-3EAD-4ACA-B26F-C7DAA1E8A771}"/>
    <cellStyle name="Percent 3 7 15 7" xfId="13018" xr:uid="{00000000-0005-0000-0000-000098300000}"/>
    <cellStyle name="Percent 3 7 15 7 2" xfId="45378" xr:uid="{9AE26F1B-A4FA-4013-B25C-D84E344AD229}"/>
    <cellStyle name="Percent 3 7 15 8" xfId="13751" xr:uid="{00000000-0005-0000-0000-000099300000}"/>
    <cellStyle name="Percent 3 7 15 8 2" xfId="45379" xr:uid="{923A4583-8588-4E73-AB29-1F0334ACFF8B}"/>
    <cellStyle name="Percent 3 7 15 9" xfId="8839" xr:uid="{00000000-0005-0000-0000-00009A300000}"/>
    <cellStyle name="Percent 3 7 15 9 2" xfId="45380" xr:uid="{9826AE08-0CEC-4A0B-9E2A-11E2E064897B}"/>
    <cellStyle name="Percent 3 7 16" xfId="10463" xr:uid="{00000000-0005-0000-0000-00009B300000}"/>
    <cellStyle name="Percent 3 7 16 2" xfId="45381" xr:uid="{1852997B-E694-4AEF-8FDF-13774138E326}"/>
    <cellStyle name="Percent 3 7 17" xfId="10464" xr:uid="{00000000-0005-0000-0000-00009C300000}"/>
    <cellStyle name="Percent 3 7 17 2" xfId="45382" xr:uid="{049F7235-B2CB-4EC4-A0D7-7FDC5886FD26}"/>
    <cellStyle name="Percent 3 7 18" xfId="10465" xr:uid="{00000000-0005-0000-0000-00009D300000}"/>
    <cellStyle name="Percent 3 7 18 2" xfId="45383" xr:uid="{FA9319A0-AB08-4899-BAFA-DC0060E21856}"/>
    <cellStyle name="Percent 3 7 19" xfId="10466" xr:uid="{00000000-0005-0000-0000-00009E300000}"/>
    <cellStyle name="Percent 3 7 19 2" xfId="45384" xr:uid="{69C08819-F471-409A-AF46-EB88D1CFBDFC}"/>
    <cellStyle name="Percent 3 7 2" xfId="2880" xr:uid="{00000000-0005-0000-0000-00009F300000}"/>
    <cellStyle name="Percent 3 7 2 10" xfId="45385" xr:uid="{62063049-B8FA-447C-B300-39B281F9DC39}"/>
    <cellStyle name="Percent 3 7 2 2" xfId="10467" xr:uid="{00000000-0005-0000-0000-0000A0300000}"/>
    <cellStyle name="Percent 3 7 2 2 2" xfId="45386" xr:uid="{122084E4-14BD-4D9A-AB76-51F5FB6ABB48}"/>
    <cellStyle name="Percent 3 7 2 3" xfId="10468" xr:uid="{00000000-0005-0000-0000-0000A1300000}"/>
    <cellStyle name="Percent 3 7 2 3 2" xfId="45387" xr:uid="{928B89E0-7E28-4B55-95D2-C63E1007582F}"/>
    <cellStyle name="Percent 3 7 2 4" xfId="10469" xr:uid="{00000000-0005-0000-0000-0000A2300000}"/>
    <cellStyle name="Percent 3 7 2 4 2" xfId="45388" xr:uid="{81AE5267-353F-4098-90CE-3C0AC7689C7D}"/>
    <cellStyle name="Percent 3 7 2 5" xfId="10470" xr:uid="{00000000-0005-0000-0000-0000A3300000}"/>
    <cellStyle name="Percent 3 7 2 5 2" xfId="45389" xr:uid="{C8903125-C98C-4D70-8A67-003F7821C4D0}"/>
    <cellStyle name="Percent 3 7 2 6" xfId="10471" xr:uid="{00000000-0005-0000-0000-0000A4300000}"/>
    <cellStyle name="Percent 3 7 2 6 2" xfId="45390" xr:uid="{1EF1CC1D-3C89-49F9-8633-05FFCD1E2B5C}"/>
    <cellStyle name="Percent 3 7 2 7" xfId="13019" xr:uid="{00000000-0005-0000-0000-0000A5300000}"/>
    <cellStyle name="Percent 3 7 2 7 2" xfId="45391" xr:uid="{3FD80612-7D2D-42C2-A80C-8D2005C30EDD}"/>
    <cellStyle name="Percent 3 7 2 8" xfId="16395" xr:uid="{00000000-0005-0000-0000-0000A6300000}"/>
    <cellStyle name="Percent 3 7 2 8 2" xfId="45392" xr:uid="{4B604631-ADD2-40D7-BFEB-D2ECF3B267CE}"/>
    <cellStyle name="Percent 3 7 2 9" xfId="8840" xr:uid="{00000000-0005-0000-0000-0000A7300000}"/>
    <cellStyle name="Percent 3 7 2 9 2" xfId="45393" xr:uid="{CEA1AA99-0F05-4009-BC5C-5C337DE8F5AE}"/>
    <cellStyle name="Percent 3 7 20" xfId="10472" xr:uid="{00000000-0005-0000-0000-0000A8300000}"/>
    <cellStyle name="Percent 3 7 20 2" xfId="45394" xr:uid="{54FA2276-594A-4570-9A22-9F6EFDF16C22}"/>
    <cellStyle name="Percent 3 7 21" xfId="12220" xr:uid="{00000000-0005-0000-0000-0000A9300000}"/>
    <cellStyle name="Percent 3 7 21 2" xfId="45395" xr:uid="{D4FC6BDF-C5DB-4E78-AEC8-AB6738698CF5}"/>
    <cellStyle name="Percent 3 7 22" xfId="12831" xr:uid="{00000000-0005-0000-0000-0000AA300000}"/>
    <cellStyle name="Percent 3 7 22 2" xfId="45396" xr:uid="{D5B4E37F-1A56-4C87-B6BF-93E2018E20D4}"/>
    <cellStyle name="Percent 3 7 23" xfId="8833" xr:uid="{00000000-0005-0000-0000-0000AB300000}"/>
    <cellStyle name="Percent 3 7 23 2" xfId="45397" xr:uid="{3CD87204-C319-43B5-9839-82BD3A3A0120}"/>
    <cellStyle name="Percent 3 7 24" xfId="45326" xr:uid="{C4264538-456E-4C4D-AE73-1A4378B26FDE}"/>
    <cellStyle name="Percent 3 7 3" xfId="2881" xr:uid="{00000000-0005-0000-0000-0000AC300000}"/>
    <cellStyle name="Percent 3 7 3 10" xfId="45398" xr:uid="{E6D5458C-F80B-4EE3-BA0E-AB5D2C0C6020}"/>
    <cellStyle name="Percent 3 7 3 2" xfId="10473" xr:uid="{00000000-0005-0000-0000-0000AD300000}"/>
    <cellStyle name="Percent 3 7 3 2 2" xfId="45399" xr:uid="{5520A29E-8036-4F79-9491-8575BB8E660F}"/>
    <cellStyle name="Percent 3 7 3 3" xfId="10474" xr:uid="{00000000-0005-0000-0000-0000AE300000}"/>
    <cellStyle name="Percent 3 7 3 3 2" xfId="45400" xr:uid="{78B41E57-D9D9-484E-95B1-BF627ECA2F8A}"/>
    <cellStyle name="Percent 3 7 3 4" xfId="10475" xr:uid="{00000000-0005-0000-0000-0000AF300000}"/>
    <cellStyle name="Percent 3 7 3 4 2" xfId="45401" xr:uid="{E3720700-6A7E-482B-AFB2-83D951EA9CE5}"/>
    <cellStyle name="Percent 3 7 3 5" xfId="10476" xr:uid="{00000000-0005-0000-0000-0000B0300000}"/>
    <cellStyle name="Percent 3 7 3 5 2" xfId="45402" xr:uid="{DC30BAF5-BA95-4BB3-B421-93C27E163010}"/>
    <cellStyle name="Percent 3 7 3 6" xfId="10477" xr:uid="{00000000-0005-0000-0000-0000B1300000}"/>
    <cellStyle name="Percent 3 7 3 6 2" xfId="45403" xr:uid="{B3633FB9-BA8E-4F4E-827F-4FC140EF396F}"/>
    <cellStyle name="Percent 3 7 3 7" xfId="13020" xr:uid="{00000000-0005-0000-0000-0000B2300000}"/>
    <cellStyle name="Percent 3 7 3 7 2" xfId="45404" xr:uid="{BE19B345-A4B3-4904-9D8F-3D39E002EF80}"/>
    <cellStyle name="Percent 3 7 3 8" xfId="16236" xr:uid="{00000000-0005-0000-0000-0000B3300000}"/>
    <cellStyle name="Percent 3 7 3 8 2" xfId="45405" xr:uid="{7FD0C918-8B65-4B6E-97D9-F5A96AF9F454}"/>
    <cellStyle name="Percent 3 7 3 9" xfId="8841" xr:uid="{00000000-0005-0000-0000-0000B4300000}"/>
    <cellStyle name="Percent 3 7 3 9 2" xfId="45406" xr:uid="{7BF8CDF4-7170-4B29-BCC4-171EE01CA4E7}"/>
    <cellStyle name="Percent 3 7 4" xfId="2882" xr:uid="{00000000-0005-0000-0000-0000B5300000}"/>
    <cellStyle name="Percent 3 7 4 10" xfId="45407" xr:uid="{896976C2-710C-4673-AC8D-98E258936787}"/>
    <cellStyle name="Percent 3 7 4 2" xfId="10478" xr:uid="{00000000-0005-0000-0000-0000B6300000}"/>
    <cellStyle name="Percent 3 7 4 2 2" xfId="45408" xr:uid="{3F738E29-1D5D-41BC-958A-6C8173033B3B}"/>
    <cellStyle name="Percent 3 7 4 3" xfId="10479" xr:uid="{00000000-0005-0000-0000-0000B7300000}"/>
    <cellStyle name="Percent 3 7 4 3 2" xfId="45409" xr:uid="{10F40161-83AE-4969-8627-E77EC0F11AAF}"/>
    <cellStyle name="Percent 3 7 4 4" xfId="10480" xr:uid="{00000000-0005-0000-0000-0000B8300000}"/>
    <cellStyle name="Percent 3 7 4 4 2" xfId="45410" xr:uid="{E8C58B37-11F2-4D54-8B9B-97728D434246}"/>
    <cellStyle name="Percent 3 7 4 5" xfId="10481" xr:uid="{00000000-0005-0000-0000-0000B9300000}"/>
    <cellStyle name="Percent 3 7 4 5 2" xfId="45411" xr:uid="{0F6F9F42-CFE4-4C36-9B37-1C0BF2B0CB21}"/>
    <cellStyle name="Percent 3 7 4 6" xfId="10482" xr:uid="{00000000-0005-0000-0000-0000BA300000}"/>
    <cellStyle name="Percent 3 7 4 6 2" xfId="45412" xr:uid="{D475C185-7FFD-4A3F-8768-0910A28477A5}"/>
    <cellStyle name="Percent 3 7 4 7" xfId="13021" xr:uid="{00000000-0005-0000-0000-0000BB300000}"/>
    <cellStyle name="Percent 3 7 4 7 2" xfId="45413" xr:uid="{8CB99D7E-BD7B-4E45-9749-53C8638164E9}"/>
    <cellStyle name="Percent 3 7 4 8" xfId="13727" xr:uid="{00000000-0005-0000-0000-0000BC300000}"/>
    <cellStyle name="Percent 3 7 4 8 2" xfId="45414" xr:uid="{6D19496C-5864-49DE-90B3-46EE6D662122}"/>
    <cellStyle name="Percent 3 7 4 9" xfId="8842" xr:uid="{00000000-0005-0000-0000-0000BD300000}"/>
    <cellStyle name="Percent 3 7 4 9 2" xfId="45415" xr:uid="{EDB37901-0AA7-4692-A8F1-A10C14D84B7B}"/>
    <cellStyle name="Percent 3 7 5" xfId="2883" xr:uid="{00000000-0005-0000-0000-0000BE300000}"/>
    <cellStyle name="Percent 3 7 5 10" xfId="45416" xr:uid="{24795022-13CF-4BB7-9C2F-D30CCC9D282C}"/>
    <cellStyle name="Percent 3 7 5 2" xfId="10483" xr:uid="{00000000-0005-0000-0000-0000BF300000}"/>
    <cellStyle name="Percent 3 7 5 2 2" xfId="45417" xr:uid="{3334815A-D716-4CA0-BAFE-9F7C8AA19388}"/>
    <cellStyle name="Percent 3 7 5 3" xfId="10484" xr:uid="{00000000-0005-0000-0000-0000C0300000}"/>
    <cellStyle name="Percent 3 7 5 3 2" xfId="45418" xr:uid="{858FA6A3-9DF5-4602-BF70-D910519FBAD7}"/>
    <cellStyle name="Percent 3 7 5 4" xfId="10485" xr:uid="{00000000-0005-0000-0000-0000C1300000}"/>
    <cellStyle name="Percent 3 7 5 4 2" xfId="45419" xr:uid="{05EEE092-6A6D-499C-9C43-410CEA706731}"/>
    <cellStyle name="Percent 3 7 5 5" xfId="10486" xr:uid="{00000000-0005-0000-0000-0000C2300000}"/>
    <cellStyle name="Percent 3 7 5 5 2" xfId="45420" xr:uid="{61D6E2D5-D11F-4369-8598-B14C6B76B5F7}"/>
    <cellStyle name="Percent 3 7 5 6" xfId="10487" xr:uid="{00000000-0005-0000-0000-0000C3300000}"/>
    <cellStyle name="Percent 3 7 5 6 2" xfId="45421" xr:uid="{2343C785-DF94-4A86-A9EC-D1D2CB007BFF}"/>
    <cellStyle name="Percent 3 7 5 7" xfId="13022" xr:uid="{00000000-0005-0000-0000-0000C4300000}"/>
    <cellStyle name="Percent 3 7 5 7 2" xfId="45422" xr:uid="{684EEFC5-81F5-4A0C-AA59-77676145091E}"/>
    <cellStyle name="Percent 3 7 5 8" xfId="12720" xr:uid="{00000000-0005-0000-0000-0000C5300000}"/>
    <cellStyle name="Percent 3 7 5 8 2" xfId="45423" xr:uid="{A707A01A-B46C-4689-9611-449721E25BA9}"/>
    <cellStyle name="Percent 3 7 5 9" xfId="8843" xr:uid="{00000000-0005-0000-0000-0000C6300000}"/>
    <cellStyle name="Percent 3 7 5 9 2" xfId="45424" xr:uid="{4899C6B7-78AE-49B4-874F-4BFF182745B1}"/>
    <cellStyle name="Percent 3 7 6" xfId="2884" xr:uid="{00000000-0005-0000-0000-0000C7300000}"/>
    <cellStyle name="Percent 3 7 6 10" xfId="45425" xr:uid="{E7D21D9B-4BBD-4038-9B73-55628B77BBC5}"/>
    <cellStyle name="Percent 3 7 6 2" xfId="10488" xr:uid="{00000000-0005-0000-0000-0000C8300000}"/>
    <cellStyle name="Percent 3 7 6 2 2" xfId="45426" xr:uid="{B08F6C9D-3EE0-4756-9852-791B10BD99C3}"/>
    <cellStyle name="Percent 3 7 6 3" xfId="10489" xr:uid="{00000000-0005-0000-0000-0000C9300000}"/>
    <cellStyle name="Percent 3 7 6 3 2" xfId="45427" xr:uid="{40DD7B69-AA6A-46EB-9201-A5117DCCE199}"/>
    <cellStyle name="Percent 3 7 6 4" xfId="10490" xr:uid="{00000000-0005-0000-0000-0000CA300000}"/>
    <cellStyle name="Percent 3 7 6 4 2" xfId="45428" xr:uid="{CD100690-3C89-49F0-AEBB-A087C268F883}"/>
    <cellStyle name="Percent 3 7 6 5" xfId="10491" xr:uid="{00000000-0005-0000-0000-0000CB300000}"/>
    <cellStyle name="Percent 3 7 6 5 2" xfId="45429" xr:uid="{665F0EC2-42F4-4265-8C16-ABB5896CBEFC}"/>
    <cellStyle name="Percent 3 7 6 6" xfId="10492" xr:uid="{00000000-0005-0000-0000-0000CC300000}"/>
    <cellStyle name="Percent 3 7 6 6 2" xfId="45430" xr:uid="{84DF7D46-4E10-40AA-9BC7-705402C1EEE8}"/>
    <cellStyle name="Percent 3 7 6 7" xfId="13023" xr:uid="{00000000-0005-0000-0000-0000CD300000}"/>
    <cellStyle name="Percent 3 7 6 7 2" xfId="45431" xr:uid="{54134F82-DFFF-4F18-8FB0-3E1CE2D45BF2}"/>
    <cellStyle name="Percent 3 7 6 8" xfId="12728" xr:uid="{00000000-0005-0000-0000-0000CE300000}"/>
    <cellStyle name="Percent 3 7 6 8 2" xfId="45432" xr:uid="{E0DC72DE-5B30-4C00-9D6F-6CBE4666920F}"/>
    <cellStyle name="Percent 3 7 6 9" xfId="8844" xr:uid="{00000000-0005-0000-0000-0000CF300000}"/>
    <cellStyle name="Percent 3 7 6 9 2" xfId="45433" xr:uid="{95DDC33D-A808-47FE-B637-FAA971959B8D}"/>
    <cellStyle name="Percent 3 7 7" xfId="2885" xr:uid="{00000000-0005-0000-0000-0000D0300000}"/>
    <cellStyle name="Percent 3 7 7 10" xfId="45434" xr:uid="{2AC256A4-E1BE-4183-AEC7-4F8A42EBE756}"/>
    <cellStyle name="Percent 3 7 7 2" xfId="10493" xr:uid="{00000000-0005-0000-0000-0000D1300000}"/>
    <cellStyle name="Percent 3 7 7 2 2" xfId="45435" xr:uid="{026ED121-21C6-4CB4-A63C-596C9F60D04F}"/>
    <cellStyle name="Percent 3 7 7 3" xfId="10494" xr:uid="{00000000-0005-0000-0000-0000D2300000}"/>
    <cellStyle name="Percent 3 7 7 3 2" xfId="45436" xr:uid="{218526AA-814E-4962-AF19-1736340B60D4}"/>
    <cellStyle name="Percent 3 7 7 4" xfId="10495" xr:uid="{00000000-0005-0000-0000-0000D3300000}"/>
    <cellStyle name="Percent 3 7 7 4 2" xfId="45437" xr:uid="{E47C3CE4-B8CC-477E-8B67-FA6EC6BCB98A}"/>
    <cellStyle name="Percent 3 7 7 5" xfId="10496" xr:uid="{00000000-0005-0000-0000-0000D4300000}"/>
    <cellStyle name="Percent 3 7 7 5 2" xfId="45438" xr:uid="{59319209-6A4D-4E0B-A51D-4099436A47BE}"/>
    <cellStyle name="Percent 3 7 7 6" xfId="10497" xr:uid="{00000000-0005-0000-0000-0000D5300000}"/>
    <cellStyle name="Percent 3 7 7 6 2" xfId="45439" xr:uid="{544FFAE5-9BA7-4303-96D5-382BBDE74F3F}"/>
    <cellStyle name="Percent 3 7 7 7" xfId="13024" xr:uid="{00000000-0005-0000-0000-0000D6300000}"/>
    <cellStyle name="Percent 3 7 7 7 2" xfId="45440" xr:uid="{B68B0EE3-F383-41DA-9630-6E7CF9B65C6A}"/>
    <cellStyle name="Percent 3 7 7 8" xfId="12895" xr:uid="{00000000-0005-0000-0000-0000D7300000}"/>
    <cellStyle name="Percent 3 7 7 8 2" xfId="45441" xr:uid="{09AD6B2E-2281-4018-AA5E-7386BAA861A6}"/>
    <cellStyle name="Percent 3 7 7 9" xfId="8845" xr:uid="{00000000-0005-0000-0000-0000D8300000}"/>
    <cellStyle name="Percent 3 7 7 9 2" xfId="45442" xr:uid="{19C6638C-791D-4FF0-AD70-D40BEE2F1000}"/>
    <cellStyle name="Percent 3 7 8" xfId="2886" xr:uid="{00000000-0005-0000-0000-0000D9300000}"/>
    <cellStyle name="Percent 3 7 8 10" xfId="45443" xr:uid="{6A573B2E-3B1A-462E-A518-416888D53164}"/>
    <cellStyle name="Percent 3 7 8 2" xfId="10498" xr:uid="{00000000-0005-0000-0000-0000DA300000}"/>
    <cellStyle name="Percent 3 7 8 2 2" xfId="45444" xr:uid="{7F303F8B-9DC4-425F-BBFF-C4AA440451A1}"/>
    <cellStyle name="Percent 3 7 8 3" xfId="10499" xr:uid="{00000000-0005-0000-0000-0000DB300000}"/>
    <cellStyle name="Percent 3 7 8 3 2" xfId="45445" xr:uid="{876C5205-9165-49A3-860D-08F3970EBA86}"/>
    <cellStyle name="Percent 3 7 8 4" xfId="10500" xr:uid="{00000000-0005-0000-0000-0000DC300000}"/>
    <cellStyle name="Percent 3 7 8 4 2" xfId="45446" xr:uid="{F699579F-C14C-4113-AEAF-C1EE9B9EC797}"/>
    <cellStyle name="Percent 3 7 8 5" xfId="10501" xr:uid="{00000000-0005-0000-0000-0000DD300000}"/>
    <cellStyle name="Percent 3 7 8 5 2" xfId="45447" xr:uid="{ABE82702-3D1C-4508-BAEC-263993EEA557}"/>
    <cellStyle name="Percent 3 7 8 6" xfId="10502" xr:uid="{00000000-0005-0000-0000-0000DE300000}"/>
    <cellStyle name="Percent 3 7 8 6 2" xfId="45448" xr:uid="{218B182A-5DDA-4CFA-B731-E262FAF0A816}"/>
    <cellStyle name="Percent 3 7 8 7" xfId="13025" xr:uid="{00000000-0005-0000-0000-0000DF300000}"/>
    <cellStyle name="Percent 3 7 8 7 2" xfId="45449" xr:uid="{34B2504A-C58D-45D7-AA08-7A888DDC252C}"/>
    <cellStyle name="Percent 3 7 8 8" xfId="16149" xr:uid="{00000000-0005-0000-0000-0000E0300000}"/>
    <cellStyle name="Percent 3 7 8 8 2" xfId="45450" xr:uid="{523A972A-769C-4E5F-9320-3C9319914BF1}"/>
    <cellStyle name="Percent 3 7 8 9" xfId="8846" xr:uid="{00000000-0005-0000-0000-0000E1300000}"/>
    <cellStyle name="Percent 3 7 8 9 2" xfId="45451" xr:uid="{AB5DA86F-0C0E-4570-B20E-704F1A663CBC}"/>
    <cellStyle name="Percent 3 7 9" xfId="2887" xr:uid="{00000000-0005-0000-0000-0000E2300000}"/>
    <cellStyle name="Percent 3 7 9 10" xfId="45452" xr:uid="{974CF502-0463-4A65-BED3-5079737F3865}"/>
    <cellStyle name="Percent 3 7 9 2" xfId="10503" xr:uid="{00000000-0005-0000-0000-0000E3300000}"/>
    <cellStyle name="Percent 3 7 9 2 2" xfId="45453" xr:uid="{DBD34BAE-0C30-4A09-A30C-AB646CAF5C6D}"/>
    <cellStyle name="Percent 3 7 9 3" xfId="10504" xr:uid="{00000000-0005-0000-0000-0000E4300000}"/>
    <cellStyle name="Percent 3 7 9 3 2" xfId="45454" xr:uid="{577E905C-47AC-40DF-8792-DCBBD4A377CF}"/>
    <cellStyle name="Percent 3 7 9 4" xfId="10505" xr:uid="{00000000-0005-0000-0000-0000E5300000}"/>
    <cellStyle name="Percent 3 7 9 4 2" xfId="45455" xr:uid="{473CD917-6ADD-4DA7-B1B0-3D176E94B296}"/>
    <cellStyle name="Percent 3 7 9 5" xfId="10506" xr:uid="{00000000-0005-0000-0000-0000E6300000}"/>
    <cellStyle name="Percent 3 7 9 5 2" xfId="45456" xr:uid="{4DCA56CC-074E-45D7-B3E4-FA05982C789B}"/>
    <cellStyle name="Percent 3 7 9 6" xfId="10507" xr:uid="{00000000-0005-0000-0000-0000E7300000}"/>
    <cellStyle name="Percent 3 7 9 6 2" xfId="45457" xr:uid="{6D52C8D7-7585-4AE1-8537-8B894D4BD2C8}"/>
    <cellStyle name="Percent 3 7 9 7" xfId="13026" xr:uid="{00000000-0005-0000-0000-0000E8300000}"/>
    <cellStyle name="Percent 3 7 9 7 2" xfId="45458" xr:uid="{5B24294D-A1E4-4E8A-886A-55FE25203DAE}"/>
    <cellStyle name="Percent 3 7 9 8" xfId="12811" xr:uid="{00000000-0005-0000-0000-0000E9300000}"/>
    <cellStyle name="Percent 3 7 9 8 2" xfId="45459" xr:uid="{99AAB8B8-C76E-4A48-A2FA-E9ED8A1F7902}"/>
    <cellStyle name="Percent 3 7 9 9" xfId="8847" xr:uid="{00000000-0005-0000-0000-0000EA300000}"/>
    <cellStyle name="Percent 3 7 9 9 2" xfId="45460" xr:uid="{4199ACDD-48E7-43EF-8E6C-BB4C9F8CE8E2}"/>
    <cellStyle name="Percent 3 8" xfId="2888" xr:uid="{00000000-0005-0000-0000-0000EB300000}"/>
    <cellStyle name="Percent 3 8 10" xfId="2889" xr:uid="{00000000-0005-0000-0000-0000EC300000}"/>
    <cellStyle name="Percent 3 8 10 10" xfId="45462" xr:uid="{C1CBAD02-682A-4CE1-A226-9E1FEB6BBD74}"/>
    <cellStyle name="Percent 3 8 10 2" xfId="10508" xr:uid="{00000000-0005-0000-0000-0000ED300000}"/>
    <cellStyle name="Percent 3 8 10 2 2" xfId="45463" xr:uid="{5E280C2F-851B-4011-B0D6-D8DC54E282A8}"/>
    <cellStyle name="Percent 3 8 10 3" xfId="10509" xr:uid="{00000000-0005-0000-0000-0000EE300000}"/>
    <cellStyle name="Percent 3 8 10 3 2" xfId="45464" xr:uid="{2270ADE7-F359-4F92-BE89-DF8F3310503B}"/>
    <cellStyle name="Percent 3 8 10 4" xfId="10510" xr:uid="{00000000-0005-0000-0000-0000EF300000}"/>
    <cellStyle name="Percent 3 8 10 4 2" xfId="45465" xr:uid="{672AD22D-3D51-4231-8AE0-D286135F40D6}"/>
    <cellStyle name="Percent 3 8 10 5" xfId="10511" xr:uid="{00000000-0005-0000-0000-0000F0300000}"/>
    <cellStyle name="Percent 3 8 10 5 2" xfId="45466" xr:uid="{DCAFD648-213F-4525-98B5-E934CFE8CEB2}"/>
    <cellStyle name="Percent 3 8 10 6" xfId="10512" xr:uid="{00000000-0005-0000-0000-0000F1300000}"/>
    <cellStyle name="Percent 3 8 10 6 2" xfId="45467" xr:uid="{CA01795E-BC31-4FC8-B6CC-1018226023E7}"/>
    <cellStyle name="Percent 3 8 10 7" xfId="13027" xr:uid="{00000000-0005-0000-0000-0000F2300000}"/>
    <cellStyle name="Percent 3 8 10 7 2" xfId="45468" xr:uid="{A40DCADC-77CD-417B-B2DB-1CA1074079A8}"/>
    <cellStyle name="Percent 3 8 10 8" xfId="16175" xr:uid="{00000000-0005-0000-0000-0000F3300000}"/>
    <cellStyle name="Percent 3 8 10 8 2" xfId="45469" xr:uid="{38BFA20A-E01C-43D0-846F-3EBB85ADF500}"/>
    <cellStyle name="Percent 3 8 10 9" xfId="8849" xr:uid="{00000000-0005-0000-0000-0000F4300000}"/>
    <cellStyle name="Percent 3 8 10 9 2" xfId="45470" xr:uid="{5D5B7045-9039-447B-9A7E-C915E6DD45E7}"/>
    <cellStyle name="Percent 3 8 11" xfId="2890" xr:uid="{00000000-0005-0000-0000-0000F5300000}"/>
    <cellStyle name="Percent 3 8 11 10" xfId="45471" xr:uid="{795D80C2-6A64-47A0-899C-5A831CDFC64E}"/>
    <cellStyle name="Percent 3 8 11 2" xfId="10513" xr:uid="{00000000-0005-0000-0000-0000F6300000}"/>
    <cellStyle name="Percent 3 8 11 2 2" xfId="45472" xr:uid="{30AD3110-691D-4F12-A49D-F4EB5B75B99E}"/>
    <cellStyle name="Percent 3 8 11 3" xfId="10514" xr:uid="{00000000-0005-0000-0000-0000F7300000}"/>
    <cellStyle name="Percent 3 8 11 3 2" xfId="45473" xr:uid="{67299CB8-E798-4155-A631-76627720380E}"/>
    <cellStyle name="Percent 3 8 11 4" xfId="10515" xr:uid="{00000000-0005-0000-0000-0000F8300000}"/>
    <cellStyle name="Percent 3 8 11 4 2" xfId="45474" xr:uid="{B48C1E80-8C2C-4ED5-8FD7-0FA6ECB3AEC8}"/>
    <cellStyle name="Percent 3 8 11 5" xfId="10516" xr:uid="{00000000-0005-0000-0000-0000F9300000}"/>
    <cellStyle name="Percent 3 8 11 5 2" xfId="45475" xr:uid="{3FB1C345-DF8E-44C4-8EB2-DBDE56D9A37F}"/>
    <cellStyle name="Percent 3 8 11 6" xfId="10517" xr:uid="{00000000-0005-0000-0000-0000FA300000}"/>
    <cellStyle name="Percent 3 8 11 6 2" xfId="45476" xr:uid="{8842DFED-2CDC-468E-9D41-9AF6A259DFD3}"/>
    <cellStyle name="Percent 3 8 11 7" xfId="13028" xr:uid="{00000000-0005-0000-0000-0000FB300000}"/>
    <cellStyle name="Percent 3 8 11 7 2" xfId="45477" xr:uid="{6DCF0D4D-5258-406D-BD3F-983A460B5A8E}"/>
    <cellStyle name="Percent 3 8 11 8" xfId="16568" xr:uid="{00000000-0005-0000-0000-0000FC300000}"/>
    <cellStyle name="Percent 3 8 11 8 2" xfId="45478" xr:uid="{7493866F-74C4-4632-A51E-E8A4D52A25A6}"/>
    <cellStyle name="Percent 3 8 11 9" xfId="8850" xr:uid="{00000000-0005-0000-0000-0000FD300000}"/>
    <cellStyle name="Percent 3 8 11 9 2" xfId="45479" xr:uid="{C52880F0-F634-44A4-ACBC-1F9BFC199992}"/>
    <cellStyle name="Percent 3 8 12" xfId="2891" xr:uid="{00000000-0005-0000-0000-0000FE300000}"/>
    <cellStyle name="Percent 3 8 12 10" xfId="45480" xr:uid="{B90EFB9C-7953-405A-A208-A09D1EA5FA88}"/>
    <cellStyle name="Percent 3 8 12 2" xfId="10518" xr:uid="{00000000-0005-0000-0000-0000FF300000}"/>
    <cellStyle name="Percent 3 8 12 2 2" xfId="45481" xr:uid="{EFBD95C3-5C96-4EA4-992B-9D9EA5B60BFA}"/>
    <cellStyle name="Percent 3 8 12 3" xfId="10519" xr:uid="{00000000-0005-0000-0000-000000310000}"/>
    <cellStyle name="Percent 3 8 12 3 2" xfId="45482" xr:uid="{639A0D68-28B6-476A-8882-8D16FA8C6A9A}"/>
    <cellStyle name="Percent 3 8 12 4" xfId="10520" xr:uid="{00000000-0005-0000-0000-000001310000}"/>
    <cellStyle name="Percent 3 8 12 4 2" xfId="45483" xr:uid="{BAAD801A-7F30-4C56-BFD3-CEDC9C0C5258}"/>
    <cellStyle name="Percent 3 8 12 5" xfId="10521" xr:uid="{00000000-0005-0000-0000-000002310000}"/>
    <cellStyle name="Percent 3 8 12 5 2" xfId="45484" xr:uid="{E24BBB14-98DC-4871-81C6-CB683FCDC8D4}"/>
    <cellStyle name="Percent 3 8 12 6" xfId="10522" xr:uid="{00000000-0005-0000-0000-000003310000}"/>
    <cellStyle name="Percent 3 8 12 6 2" xfId="45485" xr:uid="{A2F5561E-84C1-4B8C-9CB6-6528B66BB1A2}"/>
    <cellStyle name="Percent 3 8 12 7" xfId="13029" xr:uid="{00000000-0005-0000-0000-000004310000}"/>
    <cellStyle name="Percent 3 8 12 7 2" xfId="45486" xr:uid="{22368B18-C11D-43A6-BE90-60D2CE4FF562}"/>
    <cellStyle name="Percent 3 8 12 8" xfId="16436" xr:uid="{00000000-0005-0000-0000-000005310000}"/>
    <cellStyle name="Percent 3 8 12 8 2" xfId="45487" xr:uid="{64B9F9B8-2383-4E6C-8D6A-7BBA1B4B2165}"/>
    <cellStyle name="Percent 3 8 12 9" xfId="8851" xr:uid="{00000000-0005-0000-0000-000006310000}"/>
    <cellStyle name="Percent 3 8 12 9 2" xfId="45488" xr:uid="{84D29C70-B286-4B05-B02E-C2007393EAC6}"/>
    <cellStyle name="Percent 3 8 13" xfId="2892" xr:uid="{00000000-0005-0000-0000-000007310000}"/>
    <cellStyle name="Percent 3 8 13 10" xfId="45489" xr:uid="{BD016A6B-7D71-41F3-BCB3-7F938A90781F}"/>
    <cellStyle name="Percent 3 8 13 2" xfId="10523" xr:uid="{00000000-0005-0000-0000-000008310000}"/>
    <cellStyle name="Percent 3 8 13 2 2" xfId="45490" xr:uid="{A74FE79A-B9F9-4A56-BBF7-49F7738580DB}"/>
    <cellStyle name="Percent 3 8 13 3" xfId="10524" xr:uid="{00000000-0005-0000-0000-000009310000}"/>
    <cellStyle name="Percent 3 8 13 3 2" xfId="45491" xr:uid="{AA9EE15D-3C94-40E7-BAE6-D82CC1B88A39}"/>
    <cellStyle name="Percent 3 8 13 4" xfId="10525" xr:uid="{00000000-0005-0000-0000-00000A310000}"/>
    <cellStyle name="Percent 3 8 13 4 2" xfId="45492" xr:uid="{5A595C2F-91B9-4D22-BA5A-37EBCE3966F2}"/>
    <cellStyle name="Percent 3 8 13 5" xfId="10526" xr:uid="{00000000-0005-0000-0000-00000B310000}"/>
    <cellStyle name="Percent 3 8 13 5 2" xfId="45493" xr:uid="{F8AC5533-2975-4FFB-84CF-7621CC3D3BEE}"/>
    <cellStyle name="Percent 3 8 13 6" xfId="10527" xr:uid="{00000000-0005-0000-0000-00000C310000}"/>
    <cellStyle name="Percent 3 8 13 6 2" xfId="45494" xr:uid="{C454461D-CF18-43E8-950B-9B40B0BD4778}"/>
    <cellStyle name="Percent 3 8 13 7" xfId="13030" xr:uid="{00000000-0005-0000-0000-00000D310000}"/>
    <cellStyle name="Percent 3 8 13 7 2" xfId="45495" xr:uid="{C574B5CA-4F79-421A-B1B4-1D4A8623CE3F}"/>
    <cellStyle name="Percent 3 8 13 8" xfId="13884" xr:uid="{00000000-0005-0000-0000-00000E310000}"/>
    <cellStyle name="Percent 3 8 13 8 2" xfId="45496" xr:uid="{A4A2EB31-F6A8-4F5F-8975-7041DC0BC91B}"/>
    <cellStyle name="Percent 3 8 13 9" xfId="8852" xr:uid="{00000000-0005-0000-0000-00000F310000}"/>
    <cellStyle name="Percent 3 8 13 9 2" xfId="45497" xr:uid="{E5538C90-9651-4C34-ABE0-5FE1435ABE4A}"/>
    <cellStyle name="Percent 3 8 14" xfId="2893" xr:uid="{00000000-0005-0000-0000-000010310000}"/>
    <cellStyle name="Percent 3 8 14 10" xfId="45498" xr:uid="{6A2DC17C-0DEC-4060-84D1-EADA3A7196B6}"/>
    <cellStyle name="Percent 3 8 14 2" xfId="10528" xr:uid="{00000000-0005-0000-0000-000011310000}"/>
    <cellStyle name="Percent 3 8 14 2 2" xfId="45499" xr:uid="{382C0D68-49EF-4D28-A58C-C0780B9EBEE6}"/>
    <cellStyle name="Percent 3 8 14 3" xfId="10529" xr:uid="{00000000-0005-0000-0000-000012310000}"/>
    <cellStyle name="Percent 3 8 14 3 2" xfId="45500" xr:uid="{5995CDF8-66D6-4E29-81BA-F11C52D21151}"/>
    <cellStyle name="Percent 3 8 14 4" xfId="10530" xr:uid="{00000000-0005-0000-0000-000013310000}"/>
    <cellStyle name="Percent 3 8 14 4 2" xfId="45501" xr:uid="{B0633C50-C778-4577-9464-2F83EC253C90}"/>
    <cellStyle name="Percent 3 8 14 5" xfId="10531" xr:uid="{00000000-0005-0000-0000-000014310000}"/>
    <cellStyle name="Percent 3 8 14 5 2" xfId="45502" xr:uid="{03440E1F-13AB-4F9C-A008-7CB2AABA37D4}"/>
    <cellStyle name="Percent 3 8 14 6" xfId="10532" xr:uid="{00000000-0005-0000-0000-000015310000}"/>
    <cellStyle name="Percent 3 8 14 6 2" xfId="45503" xr:uid="{4863B44B-6A66-4D10-93D6-7AC12666709E}"/>
    <cellStyle name="Percent 3 8 14 7" xfId="13031" xr:uid="{00000000-0005-0000-0000-000016310000}"/>
    <cellStyle name="Percent 3 8 14 7 2" xfId="45504" xr:uid="{B48FE16B-E206-4E01-82E4-424E6A305B20}"/>
    <cellStyle name="Percent 3 8 14 8" xfId="12847" xr:uid="{00000000-0005-0000-0000-000017310000}"/>
    <cellStyle name="Percent 3 8 14 8 2" xfId="45505" xr:uid="{5DF2C027-F0EA-4234-B1BB-9140EA5BEA03}"/>
    <cellStyle name="Percent 3 8 14 9" xfId="8853" xr:uid="{00000000-0005-0000-0000-000018310000}"/>
    <cellStyle name="Percent 3 8 14 9 2" xfId="45506" xr:uid="{3D8CB426-FB0E-4A6E-9170-4D449833532A}"/>
    <cellStyle name="Percent 3 8 15" xfId="2894" xr:uid="{00000000-0005-0000-0000-000019310000}"/>
    <cellStyle name="Percent 3 8 15 10" xfId="45507" xr:uid="{6B27FE8E-F5E2-4287-92CC-0EC6AFAE0B5F}"/>
    <cellStyle name="Percent 3 8 15 2" xfId="10533" xr:uid="{00000000-0005-0000-0000-00001A310000}"/>
    <cellStyle name="Percent 3 8 15 2 2" xfId="45508" xr:uid="{78368C3F-F20D-462E-BC7C-FB23146F5287}"/>
    <cellStyle name="Percent 3 8 15 3" xfId="10534" xr:uid="{00000000-0005-0000-0000-00001B310000}"/>
    <cellStyle name="Percent 3 8 15 3 2" xfId="45509" xr:uid="{8F4326E9-9F41-4FEA-AB23-52A0B5EA1C81}"/>
    <cellStyle name="Percent 3 8 15 4" xfId="10535" xr:uid="{00000000-0005-0000-0000-00001C310000}"/>
    <cellStyle name="Percent 3 8 15 4 2" xfId="45510" xr:uid="{A182463D-540E-4C48-AC0A-49A20303C30D}"/>
    <cellStyle name="Percent 3 8 15 5" xfId="10536" xr:uid="{00000000-0005-0000-0000-00001D310000}"/>
    <cellStyle name="Percent 3 8 15 5 2" xfId="45511" xr:uid="{DD6D58D5-0E95-402C-B09B-4DF7879413E2}"/>
    <cellStyle name="Percent 3 8 15 6" xfId="10537" xr:uid="{00000000-0005-0000-0000-00001E310000}"/>
    <cellStyle name="Percent 3 8 15 6 2" xfId="45512" xr:uid="{7FE407D7-CF5A-4DCE-A02D-200214FB40D2}"/>
    <cellStyle name="Percent 3 8 15 7" xfId="13032" xr:uid="{00000000-0005-0000-0000-00001F310000}"/>
    <cellStyle name="Percent 3 8 15 7 2" xfId="45513" xr:uid="{24E77EED-50AC-41ED-9310-E30D999C230B}"/>
    <cellStyle name="Percent 3 8 15 8" xfId="16632" xr:uid="{00000000-0005-0000-0000-000020310000}"/>
    <cellStyle name="Percent 3 8 15 8 2" xfId="45514" xr:uid="{6F1D6A05-0BFE-494F-8B8F-9564E6A1B4C0}"/>
    <cellStyle name="Percent 3 8 15 9" xfId="8854" xr:uid="{00000000-0005-0000-0000-000021310000}"/>
    <cellStyle name="Percent 3 8 15 9 2" xfId="45515" xr:uid="{82720A53-58B3-46A8-BD23-E53AC189A004}"/>
    <cellStyle name="Percent 3 8 16" xfId="10538" xr:uid="{00000000-0005-0000-0000-000022310000}"/>
    <cellStyle name="Percent 3 8 16 2" xfId="45516" xr:uid="{F0D09929-A3B3-4CBF-8575-132AFF962D92}"/>
    <cellStyle name="Percent 3 8 17" xfId="10539" xr:uid="{00000000-0005-0000-0000-000023310000}"/>
    <cellStyle name="Percent 3 8 17 2" xfId="45517" xr:uid="{3C22D47D-3A7D-42CC-8E69-4B9D6F4E2CB3}"/>
    <cellStyle name="Percent 3 8 18" xfId="10540" xr:uid="{00000000-0005-0000-0000-000024310000}"/>
    <cellStyle name="Percent 3 8 18 2" xfId="45518" xr:uid="{E13AFD63-D3F6-45A1-AC6F-7B046AECE46E}"/>
    <cellStyle name="Percent 3 8 19" xfId="10541" xr:uid="{00000000-0005-0000-0000-000025310000}"/>
    <cellStyle name="Percent 3 8 19 2" xfId="45519" xr:uid="{58B08A41-6822-497C-803C-DB4D17C77B7E}"/>
    <cellStyle name="Percent 3 8 2" xfId="2895" xr:uid="{00000000-0005-0000-0000-000026310000}"/>
    <cellStyle name="Percent 3 8 2 10" xfId="45520" xr:uid="{9276908F-5620-45BC-AF52-1F1B50D76FC3}"/>
    <cellStyle name="Percent 3 8 2 2" xfId="10542" xr:uid="{00000000-0005-0000-0000-000027310000}"/>
    <cellStyle name="Percent 3 8 2 2 2" xfId="45521" xr:uid="{E836396C-1C05-4670-B1DE-7D89F73D91D0}"/>
    <cellStyle name="Percent 3 8 2 3" xfId="10543" xr:uid="{00000000-0005-0000-0000-000028310000}"/>
    <cellStyle name="Percent 3 8 2 3 2" xfId="45522" xr:uid="{C724132E-7431-4F3D-BF8D-3836268238CB}"/>
    <cellStyle name="Percent 3 8 2 4" xfId="10544" xr:uid="{00000000-0005-0000-0000-000029310000}"/>
    <cellStyle name="Percent 3 8 2 4 2" xfId="45523" xr:uid="{48ED2448-BEB3-41EA-894E-F121A9354405}"/>
    <cellStyle name="Percent 3 8 2 5" xfId="10545" xr:uid="{00000000-0005-0000-0000-00002A310000}"/>
    <cellStyle name="Percent 3 8 2 5 2" xfId="45524" xr:uid="{A8F8E119-9D2B-4C83-A9B4-1F5C3E13DC4F}"/>
    <cellStyle name="Percent 3 8 2 6" xfId="10546" xr:uid="{00000000-0005-0000-0000-00002B310000}"/>
    <cellStyle name="Percent 3 8 2 6 2" xfId="45525" xr:uid="{D633610C-457D-489C-A618-FB44F019F896}"/>
    <cellStyle name="Percent 3 8 2 7" xfId="13033" xr:uid="{00000000-0005-0000-0000-00002C310000}"/>
    <cellStyle name="Percent 3 8 2 7 2" xfId="45526" xr:uid="{82ACA4A0-93A0-4639-A97F-54DE122D59D0}"/>
    <cellStyle name="Percent 3 8 2 8" xfId="12917" xr:uid="{00000000-0005-0000-0000-00002D310000}"/>
    <cellStyle name="Percent 3 8 2 8 2" xfId="45527" xr:uid="{FF561982-F830-4FD7-B00F-089172E8C642}"/>
    <cellStyle name="Percent 3 8 2 9" xfId="8855" xr:uid="{00000000-0005-0000-0000-00002E310000}"/>
    <cellStyle name="Percent 3 8 2 9 2" xfId="45528" xr:uid="{4559E293-2F5A-47C8-9F1D-635F9414006F}"/>
    <cellStyle name="Percent 3 8 20" xfId="10547" xr:uid="{00000000-0005-0000-0000-00002F310000}"/>
    <cellStyle name="Percent 3 8 20 2" xfId="45529" xr:uid="{9EF66C47-008E-4CAD-9534-73CE1CDEB805}"/>
    <cellStyle name="Percent 3 8 21" xfId="12221" xr:uid="{00000000-0005-0000-0000-000030310000}"/>
    <cellStyle name="Percent 3 8 21 2" xfId="45530" xr:uid="{698EF014-B72E-46CB-BACF-4BB5CD6AA45E}"/>
    <cellStyle name="Percent 3 8 22" xfId="16517" xr:uid="{00000000-0005-0000-0000-000031310000}"/>
    <cellStyle name="Percent 3 8 22 2" xfId="45531" xr:uid="{3865F0C6-3831-48B8-90AE-0AD95A8B4F19}"/>
    <cellStyle name="Percent 3 8 23" xfId="8848" xr:uid="{00000000-0005-0000-0000-000032310000}"/>
    <cellStyle name="Percent 3 8 23 2" xfId="45532" xr:uid="{80D90CEC-4EC6-4630-8033-D471A9C887EB}"/>
    <cellStyle name="Percent 3 8 24" xfId="45461" xr:uid="{4F74A215-9C18-4714-846F-9150B07E529D}"/>
    <cellStyle name="Percent 3 8 3" xfId="2896" xr:uid="{00000000-0005-0000-0000-000033310000}"/>
    <cellStyle name="Percent 3 8 3 10" xfId="45533" xr:uid="{CDACFB5D-D122-4685-967F-56BA6A227C1F}"/>
    <cellStyle name="Percent 3 8 3 2" xfId="10548" xr:uid="{00000000-0005-0000-0000-000034310000}"/>
    <cellStyle name="Percent 3 8 3 2 2" xfId="45534" xr:uid="{7B219CAD-16C1-4E11-B805-642889105B89}"/>
    <cellStyle name="Percent 3 8 3 3" xfId="10549" xr:uid="{00000000-0005-0000-0000-000035310000}"/>
    <cellStyle name="Percent 3 8 3 3 2" xfId="45535" xr:uid="{2B537C1E-5358-4D16-BC19-944184BC1637}"/>
    <cellStyle name="Percent 3 8 3 4" xfId="10550" xr:uid="{00000000-0005-0000-0000-000036310000}"/>
    <cellStyle name="Percent 3 8 3 4 2" xfId="45536" xr:uid="{F2CBC4FF-37B3-4079-9714-682D2D65DFE7}"/>
    <cellStyle name="Percent 3 8 3 5" xfId="10551" xr:uid="{00000000-0005-0000-0000-000037310000}"/>
    <cellStyle name="Percent 3 8 3 5 2" xfId="45537" xr:uid="{435BBACC-D051-4A58-93E8-B8CEBB591204}"/>
    <cellStyle name="Percent 3 8 3 6" xfId="10552" xr:uid="{00000000-0005-0000-0000-000038310000}"/>
    <cellStyle name="Percent 3 8 3 6 2" xfId="45538" xr:uid="{5B643547-4EDF-403D-A02E-D0B82A7BB6E3}"/>
    <cellStyle name="Percent 3 8 3 7" xfId="13034" xr:uid="{00000000-0005-0000-0000-000039310000}"/>
    <cellStyle name="Percent 3 8 3 7 2" xfId="45539" xr:uid="{4A5A36C7-EC84-4F88-9A37-F53D3BEAE8DA}"/>
    <cellStyle name="Percent 3 8 3 8" xfId="16543" xr:uid="{00000000-0005-0000-0000-00003A310000}"/>
    <cellStyle name="Percent 3 8 3 8 2" xfId="45540" xr:uid="{C4DF2487-CD5A-468C-AA15-3278C8235951}"/>
    <cellStyle name="Percent 3 8 3 9" xfId="8856" xr:uid="{00000000-0005-0000-0000-00003B310000}"/>
    <cellStyle name="Percent 3 8 3 9 2" xfId="45541" xr:uid="{22509973-AA8C-4538-9642-4DED28029476}"/>
    <cellStyle name="Percent 3 8 4" xfId="2897" xr:uid="{00000000-0005-0000-0000-00003C310000}"/>
    <cellStyle name="Percent 3 8 4 10" xfId="45542" xr:uid="{4387A602-AC8C-4C1C-8E40-A23A9E8EE01C}"/>
    <cellStyle name="Percent 3 8 4 2" xfId="10553" xr:uid="{00000000-0005-0000-0000-00003D310000}"/>
    <cellStyle name="Percent 3 8 4 2 2" xfId="45543" xr:uid="{5F4AA18F-7D48-4FD7-89DF-1BD39CBEE86A}"/>
    <cellStyle name="Percent 3 8 4 3" xfId="10554" xr:uid="{00000000-0005-0000-0000-00003E310000}"/>
    <cellStyle name="Percent 3 8 4 3 2" xfId="45544" xr:uid="{0892F494-19E9-46FF-96C4-203DD39FCDD6}"/>
    <cellStyle name="Percent 3 8 4 4" xfId="10555" xr:uid="{00000000-0005-0000-0000-00003F310000}"/>
    <cellStyle name="Percent 3 8 4 4 2" xfId="45545" xr:uid="{C0D8847A-F53C-4F2E-808A-609249A69CCD}"/>
    <cellStyle name="Percent 3 8 4 5" xfId="10556" xr:uid="{00000000-0005-0000-0000-000040310000}"/>
    <cellStyle name="Percent 3 8 4 5 2" xfId="45546" xr:uid="{21821FC6-3907-443B-AFBC-C215E57E5645}"/>
    <cellStyle name="Percent 3 8 4 6" xfId="10557" xr:uid="{00000000-0005-0000-0000-000041310000}"/>
    <cellStyle name="Percent 3 8 4 6 2" xfId="45547" xr:uid="{183F2384-EF5D-4CA3-909E-40408AB7288B}"/>
    <cellStyle name="Percent 3 8 4 7" xfId="13035" xr:uid="{00000000-0005-0000-0000-000042310000}"/>
    <cellStyle name="Percent 3 8 4 7 2" xfId="45548" xr:uid="{862FB33B-484F-4715-8F7A-FBBD6594D342}"/>
    <cellStyle name="Percent 3 8 4 8" xfId="12508" xr:uid="{00000000-0005-0000-0000-000043310000}"/>
    <cellStyle name="Percent 3 8 4 8 2" xfId="45549" xr:uid="{6653BE50-9D9D-41EC-A473-CA63BA85B392}"/>
    <cellStyle name="Percent 3 8 4 9" xfId="8857" xr:uid="{00000000-0005-0000-0000-000044310000}"/>
    <cellStyle name="Percent 3 8 4 9 2" xfId="45550" xr:uid="{369C4BBE-01C8-4C47-84C0-B6266E7F92D8}"/>
    <cellStyle name="Percent 3 8 5" xfId="2898" xr:uid="{00000000-0005-0000-0000-000045310000}"/>
    <cellStyle name="Percent 3 8 5 10" xfId="45551" xr:uid="{05BBBA2F-5DA5-4B77-8871-951F9FC8F3AB}"/>
    <cellStyle name="Percent 3 8 5 2" xfId="10558" xr:uid="{00000000-0005-0000-0000-000046310000}"/>
    <cellStyle name="Percent 3 8 5 2 2" xfId="45552" xr:uid="{23ADF11D-DBCE-4554-9888-21DEDFD84FD5}"/>
    <cellStyle name="Percent 3 8 5 3" xfId="10559" xr:uid="{00000000-0005-0000-0000-000047310000}"/>
    <cellStyle name="Percent 3 8 5 3 2" xfId="45553" xr:uid="{9375B904-0CC6-4306-846F-470315753288}"/>
    <cellStyle name="Percent 3 8 5 4" xfId="10560" xr:uid="{00000000-0005-0000-0000-000048310000}"/>
    <cellStyle name="Percent 3 8 5 4 2" xfId="45554" xr:uid="{05847C61-A658-4AF8-9592-27034255F534}"/>
    <cellStyle name="Percent 3 8 5 5" xfId="10561" xr:uid="{00000000-0005-0000-0000-000049310000}"/>
    <cellStyle name="Percent 3 8 5 5 2" xfId="45555" xr:uid="{9A02CBB6-E1B9-4F6F-88DB-4908885AF123}"/>
    <cellStyle name="Percent 3 8 5 6" xfId="10562" xr:uid="{00000000-0005-0000-0000-00004A310000}"/>
    <cellStyle name="Percent 3 8 5 6 2" xfId="45556" xr:uid="{0451EC99-60F7-4057-B2AD-2E2057A873F6}"/>
    <cellStyle name="Percent 3 8 5 7" xfId="13036" xr:uid="{00000000-0005-0000-0000-00004B310000}"/>
    <cellStyle name="Percent 3 8 5 7 2" xfId="45557" xr:uid="{3C7A6BD4-63F8-4D4D-B6E6-4F59DD26E69D}"/>
    <cellStyle name="Percent 3 8 5 8" xfId="16185" xr:uid="{00000000-0005-0000-0000-00004C310000}"/>
    <cellStyle name="Percent 3 8 5 8 2" xfId="45558" xr:uid="{CF0484DD-B0EB-40D7-A559-46EFBFE2AA40}"/>
    <cellStyle name="Percent 3 8 5 9" xfId="8858" xr:uid="{00000000-0005-0000-0000-00004D310000}"/>
    <cellStyle name="Percent 3 8 5 9 2" xfId="45559" xr:uid="{89CA6B32-D60B-48F0-AE92-E01673A32329}"/>
    <cellStyle name="Percent 3 8 6" xfId="2899" xr:uid="{00000000-0005-0000-0000-00004E310000}"/>
    <cellStyle name="Percent 3 8 6 10" xfId="45560" xr:uid="{A978564D-743D-41AB-9574-E2D918A0366B}"/>
    <cellStyle name="Percent 3 8 6 2" xfId="10563" xr:uid="{00000000-0005-0000-0000-00004F310000}"/>
    <cellStyle name="Percent 3 8 6 2 2" xfId="45561" xr:uid="{1F41AE5B-990A-46B0-9A77-63C4394ABBC4}"/>
    <cellStyle name="Percent 3 8 6 3" xfId="10564" xr:uid="{00000000-0005-0000-0000-000050310000}"/>
    <cellStyle name="Percent 3 8 6 3 2" xfId="45562" xr:uid="{714F43FE-94D6-469A-A49B-E5056D5A15F1}"/>
    <cellStyle name="Percent 3 8 6 4" xfId="10565" xr:uid="{00000000-0005-0000-0000-000051310000}"/>
    <cellStyle name="Percent 3 8 6 4 2" xfId="45563" xr:uid="{5E6125E9-8107-4C29-9162-DC9EE60FC9E2}"/>
    <cellStyle name="Percent 3 8 6 5" xfId="10566" xr:uid="{00000000-0005-0000-0000-000052310000}"/>
    <cellStyle name="Percent 3 8 6 5 2" xfId="45564" xr:uid="{AA06B55D-E3F8-48CD-A679-EB5539F9A03B}"/>
    <cellStyle name="Percent 3 8 6 6" xfId="10567" xr:uid="{00000000-0005-0000-0000-000053310000}"/>
    <cellStyle name="Percent 3 8 6 6 2" xfId="45565" xr:uid="{EE56B337-6281-476B-8AB6-BB202F742E46}"/>
    <cellStyle name="Percent 3 8 6 7" xfId="13037" xr:uid="{00000000-0005-0000-0000-000054310000}"/>
    <cellStyle name="Percent 3 8 6 7 2" xfId="45566" xr:uid="{063C5677-3D97-4F30-972C-7973DD85EB2B}"/>
    <cellStyle name="Percent 3 8 6 8" xfId="16192" xr:uid="{00000000-0005-0000-0000-000055310000}"/>
    <cellStyle name="Percent 3 8 6 8 2" xfId="45567" xr:uid="{2550C66E-6784-42CE-91D3-E12A7A465BC7}"/>
    <cellStyle name="Percent 3 8 6 9" xfId="8859" xr:uid="{00000000-0005-0000-0000-000056310000}"/>
    <cellStyle name="Percent 3 8 6 9 2" xfId="45568" xr:uid="{45E3A8FD-796F-42D7-BCE5-5FC6EE7A340F}"/>
    <cellStyle name="Percent 3 8 7" xfId="2900" xr:uid="{00000000-0005-0000-0000-000057310000}"/>
    <cellStyle name="Percent 3 8 7 10" xfId="45569" xr:uid="{5CB6699F-AA76-4706-9A24-FC52A480EBC9}"/>
    <cellStyle name="Percent 3 8 7 2" xfId="10568" xr:uid="{00000000-0005-0000-0000-000058310000}"/>
    <cellStyle name="Percent 3 8 7 2 2" xfId="45570" xr:uid="{D8C68CAA-5391-439E-A197-F7A924F15FD5}"/>
    <cellStyle name="Percent 3 8 7 3" xfId="10569" xr:uid="{00000000-0005-0000-0000-000059310000}"/>
    <cellStyle name="Percent 3 8 7 3 2" xfId="45571" xr:uid="{00BEADA5-0DDB-4A9C-9577-D984ABC7E5A2}"/>
    <cellStyle name="Percent 3 8 7 4" xfId="10570" xr:uid="{00000000-0005-0000-0000-00005A310000}"/>
    <cellStyle name="Percent 3 8 7 4 2" xfId="45572" xr:uid="{A5C5325C-8D91-4213-BF78-F89E698695E5}"/>
    <cellStyle name="Percent 3 8 7 5" xfId="10571" xr:uid="{00000000-0005-0000-0000-00005B310000}"/>
    <cellStyle name="Percent 3 8 7 5 2" xfId="45573" xr:uid="{0EA5A5EA-F7FC-4768-BBDE-3DAC1EF183C7}"/>
    <cellStyle name="Percent 3 8 7 6" xfId="10572" xr:uid="{00000000-0005-0000-0000-00005C310000}"/>
    <cellStyle name="Percent 3 8 7 6 2" xfId="45574" xr:uid="{E9595E99-9DE0-4279-8F1B-B13A0C4022E4}"/>
    <cellStyle name="Percent 3 8 7 7" xfId="13038" xr:uid="{00000000-0005-0000-0000-00005D310000}"/>
    <cellStyle name="Percent 3 8 7 7 2" xfId="45575" xr:uid="{E6484842-3D02-4F28-96FD-4583CF0C32D7}"/>
    <cellStyle name="Percent 3 8 7 8" xfId="12671" xr:uid="{00000000-0005-0000-0000-00005E310000}"/>
    <cellStyle name="Percent 3 8 7 8 2" xfId="45576" xr:uid="{46E2C431-4AE1-487D-8E19-33820830A99E}"/>
    <cellStyle name="Percent 3 8 7 9" xfId="8860" xr:uid="{00000000-0005-0000-0000-00005F310000}"/>
    <cellStyle name="Percent 3 8 7 9 2" xfId="45577" xr:uid="{D703895F-CD05-4E0C-9CD4-C7EEFE43C228}"/>
    <cellStyle name="Percent 3 8 8" xfId="2901" xr:uid="{00000000-0005-0000-0000-000060310000}"/>
    <cellStyle name="Percent 3 8 8 10" xfId="45578" xr:uid="{854A440C-FDD9-4301-A641-E5EA966355BF}"/>
    <cellStyle name="Percent 3 8 8 2" xfId="10573" xr:uid="{00000000-0005-0000-0000-000061310000}"/>
    <cellStyle name="Percent 3 8 8 2 2" xfId="45579" xr:uid="{C1DB2375-9792-465A-9C66-F448D2053DEE}"/>
    <cellStyle name="Percent 3 8 8 3" xfId="10574" xr:uid="{00000000-0005-0000-0000-000062310000}"/>
    <cellStyle name="Percent 3 8 8 3 2" xfId="45580" xr:uid="{0201CCC3-8B38-4190-9BE4-0A25EE5675C7}"/>
    <cellStyle name="Percent 3 8 8 4" xfId="10575" xr:uid="{00000000-0005-0000-0000-000063310000}"/>
    <cellStyle name="Percent 3 8 8 4 2" xfId="45581" xr:uid="{4DB7B645-9D24-494A-8E86-425E4801A4A2}"/>
    <cellStyle name="Percent 3 8 8 5" xfId="10576" xr:uid="{00000000-0005-0000-0000-000064310000}"/>
    <cellStyle name="Percent 3 8 8 5 2" xfId="45582" xr:uid="{55A71A66-301C-422E-A1B6-3A00440852B5}"/>
    <cellStyle name="Percent 3 8 8 6" xfId="10577" xr:uid="{00000000-0005-0000-0000-000065310000}"/>
    <cellStyle name="Percent 3 8 8 6 2" xfId="45583" xr:uid="{2DFB05D7-570B-4021-9B56-19908FEB4125}"/>
    <cellStyle name="Percent 3 8 8 7" xfId="13039" xr:uid="{00000000-0005-0000-0000-000066310000}"/>
    <cellStyle name="Percent 3 8 8 7 2" xfId="45584" xr:uid="{EE12E195-770E-4A49-871A-0F4ED683E0E5}"/>
    <cellStyle name="Percent 3 8 8 8" xfId="13787" xr:uid="{00000000-0005-0000-0000-000067310000}"/>
    <cellStyle name="Percent 3 8 8 8 2" xfId="45585" xr:uid="{35455692-AC35-4AC5-9D9D-AD841EEB921E}"/>
    <cellStyle name="Percent 3 8 8 9" xfId="8861" xr:uid="{00000000-0005-0000-0000-000068310000}"/>
    <cellStyle name="Percent 3 8 8 9 2" xfId="45586" xr:uid="{5D603A46-D553-4192-82BD-FD4A5D073AE0}"/>
    <cellStyle name="Percent 3 8 9" xfId="2902" xr:uid="{00000000-0005-0000-0000-000069310000}"/>
    <cellStyle name="Percent 3 8 9 10" xfId="45587" xr:uid="{50478E8D-EB9C-4052-AA8B-CA6306904DFC}"/>
    <cellStyle name="Percent 3 8 9 2" xfId="10578" xr:uid="{00000000-0005-0000-0000-00006A310000}"/>
    <cellStyle name="Percent 3 8 9 2 2" xfId="45588" xr:uid="{87C11CB5-918C-4A49-BB5E-1345847D1555}"/>
    <cellStyle name="Percent 3 8 9 3" xfId="10579" xr:uid="{00000000-0005-0000-0000-00006B310000}"/>
    <cellStyle name="Percent 3 8 9 3 2" xfId="45589" xr:uid="{A634F7A5-985E-4857-8420-376EA5D54A37}"/>
    <cellStyle name="Percent 3 8 9 4" xfId="10580" xr:uid="{00000000-0005-0000-0000-00006C310000}"/>
    <cellStyle name="Percent 3 8 9 4 2" xfId="45590" xr:uid="{760893AF-5922-4C8C-9BC9-448B66CEE9C1}"/>
    <cellStyle name="Percent 3 8 9 5" xfId="10581" xr:uid="{00000000-0005-0000-0000-00006D310000}"/>
    <cellStyle name="Percent 3 8 9 5 2" xfId="45591" xr:uid="{2F7D9DF5-D18C-47BD-8436-0831C88BF02A}"/>
    <cellStyle name="Percent 3 8 9 6" xfId="10582" xr:uid="{00000000-0005-0000-0000-00006E310000}"/>
    <cellStyle name="Percent 3 8 9 6 2" xfId="45592" xr:uid="{AEE3DD72-7B04-4571-A473-C6753B40C2B1}"/>
    <cellStyle name="Percent 3 8 9 7" xfId="13040" xr:uid="{00000000-0005-0000-0000-00006F310000}"/>
    <cellStyle name="Percent 3 8 9 7 2" xfId="45593" xr:uid="{10216F9B-CEA4-42A7-9E93-7ED114821261}"/>
    <cellStyle name="Percent 3 8 9 8" xfId="12529" xr:uid="{00000000-0005-0000-0000-000070310000}"/>
    <cellStyle name="Percent 3 8 9 8 2" xfId="45594" xr:uid="{87008D36-FC8C-4C1D-889A-32ACDA8F74C7}"/>
    <cellStyle name="Percent 3 8 9 9" xfId="8862" xr:uid="{00000000-0005-0000-0000-000071310000}"/>
    <cellStyle name="Percent 3 8 9 9 2" xfId="45595" xr:uid="{F9A8D197-978F-4400-B10A-75C1B455AA67}"/>
    <cellStyle name="Percent 3 9" xfId="2903" xr:uid="{00000000-0005-0000-0000-000072310000}"/>
    <cellStyle name="Percent 3 9 10" xfId="2904" xr:uid="{00000000-0005-0000-0000-000073310000}"/>
    <cellStyle name="Percent 3 9 10 10" xfId="45597" xr:uid="{A6BC18EB-119E-45E5-907A-C9F4140D6F3E}"/>
    <cellStyle name="Percent 3 9 10 2" xfId="10583" xr:uid="{00000000-0005-0000-0000-000074310000}"/>
    <cellStyle name="Percent 3 9 10 2 2" xfId="45598" xr:uid="{C328908E-43BD-4E90-8C6D-93BC36DBBE21}"/>
    <cellStyle name="Percent 3 9 10 3" xfId="10584" xr:uid="{00000000-0005-0000-0000-000075310000}"/>
    <cellStyle name="Percent 3 9 10 3 2" xfId="45599" xr:uid="{DF790EA3-D431-43DC-962C-C6F721A48A83}"/>
    <cellStyle name="Percent 3 9 10 4" xfId="10585" xr:uid="{00000000-0005-0000-0000-000076310000}"/>
    <cellStyle name="Percent 3 9 10 4 2" xfId="45600" xr:uid="{3434BE4C-96EC-4872-9BD1-2766A07992E7}"/>
    <cellStyle name="Percent 3 9 10 5" xfId="10586" xr:uid="{00000000-0005-0000-0000-000077310000}"/>
    <cellStyle name="Percent 3 9 10 5 2" xfId="45601" xr:uid="{63D42F97-630C-46D2-94C8-7F3E653D5778}"/>
    <cellStyle name="Percent 3 9 10 6" xfId="10587" xr:uid="{00000000-0005-0000-0000-000078310000}"/>
    <cellStyle name="Percent 3 9 10 6 2" xfId="45602" xr:uid="{F5B3D105-5F41-4E73-A4FB-2807838A45E5}"/>
    <cellStyle name="Percent 3 9 10 7" xfId="13042" xr:uid="{00000000-0005-0000-0000-000079310000}"/>
    <cellStyle name="Percent 3 9 10 7 2" xfId="45603" xr:uid="{95BE1605-CBA9-4D68-A6B9-6E9A5D888974}"/>
    <cellStyle name="Percent 3 9 10 8" xfId="12647" xr:uid="{00000000-0005-0000-0000-00007A310000}"/>
    <cellStyle name="Percent 3 9 10 8 2" xfId="45604" xr:uid="{4447A88C-E973-4E0E-A63E-D6C3A47CD8DC}"/>
    <cellStyle name="Percent 3 9 10 9" xfId="8864" xr:uid="{00000000-0005-0000-0000-00007B310000}"/>
    <cellStyle name="Percent 3 9 10 9 2" xfId="45605" xr:uid="{FB000B1F-0A9B-409A-9AB9-0AB25A85FDAE}"/>
    <cellStyle name="Percent 3 9 11" xfId="2905" xr:uid="{00000000-0005-0000-0000-00007C310000}"/>
    <cellStyle name="Percent 3 9 11 10" xfId="45606" xr:uid="{0AB79618-F151-49FA-87BE-7A81FEA518B6}"/>
    <cellStyle name="Percent 3 9 11 2" xfId="10588" xr:uid="{00000000-0005-0000-0000-00007D310000}"/>
    <cellStyle name="Percent 3 9 11 2 2" xfId="45607" xr:uid="{C648E744-9946-419C-9CFA-8A3BB2C474C3}"/>
    <cellStyle name="Percent 3 9 11 3" xfId="10589" xr:uid="{00000000-0005-0000-0000-00007E310000}"/>
    <cellStyle name="Percent 3 9 11 3 2" xfId="45608" xr:uid="{A1B4FA3E-D9FB-4A02-9B0C-893898C77565}"/>
    <cellStyle name="Percent 3 9 11 4" xfId="10590" xr:uid="{00000000-0005-0000-0000-00007F310000}"/>
    <cellStyle name="Percent 3 9 11 4 2" xfId="45609" xr:uid="{78863498-8BF2-4E3D-8FB4-72F127E15C9F}"/>
    <cellStyle name="Percent 3 9 11 5" xfId="10591" xr:uid="{00000000-0005-0000-0000-000080310000}"/>
    <cellStyle name="Percent 3 9 11 5 2" xfId="45610" xr:uid="{FD713783-626E-4232-BDB3-C2369CD57F12}"/>
    <cellStyle name="Percent 3 9 11 6" xfId="10592" xr:uid="{00000000-0005-0000-0000-000081310000}"/>
    <cellStyle name="Percent 3 9 11 6 2" xfId="45611" xr:uid="{301946E5-B482-4839-9578-78632C1B1DC1}"/>
    <cellStyle name="Percent 3 9 11 7" xfId="13043" xr:uid="{00000000-0005-0000-0000-000082310000}"/>
    <cellStyle name="Percent 3 9 11 7 2" xfId="45612" xr:uid="{82F9D304-4BC1-4DCF-B724-7D88AD33C1BB}"/>
    <cellStyle name="Percent 3 9 11 8" xfId="16612" xr:uid="{00000000-0005-0000-0000-000083310000}"/>
    <cellStyle name="Percent 3 9 11 8 2" xfId="45613" xr:uid="{03AE49DB-ED4A-4F5D-86B6-ECFC6D97EA59}"/>
    <cellStyle name="Percent 3 9 11 9" xfId="8865" xr:uid="{00000000-0005-0000-0000-000084310000}"/>
    <cellStyle name="Percent 3 9 11 9 2" xfId="45614" xr:uid="{295B51F3-7D77-4178-814E-B73A77C62354}"/>
    <cellStyle name="Percent 3 9 12" xfId="2906" xr:uid="{00000000-0005-0000-0000-000085310000}"/>
    <cellStyle name="Percent 3 9 12 10" xfId="45615" xr:uid="{B6BD35C9-8F09-42AD-85EE-0261FD22CC4C}"/>
    <cellStyle name="Percent 3 9 12 2" xfId="10593" xr:uid="{00000000-0005-0000-0000-000086310000}"/>
    <cellStyle name="Percent 3 9 12 2 2" xfId="45616" xr:uid="{F0A4DC04-4CB5-4599-B1AB-0C23D510B04C}"/>
    <cellStyle name="Percent 3 9 12 3" xfId="10594" xr:uid="{00000000-0005-0000-0000-000087310000}"/>
    <cellStyle name="Percent 3 9 12 3 2" xfId="45617" xr:uid="{B3A0B6AF-0BC4-4A5D-B731-CFD7184D1768}"/>
    <cellStyle name="Percent 3 9 12 4" xfId="10595" xr:uid="{00000000-0005-0000-0000-000088310000}"/>
    <cellStyle name="Percent 3 9 12 4 2" xfId="45618" xr:uid="{4D813BDF-4BCC-4F66-B91E-EC7663BC8F49}"/>
    <cellStyle name="Percent 3 9 12 5" xfId="10596" xr:uid="{00000000-0005-0000-0000-000089310000}"/>
    <cellStyle name="Percent 3 9 12 5 2" xfId="45619" xr:uid="{E2E82925-9EEF-4B4D-9871-1C30D3D4C217}"/>
    <cellStyle name="Percent 3 9 12 6" xfId="10597" xr:uid="{00000000-0005-0000-0000-00008A310000}"/>
    <cellStyle name="Percent 3 9 12 6 2" xfId="45620" xr:uid="{D39B3D9D-9C58-46A7-A693-215EEDFDB0DE}"/>
    <cellStyle name="Percent 3 9 12 7" xfId="13044" xr:uid="{00000000-0005-0000-0000-00008B310000}"/>
    <cellStyle name="Percent 3 9 12 7 2" xfId="45621" xr:uid="{19761C64-FD43-44DD-88F6-B7D298B9F94A}"/>
    <cellStyle name="Percent 3 9 12 8" xfId="12667" xr:uid="{00000000-0005-0000-0000-00008C310000}"/>
    <cellStyle name="Percent 3 9 12 8 2" xfId="45622" xr:uid="{13EF14A8-692D-4287-BEA0-7894022FFEDF}"/>
    <cellStyle name="Percent 3 9 12 9" xfId="8866" xr:uid="{00000000-0005-0000-0000-00008D310000}"/>
    <cellStyle name="Percent 3 9 12 9 2" xfId="45623" xr:uid="{E08F8993-F917-4832-9E3B-6967A3504D94}"/>
    <cellStyle name="Percent 3 9 13" xfId="2907" xr:uid="{00000000-0005-0000-0000-00008E310000}"/>
    <cellStyle name="Percent 3 9 13 10" xfId="45624" xr:uid="{8871CF3E-E59A-4A91-8AE3-A03139F02E94}"/>
    <cellStyle name="Percent 3 9 13 2" xfId="10598" xr:uid="{00000000-0005-0000-0000-00008F310000}"/>
    <cellStyle name="Percent 3 9 13 2 2" xfId="45625" xr:uid="{AC0D96EC-95EE-46EC-B629-0A82B9215C12}"/>
    <cellStyle name="Percent 3 9 13 3" xfId="10599" xr:uid="{00000000-0005-0000-0000-000090310000}"/>
    <cellStyle name="Percent 3 9 13 3 2" xfId="45626" xr:uid="{F4ED6975-2F9C-4C9D-97A5-41FCCFEFC55B}"/>
    <cellStyle name="Percent 3 9 13 4" xfId="10600" xr:uid="{00000000-0005-0000-0000-000091310000}"/>
    <cellStyle name="Percent 3 9 13 4 2" xfId="45627" xr:uid="{8B88C115-8BE0-4449-83C2-744BEAEEF85A}"/>
    <cellStyle name="Percent 3 9 13 5" xfId="10601" xr:uid="{00000000-0005-0000-0000-000092310000}"/>
    <cellStyle name="Percent 3 9 13 5 2" xfId="45628" xr:uid="{6DDE453D-78BB-4C67-8619-AE380400236B}"/>
    <cellStyle name="Percent 3 9 13 6" xfId="10602" xr:uid="{00000000-0005-0000-0000-000093310000}"/>
    <cellStyle name="Percent 3 9 13 6 2" xfId="45629" xr:uid="{64B182AE-4DB1-4CE6-895B-4B20A27FC462}"/>
    <cellStyle name="Percent 3 9 13 7" xfId="13045" xr:uid="{00000000-0005-0000-0000-000094310000}"/>
    <cellStyle name="Percent 3 9 13 7 2" xfId="45630" xr:uid="{04FCC7F7-4AB9-4905-B738-0EF243B5D77B}"/>
    <cellStyle name="Percent 3 9 13 8" xfId="12780" xr:uid="{00000000-0005-0000-0000-000095310000}"/>
    <cellStyle name="Percent 3 9 13 8 2" xfId="45631" xr:uid="{CFE9ECFE-3395-4610-9B53-9776720C895A}"/>
    <cellStyle name="Percent 3 9 13 9" xfId="8867" xr:uid="{00000000-0005-0000-0000-000096310000}"/>
    <cellStyle name="Percent 3 9 13 9 2" xfId="45632" xr:uid="{C464F8EB-BD2A-490C-95BC-7582AC4EAFDA}"/>
    <cellStyle name="Percent 3 9 14" xfId="2908" xr:uid="{00000000-0005-0000-0000-000097310000}"/>
    <cellStyle name="Percent 3 9 14 10" xfId="45633" xr:uid="{6A2EAB04-98D2-4E78-A6E9-5416246E1F86}"/>
    <cellStyle name="Percent 3 9 14 2" xfId="10603" xr:uid="{00000000-0005-0000-0000-000098310000}"/>
    <cellStyle name="Percent 3 9 14 2 2" xfId="45634" xr:uid="{23557499-A050-4BAC-9DA9-BA043DABDD39}"/>
    <cellStyle name="Percent 3 9 14 3" xfId="10604" xr:uid="{00000000-0005-0000-0000-000099310000}"/>
    <cellStyle name="Percent 3 9 14 3 2" xfId="45635" xr:uid="{74444BA6-8F74-43A6-816B-D81BD58431D7}"/>
    <cellStyle name="Percent 3 9 14 4" xfId="10605" xr:uid="{00000000-0005-0000-0000-00009A310000}"/>
    <cellStyle name="Percent 3 9 14 4 2" xfId="45636" xr:uid="{3BF929DE-B256-4BA8-840F-0243D75E010C}"/>
    <cellStyle name="Percent 3 9 14 5" xfId="10606" xr:uid="{00000000-0005-0000-0000-00009B310000}"/>
    <cellStyle name="Percent 3 9 14 5 2" xfId="45637" xr:uid="{EBDB4394-8BC8-4C68-B03F-F3ACC1CF195C}"/>
    <cellStyle name="Percent 3 9 14 6" xfId="10607" xr:uid="{00000000-0005-0000-0000-00009C310000}"/>
    <cellStyle name="Percent 3 9 14 6 2" xfId="45638" xr:uid="{E8B2A826-C678-458B-91C7-B29CB7A30086}"/>
    <cellStyle name="Percent 3 9 14 7" xfId="13046" xr:uid="{00000000-0005-0000-0000-00009D310000}"/>
    <cellStyle name="Percent 3 9 14 7 2" xfId="45639" xr:uid="{6AD2D5DD-14C0-4356-93E4-69E650841B26}"/>
    <cellStyle name="Percent 3 9 14 8" xfId="12796" xr:uid="{00000000-0005-0000-0000-00009E310000}"/>
    <cellStyle name="Percent 3 9 14 8 2" xfId="45640" xr:uid="{516A79AE-2E84-4F5D-A134-B988115AADE3}"/>
    <cellStyle name="Percent 3 9 14 9" xfId="8868" xr:uid="{00000000-0005-0000-0000-00009F310000}"/>
    <cellStyle name="Percent 3 9 14 9 2" xfId="45641" xr:uid="{6533CEED-D720-4CB8-9553-E87EC335323B}"/>
    <cellStyle name="Percent 3 9 15" xfId="2909" xr:uid="{00000000-0005-0000-0000-0000A0310000}"/>
    <cellStyle name="Percent 3 9 15 10" xfId="45642" xr:uid="{54B62CC6-3B9A-45B1-A3B5-26ACAF5B9483}"/>
    <cellStyle name="Percent 3 9 15 2" xfId="10608" xr:uid="{00000000-0005-0000-0000-0000A1310000}"/>
    <cellStyle name="Percent 3 9 15 2 2" xfId="45643" xr:uid="{E80CFFBC-451F-4328-AD43-6F78392E5375}"/>
    <cellStyle name="Percent 3 9 15 3" xfId="10609" xr:uid="{00000000-0005-0000-0000-0000A2310000}"/>
    <cellStyle name="Percent 3 9 15 3 2" xfId="45644" xr:uid="{916A611B-4392-495F-8738-29DAA0D63B6A}"/>
    <cellStyle name="Percent 3 9 15 4" xfId="10610" xr:uid="{00000000-0005-0000-0000-0000A3310000}"/>
    <cellStyle name="Percent 3 9 15 4 2" xfId="45645" xr:uid="{BA33FEFD-1534-4ED9-9CEF-31B8374EFE64}"/>
    <cellStyle name="Percent 3 9 15 5" xfId="10611" xr:uid="{00000000-0005-0000-0000-0000A4310000}"/>
    <cellStyle name="Percent 3 9 15 5 2" xfId="45646" xr:uid="{B9924E18-3F23-4064-A175-65554B023BA6}"/>
    <cellStyle name="Percent 3 9 15 6" xfId="10612" xr:uid="{00000000-0005-0000-0000-0000A5310000}"/>
    <cellStyle name="Percent 3 9 15 6 2" xfId="45647" xr:uid="{076F3058-3B7E-4D39-B8E1-C817A41FB628}"/>
    <cellStyle name="Percent 3 9 15 7" xfId="13047" xr:uid="{00000000-0005-0000-0000-0000A6310000}"/>
    <cellStyle name="Percent 3 9 15 7 2" xfId="45648" xr:uid="{3895B515-7534-4727-869C-0DB0A238F9AC}"/>
    <cellStyle name="Percent 3 9 15 8" xfId="13472" xr:uid="{00000000-0005-0000-0000-0000A7310000}"/>
    <cellStyle name="Percent 3 9 15 8 2" xfId="45649" xr:uid="{FF76F4E2-3DE3-4394-B3A0-09E5BDF560EA}"/>
    <cellStyle name="Percent 3 9 15 9" xfId="8869" xr:uid="{00000000-0005-0000-0000-0000A8310000}"/>
    <cellStyle name="Percent 3 9 15 9 2" xfId="45650" xr:uid="{DD194A2B-8175-4FCD-8B2D-29FDC9F129E9}"/>
    <cellStyle name="Percent 3 9 16" xfId="10613" xr:uid="{00000000-0005-0000-0000-0000A9310000}"/>
    <cellStyle name="Percent 3 9 16 2" xfId="45651" xr:uid="{D508CD6A-2D9D-418A-984F-C6A1D022B42E}"/>
    <cellStyle name="Percent 3 9 17" xfId="10614" xr:uid="{00000000-0005-0000-0000-0000AA310000}"/>
    <cellStyle name="Percent 3 9 17 2" xfId="45652" xr:uid="{8F52BBCF-4EEF-4551-BAEB-F21A6D70AE83}"/>
    <cellStyle name="Percent 3 9 18" xfId="10615" xr:uid="{00000000-0005-0000-0000-0000AB310000}"/>
    <cellStyle name="Percent 3 9 18 2" xfId="45653" xr:uid="{C0057A9E-0ADD-49FE-B412-E33A1DADB7A0}"/>
    <cellStyle name="Percent 3 9 19" xfId="10616" xr:uid="{00000000-0005-0000-0000-0000AC310000}"/>
    <cellStyle name="Percent 3 9 19 2" xfId="45654" xr:uid="{23829D4F-4081-423D-9B03-3E349567513A}"/>
    <cellStyle name="Percent 3 9 2" xfId="2910" xr:uid="{00000000-0005-0000-0000-0000AD310000}"/>
    <cellStyle name="Percent 3 9 2 10" xfId="45655" xr:uid="{B6AB781F-090C-45E6-968E-863C51620A55}"/>
    <cellStyle name="Percent 3 9 2 2" xfId="10617" xr:uid="{00000000-0005-0000-0000-0000AE310000}"/>
    <cellStyle name="Percent 3 9 2 2 2" xfId="45656" xr:uid="{71778D74-68B9-47DF-9F92-0985CC57EAF7}"/>
    <cellStyle name="Percent 3 9 2 3" xfId="10618" xr:uid="{00000000-0005-0000-0000-0000AF310000}"/>
    <cellStyle name="Percent 3 9 2 3 2" xfId="45657" xr:uid="{9098B074-71D2-4243-94B9-A44621877D5F}"/>
    <cellStyle name="Percent 3 9 2 4" xfId="10619" xr:uid="{00000000-0005-0000-0000-0000B0310000}"/>
    <cellStyle name="Percent 3 9 2 4 2" xfId="45658" xr:uid="{7C4D91F9-9A98-41BB-B9E4-20B9809CB31D}"/>
    <cellStyle name="Percent 3 9 2 5" xfId="10620" xr:uid="{00000000-0005-0000-0000-0000B1310000}"/>
    <cellStyle name="Percent 3 9 2 5 2" xfId="45659" xr:uid="{220E3939-26C3-449E-8BC7-C6BB68E76A2E}"/>
    <cellStyle name="Percent 3 9 2 6" xfId="10621" xr:uid="{00000000-0005-0000-0000-0000B2310000}"/>
    <cellStyle name="Percent 3 9 2 6 2" xfId="45660" xr:uid="{91309163-317D-4C82-A621-5DC9FF0F1883}"/>
    <cellStyle name="Percent 3 9 2 7" xfId="13048" xr:uid="{00000000-0005-0000-0000-0000B3310000}"/>
    <cellStyle name="Percent 3 9 2 7 2" xfId="45661" xr:uid="{5C474E3D-6562-4FBD-B8E0-9169D4A054EF}"/>
    <cellStyle name="Percent 3 9 2 8" xfId="12775" xr:uid="{00000000-0005-0000-0000-0000B4310000}"/>
    <cellStyle name="Percent 3 9 2 8 2" xfId="45662" xr:uid="{860AFC72-F746-4E3A-B0B4-AA951B33E9FB}"/>
    <cellStyle name="Percent 3 9 2 9" xfId="8870" xr:uid="{00000000-0005-0000-0000-0000B5310000}"/>
    <cellStyle name="Percent 3 9 2 9 2" xfId="45663" xr:uid="{DE621EAC-E188-43D1-86F3-128003062AE5}"/>
    <cellStyle name="Percent 3 9 20" xfId="10622" xr:uid="{00000000-0005-0000-0000-0000B6310000}"/>
    <cellStyle name="Percent 3 9 20 2" xfId="45664" xr:uid="{13516879-5EA0-464E-964A-10395BFA2893}"/>
    <cellStyle name="Percent 3 9 21" xfId="13041" xr:uid="{00000000-0005-0000-0000-0000B7310000}"/>
    <cellStyle name="Percent 3 9 21 2" xfId="45665" xr:uid="{7CF7BEDD-C860-4179-967A-3CDB3DC33485}"/>
    <cellStyle name="Percent 3 9 22" xfId="13781" xr:uid="{00000000-0005-0000-0000-0000B8310000}"/>
    <cellStyle name="Percent 3 9 22 2" xfId="45666" xr:uid="{96B2E6B4-90CA-4D28-856A-A1278F1A1E5C}"/>
    <cellStyle name="Percent 3 9 23" xfId="8863" xr:uid="{00000000-0005-0000-0000-0000B9310000}"/>
    <cellStyle name="Percent 3 9 23 2" xfId="45667" xr:uid="{D784DE1A-0264-40FB-85D6-C025C1FCA564}"/>
    <cellStyle name="Percent 3 9 24" xfId="45596" xr:uid="{4AF8F033-FB9D-4A4D-B56A-5BEF1C95A8B0}"/>
    <cellStyle name="Percent 3 9 3" xfId="2911" xr:uid="{00000000-0005-0000-0000-0000BA310000}"/>
    <cellStyle name="Percent 3 9 3 10" xfId="45668" xr:uid="{B86199E3-53D8-4FD0-A6F5-CEBF8E4EB6BC}"/>
    <cellStyle name="Percent 3 9 3 2" xfId="10623" xr:uid="{00000000-0005-0000-0000-0000BB310000}"/>
    <cellStyle name="Percent 3 9 3 2 2" xfId="45669" xr:uid="{E712451E-25FA-41B4-B3A0-082FA1EF685D}"/>
    <cellStyle name="Percent 3 9 3 3" xfId="10624" xr:uid="{00000000-0005-0000-0000-0000BC310000}"/>
    <cellStyle name="Percent 3 9 3 3 2" xfId="45670" xr:uid="{E5979653-7E55-4523-813D-3C2AC920B2ED}"/>
    <cellStyle name="Percent 3 9 3 4" xfId="10625" xr:uid="{00000000-0005-0000-0000-0000BD310000}"/>
    <cellStyle name="Percent 3 9 3 4 2" xfId="45671" xr:uid="{33C3A1BB-464F-4F87-883F-760888959617}"/>
    <cellStyle name="Percent 3 9 3 5" xfId="10626" xr:uid="{00000000-0005-0000-0000-0000BE310000}"/>
    <cellStyle name="Percent 3 9 3 5 2" xfId="45672" xr:uid="{51A8C700-02E1-4589-8127-D4ABDF4E7763}"/>
    <cellStyle name="Percent 3 9 3 6" xfId="10627" xr:uid="{00000000-0005-0000-0000-0000BF310000}"/>
    <cellStyle name="Percent 3 9 3 6 2" xfId="45673" xr:uid="{E2C041AA-C502-42D9-936D-88B0AE6A6749}"/>
    <cellStyle name="Percent 3 9 3 7" xfId="13049" xr:uid="{00000000-0005-0000-0000-0000C0310000}"/>
    <cellStyle name="Percent 3 9 3 7 2" xfId="45674" xr:uid="{E73C30E2-27F9-47D6-BD38-48AED658F0F1}"/>
    <cellStyle name="Percent 3 9 3 8" xfId="13892" xr:uid="{00000000-0005-0000-0000-0000C1310000}"/>
    <cellStyle name="Percent 3 9 3 8 2" xfId="45675" xr:uid="{E8FDB27E-0241-40BD-86A5-409AF29CE83D}"/>
    <cellStyle name="Percent 3 9 3 9" xfId="8871" xr:uid="{00000000-0005-0000-0000-0000C2310000}"/>
    <cellStyle name="Percent 3 9 3 9 2" xfId="45676" xr:uid="{A85F95D0-4ABA-4842-A330-A38C86DE7127}"/>
    <cellStyle name="Percent 3 9 4" xfId="2912" xr:uid="{00000000-0005-0000-0000-0000C3310000}"/>
    <cellStyle name="Percent 3 9 4 10" xfId="45677" xr:uid="{893E8AC3-B548-47BE-B33A-000E6BF2EB36}"/>
    <cellStyle name="Percent 3 9 4 2" xfId="10628" xr:uid="{00000000-0005-0000-0000-0000C4310000}"/>
    <cellStyle name="Percent 3 9 4 2 2" xfId="45678" xr:uid="{060ACB99-1E9B-427F-9CA1-DCE141B25664}"/>
    <cellStyle name="Percent 3 9 4 3" xfId="10629" xr:uid="{00000000-0005-0000-0000-0000C5310000}"/>
    <cellStyle name="Percent 3 9 4 3 2" xfId="45679" xr:uid="{B743C96C-0AB6-461B-A394-F9BB5027F075}"/>
    <cellStyle name="Percent 3 9 4 4" xfId="10630" xr:uid="{00000000-0005-0000-0000-0000C6310000}"/>
    <cellStyle name="Percent 3 9 4 4 2" xfId="45680" xr:uid="{D787DC60-76A8-41A1-8F13-6923DE27FFAA}"/>
    <cellStyle name="Percent 3 9 4 5" xfId="10631" xr:uid="{00000000-0005-0000-0000-0000C7310000}"/>
    <cellStyle name="Percent 3 9 4 5 2" xfId="45681" xr:uid="{21155216-7C6E-4E78-9AD5-CEA4643BD9D4}"/>
    <cellStyle name="Percent 3 9 4 6" xfId="10632" xr:uid="{00000000-0005-0000-0000-0000C8310000}"/>
    <cellStyle name="Percent 3 9 4 6 2" xfId="45682" xr:uid="{1AA9A37C-3FDB-45CB-A593-C74E39844293}"/>
    <cellStyle name="Percent 3 9 4 7" xfId="13050" xr:uid="{00000000-0005-0000-0000-0000C9310000}"/>
    <cellStyle name="Percent 3 9 4 7 2" xfId="45683" xr:uid="{EBDF813E-7131-400D-9188-D00F7BAB8CB5}"/>
    <cellStyle name="Percent 3 9 4 8" xfId="16650" xr:uid="{00000000-0005-0000-0000-0000CA310000}"/>
    <cellStyle name="Percent 3 9 4 8 2" xfId="45684" xr:uid="{8D2F893A-09BB-402A-917D-AE2793FEDF7D}"/>
    <cellStyle name="Percent 3 9 4 9" xfId="8872" xr:uid="{00000000-0005-0000-0000-0000CB310000}"/>
    <cellStyle name="Percent 3 9 4 9 2" xfId="45685" xr:uid="{0F61F0B9-8406-4B3D-8E48-F2548CE121CF}"/>
    <cellStyle name="Percent 3 9 5" xfId="2913" xr:uid="{00000000-0005-0000-0000-0000CC310000}"/>
    <cellStyle name="Percent 3 9 5 10" xfId="45686" xr:uid="{61002240-23D7-45AF-A9ED-659738946A93}"/>
    <cellStyle name="Percent 3 9 5 2" xfId="10633" xr:uid="{00000000-0005-0000-0000-0000CD310000}"/>
    <cellStyle name="Percent 3 9 5 2 2" xfId="45687" xr:uid="{DC92123C-8C50-4EDE-91C0-BA0AEB35D96F}"/>
    <cellStyle name="Percent 3 9 5 3" xfId="10634" xr:uid="{00000000-0005-0000-0000-0000CE310000}"/>
    <cellStyle name="Percent 3 9 5 3 2" xfId="45688" xr:uid="{956ADE89-43C6-4CC4-BD7E-2F54DBE0B2F2}"/>
    <cellStyle name="Percent 3 9 5 4" xfId="10635" xr:uid="{00000000-0005-0000-0000-0000CF310000}"/>
    <cellStyle name="Percent 3 9 5 4 2" xfId="45689" xr:uid="{BCD3ACBB-A961-4BFE-9CE9-85F2B50ECC84}"/>
    <cellStyle name="Percent 3 9 5 5" xfId="10636" xr:uid="{00000000-0005-0000-0000-0000D0310000}"/>
    <cellStyle name="Percent 3 9 5 5 2" xfId="45690" xr:uid="{E6E71DEC-2D66-4EA7-8680-087ED561D207}"/>
    <cellStyle name="Percent 3 9 5 6" xfId="10637" xr:uid="{00000000-0005-0000-0000-0000D1310000}"/>
    <cellStyle name="Percent 3 9 5 6 2" xfId="45691" xr:uid="{4FB62426-6E2E-4142-9A86-67FF4ECFC66C}"/>
    <cellStyle name="Percent 3 9 5 7" xfId="13051" xr:uid="{00000000-0005-0000-0000-0000D2310000}"/>
    <cellStyle name="Percent 3 9 5 7 2" xfId="45692" xr:uid="{80273611-3E85-4DEC-AB5B-6D710FD5D62B}"/>
    <cellStyle name="Percent 3 9 5 8" xfId="12540" xr:uid="{00000000-0005-0000-0000-0000D3310000}"/>
    <cellStyle name="Percent 3 9 5 8 2" xfId="45693" xr:uid="{8323D4AA-0787-47A0-B16B-E9E5099F24B8}"/>
    <cellStyle name="Percent 3 9 5 9" xfId="8873" xr:uid="{00000000-0005-0000-0000-0000D4310000}"/>
    <cellStyle name="Percent 3 9 5 9 2" xfId="45694" xr:uid="{6FD9AE82-847F-403B-B4CF-448BDF3EE6C4}"/>
    <cellStyle name="Percent 3 9 6" xfId="2914" xr:uid="{00000000-0005-0000-0000-0000D5310000}"/>
    <cellStyle name="Percent 3 9 6 10" xfId="45695" xr:uid="{666821F6-A3D7-4329-B0EA-3B0B814E2F69}"/>
    <cellStyle name="Percent 3 9 6 2" xfId="10638" xr:uid="{00000000-0005-0000-0000-0000D6310000}"/>
    <cellStyle name="Percent 3 9 6 2 2" xfId="45696" xr:uid="{771B14F0-03A4-4459-913D-E26F52C2E918}"/>
    <cellStyle name="Percent 3 9 6 3" xfId="10639" xr:uid="{00000000-0005-0000-0000-0000D7310000}"/>
    <cellStyle name="Percent 3 9 6 3 2" xfId="45697" xr:uid="{C05C5331-F9F8-4049-969B-2C453ADE0B68}"/>
    <cellStyle name="Percent 3 9 6 4" xfId="10640" xr:uid="{00000000-0005-0000-0000-0000D8310000}"/>
    <cellStyle name="Percent 3 9 6 4 2" xfId="45698" xr:uid="{1D1F7E2F-D28C-4972-9F3C-C1EB2219F915}"/>
    <cellStyle name="Percent 3 9 6 5" xfId="10641" xr:uid="{00000000-0005-0000-0000-0000D9310000}"/>
    <cellStyle name="Percent 3 9 6 5 2" xfId="45699" xr:uid="{9B12F0C9-90F1-4B03-BC42-1200777BB818}"/>
    <cellStyle name="Percent 3 9 6 6" xfId="10642" xr:uid="{00000000-0005-0000-0000-0000DA310000}"/>
    <cellStyle name="Percent 3 9 6 6 2" xfId="45700" xr:uid="{5E3935F1-4285-468E-B6A9-9F1B85461535}"/>
    <cellStyle name="Percent 3 9 6 7" xfId="13052" xr:uid="{00000000-0005-0000-0000-0000DB310000}"/>
    <cellStyle name="Percent 3 9 6 7 2" xfId="45701" xr:uid="{673652CA-5117-4372-B1E1-7E0143C6C880}"/>
    <cellStyle name="Percent 3 9 6 8" xfId="12871" xr:uid="{00000000-0005-0000-0000-0000DC310000}"/>
    <cellStyle name="Percent 3 9 6 8 2" xfId="45702" xr:uid="{E217448E-65E4-4931-A125-6ED54E88AB4D}"/>
    <cellStyle name="Percent 3 9 6 9" xfId="8874" xr:uid="{00000000-0005-0000-0000-0000DD310000}"/>
    <cellStyle name="Percent 3 9 6 9 2" xfId="45703" xr:uid="{59730B57-D9FA-4965-864F-D1F37FE798BA}"/>
    <cellStyle name="Percent 3 9 7" xfId="2915" xr:uid="{00000000-0005-0000-0000-0000DE310000}"/>
    <cellStyle name="Percent 3 9 7 10" xfId="45704" xr:uid="{8F89E306-DA68-463B-9192-F922F7C5B792}"/>
    <cellStyle name="Percent 3 9 7 2" xfId="10643" xr:uid="{00000000-0005-0000-0000-0000DF310000}"/>
    <cellStyle name="Percent 3 9 7 2 2" xfId="45705" xr:uid="{F3E3AEC1-9E5A-4AF0-9A86-0813D6B66CDA}"/>
    <cellStyle name="Percent 3 9 7 3" xfId="10644" xr:uid="{00000000-0005-0000-0000-0000E0310000}"/>
    <cellStyle name="Percent 3 9 7 3 2" xfId="45706" xr:uid="{2891766C-A9A8-4AE4-AA06-11176447A4F2}"/>
    <cellStyle name="Percent 3 9 7 4" xfId="10645" xr:uid="{00000000-0005-0000-0000-0000E1310000}"/>
    <cellStyle name="Percent 3 9 7 4 2" xfId="45707" xr:uid="{A082018D-D45E-479F-AD08-CF4E673EFF23}"/>
    <cellStyle name="Percent 3 9 7 5" xfId="10646" xr:uid="{00000000-0005-0000-0000-0000E2310000}"/>
    <cellStyle name="Percent 3 9 7 5 2" xfId="45708" xr:uid="{5D6FA4FE-5999-4A0F-9517-EE3729A7CFA4}"/>
    <cellStyle name="Percent 3 9 7 6" xfId="10647" xr:uid="{00000000-0005-0000-0000-0000E3310000}"/>
    <cellStyle name="Percent 3 9 7 6 2" xfId="45709" xr:uid="{39F5E6C1-8C1E-4A0C-8A98-566CC3276921}"/>
    <cellStyle name="Percent 3 9 7 7" xfId="13053" xr:uid="{00000000-0005-0000-0000-0000E4310000}"/>
    <cellStyle name="Percent 3 9 7 7 2" xfId="45710" xr:uid="{A3328DBA-4109-486B-9A47-D74F9FADC465}"/>
    <cellStyle name="Percent 3 9 7 8" xfId="16243" xr:uid="{00000000-0005-0000-0000-0000E5310000}"/>
    <cellStyle name="Percent 3 9 7 8 2" xfId="45711" xr:uid="{0670905D-FF38-4567-BB5C-994F94A671D3}"/>
    <cellStyle name="Percent 3 9 7 9" xfId="8875" xr:uid="{00000000-0005-0000-0000-0000E6310000}"/>
    <cellStyle name="Percent 3 9 7 9 2" xfId="45712" xr:uid="{8B233C24-48ED-4A44-90B3-C1B4CFB6CD32}"/>
    <cellStyle name="Percent 3 9 8" xfId="2916" xr:uid="{00000000-0005-0000-0000-0000E7310000}"/>
    <cellStyle name="Percent 3 9 8 10" xfId="45713" xr:uid="{5659EF7B-5A39-43F0-AD98-BA256C122118}"/>
    <cellStyle name="Percent 3 9 8 2" xfId="10648" xr:uid="{00000000-0005-0000-0000-0000E8310000}"/>
    <cellStyle name="Percent 3 9 8 2 2" xfId="45714" xr:uid="{BF7D58DE-D228-4274-BB62-C376CCB7ED6D}"/>
    <cellStyle name="Percent 3 9 8 3" xfId="10649" xr:uid="{00000000-0005-0000-0000-0000E9310000}"/>
    <cellStyle name="Percent 3 9 8 3 2" xfId="45715" xr:uid="{5DA011CA-A660-4FC0-ACD0-F81398A503F3}"/>
    <cellStyle name="Percent 3 9 8 4" xfId="10650" xr:uid="{00000000-0005-0000-0000-0000EA310000}"/>
    <cellStyle name="Percent 3 9 8 4 2" xfId="45716" xr:uid="{4701AB16-AEFE-4B9C-BC01-7C1C10077093}"/>
    <cellStyle name="Percent 3 9 8 5" xfId="10651" xr:uid="{00000000-0005-0000-0000-0000EB310000}"/>
    <cellStyle name="Percent 3 9 8 5 2" xfId="45717" xr:uid="{478B4ACB-FD8E-4536-9DBC-C1639AB2B285}"/>
    <cellStyle name="Percent 3 9 8 6" xfId="10652" xr:uid="{00000000-0005-0000-0000-0000EC310000}"/>
    <cellStyle name="Percent 3 9 8 6 2" xfId="45718" xr:uid="{00E6E4B2-CE0F-46FB-995F-548E2F808A86}"/>
    <cellStyle name="Percent 3 9 8 7" xfId="13054" xr:uid="{00000000-0005-0000-0000-0000ED310000}"/>
    <cellStyle name="Percent 3 9 8 7 2" xfId="45719" xr:uid="{5A2A05B3-D2A3-43F2-BE20-1D427D75D872}"/>
    <cellStyle name="Percent 3 9 8 8" xfId="16488" xr:uid="{00000000-0005-0000-0000-0000EE310000}"/>
    <cellStyle name="Percent 3 9 8 8 2" xfId="45720" xr:uid="{9F2FDA52-6C48-4C8A-8AC8-03EA79A95292}"/>
    <cellStyle name="Percent 3 9 8 9" xfId="8876" xr:uid="{00000000-0005-0000-0000-0000EF310000}"/>
    <cellStyle name="Percent 3 9 8 9 2" xfId="45721" xr:uid="{E75CDDFB-C7CA-48D3-AF9A-005B1E554BA7}"/>
    <cellStyle name="Percent 3 9 9" xfId="2917" xr:uid="{00000000-0005-0000-0000-0000F0310000}"/>
    <cellStyle name="Percent 3 9 9 10" xfId="45722" xr:uid="{6732E6A7-C900-4681-9B72-48A295092174}"/>
    <cellStyle name="Percent 3 9 9 2" xfId="10653" xr:uid="{00000000-0005-0000-0000-0000F1310000}"/>
    <cellStyle name="Percent 3 9 9 2 2" xfId="45723" xr:uid="{02C8B911-CF8D-48A8-897C-906FA654273D}"/>
    <cellStyle name="Percent 3 9 9 3" xfId="10654" xr:uid="{00000000-0005-0000-0000-0000F2310000}"/>
    <cellStyle name="Percent 3 9 9 3 2" xfId="45724" xr:uid="{AE3A42E0-41CE-40F0-87F0-EA8038B56BF4}"/>
    <cellStyle name="Percent 3 9 9 4" xfId="10655" xr:uid="{00000000-0005-0000-0000-0000F3310000}"/>
    <cellStyle name="Percent 3 9 9 4 2" xfId="45725" xr:uid="{09F6D5BB-2563-423F-AA41-37CC8A76114F}"/>
    <cellStyle name="Percent 3 9 9 5" xfId="10656" xr:uid="{00000000-0005-0000-0000-0000F4310000}"/>
    <cellStyle name="Percent 3 9 9 5 2" xfId="45726" xr:uid="{1002C195-3541-4FF1-BF68-640F3451E55B}"/>
    <cellStyle name="Percent 3 9 9 6" xfId="10657" xr:uid="{00000000-0005-0000-0000-0000F5310000}"/>
    <cellStyle name="Percent 3 9 9 6 2" xfId="45727" xr:uid="{7B57EE78-C5EC-4737-A111-FE14168D642E}"/>
    <cellStyle name="Percent 3 9 9 7" xfId="13055" xr:uid="{00000000-0005-0000-0000-0000F6310000}"/>
    <cellStyle name="Percent 3 9 9 7 2" xfId="45728" xr:uid="{BCB910A1-7DF9-4584-AAA4-0E96D0DC18FD}"/>
    <cellStyle name="Percent 3 9 9 8" xfId="16512" xr:uid="{00000000-0005-0000-0000-0000F7310000}"/>
    <cellStyle name="Percent 3 9 9 8 2" xfId="45729" xr:uid="{930D4D4E-3DEE-41BF-90D6-212974B194B5}"/>
    <cellStyle name="Percent 3 9 9 9" xfId="8877" xr:uid="{00000000-0005-0000-0000-0000F8310000}"/>
    <cellStyle name="Percent 3 9 9 9 2" xfId="45730" xr:uid="{864B5F4B-65D6-477E-A5B2-177DEC5BB185}"/>
    <cellStyle name="Percent 30" xfId="28047" xr:uid="{1AE09C38-834D-4CD8-966B-862BC9D25875}"/>
    <cellStyle name="Percent 30 2" xfId="45732" xr:uid="{55B65D26-4B24-466E-888F-867548BE6018}"/>
    <cellStyle name="Percent 30 3" xfId="45731" xr:uid="{F867E2C5-10EC-47AB-B46D-43FA24A89C97}"/>
    <cellStyle name="Percent 30 4" xfId="49864" xr:uid="{5F754BD7-7F84-4B04-BFA1-B7FE6FF1642E}"/>
    <cellStyle name="Percent 31" xfId="2918" xr:uid="{00000000-0005-0000-0000-0000F9310000}"/>
    <cellStyle name="Percent 31 10" xfId="45733" xr:uid="{3DAF23C1-5479-446F-98B5-DBED9AE1C23B}"/>
    <cellStyle name="Percent 31 2" xfId="10658" xr:uid="{00000000-0005-0000-0000-0000FA310000}"/>
    <cellStyle name="Percent 31 2 2" xfId="16723" xr:uid="{015AD5E1-E670-4727-A3FD-8DD4E569331E}"/>
    <cellStyle name="Percent 31 2 2 2" xfId="45735" xr:uid="{52F8EA37-00AD-492E-B00A-DC11DD719A91}"/>
    <cellStyle name="Percent 31 2 3" xfId="45736" xr:uid="{B048F730-2201-4130-9B8F-8DA6F8E6B14F}"/>
    <cellStyle name="Percent 31 2 4" xfId="45734" xr:uid="{0D996B08-E8EA-4A74-B1A0-C227C7FF09DD}"/>
    <cellStyle name="Percent 31 3" xfId="10659" xr:uid="{00000000-0005-0000-0000-0000FB310000}"/>
    <cellStyle name="Percent 31 3 2" xfId="45737" xr:uid="{50813EAC-1EEF-49A4-9402-34B2A05B2983}"/>
    <cellStyle name="Percent 31 4" xfId="10660" xr:uid="{00000000-0005-0000-0000-0000FC310000}"/>
    <cellStyle name="Percent 31 4 2" xfId="45738" xr:uid="{5E9F473C-EDD0-40FB-9BFF-2B5E313204A1}"/>
    <cellStyle name="Percent 31 5" xfId="10661" xr:uid="{00000000-0005-0000-0000-0000FD310000}"/>
    <cellStyle name="Percent 31 5 2" xfId="45739" xr:uid="{968B2B0C-0E3F-40E8-B9C2-9573898CE648}"/>
    <cellStyle name="Percent 31 6" xfId="10662" xr:uid="{00000000-0005-0000-0000-0000FE310000}"/>
    <cellStyle name="Percent 31 6 2" xfId="45740" xr:uid="{B98D12AE-CFDB-4B6C-A56C-ECB702D06B79}"/>
    <cellStyle name="Percent 31 7" xfId="13056" xr:uid="{00000000-0005-0000-0000-0000FF310000}"/>
    <cellStyle name="Percent 31 7 2" xfId="45741" xr:uid="{909523C5-53B3-443B-8826-62FF5C29F31E}"/>
    <cellStyle name="Percent 31 8" xfId="12638" xr:uid="{00000000-0005-0000-0000-000000320000}"/>
    <cellStyle name="Percent 31 8 2" xfId="45742" xr:uid="{F51B9162-B511-4478-8C0E-12063A478D11}"/>
    <cellStyle name="Percent 31 9" xfId="8878" xr:uid="{00000000-0005-0000-0000-000001320000}"/>
    <cellStyle name="Percent 31 9 2" xfId="45743" xr:uid="{CC3D3FC2-3B65-4DC4-9430-C426D73DF78A}"/>
    <cellStyle name="Percent 32" xfId="49837" xr:uid="{F3A6AB18-D646-4AE6-9995-024F413CE519}"/>
    <cellStyle name="Percent 33" xfId="16724" xr:uid="{385BA7FA-721C-48A6-B226-9DC52F919976}"/>
    <cellStyle name="Percent 33 2" xfId="45744" xr:uid="{476EA1AC-4503-4A1C-A8F7-E21C79436FDC}"/>
    <cellStyle name="Percent 4" xfId="236" xr:uid="{00000000-0005-0000-0000-000002320000}"/>
    <cellStyle name="Percent 4 10" xfId="2920" xr:uid="{00000000-0005-0000-0000-000003320000}"/>
    <cellStyle name="Percent 4 10 10" xfId="45746" xr:uid="{3C4FEC44-8114-4D39-8F77-3BEF9E7AA056}"/>
    <cellStyle name="Percent 4 10 2" xfId="10663" xr:uid="{00000000-0005-0000-0000-000004320000}"/>
    <cellStyle name="Percent 4 10 2 2" xfId="45747" xr:uid="{8A41E43F-FD71-4F75-8B2A-EC1F668A52AA}"/>
    <cellStyle name="Percent 4 10 3" xfId="10664" xr:uid="{00000000-0005-0000-0000-000005320000}"/>
    <cellStyle name="Percent 4 10 3 2" xfId="45748" xr:uid="{D12B8AD8-C200-4848-8198-E2071DE5195F}"/>
    <cellStyle name="Percent 4 10 4" xfId="10665" xr:uid="{00000000-0005-0000-0000-000006320000}"/>
    <cellStyle name="Percent 4 10 4 2" xfId="45749" xr:uid="{82A9A969-C71C-4374-8F45-4A4A9AD98084}"/>
    <cellStyle name="Percent 4 10 5" xfId="10666" xr:uid="{00000000-0005-0000-0000-000007320000}"/>
    <cellStyle name="Percent 4 10 5 2" xfId="45750" xr:uid="{0E158B7C-C07F-4B9A-B494-AF8E3DD0C3B7}"/>
    <cellStyle name="Percent 4 10 6" xfId="10667" xr:uid="{00000000-0005-0000-0000-000008320000}"/>
    <cellStyle name="Percent 4 10 6 2" xfId="45751" xr:uid="{C0CD3B01-8C2D-4A1C-8C5E-6A93B976A3B1}"/>
    <cellStyle name="Percent 4 10 7" xfId="12223" xr:uid="{00000000-0005-0000-0000-000009320000}"/>
    <cellStyle name="Percent 4 10 7 2" xfId="45752" xr:uid="{3DF74EF0-4027-4DA3-8B55-4C389479EBDD}"/>
    <cellStyle name="Percent 4 10 8" xfId="12865" xr:uid="{00000000-0005-0000-0000-00000A320000}"/>
    <cellStyle name="Percent 4 10 8 2" xfId="45753" xr:uid="{7DE88142-A340-4B9D-8A75-3F3213EB73A2}"/>
    <cellStyle name="Percent 4 10 9" xfId="8880" xr:uid="{00000000-0005-0000-0000-00000B320000}"/>
    <cellStyle name="Percent 4 10 9 2" xfId="45754" xr:uid="{6594C9C0-E9AE-4F99-A1D4-DFFE0F4AB211}"/>
    <cellStyle name="Percent 4 11" xfId="2921" xr:uid="{00000000-0005-0000-0000-00000C320000}"/>
    <cellStyle name="Percent 4 11 10" xfId="45755" xr:uid="{8BFE0364-16AF-4C77-99FF-6324264EAD3B}"/>
    <cellStyle name="Percent 4 11 2" xfId="10668" xr:uid="{00000000-0005-0000-0000-00000D320000}"/>
    <cellStyle name="Percent 4 11 2 2" xfId="45756" xr:uid="{B688547F-3989-4A84-A151-BADDE3E61F56}"/>
    <cellStyle name="Percent 4 11 3" xfId="10669" xr:uid="{00000000-0005-0000-0000-00000E320000}"/>
    <cellStyle name="Percent 4 11 3 2" xfId="45757" xr:uid="{7154B723-2AAA-4D11-B008-D4D0E603B6A2}"/>
    <cellStyle name="Percent 4 11 4" xfId="10670" xr:uid="{00000000-0005-0000-0000-00000F320000}"/>
    <cellStyle name="Percent 4 11 4 2" xfId="45758" xr:uid="{6B432365-1B39-4ECD-9AF3-E3ECF8AA29F0}"/>
    <cellStyle name="Percent 4 11 5" xfId="10671" xr:uid="{00000000-0005-0000-0000-000010320000}"/>
    <cellStyle name="Percent 4 11 5 2" xfId="45759" xr:uid="{0E4A1301-CAC8-4327-8705-45AC538595EB}"/>
    <cellStyle name="Percent 4 11 6" xfId="10672" xr:uid="{00000000-0005-0000-0000-000011320000}"/>
    <cellStyle name="Percent 4 11 6 2" xfId="45760" xr:uid="{D8D06D44-361E-42EB-B859-1436C41A7088}"/>
    <cellStyle name="Percent 4 11 7" xfId="12224" xr:uid="{00000000-0005-0000-0000-000012320000}"/>
    <cellStyle name="Percent 4 11 7 2" xfId="45761" xr:uid="{2DF38BB6-1B43-4415-8046-69C925051377}"/>
    <cellStyle name="Percent 4 11 8" xfId="16282" xr:uid="{00000000-0005-0000-0000-000013320000}"/>
    <cellStyle name="Percent 4 11 8 2" xfId="45762" xr:uid="{48DE78AD-5F45-4537-B876-E746C6FFC1FA}"/>
    <cellStyle name="Percent 4 11 9" xfId="8881" xr:uid="{00000000-0005-0000-0000-000014320000}"/>
    <cellStyle name="Percent 4 11 9 2" xfId="45763" xr:uid="{DE96BAED-8335-4435-852C-9ECDDEA5035D}"/>
    <cellStyle name="Percent 4 12" xfId="2922" xr:uid="{00000000-0005-0000-0000-000015320000}"/>
    <cellStyle name="Percent 4 12 10" xfId="45764" xr:uid="{05523C43-BF64-4B6D-93CB-EB22FC1B8942}"/>
    <cellStyle name="Percent 4 12 2" xfId="10673" xr:uid="{00000000-0005-0000-0000-000016320000}"/>
    <cellStyle name="Percent 4 12 2 2" xfId="45765" xr:uid="{5D1002A3-18C9-462E-8568-96930CD5720C}"/>
    <cellStyle name="Percent 4 12 3" xfId="10674" xr:uid="{00000000-0005-0000-0000-000017320000}"/>
    <cellStyle name="Percent 4 12 3 2" xfId="45766" xr:uid="{98CC16DA-B149-4AE8-948F-74D09C3C74C5}"/>
    <cellStyle name="Percent 4 12 4" xfId="10675" xr:uid="{00000000-0005-0000-0000-000018320000}"/>
    <cellStyle name="Percent 4 12 4 2" xfId="45767" xr:uid="{97CEF26C-C840-4300-9FB9-F55DCA600A4E}"/>
    <cellStyle name="Percent 4 12 5" xfId="10676" xr:uid="{00000000-0005-0000-0000-000019320000}"/>
    <cellStyle name="Percent 4 12 5 2" xfId="45768" xr:uid="{2E265815-3DD1-48C5-890E-24C30D857A66}"/>
    <cellStyle name="Percent 4 12 6" xfId="10677" xr:uid="{00000000-0005-0000-0000-00001A320000}"/>
    <cellStyle name="Percent 4 12 6 2" xfId="45769" xr:uid="{FECD0248-F08B-4ECC-AA58-80F7A4D27FB6}"/>
    <cellStyle name="Percent 4 12 7" xfId="12225" xr:uid="{00000000-0005-0000-0000-00001B320000}"/>
    <cellStyle name="Percent 4 12 7 2" xfId="45770" xr:uid="{24ACA2A8-626E-44B2-95F8-810D3AC23F60}"/>
    <cellStyle name="Percent 4 12 8" xfId="12553" xr:uid="{00000000-0005-0000-0000-00001C320000}"/>
    <cellStyle name="Percent 4 12 8 2" xfId="45771" xr:uid="{FA2816E9-1847-4A38-B8B4-9090F74532ED}"/>
    <cellStyle name="Percent 4 12 9" xfId="8882" xr:uid="{00000000-0005-0000-0000-00001D320000}"/>
    <cellStyle name="Percent 4 12 9 2" xfId="45772" xr:uid="{2EA034FB-8E60-4B0B-9C97-E3AE773DF6E9}"/>
    <cellStyle name="Percent 4 13" xfId="2923" xr:uid="{00000000-0005-0000-0000-00001E320000}"/>
    <cellStyle name="Percent 4 13 10" xfId="45773" xr:uid="{DE00BDC0-B00A-42E1-B269-6B9142F02B83}"/>
    <cellStyle name="Percent 4 13 2" xfId="10678" xr:uid="{00000000-0005-0000-0000-00001F320000}"/>
    <cellStyle name="Percent 4 13 2 2" xfId="45774" xr:uid="{45477E50-1BB1-445A-821D-AE39C12DF32B}"/>
    <cellStyle name="Percent 4 13 3" xfId="10679" xr:uid="{00000000-0005-0000-0000-000020320000}"/>
    <cellStyle name="Percent 4 13 3 2" xfId="45775" xr:uid="{150BCD93-071E-4CAE-B9DD-17150BD6F629}"/>
    <cellStyle name="Percent 4 13 4" xfId="10680" xr:uid="{00000000-0005-0000-0000-000021320000}"/>
    <cellStyle name="Percent 4 13 4 2" xfId="45776" xr:uid="{AB54727C-FB76-47C4-8E95-4438E2285A5F}"/>
    <cellStyle name="Percent 4 13 5" xfId="10681" xr:uid="{00000000-0005-0000-0000-000022320000}"/>
    <cellStyle name="Percent 4 13 5 2" xfId="45777" xr:uid="{85B40014-9DE5-47FF-8D0D-C18C6871A42F}"/>
    <cellStyle name="Percent 4 13 6" xfId="10682" xr:uid="{00000000-0005-0000-0000-000023320000}"/>
    <cellStyle name="Percent 4 13 6 2" xfId="45778" xr:uid="{E7F43A36-B7AE-46CC-ABF8-275C9E20720F}"/>
    <cellStyle name="Percent 4 13 7" xfId="12226" xr:uid="{00000000-0005-0000-0000-000024320000}"/>
    <cellStyle name="Percent 4 13 7 2" xfId="45779" xr:uid="{1F45C303-7E63-4F25-AFC4-F7E001380C9F}"/>
    <cellStyle name="Percent 4 13 8" xfId="12857" xr:uid="{00000000-0005-0000-0000-000025320000}"/>
    <cellStyle name="Percent 4 13 8 2" xfId="45780" xr:uid="{F6535EEC-D70B-4C3B-8A93-C6494CCCAA44}"/>
    <cellStyle name="Percent 4 13 9" xfId="8883" xr:uid="{00000000-0005-0000-0000-000026320000}"/>
    <cellStyle name="Percent 4 13 9 2" xfId="45781" xr:uid="{2417B1F2-355F-43D7-99A8-57AD22EEB5B8}"/>
    <cellStyle name="Percent 4 14" xfId="2924" xr:uid="{00000000-0005-0000-0000-000027320000}"/>
    <cellStyle name="Percent 4 14 10" xfId="8884" xr:uid="{00000000-0005-0000-0000-000028320000}"/>
    <cellStyle name="Percent 4 14 10 2" xfId="45783" xr:uid="{7E1C5FED-5D6E-45A5-8EFB-77084480AD3D}"/>
    <cellStyle name="Percent 4 14 11" xfId="45782" xr:uid="{77BE33FB-D2EB-4661-B47E-6CB9E48C996C}"/>
    <cellStyle name="Percent 4 14 2" xfId="6433" xr:uid="{00000000-0005-0000-0000-000029320000}"/>
    <cellStyle name="Percent 4 14 2 2" xfId="10684" xr:uid="{00000000-0005-0000-0000-00002A320000}"/>
    <cellStyle name="Percent 4 14 2 2 2" xfId="45785" xr:uid="{C1E122D4-CA55-4901-8B66-75B0AFEF3826}"/>
    <cellStyle name="Percent 4 14 2 3" xfId="10685" xr:uid="{00000000-0005-0000-0000-00002B320000}"/>
    <cellStyle name="Percent 4 14 2 3 2" xfId="45786" xr:uid="{02A647CB-6C22-45C3-9E08-6DF57BCE2B18}"/>
    <cellStyle name="Percent 4 14 2 4" xfId="10686" xr:uid="{00000000-0005-0000-0000-00002C320000}"/>
    <cellStyle name="Percent 4 14 2 4 2" xfId="45787" xr:uid="{607CAE75-3CDB-41FB-9C4B-40686918367F}"/>
    <cellStyle name="Percent 4 14 2 5" xfId="10687" xr:uid="{00000000-0005-0000-0000-00002D320000}"/>
    <cellStyle name="Percent 4 14 2 5 2" xfId="45788" xr:uid="{FC5ADA37-9D47-4676-BB1B-F5DE09D0CC61}"/>
    <cellStyle name="Percent 4 14 2 6" xfId="12228" xr:uid="{00000000-0005-0000-0000-00002E320000}"/>
    <cellStyle name="Percent 4 14 2 6 2" xfId="45789" xr:uid="{21B30349-B1D8-4C8B-8DBA-4A6A5D638DF4}"/>
    <cellStyle name="Percent 4 14 2 7" xfId="10683" xr:uid="{00000000-0005-0000-0000-00002F320000}"/>
    <cellStyle name="Percent 4 14 2 7 2" xfId="45790" xr:uid="{CE6989E3-860B-4539-B3CB-5669BE491512}"/>
    <cellStyle name="Percent 4 14 2 8" xfId="45784" xr:uid="{4D127629-7553-472C-BA6F-B771DE1E16B1}"/>
    <cellStyle name="Percent 4 14 3" xfId="10688" xr:uid="{00000000-0005-0000-0000-000030320000}"/>
    <cellStyle name="Percent 4 14 3 2" xfId="45791" xr:uid="{0C76C5CC-DA21-4295-9503-383473221F3D}"/>
    <cellStyle name="Percent 4 14 4" xfId="10689" xr:uid="{00000000-0005-0000-0000-000031320000}"/>
    <cellStyle name="Percent 4 14 4 2" xfId="45792" xr:uid="{B446055F-6280-4F47-BE1C-D5E452C74C37}"/>
    <cellStyle name="Percent 4 14 5" xfId="10690" xr:uid="{00000000-0005-0000-0000-000032320000}"/>
    <cellStyle name="Percent 4 14 5 2" xfId="45793" xr:uid="{D9826C2D-6701-418F-B0D0-98586ACB1D20}"/>
    <cellStyle name="Percent 4 14 6" xfId="10691" xr:uid="{00000000-0005-0000-0000-000033320000}"/>
    <cellStyle name="Percent 4 14 6 2" xfId="45794" xr:uid="{A14033F3-B863-4FC7-9E0F-81E3C38BDE47}"/>
    <cellStyle name="Percent 4 14 7" xfId="10692" xr:uid="{00000000-0005-0000-0000-000034320000}"/>
    <cellStyle name="Percent 4 14 7 2" xfId="45795" xr:uid="{2EBD8372-D997-42DF-AC73-721BACF116F8}"/>
    <cellStyle name="Percent 4 14 8" xfId="12227" xr:uid="{00000000-0005-0000-0000-000035320000}"/>
    <cellStyle name="Percent 4 14 8 2" xfId="45796" xr:uid="{9E1C4AEB-F305-44C0-961E-AADADF7F3EB0}"/>
    <cellStyle name="Percent 4 14 9" xfId="16616" xr:uid="{00000000-0005-0000-0000-000036320000}"/>
    <cellStyle name="Percent 4 14 9 2" xfId="45797" xr:uid="{21AD0335-47D0-42CD-8BF3-5A2E62BC51E6}"/>
    <cellStyle name="Percent 4 15" xfId="2925" xr:uid="{00000000-0005-0000-0000-000037320000}"/>
    <cellStyle name="Percent 4 15 10" xfId="45798" xr:uid="{2CF623A8-A15A-45CE-83F5-A892B42EAF5B}"/>
    <cellStyle name="Percent 4 15 2" xfId="10693" xr:uid="{00000000-0005-0000-0000-000038320000}"/>
    <cellStyle name="Percent 4 15 2 2" xfId="45799" xr:uid="{A5D13DBF-E507-4D9B-A28E-E7AE25DD075A}"/>
    <cellStyle name="Percent 4 15 3" xfId="10694" xr:uid="{00000000-0005-0000-0000-000039320000}"/>
    <cellStyle name="Percent 4 15 3 2" xfId="45800" xr:uid="{D066E005-9254-4101-AACC-C0D37C2BB2BD}"/>
    <cellStyle name="Percent 4 15 4" xfId="10695" xr:uid="{00000000-0005-0000-0000-00003A320000}"/>
    <cellStyle name="Percent 4 15 4 2" xfId="45801" xr:uid="{8C477C2C-C438-4C21-A0E4-C465D75416F2}"/>
    <cellStyle name="Percent 4 15 5" xfId="10696" xr:uid="{00000000-0005-0000-0000-00003B320000}"/>
    <cellStyle name="Percent 4 15 5 2" xfId="45802" xr:uid="{512DBBD1-C0B4-4FC2-9D1A-B6E796E9D50E}"/>
    <cellStyle name="Percent 4 15 6" xfId="10697" xr:uid="{00000000-0005-0000-0000-00003C320000}"/>
    <cellStyle name="Percent 4 15 6 2" xfId="45803" xr:uid="{B875D1DC-FD11-40F6-8C0C-DAA4B2E383AE}"/>
    <cellStyle name="Percent 4 15 7" xfId="12229" xr:uid="{00000000-0005-0000-0000-00003D320000}"/>
    <cellStyle name="Percent 4 15 7 2" xfId="45804" xr:uid="{A9209A7E-D08D-49CF-9432-F7A385D5EF8A}"/>
    <cellStyle name="Percent 4 15 8" xfId="16202" xr:uid="{00000000-0005-0000-0000-00003E320000}"/>
    <cellStyle name="Percent 4 15 8 2" xfId="45805" xr:uid="{3639AEDD-38D8-4E34-9682-E901EAA68834}"/>
    <cellStyle name="Percent 4 15 9" xfId="8885" xr:uid="{00000000-0005-0000-0000-00003F320000}"/>
    <cellStyle name="Percent 4 15 9 2" xfId="45806" xr:uid="{6D8C21D5-A280-44F8-8ACB-4452411F529C}"/>
    <cellStyle name="Percent 4 16" xfId="2926" xr:uid="{00000000-0005-0000-0000-000040320000}"/>
    <cellStyle name="Percent 4 16 10" xfId="45807" xr:uid="{9DB3871F-F34F-4472-9290-50947FCB2EA7}"/>
    <cellStyle name="Percent 4 16 2" xfId="4679" xr:uid="{00000000-0005-0000-0000-000041320000}"/>
    <cellStyle name="Percent 4 16 2 2" xfId="12231" xr:uid="{00000000-0005-0000-0000-000042320000}"/>
    <cellStyle name="Percent 4 16 2 2 2" xfId="45809" xr:uid="{09E79A8F-5849-4CAF-8297-573F9AADD6DB}"/>
    <cellStyle name="Percent 4 16 2 3" xfId="16534" xr:uid="{00000000-0005-0000-0000-000043320000}"/>
    <cellStyle name="Percent 4 16 2 3 2" xfId="45810" xr:uid="{0A40551A-9E1F-40CC-838D-58B08EA1BB9D}"/>
    <cellStyle name="Percent 4 16 2 4" xfId="8887" xr:uid="{00000000-0005-0000-0000-000044320000}"/>
    <cellStyle name="Percent 4 16 2 4 2" xfId="45811" xr:uid="{4A5B1DC1-5953-4585-9ACB-0998062CA184}"/>
    <cellStyle name="Percent 4 16 2 5" xfId="45808" xr:uid="{6A2E1896-A3B9-4767-8508-88551B0CF27C}"/>
    <cellStyle name="Percent 4 16 3" xfId="10698" xr:uid="{00000000-0005-0000-0000-000045320000}"/>
    <cellStyle name="Percent 4 16 3 2" xfId="12233" xr:uid="{00000000-0005-0000-0000-000046320000}"/>
    <cellStyle name="Percent 4 16 3 2 2" xfId="45813" xr:uid="{344C7CA7-BA1D-4835-A0BC-AC50FEE2B85A}"/>
    <cellStyle name="Percent 4 16 3 3" xfId="12232" xr:uid="{00000000-0005-0000-0000-000047320000}"/>
    <cellStyle name="Percent 4 16 3 3 2" xfId="45814" xr:uid="{B2095472-FBF5-45D6-B40C-CC175866C39F}"/>
    <cellStyle name="Percent 4 16 3 4" xfId="45812" xr:uid="{9104A056-3090-4285-A378-25353BC760EB}"/>
    <cellStyle name="Percent 4 16 4" xfId="10699" xr:uid="{00000000-0005-0000-0000-000048320000}"/>
    <cellStyle name="Percent 4 16 4 2" xfId="45815" xr:uid="{53251D3F-89EA-4E8E-BEB4-FA5ACB8BB655}"/>
    <cellStyle name="Percent 4 16 5" xfId="10700" xr:uid="{00000000-0005-0000-0000-000049320000}"/>
    <cellStyle name="Percent 4 16 5 2" xfId="45816" xr:uid="{17551F85-6D82-4A5A-9184-706D9BF2F5AA}"/>
    <cellStyle name="Percent 4 16 6" xfId="10701" xr:uid="{00000000-0005-0000-0000-00004A320000}"/>
    <cellStyle name="Percent 4 16 6 2" xfId="45817" xr:uid="{708B7FF1-991D-49E2-B7D9-ABA9B3DF35BB}"/>
    <cellStyle name="Percent 4 16 7" xfId="12230" xr:uid="{00000000-0005-0000-0000-00004B320000}"/>
    <cellStyle name="Percent 4 16 7 2" xfId="45818" xr:uid="{4A9A3A5A-7F06-47E2-868A-15877B12FE89}"/>
    <cellStyle name="Percent 4 16 8" xfId="12816" xr:uid="{00000000-0005-0000-0000-00004C320000}"/>
    <cellStyle name="Percent 4 16 8 2" xfId="45819" xr:uid="{949848F0-632F-42B0-8D4C-20E9A18F62AD}"/>
    <cellStyle name="Percent 4 16 9" xfId="8886" xr:uid="{00000000-0005-0000-0000-00004D320000}"/>
    <cellStyle name="Percent 4 16 9 2" xfId="45820" xr:uid="{F60F3A29-A12C-4CC7-9213-128D8F7D052A}"/>
    <cellStyle name="Percent 4 17" xfId="2927" xr:uid="{00000000-0005-0000-0000-00004E320000}"/>
    <cellStyle name="Percent 4 17 10" xfId="45821" xr:uid="{80DD2224-4C22-400A-BE39-29C670991AA0}"/>
    <cellStyle name="Percent 4 17 2" xfId="10702" xr:uid="{00000000-0005-0000-0000-00004F320000}"/>
    <cellStyle name="Percent 4 17 2 2" xfId="45822" xr:uid="{27A36173-C9A1-4AF2-8FA6-5BA36F539BDD}"/>
    <cellStyle name="Percent 4 17 3" xfId="10703" xr:uid="{00000000-0005-0000-0000-000050320000}"/>
    <cellStyle name="Percent 4 17 3 2" xfId="45823" xr:uid="{8B54E804-A57C-427D-BADB-3AD8A04E82F9}"/>
    <cellStyle name="Percent 4 17 4" xfId="10704" xr:uid="{00000000-0005-0000-0000-000051320000}"/>
    <cellStyle name="Percent 4 17 4 2" xfId="45824" xr:uid="{FA0E72CC-6BFC-43FF-B801-3D36D09BC61C}"/>
    <cellStyle name="Percent 4 17 5" xfId="10705" xr:uid="{00000000-0005-0000-0000-000052320000}"/>
    <cellStyle name="Percent 4 17 5 2" xfId="45825" xr:uid="{D54E29E8-330D-4EC8-9510-D95EAFBB1690}"/>
    <cellStyle name="Percent 4 17 6" xfId="10706" xr:uid="{00000000-0005-0000-0000-000053320000}"/>
    <cellStyle name="Percent 4 17 6 2" xfId="45826" xr:uid="{6ACF7CE8-505D-47DF-A9F4-D42F6F569EBD}"/>
    <cellStyle name="Percent 4 17 7" xfId="12234" xr:uid="{00000000-0005-0000-0000-000054320000}"/>
    <cellStyle name="Percent 4 17 7 2" xfId="45827" xr:uid="{2E7908F4-181A-4733-BC18-2BB0717A7E12}"/>
    <cellStyle name="Percent 4 17 8" xfId="12747" xr:uid="{00000000-0005-0000-0000-000055320000}"/>
    <cellStyle name="Percent 4 17 8 2" xfId="45828" xr:uid="{28C6EA8C-AB66-4764-8DDF-1A07F66ABDCC}"/>
    <cellStyle name="Percent 4 17 9" xfId="8888" xr:uid="{00000000-0005-0000-0000-000056320000}"/>
    <cellStyle name="Percent 4 17 9 2" xfId="45829" xr:uid="{16AA9A15-4F1F-41E4-B659-8275A32661F1}"/>
    <cellStyle name="Percent 4 18" xfId="2928" xr:uid="{00000000-0005-0000-0000-000057320000}"/>
    <cellStyle name="Percent 4 18 10" xfId="45830" xr:uid="{1107AF54-7ED8-46C4-979B-BA59F828E7FE}"/>
    <cellStyle name="Percent 4 18 2" xfId="8890" xr:uid="{00000000-0005-0000-0000-000058320000}"/>
    <cellStyle name="Percent 4 18 2 2" xfId="16145" xr:uid="{00000000-0005-0000-0000-000059320000}"/>
    <cellStyle name="Percent 4 18 2 2 2" xfId="45832" xr:uid="{EF11F367-EE20-4371-BEE0-D7D5D11EB1E1}"/>
    <cellStyle name="Percent 4 18 2 3" xfId="45831" xr:uid="{B5569873-5B86-4B2E-B6B7-686921D6B9D5}"/>
    <cellStyle name="Percent 4 18 3" xfId="10707" xr:uid="{00000000-0005-0000-0000-00005A320000}"/>
    <cellStyle name="Percent 4 18 3 2" xfId="45833" xr:uid="{552321AF-13A8-4BF7-A6A4-816905D463CE}"/>
    <cellStyle name="Percent 4 18 4" xfId="10708" xr:uid="{00000000-0005-0000-0000-00005B320000}"/>
    <cellStyle name="Percent 4 18 4 2" xfId="45834" xr:uid="{A9E61501-EEFA-487E-836C-4941B7ABA43C}"/>
    <cellStyle name="Percent 4 18 5" xfId="10709" xr:uid="{00000000-0005-0000-0000-00005C320000}"/>
    <cellStyle name="Percent 4 18 5 2" xfId="45835" xr:uid="{A1AE733B-057E-429B-9CC3-66FBB222FAD9}"/>
    <cellStyle name="Percent 4 18 6" xfId="10710" xr:uid="{00000000-0005-0000-0000-00005D320000}"/>
    <cellStyle name="Percent 4 18 6 2" xfId="45836" xr:uid="{8FF4131B-40F7-47A0-9EE1-EE285AC26024}"/>
    <cellStyle name="Percent 4 18 7" xfId="13062" xr:uid="{00000000-0005-0000-0000-00005E320000}"/>
    <cellStyle name="Percent 4 18 7 2" xfId="45837" xr:uid="{BE15C197-41D8-4E92-AF47-54CD985EE90E}"/>
    <cellStyle name="Percent 4 18 8" xfId="12651" xr:uid="{00000000-0005-0000-0000-00005F320000}"/>
    <cellStyle name="Percent 4 18 8 2" xfId="45838" xr:uid="{72AB364B-7A14-4926-9ECC-FEB1884B4205}"/>
    <cellStyle name="Percent 4 18 9" xfId="8889" xr:uid="{00000000-0005-0000-0000-000060320000}"/>
    <cellStyle name="Percent 4 18 9 2" xfId="45839" xr:uid="{537BD035-10DF-424C-BAD4-B9B551B5C1E2}"/>
    <cellStyle name="Percent 4 19" xfId="2929" xr:uid="{00000000-0005-0000-0000-000061320000}"/>
    <cellStyle name="Percent 4 19 10" xfId="45840" xr:uid="{AB40F260-E50F-4F15-A6CB-036AA21FF65E}"/>
    <cellStyle name="Percent 4 19 2" xfId="10711" xr:uid="{00000000-0005-0000-0000-000062320000}"/>
    <cellStyle name="Percent 4 19 2 2" xfId="45841" xr:uid="{A26FF551-5E59-48A5-A46D-718130593CBF}"/>
    <cellStyle name="Percent 4 19 3" xfId="10712" xr:uid="{00000000-0005-0000-0000-000063320000}"/>
    <cellStyle name="Percent 4 19 3 2" xfId="45842" xr:uid="{FF6C3709-ADD6-40C3-A010-B3E6C00164C5}"/>
    <cellStyle name="Percent 4 19 4" xfId="10713" xr:uid="{00000000-0005-0000-0000-000064320000}"/>
    <cellStyle name="Percent 4 19 4 2" xfId="45843" xr:uid="{F547BC06-6A5E-4F00-9123-0B54600BF679}"/>
    <cellStyle name="Percent 4 19 5" xfId="10714" xr:uid="{00000000-0005-0000-0000-000065320000}"/>
    <cellStyle name="Percent 4 19 5 2" xfId="45844" xr:uid="{E42F3EAD-7906-4C31-BE7E-5B72B178FE75}"/>
    <cellStyle name="Percent 4 19 6" xfId="10715" xr:uid="{00000000-0005-0000-0000-000066320000}"/>
    <cellStyle name="Percent 4 19 6 2" xfId="45845" xr:uid="{24E8336C-9455-419A-B535-5885187A4175}"/>
    <cellStyle name="Percent 4 19 7" xfId="13063" xr:uid="{00000000-0005-0000-0000-000067320000}"/>
    <cellStyle name="Percent 4 19 7 2" xfId="45846" xr:uid="{42B76C90-ACFB-44CE-A438-3F320BB039EC}"/>
    <cellStyle name="Percent 4 19 8" xfId="16674" xr:uid="{00000000-0005-0000-0000-000068320000}"/>
    <cellStyle name="Percent 4 19 8 2" xfId="45847" xr:uid="{1173132A-0613-4E1E-9F09-AEDC85D2BACB}"/>
    <cellStyle name="Percent 4 19 9" xfId="8891" xr:uid="{00000000-0005-0000-0000-000069320000}"/>
    <cellStyle name="Percent 4 19 9 2" xfId="45848" xr:uid="{0C646534-084B-44F4-A583-45770E40F97B}"/>
    <cellStyle name="Percent 4 2" xfId="237" xr:uid="{00000000-0005-0000-0000-00006A320000}"/>
    <cellStyle name="Percent 4 2 10" xfId="10716" xr:uid="{00000000-0005-0000-0000-00006B320000}"/>
    <cellStyle name="Percent 4 2 10 2" xfId="45850" xr:uid="{0073B976-B41F-4909-837F-58F8BC985FFB}"/>
    <cellStyle name="Percent 4 2 11" xfId="10717" xr:uid="{00000000-0005-0000-0000-00006C320000}"/>
    <cellStyle name="Percent 4 2 11 2" xfId="45851" xr:uid="{2312AEE4-12B3-4033-A47F-13F3D47B6AA7}"/>
    <cellStyle name="Percent 4 2 12" xfId="10718" xr:uid="{00000000-0005-0000-0000-00006D320000}"/>
    <cellStyle name="Percent 4 2 12 2" xfId="45852" xr:uid="{276B652F-1109-4BD3-9F9D-1D63BBB05373}"/>
    <cellStyle name="Percent 4 2 13" xfId="10719" xr:uid="{00000000-0005-0000-0000-00006E320000}"/>
    <cellStyle name="Percent 4 2 13 2" xfId="45853" xr:uid="{0CC53734-4D86-496B-A5D9-D81E97535F64}"/>
    <cellStyle name="Percent 4 2 14" xfId="12235" xr:uid="{00000000-0005-0000-0000-00006F320000}"/>
    <cellStyle name="Percent 4 2 14 2" xfId="45854" xr:uid="{B7349881-C5EA-4575-893E-C5CB17190469}"/>
    <cellStyle name="Percent 4 2 15" xfId="13459" xr:uid="{00000000-0005-0000-0000-000070320000}"/>
    <cellStyle name="Percent 4 2 15 2" xfId="45855" xr:uid="{DDF8EA01-0B65-47AD-8B4B-84A3CA8E6FA8}"/>
    <cellStyle name="Percent 4 2 16" xfId="8892" xr:uid="{00000000-0005-0000-0000-000071320000}"/>
    <cellStyle name="Percent 4 2 16 2" xfId="45856" xr:uid="{FECC3654-4A98-4E11-B8ED-352F6995AB92}"/>
    <cellStyle name="Percent 4 2 17" xfId="45849" xr:uid="{5749FE81-56A6-4DEF-A778-978CC9F92FFE}"/>
    <cellStyle name="Percent 4 2 2" xfId="238" xr:uid="{00000000-0005-0000-0000-000072320000}"/>
    <cellStyle name="Percent 4 2 2 2" xfId="10720" xr:uid="{00000000-0005-0000-0000-000073320000}"/>
    <cellStyle name="Percent 4 2 2 2 2" xfId="45858" xr:uid="{4602C72C-F0C3-4000-B234-C6BF17FD8ADD}"/>
    <cellStyle name="Percent 4 2 2 3" xfId="10721" xr:uid="{00000000-0005-0000-0000-000074320000}"/>
    <cellStyle name="Percent 4 2 2 3 2" xfId="45859" xr:uid="{C4E515F3-1A1E-4354-82B5-967D73EF361D}"/>
    <cellStyle name="Percent 4 2 2 4" xfId="10722" xr:uid="{00000000-0005-0000-0000-000075320000}"/>
    <cellStyle name="Percent 4 2 2 4 2" xfId="45860" xr:uid="{7136B0F2-A682-4209-B125-5231ACE15021}"/>
    <cellStyle name="Percent 4 2 2 5" xfId="10723" xr:uid="{00000000-0005-0000-0000-000076320000}"/>
    <cellStyle name="Percent 4 2 2 5 2" xfId="45861" xr:uid="{B910622E-23E9-47B9-9153-562AF1725C91}"/>
    <cellStyle name="Percent 4 2 2 6" xfId="12236" xr:uid="{00000000-0005-0000-0000-000077320000}"/>
    <cellStyle name="Percent 4 2 2 6 2" xfId="45862" xr:uid="{0139CEF4-9A55-4784-97E3-9A130AEA3CEA}"/>
    <cellStyle name="Percent 4 2 2 7" xfId="16566" xr:uid="{00000000-0005-0000-0000-000078320000}"/>
    <cellStyle name="Percent 4 2 2 7 2" xfId="45863" xr:uid="{FD952BBC-5833-4EB1-99E5-52161C7AFDA8}"/>
    <cellStyle name="Percent 4 2 2 8" xfId="8893" xr:uid="{00000000-0005-0000-0000-000079320000}"/>
    <cellStyle name="Percent 4 2 2 8 2" xfId="45864" xr:uid="{D9B416A6-BF20-4DB1-ADA2-31AA8BCC7DA0}"/>
    <cellStyle name="Percent 4 2 2 9" xfId="45857" xr:uid="{874BB091-D189-462A-8548-139C1B060B7B}"/>
    <cellStyle name="Percent 4 2 3" xfId="239" xr:uid="{00000000-0005-0000-0000-00007A320000}"/>
    <cellStyle name="Percent 4 2 3 2" xfId="10724" xr:uid="{00000000-0005-0000-0000-00007B320000}"/>
    <cellStyle name="Percent 4 2 3 2 2" xfId="45866" xr:uid="{1F13F36A-452B-42C5-8BC8-956E5EE32283}"/>
    <cellStyle name="Percent 4 2 3 3" xfId="10725" xr:uid="{00000000-0005-0000-0000-00007C320000}"/>
    <cellStyle name="Percent 4 2 3 3 2" xfId="45867" xr:uid="{56EE0238-0D11-49BD-BAD6-5E0DC8DFAEE3}"/>
    <cellStyle name="Percent 4 2 3 4" xfId="10726" xr:uid="{00000000-0005-0000-0000-00007D320000}"/>
    <cellStyle name="Percent 4 2 3 4 2" xfId="45868" xr:uid="{8A5364C5-330B-4E09-B21D-73E7A25D4AD8}"/>
    <cellStyle name="Percent 4 2 3 5" xfId="10727" xr:uid="{00000000-0005-0000-0000-00007E320000}"/>
    <cellStyle name="Percent 4 2 3 5 2" xfId="45869" xr:uid="{483FFB20-B581-4229-806F-52718D9B0F73}"/>
    <cellStyle name="Percent 4 2 3 6" xfId="12237" xr:uid="{00000000-0005-0000-0000-00007F320000}"/>
    <cellStyle name="Percent 4 2 3 6 2" xfId="45870" xr:uid="{76F6BE38-24A9-40C9-BD94-EA816F5FDADF}"/>
    <cellStyle name="Percent 4 2 3 7" xfId="16378" xr:uid="{00000000-0005-0000-0000-000080320000}"/>
    <cellStyle name="Percent 4 2 3 7 2" xfId="45871" xr:uid="{B9F2F5A4-86A3-47DE-9FBC-22718AAA0036}"/>
    <cellStyle name="Percent 4 2 3 8" xfId="8894" xr:uid="{00000000-0005-0000-0000-000081320000}"/>
    <cellStyle name="Percent 4 2 3 8 2" xfId="45872" xr:uid="{DB7FEFD3-32B9-4DDA-A922-24EF65863AB5}"/>
    <cellStyle name="Percent 4 2 3 9" xfId="45865" xr:uid="{CAD5F17A-A31B-40A1-941B-694F912E4887}"/>
    <cellStyle name="Percent 4 2 4" xfId="334" xr:uid="{00000000-0005-0000-0000-000082320000}"/>
    <cellStyle name="Percent 4 2 4 2" xfId="2931" xr:uid="{00000000-0005-0000-0000-000083320000}"/>
    <cellStyle name="Percent 4 2 4 2 2" xfId="13065" xr:uid="{00000000-0005-0000-0000-000084320000}"/>
    <cellStyle name="Percent 4 2 4 2 2 2" xfId="45875" xr:uid="{EA43024E-5946-4FE6-979E-2CB364CA5B18}"/>
    <cellStyle name="Percent 4 2 4 2 3" xfId="16393" xr:uid="{00000000-0005-0000-0000-000085320000}"/>
    <cellStyle name="Percent 4 2 4 2 3 2" xfId="45876" xr:uid="{98371FEA-C492-4F51-B67D-538277D20524}"/>
    <cellStyle name="Percent 4 2 4 2 4" xfId="8896" xr:uid="{00000000-0005-0000-0000-000086320000}"/>
    <cellStyle name="Percent 4 2 4 2 4 2" xfId="45877" xr:uid="{668EFA4F-6CE6-4907-B0F7-D88B89D63D0F}"/>
    <cellStyle name="Percent 4 2 4 2 5" xfId="45874" xr:uid="{3599715F-B447-43C8-A1DD-BAB79299E9A8}"/>
    <cellStyle name="Percent 4 2 4 3" xfId="4680" xr:uid="{00000000-0005-0000-0000-000087320000}"/>
    <cellStyle name="Percent 4 2 4 3 2" xfId="13845" xr:uid="{00000000-0005-0000-0000-000088320000}"/>
    <cellStyle name="Percent 4 2 4 3 2 2" xfId="45879" xr:uid="{C38D7502-5F98-4921-98EF-BAE4CA2AEC8D}"/>
    <cellStyle name="Percent 4 2 4 3 3" xfId="16355" xr:uid="{00000000-0005-0000-0000-000089320000}"/>
    <cellStyle name="Percent 4 2 4 3 3 2" xfId="45880" xr:uid="{2AFB333D-D2DC-4AA6-9F62-1069D71FC162}"/>
    <cellStyle name="Percent 4 2 4 3 4" xfId="8897" xr:uid="{00000000-0005-0000-0000-00008A320000}"/>
    <cellStyle name="Percent 4 2 4 3 4 2" xfId="45881" xr:uid="{5FF4C36A-C260-4D14-BC68-4F86D07EE315}"/>
    <cellStyle name="Percent 4 2 4 3 5" xfId="45878" xr:uid="{EBCB8DB2-C660-4FD5-83CD-A79342ADD935}"/>
    <cellStyle name="Percent 4 2 4 4" xfId="10728" xr:uid="{00000000-0005-0000-0000-00008B320000}"/>
    <cellStyle name="Percent 4 2 4 4 2" xfId="45882" xr:uid="{1DB36404-5647-4128-BFB6-4BCD5953ED02}"/>
    <cellStyle name="Percent 4 2 4 5" xfId="10729" xr:uid="{00000000-0005-0000-0000-00008C320000}"/>
    <cellStyle name="Percent 4 2 4 5 2" xfId="45883" xr:uid="{72AA7729-D940-4F5B-9930-C9878B03B792}"/>
    <cellStyle name="Percent 4 2 4 6" xfId="12238" xr:uid="{00000000-0005-0000-0000-00008D320000}"/>
    <cellStyle name="Percent 4 2 4 6 2" xfId="45884" xr:uid="{3AA178E0-47B1-4573-8018-DEC92F0438A7}"/>
    <cellStyle name="Percent 4 2 4 7" xfId="14376" xr:uid="{00000000-0005-0000-0000-00008E320000}"/>
    <cellStyle name="Percent 4 2 4 7 2" xfId="45885" xr:uid="{0712278C-A396-4916-B61C-6B9F1CEB8432}"/>
    <cellStyle name="Percent 4 2 4 8" xfId="8895" xr:uid="{00000000-0005-0000-0000-00008F320000}"/>
    <cellStyle name="Percent 4 2 4 8 2" xfId="45886" xr:uid="{36831CFA-9E1E-48A3-8FA9-56C551425343}"/>
    <cellStyle name="Percent 4 2 4 9" xfId="45873" xr:uid="{F1F6F7AA-B87F-49BF-A5A4-DFC012A1A51D}"/>
    <cellStyle name="Percent 4 2 5" xfId="2932" xr:uid="{00000000-0005-0000-0000-000090320000}"/>
    <cellStyle name="Percent 4 2 5 2" xfId="10730" xr:uid="{00000000-0005-0000-0000-000091320000}"/>
    <cellStyle name="Percent 4 2 5 2 2" xfId="45888" xr:uid="{A713A017-7C81-46F7-803C-E9C99D8681B8}"/>
    <cellStyle name="Percent 4 2 5 3" xfId="10731" xr:uid="{00000000-0005-0000-0000-000092320000}"/>
    <cellStyle name="Percent 4 2 5 3 2" xfId="45889" xr:uid="{99877352-8F40-4A2F-98A6-3C881B9D3BF0}"/>
    <cellStyle name="Percent 4 2 5 4" xfId="10732" xr:uid="{00000000-0005-0000-0000-000093320000}"/>
    <cellStyle name="Percent 4 2 5 4 2" xfId="45890" xr:uid="{CCDECE6F-2325-4EEE-929F-23FD4B20E832}"/>
    <cellStyle name="Percent 4 2 5 5" xfId="10733" xr:uid="{00000000-0005-0000-0000-000094320000}"/>
    <cellStyle name="Percent 4 2 5 5 2" xfId="45891" xr:uid="{ADF7CBAD-A38C-4F2B-A1E5-B381B7062E24}"/>
    <cellStyle name="Percent 4 2 5 6" xfId="12239" xr:uid="{00000000-0005-0000-0000-000095320000}"/>
    <cellStyle name="Percent 4 2 5 6 2" xfId="45892" xr:uid="{2A632EE7-6B6C-4057-91FC-EE762256A409}"/>
    <cellStyle name="Percent 4 2 5 7" xfId="12870" xr:uid="{00000000-0005-0000-0000-000096320000}"/>
    <cellStyle name="Percent 4 2 5 7 2" xfId="45893" xr:uid="{BE01486D-BD41-4D1D-BB5A-F28D45E0824A}"/>
    <cellStyle name="Percent 4 2 5 8" xfId="8898" xr:uid="{00000000-0005-0000-0000-000097320000}"/>
    <cellStyle name="Percent 4 2 5 8 2" xfId="45894" xr:uid="{2D41DA94-23EA-4FFA-B240-4FD4EE2C6F8E}"/>
    <cellStyle name="Percent 4 2 5 9" xfId="45887" xr:uid="{9EABDF7C-A53A-403C-856B-2A8CDD04C22D}"/>
    <cellStyle name="Percent 4 2 6" xfId="2930" xr:uid="{00000000-0005-0000-0000-000098320000}"/>
    <cellStyle name="Percent 4 2 6 10" xfId="45895" xr:uid="{DE4CA081-F688-4D77-ACA4-1C1ABC2AEF3D}"/>
    <cellStyle name="Percent 4 2 6 2" xfId="4681" xr:uid="{00000000-0005-0000-0000-000099320000}"/>
    <cellStyle name="Percent 4 2 6 2 2" xfId="13846" xr:uid="{00000000-0005-0000-0000-00009A320000}"/>
    <cellStyle name="Percent 4 2 6 2 2 2" xfId="45897" xr:uid="{350D75B7-39F6-45F9-A3A7-012F4C3CB5E9}"/>
    <cellStyle name="Percent 4 2 6 2 3" xfId="14343" xr:uid="{00000000-0005-0000-0000-00009B320000}"/>
    <cellStyle name="Percent 4 2 6 2 3 2" xfId="45898" xr:uid="{EA88035F-C23D-4AFC-8986-308E58470EC0}"/>
    <cellStyle name="Percent 4 2 6 2 4" xfId="8900" xr:uid="{00000000-0005-0000-0000-00009C320000}"/>
    <cellStyle name="Percent 4 2 6 2 4 2" xfId="45899" xr:uid="{40EBD707-F846-4FDB-A0EF-4936F55B8FBB}"/>
    <cellStyle name="Percent 4 2 6 2 5" xfId="45896" xr:uid="{94B68483-5A4C-4AFC-8570-1ED3934EE575}"/>
    <cellStyle name="Percent 4 2 6 3" xfId="6434" xr:uid="{00000000-0005-0000-0000-00009D320000}"/>
    <cellStyle name="Percent 4 2 6 3 2" xfId="14868" xr:uid="{00000000-0005-0000-0000-00009E320000}"/>
    <cellStyle name="Percent 4 2 6 3 2 2" xfId="45901" xr:uid="{FC445811-F6BE-4624-89D1-5B262A8C8AE3}"/>
    <cellStyle name="Percent 4 2 6 3 3" xfId="13490" xr:uid="{00000000-0005-0000-0000-00009F320000}"/>
    <cellStyle name="Percent 4 2 6 3 3 2" xfId="45902" xr:uid="{30E7D23D-3D05-4855-90DF-AF723660C9E0}"/>
    <cellStyle name="Percent 4 2 6 3 4" xfId="8901" xr:uid="{00000000-0005-0000-0000-0000A0320000}"/>
    <cellStyle name="Percent 4 2 6 3 4 2" xfId="45903" xr:uid="{30613179-39DD-4126-B701-40A204252DA9}"/>
    <cellStyle name="Percent 4 2 6 3 5" xfId="45900" xr:uid="{26011237-AA8A-4EBB-A5B4-7791DAA8A07A}"/>
    <cellStyle name="Percent 4 2 6 4" xfId="10734" xr:uid="{00000000-0005-0000-0000-0000A1320000}"/>
    <cellStyle name="Percent 4 2 6 4 2" xfId="45904" xr:uid="{A199BE82-825D-446C-9055-66DE6520C06B}"/>
    <cellStyle name="Percent 4 2 6 5" xfId="10735" xr:uid="{00000000-0005-0000-0000-0000A2320000}"/>
    <cellStyle name="Percent 4 2 6 5 2" xfId="45905" xr:uid="{AEAF2843-1982-455F-BD91-5808349CCF59}"/>
    <cellStyle name="Percent 4 2 6 6" xfId="12240" xr:uid="{00000000-0005-0000-0000-0000A3320000}"/>
    <cellStyle name="Percent 4 2 6 6 2" xfId="45906" xr:uid="{A1154380-DFD8-46AD-B49B-9C4A2A9D8D0A}"/>
    <cellStyle name="Percent 4 2 6 7" xfId="13064" xr:uid="{00000000-0005-0000-0000-0000A4320000}"/>
    <cellStyle name="Percent 4 2 6 7 2" xfId="45907" xr:uid="{4C02AD60-21EE-45D7-85CF-56D5AAEB7DEB}"/>
    <cellStyle name="Percent 4 2 6 8" xfId="16506" xr:uid="{00000000-0005-0000-0000-0000A5320000}"/>
    <cellStyle name="Percent 4 2 6 8 2" xfId="45908" xr:uid="{D15DD1A6-3FC4-484C-BEDC-DB4636B4B3E7}"/>
    <cellStyle name="Percent 4 2 6 9" xfId="8899" xr:uid="{00000000-0005-0000-0000-0000A6320000}"/>
    <cellStyle name="Percent 4 2 6 9 2" xfId="45909" xr:uid="{37E3DD77-7F02-4817-8D01-5DDE09830F9A}"/>
    <cellStyle name="Percent 4 2 7" xfId="4682" xr:uid="{00000000-0005-0000-0000-0000A7320000}"/>
    <cellStyle name="Percent 4 2 7 2" xfId="10736" xr:uid="{00000000-0005-0000-0000-0000A8320000}"/>
    <cellStyle name="Percent 4 2 7 2 2" xfId="45911" xr:uid="{D3D4952A-C6C2-46A4-99B7-5F1A84743E77}"/>
    <cellStyle name="Percent 4 2 7 3" xfId="10737" xr:uid="{00000000-0005-0000-0000-0000A9320000}"/>
    <cellStyle name="Percent 4 2 7 3 2" xfId="45912" xr:uid="{3745DB6E-C7C1-4458-B103-24A65EC76C5F}"/>
    <cellStyle name="Percent 4 2 7 4" xfId="10738" xr:uid="{00000000-0005-0000-0000-0000AA320000}"/>
    <cellStyle name="Percent 4 2 7 4 2" xfId="45913" xr:uid="{724A2199-92BA-453B-A470-648E1CCC2D74}"/>
    <cellStyle name="Percent 4 2 7 5" xfId="10739" xr:uid="{00000000-0005-0000-0000-0000AB320000}"/>
    <cellStyle name="Percent 4 2 7 5 2" xfId="45914" xr:uid="{9A471047-0872-4E1D-BEBE-A241DCFDBCBE}"/>
    <cellStyle name="Percent 4 2 7 6" xfId="12241" xr:uid="{00000000-0005-0000-0000-0000AC320000}"/>
    <cellStyle name="Percent 4 2 7 6 2" xfId="45915" xr:uid="{0BCF1C07-34CD-4D54-BD21-B02F95AA695D}"/>
    <cellStyle name="Percent 4 2 7 7" xfId="12888" xr:uid="{00000000-0005-0000-0000-0000AD320000}"/>
    <cellStyle name="Percent 4 2 7 7 2" xfId="45916" xr:uid="{BE128805-7972-42ED-B055-F78EB7585FF1}"/>
    <cellStyle name="Percent 4 2 7 8" xfId="8902" xr:uid="{00000000-0005-0000-0000-0000AE320000}"/>
    <cellStyle name="Percent 4 2 7 8 2" xfId="45917" xr:uid="{130AB6F5-B483-4C89-B0FC-01F656D02949}"/>
    <cellStyle name="Percent 4 2 7 9" xfId="45910" xr:uid="{ED7D5AB5-6C60-45CF-8E19-E776BC9B2064}"/>
    <cellStyle name="Percent 4 2 8" xfId="4683" xr:uid="{00000000-0005-0000-0000-0000AF320000}"/>
    <cellStyle name="Percent 4 2 8 2" xfId="10740" xr:uid="{00000000-0005-0000-0000-0000B0320000}"/>
    <cellStyle name="Percent 4 2 8 2 2" xfId="45919" xr:uid="{EBEBD9CB-AB1B-4632-B5F0-1CD36A38D9AE}"/>
    <cellStyle name="Percent 4 2 8 3" xfId="10741" xr:uid="{00000000-0005-0000-0000-0000B1320000}"/>
    <cellStyle name="Percent 4 2 8 3 2" xfId="45920" xr:uid="{EC898B68-E480-47EA-A3C2-753C6FA06BAB}"/>
    <cellStyle name="Percent 4 2 8 4" xfId="10742" xr:uid="{00000000-0005-0000-0000-0000B2320000}"/>
    <cellStyle name="Percent 4 2 8 4 2" xfId="45921" xr:uid="{52C2D13D-1CA1-4417-9B1D-01A0D6AE6E8B}"/>
    <cellStyle name="Percent 4 2 8 5" xfId="10743" xr:uid="{00000000-0005-0000-0000-0000B3320000}"/>
    <cellStyle name="Percent 4 2 8 5 2" xfId="45922" xr:uid="{23BE68F1-6C55-459F-91E7-04604D227B98}"/>
    <cellStyle name="Percent 4 2 8 6" xfId="12242" xr:uid="{00000000-0005-0000-0000-0000B4320000}"/>
    <cellStyle name="Percent 4 2 8 6 2" xfId="45923" xr:uid="{F66E781C-F346-4A31-A423-394965FD88D2}"/>
    <cellStyle name="Percent 4 2 8 7" xfId="16485" xr:uid="{00000000-0005-0000-0000-0000B5320000}"/>
    <cellStyle name="Percent 4 2 8 7 2" xfId="45924" xr:uid="{7B21A5D1-3C1E-4E5C-A37E-BFE32D30B196}"/>
    <cellStyle name="Percent 4 2 8 8" xfId="8903" xr:uid="{00000000-0005-0000-0000-0000B6320000}"/>
    <cellStyle name="Percent 4 2 8 8 2" xfId="45925" xr:uid="{6C0E5E4A-F4E3-4D43-A506-1F55F9F9A05A}"/>
    <cellStyle name="Percent 4 2 8 9" xfId="45918" xr:uid="{5B73DDD1-C0A5-43CC-A268-ACA19AFC2F15}"/>
    <cellStyle name="Percent 4 2 9" xfId="4684" xr:uid="{00000000-0005-0000-0000-0000B7320000}"/>
    <cellStyle name="Percent 4 2 9 2" xfId="12243" xr:uid="{00000000-0005-0000-0000-0000B8320000}"/>
    <cellStyle name="Percent 4 2 9 2 2" xfId="45927" xr:uid="{7E8D45B7-43A7-43E4-B0C0-1F13033A0A2C}"/>
    <cellStyle name="Percent 4 2 9 3" xfId="12579" xr:uid="{00000000-0005-0000-0000-0000B9320000}"/>
    <cellStyle name="Percent 4 2 9 3 2" xfId="45928" xr:uid="{BD245CB3-A582-437F-A807-D189DEF1F73F}"/>
    <cellStyle name="Percent 4 2 9 4" xfId="8904" xr:uid="{00000000-0005-0000-0000-0000BA320000}"/>
    <cellStyle name="Percent 4 2 9 4 2" xfId="45929" xr:uid="{22526855-1779-4ECA-93A2-E7D4E54EB3E4}"/>
    <cellStyle name="Percent 4 2 9 5" xfId="45926" xr:uid="{FA613EDE-9D8B-427F-8DC9-E6780A9E2368}"/>
    <cellStyle name="Percent 4 20" xfId="2933" xr:uid="{00000000-0005-0000-0000-0000BB320000}"/>
    <cellStyle name="Percent 4 20 10" xfId="45930" xr:uid="{F6F7C83E-9656-43E4-8780-EAD21B5495D4}"/>
    <cellStyle name="Percent 4 20 2" xfId="10744" xr:uid="{00000000-0005-0000-0000-0000BC320000}"/>
    <cellStyle name="Percent 4 20 2 2" xfId="45931" xr:uid="{4237BA1E-B307-4EDD-852B-7A81791788B4}"/>
    <cellStyle name="Percent 4 20 3" xfId="10745" xr:uid="{00000000-0005-0000-0000-0000BD320000}"/>
    <cellStyle name="Percent 4 20 3 2" xfId="45932" xr:uid="{73A3C68D-F471-46D4-86AD-FB541D0C6488}"/>
    <cellStyle name="Percent 4 20 4" xfId="10746" xr:uid="{00000000-0005-0000-0000-0000BE320000}"/>
    <cellStyle name="Percent 4 20 4 2" xfId="45933" xr:uid="{F18B4BEB-B1ED-461B-9FA1-5760869959ED}"/>
    <cellStyle name="Percent 4 20 5" xfId="10747" xr:uid="{00000000-0005-0000-0000-0000BF320000}"/>
    <cellStyle name="Percent 4 20 5 2" xfId="45934" xr:uid="{A3D74BF0-08FD-4585-A549-35D4502FFBA3}"/>
    <cellStyle name="Percent 4 20 6" xfId="10748" xr:uid="{00000000-0005-0000-0000-0000C0320000}"/>
    <cellStyle name="Percent 4 20 6 2" xfId="45935" xr:uid="{9A24EF24-E8C2-4B69-AA19-40A749FECEA4}"/>
    <cellStyle name="Percent 4 20 7" xfId="13066" xr:uid="{00000000-0005-0000-0000-0000C1320000}"/>
    <cellStyle name="Percent 4 20 7 2" xfId="45936" xr:uid="{DFBD7CB7-6A8C-458A-B8A0-D246ABA71D33}"/>
    <cellStyle name="Percent 4 20 8" xfId="16501" xr:uid="{00000000-0005-0000-0000-0000C2320000}"/>
    <cellStyle name="Percent 4 20 8 2" xfId="45937" xr:uid="{2FC14BFE-49FB-4BF1-BDD3-6C0ADCF1435F}"/>
    <cellStyle name="Percent 4 20 9" xfId="8905" xr:uid="{00000000-0005-0000-0000-0000C3320000}"/>
    <cellStyle name="Percent 4 20 9 2" xfId="45938" xr:uid="{DF710972-C1DA-4491-B221-31971E8C8C60}"/>
    <cellStyle name="Percent 4 21" xfId="2934" xr:uid="{00000000-0005-0000-0000-0000C4320000}"/>
    <cellStyle name="Percent 4 21 10" xfId="45939" xr:uid="{FD2F04AB-9CED-4154-814C-D515DC6743E5}"/>
    <cellStyle name="Percent 4 21 2" xfId="10749" xr:uid="{00000000-0005-0000-0000-0000C5320000}"/>
    <cellStyle name="Percent 4 21 2 2" xfId="45940" xr:uid="{81FDEEC0-519A-4947-AADE-E72E5B27173B}"/>
    <cellStyle name="Percent 4 21 3" xfId="10750" xr:uid="{00000000-0005-0000-0000-0000C6320000}"/>
    <cellStyle name="Percent 4 21 3 2" xfId="45941" xr:uid="{07B86BE9-46F2-4CEF-96BB-2807434D7965}"/>
    <cellStyle name="Percent 4 21 4" xfId="10751" xr:uid="{00000000-0005-0000-0000-0000C7320000}"/>
    <cellStyle name="Percent 4 21 4 2" xfId="45942" xr:uid="{4AD30AAE-32A4-4906-8230-7C9CC9ADB76C}"/>
    <cellStyle name="Percent 4 21 5" xfId="10752" xr:uid="{00000000-0005-0000-0000-0000C8320000}"/>
    <cellStyle name="Percent 4 21 5 2" xfId="45943" xr:uid="{BA0CAD98-A1F6-4306-B3D5-034B9F83B16A}"/>
    <cellStyle name="Percent 4 21 6" xfId="10753" xr:uid="{00000000-0005-0000-0000-0000C9320000}"/>
    <cellStyle name="Percent 4 21 6 2" xfId="45944" xr:uid="{E6752EEA-0663-4569-8613-2F0C4D021680}"/>
    <cellStyle name="Percent 4 21 7" xfId="13067" xr:uid="{00000000-0005-0000-0000-0000CA320000}"/>
    <cellStyle name="Percent 4 21 7 2" xfId="45945" xr:uid="{2D0237D7-8455-469C-89DD-067DB8C3FA76}"/>
    <cellStyle name="Percent 4 21 8" xfId="12640" xr:uid="{00000000-0005-0000-0000-0000CB320000}"/>
    <cellStyle name="Percent 4 21 8 2" xfId="45946" xr:uid="{F59DBC81-79AD-4CF8-9BE4-EF87FA680956}"/>
    <cellStyle name="Percent 4 21 9" xfId="8906" xr:uid="{00000000-0005-0000-0000-0000CC320000}"/>
    <cellStyle name="Percent 4 21 9 2" xfId="45947" xr:uid="{4D5B29D2-6077-4593-B190-349743DE6494}"/>
    <cellStyle name="Percent 4 22" xfId="2935" xr:uid="{00000000-0005-0000-0000-0000CD320000}"/>
    <cellStyle name="Percent 4 22 10" xfId="45948" xr:uid="{0E1DB5A3-6FEA-4B39-9955-82E902565347}"/>
    <cellStyle name="Percent 4 22 2" xfId="10754" xr:uid="{00000000-0005-0000-0000-0000CE320000}"/>
    <cellStyle name="Percent 4 22 2 2" xfId="45949" xr:uid="{62E2DB9A-7667-41B5-9166-BF482C8E227B}"/>
    <cellStyle name="Percent 4 22 3" xfId="10755" xr:uid="{00000000-0005-0000-0000-0000CF320000}"/>
    <cellStyle name="Percent 4 22 3 2" xfId="45950" xr:uid="{5120C2DF-9FFD-4165-919D-2B9BD600B254}"/>
    <cellStyle name="Percent 4 22 4" xfId="10756" xr:uid="{00000000-0005-0000-0000-0000D0320000}"/>
    <cellStyle name="Percent 4 22 4 2" xfId="45951" xr:uid="{945ADD41-A119-45D1-B7EF-E6C11AE65004}"/>
    <cellStyle name="Percent 4 22 5" xfId="10757" xr:uid="{00000000-0005-0000-0000-0000D1320000}"/>
    <cellStyle name="Percent 4 22 5 2" xfId="45952" xr:uid="{60BEE15C-3F9B-4508-9EF3-9D99AB66442F}"/>
    <cellStyle name="Percent 4 22 6" xfId="10758" xr:uid="{00000000-0005-0000-0000-0000D2320000}"/>
    <cellStyle name="Percent 4 22 6 2" xfId="45953" xr:uid="{8C66C16E-7FD9-42F9-BC1D-C004A9870A6E}"/>
    <cellStyle name="Percent 4 22 7" xfId="13068" xr:uid="{00000000-0005-0000-0000-0000D3320000}"/>
    <cellStyle name="Percent 4 22 7 2" xfId="45954" xr:uid="{752DB471-F9F6-4F91-8E7C-44C67DA07670}"/>
    <cellStyle name="Percent 4 22 8" xfId="16456" xr:uid="{00000000-0005-0000-0000-0000D4320000}"/>
    <cellStyle name="Percent 4 22 8 2" xfId="45955" xr:uid="{AC5ADC90-E299-4ACC-AE81-E0CB02FE6905}"/>
    <cellStyle name="Percent 4 22 9" xfId="8907" xr:uid="{00000000-0005-0000-0000-0000D5320000}"/>
    <cellStyle name="Percent 4 22 9 2" xfId="45956" xr:uid="{C46F5079-D319-4635-A9EA-1DC560876D02}"/>
    <cellStyle name="Percent 4 23" xfId="2936" xr:uid="{00000000-0005-0000-0000-0000D6320000}"/>
    <cellStyle name="Percent 4 23 10" xfId="45957" xr:uid="{8330D4E8-7F08-4EE4-9F5E-22A95FB85432}"/>
    <cellStyle name="Percent 4 23 2" xfId="10759" xr:uid="{00000000-0005-0000-0000-0000D7320000}"/>
    <cellStyle name="Percent 4 23 2 2" xfId="45958" xr:uid="{CD59264F-D4A0-47FD-823A-BF60B6ED40F7}"/>
    <cellStyle name="Percent 4 23 3" xfId="10760" xr:uid="{00000000-0005-0000-0000-0000D8320000}"/>
    <cellStyle name="Percent 4 23 3 2" xfId="45959" xr:uid="{87A20CED-4132-43C5-977A-D2C93E32DD51}"/>
    <cellStyle name="Percent 4 23 4" xfId="10761" xr:uid="{00000000-0005-0000-0000-0000D9320000}"/>
    <cellStyle name="Percent 4 23 4 2" xfId="45960" xr:uid="{6544BC67-E43C-4DA7-87EA-1B6FD1F7AE41}"/>
    <cellStyle name="Percent 4 23 5" xfId="10762" xr:uid="{00000000-0005-0000-0000-0000DA320000}"/>
    <cellStyle name="Percent 4 23 5 2" xfId="45961" xr:uid="{6E6FBBD1-4D9F-4417-B236-A073C27A6769}"/>
    <cellStyle name="Percent 4 23 6" xfId="10763" xr:uid="{00000000-0005-0000-0000-0000DB320000}"/>
    <cellStyle name="Percent 4 23 6 2" xfId="45962" xr:uid="{280C686E-02EE-419B-B96D-FE9D4264956A}"/>
    <cellStyle name="Percent 4 23 7" xfId="13069" xr:uid="{00000000-0005-0000-0000-0000DC320000}"/>
    <cellStyle name="Percent 4 23 7 2" xfId="45963" xr:uid="{13C0D37B-4621-4887-957D-D3C2B3D778EA}"/>
    <cellStyle name="Percent 4 23 8" xfId="16445" xr:uid="{00000000-0005-0000-0000-0000DD320000}"/>
    <cellStyle name="Percent 4 23 8 2" xfId="45964" xr:uid="{83F96E46-C987-4EE3-8A88-AC427EE088C5}"/>
    <cellStyle name="Percent 4 23 9" xfId="8908" xr:uid="{00000000-0005-0000-0000-0000DE320000}"/>
    <cellStyle name="Percent 4 23 9 2" xfId="45965" xr:uid="{DDBCA841-0181-4185-AB3D-F1CA5C6252C7}"/>
    <cellStyle name="Percent 4 24" xfId="2937" xr:uid="{00000000-0005-0000-0000-0000DF320000}"/>
    <cellStyle name="Percent 4 24 10" xfId="45966" xr:uid="{20C21D1A-61B0-4BA2-83A7-3FE8FAD2BE42}"/>
    <cellStyle name="Percent 4 24 2" xfId="10764" xr:uid="{00000000-0005-0000-0000-0000E0320000}"/>
    <cellStyle name="Percent 4 24 2 2" xfId="45967" xr:uid="{858BCFB6-0A31-46EC-A9F2-F7C65A03BF5C}"/>
    <cellStyle name="Percent 4 24 3" xfId="10765" xr:uid="{00000000-0005-0000-0000-0000E1320000}"/>
    <cellStyle name="Percent 4 24 3 2" xfId="45968" xr:uid="{B4629527-AECD-48B4-8ECA-26C82DC6FD43}"/>
    <cellStyle name="Percent 4 24 4" xfId="10766" xr:uid="{00000000-0005-0000-0000-0000E2320000}"/>
    <cellStyle name="Percent 4 24 4 2" xfId="45969" xr:uid="{FD9E3CD0-C342-4ED4-8C63-9AD0E4570593}"/>
    <cellStyle name="Percent 4 24 5" xfId="10767" xr:uid="{00000000-0005-0000-0000-0000E3320000}"/>
    <cellStyle name="Percent 4 24 5 2" xfId="45970" xr:uid="{DD1EF3F3-63D8-4715-A2EC-53E4DDA24E15}"/>
    <cellStyle name="Percent 4 24 6" xfId="10768" xr:uid="{00000000-0005-0000-0000-0000E4320000}"/>
    <cellStyle name="Percent 4 24 6 2" xfId="45971" xr:uid="{66AACAD9-D684-4094-AFEB-DB6A2A87BC74}"/>
    <cellStyle name="Percent 4 24 7" xfId="13070" xr:uid="{00000000-0005-0000-0000-0000E5320000}"/>
    <cellStyle name="Percent 4 24 7 2" xfId="45972" xr:uid="{ED5C31C3-E026-4AEF-A1D1-ABCD742041A0}"/>
    <cellStyle name="Percent 4 24 8" xfId="13778" xr:uid="{00000000-0005-0000-0000-0000E6320000}"/>
    <cellStyle name="Percent 4 24 8 2" xfId="45973" xr:uid="{116C5F8C-8C04-4C02-B558-3C14B5767F73}"/>
    <cellStyle name="Percent 4 24 9" xfId="8909" xr:uid="{00000000-0005-0000-0000-0000E7320000}"/>
    <cellStyle name="Percent 4 24 9 2" xfId="45974" xr:uid="{3B51900E-1D9E-4C31-BB37-B3E2EC7B55B9}"/>
    <cellStyle name="Percent 4 25" xfId="2938" xr:uid="{00000000-0005-0000-0000-0000E8320000}"/>
    <cellStyle name="Percent 4 25 10" xfId="45975" xr:uid="{F21A566A-B7EA-4B4D-BCDA-6CC1C2B31CAB}"/>
    <cellStyle name="Percent 4 25 2" xfId="10769" xr:uid="{00000000-0005-0000-0000-0000E9320000}"/>
    <cellStyle name="Percent 4 25 2 2" xfId="45976" xr:uid="{5C9222D4-E222-44CA-9B8C-CD1055B2E906}"/>
    <cellStyle name="Percent 4 25 3" xfId="10770" xr:uid="{00000000-0005-0000-0000-0000EA320000}"/>
    <cellStyle name="Percent 4 25 3 2" xfId="45977" xr:uid="{818912E9-66A7-4AA7-A85A-F5D13EEE1EE5}"/>
    <cellStyle name="Percent 4 25 4" xfId="10771" xr:uid="{00000000-0005-0000-0000-0000EB320000}"/>
    <cellStyle name="Percent 4 25 4 2" xfId="45978" xr:uid="{F7BD1917-E481-4B4C-9DA5-9869B00954CE}"/>
    <cellStyle name="Percent 4 25 5" xfId="10772" xr:uid="{00000000-0005-0000-0000-0000EC320000}"/>
    <cellStyle name="Percent 4 25 5 2" xfId="45979" xr:uid="{D2B9B97E-7B4E-4660-8D72-E9907CD5A48D}"/>
    <cellStyle name="Percent 4 25 6" xfId="10773" xr:uid="{00000000-0005-0000-0000-0000ED320000}"/>
    <cellStyle name="Percent 4 25 6 2" xfId="45980" xr:uid="{1BF817C3-1571-4C39-96C5-5C3408131EE4}"/>
    <cellStyle name="Percent 4 25 7" xfId="13071" xr:uid="{00000000-0005-0000-0000-0000EE320000}"/>
    <cellStyle name="Percent 4 25 7 2" xfId="45981" xr:uid="{F8867B75-05CE-498D-9D7E-7D4576846A82}"/>
    <cellStyle name="Percent 4 25 8" xfId="12716" xr:uid="{00000000-0005-0000-0000-0000EF320000}"/>
    <cellStyle name="Percent 4 25 8 2" xfId="45982" xr:uid="{888A4A44-C78D-42EA-962E-F6C3786BE836}"/>
    <cellStyle name="Percent 4 25 9" xfId="8910" xr:uid="{00000000-0005-0000-0000-0000F0320000}"/>
    <cellStyle name="Percent 4 25 9 2" xfId="45983" xr:uid="{F905EF45-552A-4FD5-A365-D58B506C2C77}"/>
    <cellStyle name="Percent 4 26" xfId="2939" xr:uid="{00000000-0005-0000-0000-0000F1320000}"/>
    <cellStyle name="Percent 4 26 10" xfId="45984" xr:uid="{9F1620E7-920F-4084-B231-DAB62BD889C6}"/>
    <cellStyle name="Percent 4 26 2" xfId="10774" xr:uid="{00000000-0005-0000-0000-0000F2320000}"/>
    <cellStyle name="Percent 4 26 2 2" xfId="45985" xr:uid="{1210990C-17C2-46EB-B430-B72A40D0BB5F}"/>
    <cellStyle name="Percent 4 26 3" xfId="10775" xr:uid="{00000000-0005-0000-0000-0000F3320000}"/>
    <cellStyle name="Percent 4 26 3 2" xfId="45986" xr:uid="{5D0A57B9-90E3-4FB7-9865-90DA8A7C2DC1}"/>
    <cellStyle name="Percent 4 26 4" xfId="10776" xr:uid="{00000000-0005-0000-0000-0000F4320000}"/>
    <cellStyle name="Percent 4 26 4 2" xfId="45987" xr:uid="{2764D44B-D16E-4D3B-8738-8EDF4252C6B7}"/>
    <cellStyle name="Percent 4 26 5" xfId="10777" xr:uid="{00000000-0005-0000-0000-0000F5320000}"/>
    <cellStyle name="Percent 4 26 5 2" xfId="45988" xr:uid="{1D4E3410-D32C-4C26-8C90-6B53BC58BE07}"/>
    <cellStyle name="Percent 4 26 6" xfId="10778" xr:uid="{00000000-0005-0000-0000-0000F6320000}"/>
    <cellStyle name="Percent 4 26 6 2" xfId="45989" xr:uid="{CBF11D7D-ABA6-431B-93DB-92FEFFFDEC25}"/>
    <cellStyle name="Percent 4 26 7" xfId="13072" xr:uid="{00000000-0005-0000-0000-0000F7320000}"/>
    <cellStyle name="Percent 4 26 7 2" xfId="45990" xr:uid="{9118AB8B-F7CD-4EA5-A465-7E8128A14DCB}"/>
    <cellStyle name="Percent 4 26 8" xfId="14405" xr:uid="{00000000-0005-0000-0000-0000F8320000}"/>
    <cellStyle name="Percent 4 26 8 2" xfId="45991" xr:uid="{D4D669F1-D386-4397-B871-200475EAABB0}"/>
    <cellStyle name="Percent 4 26 9" xfId="8911" xr:uid="{00000000-0005-0000-0000-0000F9320000}"/>
    <cellStyle name="Percent 4 26 9 2" xfId="45992" xr:uid="{D555EDAE-416A-406B-BB86-B86F94B4D346}"/>
    <cellStyle name="Percent 4 27" xfId="2940" xr:uid="{00000000-0005-0000-0000-0000FA320000}"/>
    <cellStyle name="Percent 4 27 10" xfId="45993" xr:uid="{547D38B0-F4DB-47F8-BB0E-D94763D3EC4A}"/>
    <cellStyle name="Percent 4 27 2" xfId="10779" xr:uid="{00000000-0005-0000-0000-0000FB320000}"/>
    <cellStyle name="Percent 4 27 2 2" xfId="45994" xr:uid="{CC797FA4-5F32-4DD0-94DE-A1CEB5E2D206}"/>
    <cellStyle name="Percent 4 27 3" xfId="10780" xr:uid="{00000000-0005-0000-0000-0000FC320000}"/>
    <cellStyle name="Percent 4 27 3 2" xfId="45995" xr:uid="{E0B2E4F7-3D16-4109-9C61-9A6F73C60B6F}"/>
    <cellStyle name="Percent 4 27 4" xfId="10781" xr:uid="{00000000-0005-0000-0000-0000FD320000}"/>
    <cellStyle name="Percent 4 27 4 2" xfId="45996" xr:uid="{6356F0C3-B287-448F-B83A-C09AB20BCA64}"/>
    <cellStyle name="Percent 4 27 5" xfId="10782" xr:uid="{00000000-0005-0000-0000-0000FE320000}"/>
    <cellStyle name="Percent 4 27 5 2" xfId="45997" xr:uid="{E5C271D2-2DB8-4116-88E6-B1D44219B137}"/>
    <cellStyle name="Percent 4 27 6" xfId="10783" xr:uid="{00000000-0005-0000-0000-0000FF320000}"/>
    <cellStyle name="Percent 4 27 6 2" xfId="45998" xr:uid="{3CB5CFA9-ED59-4D0E-998D-1132120E3B67}"/>
    <cellStyle name="Percent 4 27 7" xfId="13073" xr:uid="{00000000-0005-0000-0000-000000330000}"/>
    <cellStyle name="Percent 4 27 7 2" xfId="45999" xr:uid="{4BFCC72E-0233-4773-AD7F-89F974015689}"/>
    <cellStyle name="Percent 4 27 8" xfId="13825" xr:uid="{00000000-0005-0000-0000-000001330000}"/>
    <cellStyle name="Percent 4 27 8 2" xfId="46000" xr:uid="{3789E918-FF86-4728-B3EF-092522E5C4AB}"/>
    <cellStyle name="Percent 4 27 9" xfId="8912" xr:uid="{00000000-0005-0000-0000-000002330000}"/>
    <cellStyle name="Percent 4 27 9 2" xfId="46001" xr:uid="{8A8C3C56-43B6-4633-8E9C-80BF349BBA61}"/>
    <cellStyle name="Percent 4 28" xfId="2941" xr:uid="{00000000-0005-0000-0000-000003330000}"/>
    <cellStyle name="Percent 4 28 10" xfId="46002" xr:uid="{541AF37F-05F2-49D0-973E-02A380A015A8}"/>
    <cellStyle name="Percent 4 28 2" xfId="10784" xr:uid="{00000000-0005-0000-0000-000004330000}"/>
    <cellStyle name="Percent 4 28 2 2" xfId="46004" xr:uid="{FEAC1972-5A33-49FE-8321-B76FCB8BE496}"/>
    <cellStyle name="Percent 4 28 2 3" xfId="46003" xr:uid="{AD7F6E08-7C54-4529-9E44-46FAED909E19}"/>
    <cellStyle name="Percent 4 28 2 4" xfId="49865" xr:uid="{9D4C2DB5-330D-49CE-811B-00ED6B3E42DC}"/>
    <cellStyle name="Percent 4 28 3" xfId="10785" xr:uid="{00000000-0005-0000-0000-000005330000}"/>
    <cellStyle name="Percent 4 28 3 2" xfId="46006" xr:uid="{062F5503-F2F2-4682-9A83-6C6330B0AC08}"/>
    <cellStyle name="Percent 4 28 3 2 2" xfId="49867" xr:uid="{2643CD48-0552-4D20-8A46-954CB09BCA0E}"/>
    <cellStyle name="Percent 4 28 3 3" xfId="46007" xr:uid="{C3422F97-6AB8-43EC-B9E6-026D618A25A1}"/>
    <cellStyle name="Percent 4 28 3 4" xfId="46005" xr:uid="{29AF3EED-F969-431E-892F-DA6F2AA018C1}"/>
    <cellStyle name="Percent 4 28 3 5" xfId="49866" xr:uid="{A0A947BA-53F9-4D4A-B60B-892A7222AED3}"/>
    <cellStyle name="Percent 4 28 4" xfId="10786" xr:uid="{00000000-0005-0000-0000-000006330000}"/>
    <cellStyle name="Percent 4 28 4 2" xfId="46008" xr:uid="{A372A1A3-35A9-48CD-AB05-21D6E27491EE}"/>
    <cellStyle name="Percent 4 28 5" xfId="10787" xr:uid="{00000000-0005-0000-0000-000007330000}"/>
    <cellStyle name="Percent 4 28 5 2" xfId="46009" xr:uid="{08AB8650-CFE9-4AFB-AF19-E3B5CEA8F3C7}"/>
    <cellStyle name="Percent 4 28 6" xfId="10788" xr:uid="{00000000-0005-0000-0000-000008330000}"/>
    <cellStyle name="Percent 4 28 6 2" xfId="46010" xr:uid="{2BD6D115-E71D-4C65-BD0F-647AFE6FF8D6}"/>
    <cellStyle name="Percent 4 28 7" xfId="13074" xr:uid="{00000000-0005-0000-0000-000009330000}"/>
    <cellStyle name="Percent 4 28 7 2" xfId="46011" xr:uid="{51A4D8B6-0C43-4A59-8295-10F91C0217D0}"/>
    <cellStyle name="Percent 4 28 8" xfId="13907" xr:uid="{00000000-0005-0000-0000-00000A330000}"/>
    <cellStyle name="Percent 4 28 8 2" xfId="46012" xr:uid="{D353AA95-772F-47EC-9FAF-F364A3620A7B}"/>
    <cellStyle name="Percent 4 28 9" xfId="8913" xr:uid="{00000000-0005-0000-0000-00000B330000}"/>
    <cellStyle name="Percent 4 28 9 2" xfId="46013" xr:uid="{B29643E0-E101-47F5-8D2C-3E22DD9E5D6F}"/>
    <cellStyle name="Percent 4 29" xfId="2942" xr:uid="{00000000-0005-0000-0000-00000C330000}"/>
    <cellStyle name="Percent 4 29 10" xfId="22467" xr:uid="{D1CFE22F-7E99-4A57-B8E0-FB1F824F20E9}"/>
    <cellStyle name="Percent 4 29 10 2" xfId="46015" xr:uid="{F6AF852B-7826-43DF-96AF-63121D21927E}"/>
    <cellStyle name="Percent 4 29 11" xfId="16807" xr:uid="{036B4F16-8FC9-45D6-A3BF-0654632A1E55}"/>
    <cellStyle name="Percent 4 29 12" xfId="28128" xr:uid="{811BF239-D88F-4773-918B-AFCF9B518C29}"/>
    <cellStyle name="Percent 4 29 13" xfId="46014" xr:uid="{EE8CD41B-0FE5-4E88-9DEA-66F052568F5B}"/>
    <cellStyle name="Percent 4 29 14" xfId="49868" xr:uid="{E667AAA8-C6B2-4A13-A914-87B5A18AA0E1}"/>
    <cellStyle name="Percent 4 29 2" xfId="2943" xr:uid="{00000000-0005-0000-0000-00000D330000}"/>
    <cellStyle name="Percent 4 29 2 2" xfId="13076" xr:uid="{00000000-0005-0000-0000-00000E330000}"/>
    <cellStyle name="Percent 4 29 2 2 2" xfId="46018" xr:uid="{030485A1-4F84-4B51-8EF4-9DD40A2912AA}"/>
    <cellStyle name="Percent 4 29 2 2 3" xfId="46017" xr:uid="{407D89F7-D598-4DFB-8E05-880A27CCD418}"/>
    <cellStyle name="Percent 4 29 2 3" xfId="13790" xr:uid="{00000000-0005-0000-0000-00000F330000}"/>
    <cellStyle name="Percent 4 29 2 3 2" xfId="46019" xr:uid="{F74091A2-ADFC-4845-9A1A-306894AF39ED}"/>
    <cellStyle name="Percent 4 29 2 4" xfId="8915" xr:uid="{00000000-0005-0000-0000-000010330000}"/>
    <cellStyle name="Percent 4 29 2 4 2" xfId="46020" xr:uid="{144416BC-0964-4ECC-8B14-DBDDCC774634}"/>
    <cellStyle name="Percent 4 29 2 5" xfId="46021" xr:uid="{87204300-DE45-446C-A75F-7DA444BB5761}"/>
    <cellStyle name="Percent 4 29 2 6" xfId="46016" xr:uid="{4BA0D85C-EF61-4A74-9FBB-849B6E495857}"/>
    <cellStyle name="Percent 4 29 2 7" xfId="49869" xr:uid="{1C162C48-7818-4CC8-BAD7-3D59165E524B}"/>
    <cellStyle name="Percent 4 29 3" xfId="4880" xr:uid="{00000000-0005-0000-0000-000011330000}"/>
    <cellStyle name="Percent 4 29 3 10" xfId="28337" xr:uid="{2ECF0303-A493-4950-B0C2-C5210AD74B4D}"/>
    <cellStyle name="Percent 4 29 3 11" xfId="46022" xr:uid="{8147F76E-224D-46D6-8D55-0965FCAC1A46}"/>
    <cellStyle name="Percent 4 29 3 2" xfId="5299" xr:uid="{00000000-0005-0000-0000-000012330000}"/>
    <cellStyle name="Percent 4 29 3 2 2" xfId="7162" xr:uid="{00000000-0005-0000-0000-000013330000}"/>
    <cellStyle name="Percent 4 29 3 2 2 2" xfId="15595" xr:uid="{00000000-0005-0000-0000-000014330000}"/>
    <cellStyle name="Percent 4 29 3 2 2 2 2" xfId="27489" xr:uid="{4C4325CB-05DB-46D0-9F26-4D81C6DCB154}"/>
    <cellStyle name="Percent 4 29 3 2 2 2 3" xfId="21829" xr:uid="{A9ED5C27-D298-4D51-AD84-389EF86E2D7A}"/>
    <cellStyle name="Percent 4 29 3 2 2 2 4" xfId="32869" xr:uid="{EDFB4EFD-53ED-4EA9-9B48-BDC239C526A3}"/>
    <cellStyle name="Percent 4 29 3 2 2 2 5" xfId="46025" xr:uid="{BACAA565-3BB5-4046-AD55-0A7A62BBD2AC}"/>
    <cellStyle name="Percent 4 29 3 2 2 3" xfId="24656" xr:uid="{BA50C8AE-965F-485E-8C9F-B2CAD7D277CE}"/>
    <cellStyle name="Percent 4 29 3 2 2 4" xfId="18996" xr:uid="{13316FC6-4690-4484-956D-3F2116CF71E0}"/>
    <cellStyle name="Percent 4 29 3 2 2 5" xfId="30317" xr:uid="{669102FB-82A6-48BC-AE8E-B76545D55A65}"/>
    <cellStyle name="Percent 4 29 3 2 2 6" xfId="46024" xr:uid="{601D0A61-2F9D-40E9-B538-8D70FBF2E2D7}"/>
    <cellStyle name="Percent 4 29 3 2 3" xfId="14185" xr:uid="{00000000-0005-0000-0000-000015330000}"/>
    <cellStyle name="Percent 4 29 3 2 3 2" xfId="26224" xr:uid="{9AB3DCDB-D6AB-43F3-B1F0-31AA53D9469E}"/>
    <cellStyle name="Percent 4 29 3 2 3 3" xfId="20564" xr:uid="{81D87607-AA94-486E-84EF-4DD7CD6510A8}"/>
    <cellStyle name="Percent 4 29 3 2 3 4" xfId="31604" xr:uid="{124E228C-87DA-40C7-9CDE-9BF312A2F51C}"/>
    <cellStyle name="Percent 4 29 3 2 3 5" xfId="46026" xr:uid="{33B0CBD2-3DE7-4C30-855A-74019D3BD73E}"/>
    <cellStyle name="Percent 4 29 3 2 4" xfId="23094" xr:uid="{4D5B985A-27C3-4703-B11D-B9E979A0E573}"/>
    <cellStyle name="Percent 4 29 3 2 5" xfId="17434" xr:uid="{DB968536-6CDB-4CE4-9929-9EF5B433C5A4}"/>
    <cellStyle name="Percent 4 29 3 2 6" xfId="28755" xr:uid="{4CD82D5D-EF4A-41FC-803C-C649E833AE0C}"/>
    <cellStyle name="Percent 4 29 3 2 7" xfId="46023" xr:uid="{E62A5258-86DD-4C0D-9843-CB05F98A60AA}"/>
    <cellStyle name="Percent 4 29 3 3" xfId="6436" xr:uid="{00000000-0005-0000-0000-000016330000}"/>
    <cellStyle name="Percent 4 29 3 3 2" xfId="7704" xr:uid="{00000000-0005-0000-0000-000017330000}"/>
    <cellStyle name="Percent 4 29 3 3 2 2" xfId="16137" xr:uid="{00000000-0005-0000-0000-000018330000}"/>
    <cellStyle name="Percent 4 29 3 3 2 2 2" xfId="28031" xr:uid="{25142FFF-63DD-4222-A1E0-15F4A20CCA88}"/>
    <cellStyle name="Percent 4 29 3 3 2 2 3" xfId="22371" xr:uid="{8D500AC9-FB25-4224-905C-94F261DDCD72}"/>
    <cellStyle name="Percent 4 29 3 3 2 2 4" xfId="33411" xr:uid="{DF13D047-BDEA-44DC-ABBF-A97EFD9448F0}"/>
    <cellStyle name="Percent 4 29 3 3 2 2 5" xfId="46029" xr:uid="{D6C9A53F-530C-4E8B-90EF-CE12005CC4DF}"/>
    <cellStyle name="Percent 4 29 3 3 2 3" xfId="25198" xr:uid="{9FA466E9-D973-4CD6-A6D2-7D77DA222877}"/>
    <cellStyle name="Percent 4 29 3 3 2 4" xfId="19538" xr:uid="{EBB76957-5080-4854-8E3F-A5DB4BFA2513}"/>
    <cellStyle name="Percent 4 29 3 3 2 5" xfId="30859" xr:uid="{5E720A35-CF31-428A-A88F-C2B5A8AC22E7}"/>
    <cellStyle name="Percent 4 29 3 3 2 6" xfId="46028" xr:uid="{EA58F35F-92B7-47D1-892D-76248136F3E5}"/>
    <cellStyle name="Percent 4 29 3 3 3" xfId="14870" xr:uid="{00000000-0005-0000-0000-000019330000}"/>
    <cellStyle name="Percent 4 29 3 3 3 2" xfId="26775" xr:uid="{5FBDEF7C-C2D7-4C0F-9763-B211E5F274BD}"/>
    <cellStyle name="Percent 4 29 3 3 3 3" xfId="21115" xr:uid="{04330C8A-B3A9-43D3-BC82-E271029BF105}"/>
    <cellStyle name="Percent 4 29 3 3 3 4" xfId="32155" xr:uid="{261EA134-0FE0-484E-BE5E-5E331140B8BD}"/>
    <cellStyle name="Percent 4 29 3 3 3 5" xfId="46030" xr:uid="{929FAF91-A3C2-4E57-AC0F-8E2271FC2F77}"/>
    <cellStyle name="Percent 4 29 3 3 4" xfId="23942" xr:uid="{C67C04AE-A3DD-4068-80B4-A6697410B9F9}"/>
    <cellStyle name="Percent 4 29 3 3 5" xfId="18282" xr:uid="{ED23534B-8C27-49E2-A6FE-E8B7101789C8}"/>
    <cellStyle name="Percent 4 29 3 3 6" xfId="29603" xr:uid="{33576A5E-38BF-4672-82DE-BB5B558C2076}"/>
    <cellStyle name="Percent 4 29 3 3 7" xfId="46027" xr:uid="{95EF7CDB-D261-47AD-B004-3B8AD4B18B38}"/>
    <cellStyle name="Percent 4 29 3 4" xfId="6744" xr:uid="{00000000-0005-0000-0000-00001A330000}"/>
    <cellStyle name="Percent 4 29 3 4 2" xfId="15177" xr:uid="{00000000-0005-0000-0000-00001B330000}"/>
    <cellStyle name="Percent 4 29 3 4 2 2" xfId="27071" xr:uid="{182DFBBD-66A2-4C56-9251-38236AD9411D}"/>
    <cellStyle name="Percent 4 29 3 4 2 3" xfId="21411" xr:uid="{B1D4EEE2-59C7-433C-A626-779F7D52341B}"/>
    <cellStyle name="Percent 4 29 3 4 2 4" xfId="32451" xr:uid="{DDD74EFF-19C9-43D5-BD3C-863D0918D909}"/>
    <cellStyle name="Percent 4 29 3 4 2 5" xfId="46032" xr:uid="{F62F55A2-8209-411A-A03B-BFBA8897809B}"/>
    <cellStyle name="Percent 4 29 3 4 3" xfId="24238" xr:uid="{1B0BED37-BC2B-446B-AAF5-3112325D7A9D}"/>
    <cellStyle name="Percent 4 29 3 4 4" xfId="18578" xr:uid="{F4890071-918E-49F4-9BA9-027A81F8E608}"/>
    <cellStyle name="Percent 4 29 3 4 5" xfId="29899" xr:uid="{7B14D80D-0671-4C18-BACA-476D519340EA}"/>
    <cellStyle name="Percent 4 29 3 4 6" xfId="46031" xr:uid="{2F9C6020-3676-4F92-ABEE-893A3C079EEB}"/>
    <cellStyle name="Percent 4 29 3 5" xfId="13898" xr:uid="{00000000-0005-0000-0000-00001C330000}"/>
    <cellStyle name="Percent 4 29 3 5 2" xfId="25960" xr:uid="{A3D8D91B-4A5D-4A20-A9F0-2022DE0BC649}"/>
    <cellStyle name="Percent 4 29 3 5 3" xfId="20300" xr:uid="{F15F1C09-1129-4C46-987C-B7851701D695}"/>
    <cellStyle name="Percent 4 29 3 5 4" xfId="31340" xr:uid="{0AEE32AD-10AD-456B-A89F-8B4F90695068}"/>
    <cellStyle name="Percent 4 29 3 5 5" xfId="46033" xr:uid="{F5E321D7-6B4A-4E8C-9A4F-3540AC077745}"/>
    <cellStyle name="Percent 4 29 3 6" xfId="12654" xr:uid="{00000000-0005-0000-0000-00001D330000}"/>
    <cellStyle name="Percent 4 29 3 6 2" xfId="46034" xr:uid="{F9E04941-148C-4D42-9D03-67F42C86B900}"/>
    <cellStyle name="Percent 4 29 3 7" xfId="8916" xr:uid="{00000000-0005-0000-0000-00001E330000}"/>
    <cellStyle name="Percent 4 29 3 7 2" xfId="46035" xr:uid="{950C3B42-345D-4C08-A30A-B9A1BBC8036C}"/>
    <cellStyle name="Percent 4 29 3 8" xfId="22676" xr:uid="{8F0747DA-C45D-466E-A14E-A63613227990}"/>
    <cellStyle name="Percent 4 29 3 8 2" xfId="46036" xr:uid="{C981D2C7-0DB1-4691-861E-69430C120B39}"/>
    <cellStyle name="Percent 4 29 3 9" xfId="17016" xr:uid="{A4D57CBC-5650-4070-BF00-F7F82C69D45A}"/>
    <cellStyle name="Percent 4 29 4" xfId="5090" xr:uid="{00000000-0005-0000-0000-00001F330000}"/>
    <cellStyle name="Percent 4 29 4 2" xfId="6953" xr:uid="{00000000-0005-0000-0000-000020330000}"/>
    <cellStyle name="Percent 4 29 4 2 2" xfId="15386" xr:uid="{00000000-0005-0000-0000-000021330000}"/>
    <cellStyle name="Percent 4 29 4 2 2 2" xfId="27280" xr:uid="{864E1456-7E56-42D3-B30E-47E83CCD6191}"/>
    <cellStyle name="Percent 4 29 4 2 2 3" xfId="21620" xr:uid="{031C9A5D-3BBF-4CAA-AD44-52180F75BA1D}"/>
    <cellStyle name="Percent 4 29 4 2 2 4" xfId="32660" xr:uid="{B6311E69-F5EF-402C-89D1-203840B92B12}"/>
    <cellStyle name="Percent 4 29 4 2 2 5" xfId="46039" xr:uid="{F17407A0-71FC-4860-B006-024453490F8A}"/>
    <cellStyle name="Percent 4 29 4 2 3" xfId="24447" xr:uid="{A9AE22BD-ABBC-4E11-8B5B-BC8E8E8355B0}"/>
    <cellStyle name="Percent 4 29 4 2 4" xfId="18787" xr:uid="{008C2A02-A881-463F-A233-A9809F2F0655}"/>
    <cellStyle name="Percent 4 29 4 2 5" xfId="30108" xr:uid="{EB8DB060-93EC-4971-86F2-606C67405F53}"/>
    <cellStyle name="Percent 4 29 4 2 6" xfId="46038" xr:uid="{952B3EE8-D07A-46EE-8636-9D6B09782F9E}"/>
    <cellStyle name="Percent 4 29 4 3" xfId="13977" xr:uid="{00000000-0005-0000-0000-000022330000}"/>
    <cellStyle name="Percent 4 29 4 3 2" xfId="26016" xr:uid="{7F646D90-7BFB-4DEA-A48A-71605CDA38A9}"/>
    <cellStyle name="Percent 4 29 4 3 3" xfId="20356" xr:uid="{EE578685-6A12-4C6D-9B9A-816544549878}"/>
    <cellStyle name="Percent 4 29 4 3 4" xfId="31396" xr:uid="{3F6F6B80-9CFE-4FDF-932B-253DEA73C301}"/>
    <cellStyle name="Percent 4 29 4 3 5" xfId="46040" xr:uid="{E145E908-1924-4C63-A3E3-07094D7671EF}"/>
    <cellStyle name="Percent 4 29 4 4" xfId="10789" xr:uid="{00000000-0005-0000-0000-000023330000}"/>
    <cellStyle name="Percent 4 29 4 4 2" xfId="46041" xr:uid="{DDBBE510-FCA5-440F-8101-D438FBACE559}"/>
    <cellStyle name="Percent 4 29 4 5" xfId="22885" xr:uid="{F99B3C63-FD97-4D04-89E4-1B6FEFCC4333}"/>
    <cellStyle name="Percent 4 29 4 6" xfId="17225" xr:uid="{F263EE91-C86F-4BDA-843D-EC73A1BBE8CE}"/>
    <cellStyle name="Percent 4 29 4 7" xfId="28546" xr:uid="{42823174-338A-4A94-965B-A0065BD8F96C}"/>
    <cellStyle name="Percent 4 29 4 8" xfId="46037" xr:uid="{770DE8C2-CBC1-48ED-B9A2-879816EE01E9}"/>
    <cellStyle name="Percent 4 29 5" xfId="6435" xr:uid="{00000000-0005-0000-0000-000024330000}"/>
    <cellStyle name="Percent 4 29 5 2" xfId="7703" xr:uid="{00000000-0005-0000-0000-000025330000}"/>
    <cellStyle name="Percent 4 29 5 2 2" xfId="16136" xr:uid="{00000000-0005-0000-0000-000026330000}"/>
    <cellStyle name="Percent 4 29 5 2 2 2" xfId="28030" xr:uid="{44CA29E4-34A8-4792-8C7E-F24216B132FB}"/>
    <cellStyle name="Percent 4 29 5 2 2 3" xfId="22370" xr:uid="{70E84274-B15A-49B5-9A83-94D1417D5244}"/>
    <cellStyle name="Percent 4 29 5 2 2 4" xfId="33410" xr:uid="{4ACFB3BF-5064-4A5A-BBF0-C2D524D0F06E}"/>
    <cellStyle name="Percent 4 29 5 2 2 5" xfId="46044" xr:uid="{300888C8-E997-4BC4-9558-560FCC88EFAB}"/>
    <cellStyle name="Percent 4 29 5 2 3" xfId="25197" xr:uid="{EB07AD6B-B804-43FF-BA88-B67789B1B97E}"/>
    <cellStyle name="Percent 4 29 5 2 4" xfId="19537" xr:uid="{C09FA511-B495-44B2-9FCD-73CB7B2EC20B}"/>
    <cellStyle name="Percent 4 29 5 2 5" xfId="30858" xr:uid="{B0092423-9E5B-4DC8-9E00-B068D4A4017A}"/>
    <cellStyle name="Percent 4 29 5 2 6" xfId="46043" xr:uid="{EA47D7F0-441C-4C5C-9203-FA54BE319836}"/>
    <cellStyle name="Percent 4 29 5 3" xfId="14869" xr:uid="{00000000-0005-0000-0000-000027330000}"/>
    <cellStyle name="Percent 4 29 5 3 2" xfId="26774" xr:uid="{5B6E498F-BB76-4773-A048-B9599B123F01}"/>
    <cellStyle name="Percent 4 29 5 3 3" xfId="21114" xr:uid="{9DDE11CF-51C4-4010-AC44-22B9A9D2CAD3}"/>
    <cellStyle name="Percent 4 29 5 3 4" xfId="32154" xr:uid="{508D9588-3348-4526-AA02-728DCE58EB97}"/>
    <cellStyle name="Percent 4 29 5 3 5" xfId="46045" xr:uid="{7879DF86-0D3C-41FB-BA8D-2CE75819F831}"/>
    <cellStyle name="Percent 4 29 5 4" xfId="10790" xr:uid="{00000000-0005-0000-0000-000028330000}"/>
    <cellStyle name="Percent 4 29 5 4 2" xfId="46046" xr:uid="{AFA2C039-C15C-413E-8AF8-870709A1B68D}"/>
    <cellStyle name="Percent 4 29 5 5" xfId="23941" xr:uid="{BF03177A-6712-4C95-951D-EDD7D8E3FA61}"/>
    <cellStyle name="Percent 4 29 5 6" xfId="18281" xr:uid="{94ACE65D-B1E5-4B37-BCB4-70FB4F507F3F}"/>
    <cellStyle name="Percent 4 29 5 7" xfId="29602" xr:uid="{092A9734-799A-4306-A413-2140FCF9AEA7}"/>
    <cellStyle name="Percent 4 29 5 8" xfId="46042" xr:uid="{415CC79C-3656-46A9-B280-71ED513CDD69}"/>
    <cellStyle name="Percent 4 29 6" xfId="6535" xr:uid="{00000000-0005-0000-0000-000029330000}"/>
    <cellStyle name="Percent 4 29 6 2" xfId="14968" xr:uid="{00000000-0005-0000-0000-00002A330000}"/>
    <cellStyle name="Percent 4 29 6 2 2" xfId="26862" xr:uid="{C4E53A66-DC85-4A71-BF6F-14DE85EA857F}"/>
    <cellStyle name="Percent 4 29 6 2 3" xfId="21202" xr:uid="{9A2E4393-BFFD-4A3D-B35D-3DBB7C581505}"/>
    <cellStyle name="Percent 4 29 6 2 4" xfId="32242" xr:uid="{52A880CC-469F-421B-946C-A358251829B6}"/>
    <cellStyle name="Percent 4 29 6 2 5" xfId="46048" xr:uid="{2BB420EE-47C2-43BE-AE4A-4536B82A6E5F}"/>
    <cellStyle name="Percent 4 29 6 3" xfId="10791" xr:uid="{00000000-0005-0000-0000-00002B330000}"/>
    <cellStyle name="Percent 4 29 6 3 2" xfId="46049" xr:uid="{D8B58FD7-36EB-4929-9050-DAB03899AE1A}"/>
    <cellStyle name="Percent 4 29 6 4" xfId="24029" xr:uid="{1849286F-FE06-41B7-A5C6-B09BD7741E74}"/>
    <cellStyle name="Percent 4 29 6 5" xfId="18369" xr:uid="{F467196B-2E01-42B1-BCF3-D2001FCB29D4}"/>
    <cellStyle name="Percent 4 29 6 6" xfId="29690" xr:uid="{A00E5F86-6228-4D16-842F-BE0F9538FB3D}"/>
    <cellStyle name="Percent 4 29 6 7" xfId="46047" xr:uid="{66CAFAF4-A392-4B7E-95F5-9DD15B57F40A}"/>
    <cellStyle name="Percent 4 29 7" xfId="13075" xr:uid="{00000000-0005-0000-0000-00002C330000}"/>
    <cellStyle name="Percent 4 29 7 2" xfId="25759" xr:uid="{F996BE67-F16E-403B-8EC3-FEF1C906DA3F}"/>
    <cellStyle name="Percent 4 29 7 3" xfId="20099" xr:uid="{6384BEBF-0D03-4CD1-9D83-9994D3B6085E}"/>
    <cellStyle name="Percent 4 29 7 4" xfId="31334" xr:uid="{2E09163F-4DF9-45D1-A1C9-2A0ECE800316}"/>
    <cellStyle name="Percent 4 29 7 5" xfId="46050" xr:uid="{589DCCF5-D89C-4D8E-AAAB-5814E9B52AF0}"/>
    <cellStyle name="Percent 4 29 8" xfId="12599" xr:uid="{00000000-0005-0000-0000-00002D330000}"/>
    <cellStyle name="Percent 4 29 8 2" xfId="46051" xr:uid="{19E2EA80-3549-4AC4-9EF8-22F866A82FA2}"/>
    <cellStyle name="Percent 4 29 9" xfId="8914" xr:uid="{00000000-0005-0000-0000-00002E330000}"/>
    <cellStyle name="Percent 4 29 9 2" xfId="46052" xr:uid="{7D858C2D-F0A7-4006-9E62-A5128D09D1DE}"/>
    <cellStyle name="Percent 4 3" xfId="240" xr:uid="{00000000-0005-0000-0000-00002F330000}"/>
    <cellStyle name="Percent 4 3 10" xfId="10792" xr:uid="{00000000-0005-0000-0000-000030330000}"/>
    <cellStyle name="Percent 4 3 10 2" xfId="46054" xr:uid="{6F7ACFD7-7307-46E3-A08E-DDB729D42A22}"/>
    <cellStyle name="Percent 4 3 11" xfId="10793" xr:uid="{00000000-0005-0000-0000-000031330000}"/>
    <cellStyle name="Percent 4 3 11 2" xfId="46055" xr:uid="{8FDAF8AA-4D30-4439-8599-7E34B53BDBFE}"/>
    <cellStyle name="Percent 4 3 12" xfId="10794" xr:uid="{00000000-0005-0000-0000-000032330000}"/>
    <cellStyle name="Percent 4 3 12 2" xfId="46056" xr:uid="{DD81E7CB-4A36-4640-A8D8-B9D0D7C3F5EE}"/>
    <cellStyle name="Percent 4 3 13" xfId="10795" xr:uid="{00000000-0005-0000-0000-000033330000}"/>
    <cellStyle name="Percent 4 3 13 2" xfId="46057" xr:uid="{05FDD754-12D8-4413-8362-62F59F2658F1}"/>
    <cellStyle name="Percent 4 3 14" xfId="12244" xr:uid="{00000000-0005-0000-0000-000034330000}"/>
    <cellStyle name="Percent 4 3 14 2" xfId="46058" xr:uid="{5276835E-F863-44C4-AEA6-4C1423EDB460}"/>
    <cellStyle name="Percent 4 3 15" xfId="16172" xr:uid="{00000000-0005-0000-0000-000035330000}"/>
    <cellStyle name="Percent 4 3 15 2" xfId="46059" xr:uid="{BA4589F6-7D76-41F8-9616-12840118A339}"/>
    <cellStyle name="Percent 4 3 16" xfId="8917" xr:uid="{00000000-0005-0000-0000-000036330000}"/>
    <cellStyle name="Percent 4 3 16 2" xfId="46060" xr:uid="{C7B09393-0821-4017-A03E-F762ACA2B92B}"/>
    <cellStyle name="Percent 4 3 17" xfId="46053" xr:uid="{2D3AF934-1770-4B0B-827C-359E03EEEB58}"/>
    <cellStyle name="Percent 4 3 2" xfId="4685" xr:uid="{00000000-0005-0000-0000-000037330000}"/>
    <cellStyle name="Percent 4 3 2 2" xfId="10796" xr:uid="{00000000-0005-0000-0000-000038330000}"/>
    <cellStyle name="Percent 4 3 2 2 2" xfId="46062" xr:uid="{3E7B6BC2-9AAE-4EC1-A724-7BCB747A12A7}"/>
    <cellStyle name="Percent 4 3 2 3" xfId="10797" xr:uid="{00000000-0005-0000-0000-000039330000}"/>
    <cellStyle name="Percent 4 3 2 3 2" xfId="46063" xr:uid="{9670DD9C-77F1-4FBE-8663-4D41695A8A99}"/>
    <cellStyle name="Percent 4 3 2 4" xfId="10798" xr:uid="{00000000-0005-0000-0000-00003A330000}"/>
    <cellStyle name="Percent 4 3 2 4 2" xfId="46064" xr:uid="{8A2E89FA-C066-45CF-8EFA-8BD4DC053790}"/>
    <cellStyle name="Percent 4 3 2 5" xfId="10799" xr:uid="{00000000-0005-0000-0000-00003B330000}"/>
    <cellStyle name="Percent 4 3 2 5 2" xfId="46065" xr:uid="{CC106C4F-D42F-4B73-8F49-07A807CC2CC6}"/>
    <cellStyle name="Percent 4 3 2 6" xfId="12245" xr:uid="{00000000-0005-0000-0000-00003C330000}"/>
    <cellStyle name="Percent 4 3 2 6 2" xfId="46066" xr:uid="{A6F8B6FD-0654-4CDA-8C19-97727B183C65}"/>
    <cellStyle name="Percent 4 3 2 7" xfId="16368" xr:uid="{00000000-0005-0000-0000-00003D330000}"/>
    <cellStyle name="Percent 4 3 2 7 2" xfId="46067" xr:uid="{F5CC3E09-A05F-4CDF-A50F-FB4C27F60018}"/>
    <cellStyle name="Percent 4 3 2 8" xfId="8918" xr:uid="{00000000-0005-0000-0000-00003E330000}"/>
    <cellStyle name="Percent 4 3 2 8 2" xfId="46068" xr:uid="{23DC8621-C73B-4850-A603-214DC1D2C8DB}"/>
    <cellStyle name="Percent 4 3 2 9" xfId="46061" xr:uid="{170A37BB-03C5-4B83-9403-1E8192AAD77F}"/>
    <cellStyle name="Percent 4 3 3" xfId="4686" xr:uid="{00000000-0005-0000-0000-00003F330000}"/>
    <cellStyle name="Percent 4 3 3 2" xfId="10800" xr:uid="{00000000-0005-0000-0000-000040330000}"/>
    <cellStyle name="Percent 4 3 3 2 2" xfId="46070" xr:uid="{794ACE5A-7ED1-4C93-B422-9F5C54BB0D20}"/>
    <cellStyle name="Percent 4 3 3 3" xfId="10801" xr:uid="{00000000-0005-0000-0000-000041330000}"/>
    <cellStyle name="Percent 4 3 3 3 2" xfId="46071" xr:uid="{FEC768C7-F867-4B03-B078-0D329B866562}"/>
    <cellStyle name="Percent 4 3 3 4" xfId="10802" xr:uid="{00000000-0005-0000-0000-000042330000}"/>
    <cellStyle name="Percent 4 3 3 4 2" xfId="46072" xr:uid="{45E4341D-73E5-4706-8741-CE1E05B62904}"/>
    <cellStyle name="Percent 4 3 3 5" xfId="10803" xr:uid="{00000000-0005-0000-0000-000043330000}"/>
    <cellStyle name="Percent 4 3 3 5 2" xfId="46073" xr:uid="{B83C87E7-2943-4DEA-878E-AF314C569D88}"/>
    <cellStyle name="Percent 4 3 3 6" xfId="12246" xr:uid="{00000000-0005-0000-0000-000044330000}"/>
    <cellStyle name="Percent 4 3 3 6 2" xfId="46074" xr:uid="{CAAFE176-6004-4373-9CF0-3045D63657BE}"/>
    <cellStyle name="Percent 4 3 3 7" xfId="16220" xr:uid="{00000000-0005-0000-0000-000045330000}"/>
    <cellStyle name="Percent 4 3 3 7 2" xfId="46075" xr:uid="{89EB8207-4249-4515-8D73-2CECED1C630B}"/>
    <cellStyle name="Percent 4 3 3 8" xfId="8919" xr:uid="{00000000-0005-0000-0000-000046330000}"/>
    <cellStyle name="Percent 4 3 3 8 2" xfId="46076" xr:uid="{C24D15EE-DEC7-4923-BF3B-D276ECA58A73}"/>
    <cellStyle name="Percent 4 3 3 9" xfId="46069" xr:uid="{31BD3B9B-9C96-4A19-88B1-D828BAD82A67}"/>
    <cellStyle name="Percent 4 3 4" xfId="4687" xr:uid="{00000000-0005-0000-0000-000047330000}"/>
    <cellStyle name="Percent 4 3 4 2" xfId="10804" xr:uid="{00000000-0005-0000-0000-000048330000}"/>
    <cellStyle name="Percent 4 3 4 2 2" xfId="46078" xr:uid="{810E0E80-7913-4A5C-A1E0-FFA4AC955FBE}"/>
    <cellStyle name="Percent 4 3 4 3" xfId="10805" xr:uid="{00000000-0005-0000-0000-000049330000}"/>
    <cellStyle name="Percent 4 3 4 3 2" xfId="46079" xr:uid="{DCDD7DFF-A6CA-4FEE-B062-C40472170B2A}"/>
    <cellStyle name="Percent 4 3 4 4" xfId="10806" xr:uid="{00000000-0005-0000-0000-00004A330000}"/>
    <cellStyle name="Percent 4 3 4 4 2" xfId="46080" xr:uid="{5636DD46-3C6C-48BE-B8FE-78D557014A8F}"/>
    <cellStyle name="Percent 4 3 4 5" xfId="10807" xr:uid="{00000000-0005-0000-0000-00004B330000}"/>
    <cellStyle name="Percent 4 3 4 5 2" xfId="46081" xr:uid="{9BF310B8-2ECD-4B65-A952-4DD6C65D8B8E}"/>
    <cellStyle name="Percent 4 3 4 6" xfId="12247" xr:uid="{00000000-0005-0000-0000-00004C330000}"/>
    <cellStyle name="Percent 4 3 4 6 2" xfId="46082" xr:uid="{25B340D8-DB05-4705-AE44-11D965693EF3}"/>
    <cellStyle name="Percent 4 3 4 7" xfId="16255" xr:uid="{00000000-0005-0000-0000-00004D330000}"/>
    <cellStyle name="Percent 4 3 4 7 2" xfId="46083" xr:uid="{B163CD51-BFDF-4301-B751-41B29B5F66DA}"/>
    <cellStyle name="Percent 4 3 4 8" xfId="8920" xr:uid="{00000000-0005-0000-0000-00004E330000}"/>
    <cellStyle name="Percent 4 3 4 8 2" xfId="46084" xr:uid="{C4D1006D-A173-41AA-AC78-C5B9AF2C29FA}"/>
    <cellStyle name="Percent 4 3 4 9" xfId="46077" xr:uid="{56263890-A96A-4BBB-93A7-78C061FEFF67}"/>
    <cellStyle name="Percent 4 3 5" xfId="4688" xr:uid="{00000000-0005-0000-0000-00004F330000}"/>
    <cellStyle name="Percent 4 3 5 2" xfId="10808" xr:uid="{00000000-0005-0000-0000-000050330000}"/>
    <cellStyle name="Percent 4 3 5 2 2" xfId="46086" xr:uid="{608CAAF6-00D6-4283-B4A9-3547CE61F746}"/>
    <cellStyle name="Percent 4 3 5 3" xfId="10809" xr:uid="{00000000-0005-0000-0000-000051330000}"/>
    <cellStyle name="Percent 4 3 5 3 2" xfId="46087" xr:uid="{9686E689-6E35-4666-A15F-3C8A56CA8352}"/>
    <cellStyle name="Percent 4 3 5 4" xfId="10810" xr:uid="{00000000-0005-0000-0000-000052330000}"/>
    <cellStyle name="Percent 4 3 5 4 2" xfId="46088" xr:uid="{C2BA0D2B-324D-4D52-92AA-C66840DD1325}"/>
    <cellStyle name="Percent 4 3 5 5" xfId="10811" xr:uid="{00000000-0005-0000-0000-000053330000}"/>
    <cellStyle name="Percent 4 3 5 5 2" xfId="46089" xr:uid="{50EEDB01-1260-461F-BE5E-1600CCBEDBA9}"/>
    <cellStyle name="Percent 4 3 5 6" xfId="12248" xr:uid="{00000000-0005-0000-0000-000054330000}"/>
    <cellStyle name="Percent 4 3 5 6 2" xfId="46090" xr:uid="{80B64F10-A8C5-4A6E-BBAE-BD141B600A44}"/>
    <cellStyle name="Percent 4 3 5 7" xfId="16396" xr:uid="{00000000-0005-0000-0000-000055330000}"/>
    <cellStyle name="Percent 4 3 5 7 2" xfId="46091" xr:uid="{D522E842-C03D-431B-B416-05298F210A0F}"/>
    <cellStyle name="Percent 4 3 5 8" xfId="8921" xr:uid="{00000000-0005-0000-0000-000056330000}"/>
    <cellStyle name="Percent 4 3 5 8 2" xfId="46092" xr:uid="{9DB1FBD8-E7A1-4C6A-B090-121F2588B61E}"/>
    <cellStyle name="Percent 4 3 5 9" xfId="46085" xr:uid="{B4525517-1034-41B2-AFEA-6D374ECEAF32}"/>
    <cellStyle name="Percent 4 3 6" xfId="4689" xr:uid="{00000000-0005-0000-0000-000057330000}"/>
    <cellStyle name="Percent 4 3 6 2" xfId="10812" xr:uid="{00000000-0005-0000-0000-000058330000}"/>
    <cellStyle name="Percent 4 3 6 2 2" xfId="46094" xr:uid="{EF9C88A3-E832-41FF-8CA4-8192F5A2422F}"/>
    <cellStyle name="Percent 4 3 6 3" xfId="10813" xr:uid="{00000000-0005-0000-0000-000059330000}"/>
    <cellStyle name="Percent 4 3 6 3 2" xfId="46095" xr:uid="{72EF4D11-226A-471A-93E0-77461B6158ED}"/>
    <cellStyle name="Percent 4 3 6 4" xfId="10814" xr:uid="{00000000-0005-0000-0000-00005A330000}"/>
    <cellStyle name="Percent 4 3 6 4 2" xfId="46096" xr:uid="{2D34B65D-66EC-41C7-AE60-EFFA42C50712}"/>
    <cellStyle name="Percent 4 3 6 5" xfId="10815" xr:uid="{00000000-0005-0000-0000-00005B330000}"/>
    <cellStyle name="Percent 4 3 6 5 2" xfId="46097" xr:uid="{8BD57419-7FC3-4DB7-941A-E16F35466970}"/>
    <cellStyle name="Percent 4 3 6 6" xfId="12249" xr:uid="{00000000-0005-0000-0000-00005C330000}"/>
    <cellStyle name="Percent 4 3 6 6 2" xfId="46098" xr:uid="{D1511DE4-F97B-4B67-81DD-AF3155C977EC}"/>
    <cellStyle name="Percent 4 3 6 7" xfId="13738" xr:uid="{00000000-0005-0000-0000-00005D330000}"/>
    <cellStyle name="Percent 4 3 6 7 2" xfId="46099" xr:uid="{7DEF4309-E6BE-4BCA-BA1B-807F93B8DEF5}"/>
    <cellStyle name="Percent 4 3 6 8" xfId="8922" xr:uid="{00000000-0005-0000-0000-00005E330000}"/>
    <cellStyle name="Percent 4 3 6 8 2" xfId="46100" xr:uid="{2E037D88-E68A-4DDB-9D68-11F53D5CB55D}"/>
    <cellStyle name="Percent 4 3 6 9" xfId="46093" xr:uid="{7AB87EB6-16B3-44E1-9182-D47FFDA822B1}"/>
    <cellStyle name="Percent 4 3 7" xfId="4690" xr:uid="{00000000-0005-0000-0000-00005F330000}"/>
    <cellStyle name="Percent 4 3 7 2" xfId="10816" xr:uid="{00000000-0005-0000-0000-000060330000}"/>
    <cellStyle name="Percent 4 3 7 2 2" xfId="46102" xr:uid="{3969CF1F-0243-4C1A-8A73-8F6EF6171802}"/>
    <cellStyle name="Percent 4 3 7 3" xfId="10817" xr:uid="{00000000-0005-0000-0000-000061330000}"/>
    <cellStyle name="Percent 4 3 7 3 2" xfId="46103" xr:uid="{4A543AB3-2458-42EF-ABC9-E226C8B84498}"/>
    <cellStyle name="Percent 4 3 7 4" xfId="10818" xr:uid="{00000000-0005-0000-0000-000062330000}"/>
    <cellStyle name="Percent 4 3 7 4 2" xfId="46104" xr:uid="{42298E9E-DBC9-4598-9D97-C7749A58F65A}"/>
    <cellStyle name="Percent 4 3 7 5" xfId="10819" xr:uid="{00000000-0005-0000-0000-000063330000}"/>
    <cellStyle name="Percent 4 3 7 5 2" xfId="46105" xr:uid="{EB6B863A-7CDD-4115-9A1A-6CBC19196312}"/>
    <cellStyle name="Percent 4 3 7 6" xfId="12250" xr:uid="{00000000-0005-0000-0000-000064330000}"/>
    <cellStyle name="Percent 4 3 7 6 2" xfId="46106" xr:uid="{8FC3A0E8-4A65-474F-8327-A752E785C57E}"/>
    <cellStyle name="Percent 4 3 7 7" xfId="16203" xr:uid="{00000000-0005-0000-0000-000065330000}"/>
    <cellStyle name="Percent 4 3 7 7 2" xfId="46107" xr:uid="{927F7670-6C6E-4DAC-862B-E3EBDCE50B02}"/>
    <cellStyle name="Percent 4 3 7 8" xfId="8923" xr:uid="{00000000-0005-0000-0000-000066330000}"/>
    <cellStyle name="Percent 4 3 7 8 2" xfId="46108" xr:uid="{84524581-39A5-4A1D-ADAF-46DB7DC1D1A8}"/>
    <cellStyle name="Percent 4 3 7 9" xfId="46101" xr:uid="{FD7434D2-6EEF-4DF2-AF94-205F01296535}"/>
    <cellStyle name="Percent 4 3 8" xfId="4691" xr:uid="{00000000-0005-0000-0000-000067330000}"/>
    <cellStyle name="Percent 4 3 8 2" xfId="10820" xr:uid="{00000000-0005-0000-0000-000068330000}"/>
    <cellStyle name="Percent 4 3 8 2 2" xfId="46110" xr:uid="{565432DB-377D-4286-9FED-09A689EC894E}"/>
    <cellStyle name="Percent 4 3 8 3" xfId="10821" xr:uid="{00000000-0005-0000-0000-000069330000}"/>
    <cellStyle name="Percent 4 3 8 3 2" xfId="46111" xr:uid="{AFB4222F-27C2-41BE-B946-4299D3528D65}"/>
    <cellStyle name="Percent 4 3 8 4" xfId="10822" xr:uid="{00000000-0005-0000-0000-00006A330000}"/>
    <cellStyle name="Percent 4 3 8 4 2" xfId="46112" xr:uid="{933104BB-098A-460B-BF46-3C0120E369EF}"/>
    <cellStyle name="Percent 4 3 8 5" xfId="10823" xr:uid="{00000000-0005-0000-0000-00006B330000}"/>
    <cellStyle name="Percent 4 3 8 5 2" xfId="46113" xr:uid="{096397D4-A131-46A6-9951-B0E05CDB6E8B}"/>
    <cellStyle name="Percent 4 3 8 6" xfId="12251" xr:uid="{00000000-0005-0000-0000-00006C330000}"/>
    <cellStyle name="Percent 4 3 8 6 2" xfId="46114" xr:uid="{DA0C95B5-9A29-49D5-9874-7FC8079AB98A}"/>
    <cellStyle name="Percent 4 3 8 7" xfId="16521" xr:uid="{00000000-0005-0000-0000-00006D330000}"/>
    <cellStyle name="Percent 4 3 8 7 2" xfId="46115" xr:uid="{96F1EAEE-DF76-45E3-8BBD-A69D26E56D3F}"/>
    <cellStyle name="Percent 4 3 8 8" xfId="8924" xr:uid="{00000000-0005-0000-0000-00006E330000}"/>
    <cellStyle name="Percent 4 3 8 8 2" xfId="46116" xr:uid="{8D282776-D133-46C5-B5CA-488BE166C5AE}"/>
    <cellStyle name="Percent 4 3 8 9" xfId="46109" xr:uid="{D0CE1408-4F52-4E92-B3E8-0BB23555B126}"/>
    <cellStyle name="Percent 4 3 9" xfId="10824" xr:uid="{00000000-0005-0000-0000-00006F330000}"/>
    <cellStyle name="Percent 4 3 9 2" xfId="46117" xr:uid="{98F6B009-A733-4601-81D3-EF4CC3B42C5E}"/>
    <cellStyle name="Percent 4 30" xfId="2919" xr:uid="{00000000-0005-0000-0000-000070330000}"/>
    <cellStyle name="Percent 4 30 2" xfId="13057" xr:uid="{00000000-0005-0000-0000-000071330000}"/>
    <cellStyle name="Percent 4 30 2 2" xfId="46119" xr:uid="{A976453D-F99B-42AF-97CC-88C80BB12CC1}"/>
    <cellStyle name="Percent 4 30 3" xfId="14408" xr:uid="{00000000-0005-0000-0000-000072330000}"/>
    <cellStyle name="Percent 4 30 3 2" xfId="46120" xr:uid="{8CEB3854-847E-4DFF-BDAF-43679EBD873A}"/>
    <cellStyle name="Percent 4 30 4" xfId="8925" xr:uid="{00000000-0005-0000-0000-000073330000}"/>
    <cellStyle name="Percent 4 30 4 2" xfId="46121" xr:uid="{2BE94EBB-2AFE-4046-B477-5F89556C8EFF}"/>
    <cellStyle name="Percent 4 30 5" xfId="46118" xr:uid="{1ACE311B-E901-4B6C-B509-E9C0EE2C53DA}"/>
    <cellStyle name="Percent 4 30 6" xfId="49870" xr:uid="{EE2F570E-FB9F-45F3-9D46-ABEDF4FAD664}"/>
    <cellStyle name="Percent 4 31" xfId="5812" xr:uid="{00000000-0005-0000-0000-000074330000}"/>
    <cellStyle name="Percent 4 31 2" xfId="14389" xr:uid="{00000000-0005-0000-0000-000075330000}"/>
    <cellStyle name="Percent 4 31 2 2" xfId="46123" xr:uid="{51A3A513-AF82-4BA1-96FC-218A200C0790}"/>
    <cellStyle name="Percent 4 31 3" xfId="13749" xr:uid="{00000000-0005-0000-0000-000076330000}"/>
    <cellStyle name="Percent 4 31 3 2" xfId="46124" xr:uid="{07657194-33C4-4B11-995C-E82A9FC706AA}"/>
    <cellStyle name="Percent 4 31 4" xfId="8926" xr:uid="{00000000-0005-0000-0000-000077330000}"/>
    <cellStyle name="Percent 4 31 4 2" xfId="46125" xr:uid="{C8089EE7-C0C1-488C-AB1C-B54143B9405E}"/>
    <cellStyle name="Percent 4 31 5" xfId="46122" xr:uid="{F58A76A6-C49B-448A-8C64-7B03F20002B3}"/>
    <cellStyle name="Percent 4 32" xfId="10825" xr:uid="{00000000-0005-0000-0000-000078330000}"/>
    <cellStyle name="Percent 4 32 2" xfId="46126" xr:uid="{C0B2A1AD-C34B-474D-9764-741CAB77E951}"/>
    <cellStyle name="Percent 4 33" xfId="10826" xr:uid="{00000000-0005-0000-0000-000079330000}"/>
    <cellStyle name="Percent 4 33 2" xfId="46127" xr:uid="{8ABE9D65-3D05-4ACC-8A27-C364AC2C2959}"/>
    <cellStyle name="Percent 4 34" xfId="10827" xr:uid="{00000000-0005-0000-0000-00007A330000}"/>
    <cellStyle name="Percent 4 34 2" xfId="46128" xr:uid="{70493186-2E9C-4FCA-80F6-B9F422BBF037}"/>
    <cellStyle name="Percent 4 35" xfId="12222" xr:uid="{00000000-0005-0000-0000-00007B330000}"/>
    <cellStyle name="Percent 4 35 2" xfId="46129" xr:uid="{04AA42F7-608C-4306-9FB9-92D5ACCB1561}"/>
    <cellStyle name="Percent 4 36" xfId="12455" xr:uid="{00000000-0005-0000-0000-00007C330000}"/>
    <cellStyle name="Percent 4 36 2" xfId="46130" xr:uid="{AB09A63C-89AC-42B5-9A21-605DC0808789}"/>
    <cellStyle name="Percent 4 37" xfId="13745" xr:uid="{00000000-0005-0000-0000-00007D330000}"/>
    <cellStyle name="Percent 4 37 2" xfId="46131" xr:uid="{026094DC-B210-463C-ABF1-B5EDB7043F33}"/>
    <cellStyle name="Percent 4 38" xfId="8879" xr:uid="{00000000-0005-0000-0000-00007E330000}"/>
    <cellStyle name="Percent 4 38 2" xfId="46132" xr:uid="{0FFB82A3-E9C1-4E57-A274-294CB7A7A550}"/>
    <cellStyle name="Percent 4 39" xfId="45745" xr:uid="{423A2AB6-D5AA-44DD-B1EA-BB917A83D53D}"/>
    <cellStyle name="Percent 4 4" xfId="241" xr:uid="{00000000-0005-0000-0000-00007F330000}"/>
    <cellStyle name="Percent 4 4 10" xfId="10828" xr:uid="{00000000-0005-0000-0000-000080330000}"/>
    <cellStyle name="Percent 4 4 10 2" xfId="46134" xr:uid="{637074FB-4FA8-4CFE-AE4B-1E00466455C2}"/>
    <cellStyle name="Percent 4 4 11" xfId="10829" xr:uid="{00000000-0005-0000-0000-000081330000}"/>
    <cellStyle name="Percent 4 4 11 2" xfId="46135" xr:uid="{BB010A3F-B33A-48AC-B77E-AC8C04EC2F0A}"/>
    <cellStyle name="Percent 4 4 12" xfId="10830" xr:uid="{00000000-0005-0000-0000-000082330000}"/>
    <cellStyle name="Percent 4 4 12 2" xfId="46136" xr:uid="{2EB41968-81CE-4C5E-AE7C-544895BA060D}"/>
    <cellStyle name="Percent 4 4 13" xfId="10831" xr:uid="{00000000-0005-0000-0000-000083330000}"/>
    <cellStyle name="Percent 4 4 13 2" xfId="46137" xr:uid="{F936D101-8729-469D-83C2-0B2895D6350A}"/>
    <cellStyle name="Percent 4 4 14" xfId="12252" xr:uid="{00000000-0005-0000-0000-000084330000}"/>
    <cellStyle name="Percent 4 4 14 2" xfId="46138" xr:uid="{2A1C149A-D004-48D9-9471-5140AB958304}"/>
    <cellStyle name="Percent 4 4 15" xfId="12457" xr:uid="{00000000-0005-0000-0000-000085330000}"/>
    <cellStyle name="Percent 4 4 15 2" xfId="46139" xr:uid="{7FF68CA3-1084-400C-86D0-D9DF1EB68118}"/>
    <cellStyle name="Percent 4 4 16" xfId="16529" xr:uid="{00000000-0005-0000-0000-000086330000}"/>
    <cellStyle name="Percent 4 4 16 2" xfId="46140" xr:uid="{3FAEF260-BBD4-4BAB-AE4E-6D662104F36C}"/>
    <cellStyle name="Percent 4 4 17" xfId="8927" xr:uid="{00000000-0005-0000-0000-000087330000}"/>
    <cellStyle name="Percent 4 4 17 2" xfId="46141" xr:uid="{FA35B1F9-FB71-40DC-BB44-D88E1E7D9804}"/>
    <cellStyle name="Percent 4 4 18" xfId="46133" xr:uid="{25C7705E-EEF0-4862-89DD-44B15F64527F}"/>
    <cellStyle name="Percent 4 4 2" xfId="2944" xr:uid="{00000000-0005-0000-0000-000088330000}"/>
    <cellStyle name="Percent 4 4 2 10" xfId="46142" xr:uid="{BB4D4079-5315-42A9-BE22-E6840421CB66}"/>
    <cellStyle name="Percent 4 4 2 2" xfId="10832" xr:uid="{00000000-0005-0000-0000-000089330000}"/>
    <cellStyle name="Percent 4 4 2 2 2" xfId="46144" xr:uid="{0B8D8E94-27D8-4808-A35B-4EA27E9DEAE1}"/>
    <cellStyle name="Percent 4 4 2 2 3" xfId="46143" xr:uid="{5D43729C-37B4-45D0-80A3-0F9162448715}"/>
    <cellStyle name="Percent 4 4 2 3" xfId="10833" xr:uid="{00000000-0005-0000-0000-00008A330000}"/>
    <cellStyle name="Percent 4 4 2 3 2" xfId="46145" xr:uid="{12D2183F-1298-4D68-A6CB-04292EC7D26E}"/>
    <cellStyle name="Percent 4 4 2 4" xfId="10834" xr:uid="{00000000-0005-0000-0000-00008B330000}"/>
    <cellStyle name="Percent 4 4 2 4 2" xfId="46146" xr:uid="{0916E884-2515-4DF5-94CC-641F126DD403}"/>
    <cellStyle name="Percent 4 4 2 5" xfId="10835" xr:uid="{00000000-0005-0000-0000-00008C330000}"/>
    <cellStyle name="Percent 4 4 2 5 2" xfId="46147" xr:uid="{6EC2CB5C-60B8-4F0B-8AEE-8D6478BB43E4}"/>
    <cellStyle name="Percent 4 4 2 6" xfId="12253" xr:uid="{00000000-0005-0000-0000-00008D330000}"/>
    <cellStyle name="Percent 4 4 2 6 2" xfId="46148" xr:uid="{223D3FDE-8042-4E87-AA7F-674C009E6BFE}"/>
    <cellStyle name="Percent 4 4 2 7" xfId="12560" xr:uid="{00000000-0005-0000-0000-00008E330000}"/>
    <cellStyle name="Percent 4 4 2 7 2" xfId="46149" xr:uid="{0C035689-93E5-43E9-8497-2B462E0BFB57}"/>
    <cellStyle name="Percent 4 4 2 8" xfId="8928" xr:uid="{00000000-0005-0000-0000-00008F330000}"/>
    <cellStyle name="Percent 4 4 2 8 2" xfId="46150" xr:uid="{683D091E-5277-46C3-BB70-E9439D6332F0}"/>
    <cellStyle name="Percent 4 4 2 9" xfId="46151" xr:uid="{DD23B238-1A53-40D0-9F22-6A14A1FABD9F}"/>
    <cellStyle name="Percent 4 4 3" xfId="4692" xr:uid="{00000000-0005-0000-0000-000090330000}"/>
    <cellStyle name="Percent 4 4 3 2" xfId="10836" xr:uid="{00000000-0005-0000-0000-000091330000}"/>
    <cellStyle name="Percent 4 4 3 2 2" xfId="46153" xr:uid="{9DB547CC-C21A-4615-8DCB-21EAE2EF7BFB}"/>
    <cellStyle name="Percent 4 4 3 3" xfId="10837" xr:uid="{00000000-0005-0000-0000-000092330000}"/>
    <cellStyle name="Percent 4 4 3 3 2" xfId="46154" xr:uid="{C0CDA771-02F4-4C5C-A525-EBD2AFD4B8E1}"/>
    <cellStyle name="Percent 4 4 3 4" xfId="10838" xr:uid="{00000000-0005-0000-0000-000093330000}"/>
    <cellStyle name="Percent 4 4 3 4 2" xfId="46155" xr:uid="{D56D38C5-1C03-4138-A1B2-FF7C3FA26531}"/>
    <cellStyle name="Percent 4 4 3 5" xfId="10839" xr:uid="{00000000-0005-0000-0000-000094330000}"/>
    <cellStyle name="Percent 4 4 3 5 2" xfId="46156" xr:uid="{C06715DB-2CBD-448C-A20F-B054710E774A}"/>
    <cellStyle name="Percent 4 4 3 6" xfId="12254" xr:uid="{00000000-0005-0000-0000-000095330000}"/>
    <cellStyle name="Percent 4 4 3 6 2" xfId="46157" xr:uid="{12F73148-3026-47E3-9C75-2F321197B431}"/>
    <cellStyle name="Percent 4 4 3 7" xfId="16679" xr:uid="{00000000-0005-0000-0000-000096330000}"/>
    <cellStyle name="Percent 4 4 3 7 2" xfId="46158" xr:uid="{6459555B-B14E-4A94-9293-E362912392B4}"/>
    <cellStyle name="Percent 4 4 3 8" xfId="8929" xr:uid="{00000000-0005-0000-0000-000097330000}"/>
    <cellStyle name="Percent 4 4 3 8 2" xfId="46159" xr:uid="{B6603BF4-0B96-4A20-AEEA-A0DB941D520A}"/>
    <cellStyle name="Percent 4 4 3 9" xfId="46152" xr:uid="{CE77D16E-FF87-43DA-A6EB-159A02BA0C76}"/>
    <cellStyle name="Percent 4 4 4" xfId="4693" xr:uid="{00000000-0005-0000-0000-000098330000}"/>
    <cellStyle name="Percent 4 4 4 2" xfId="10840" xr:uid="{00000000-0005-0000-0000-000099330000}"/>
    <cellStyle name="Percent 4 4 4 2 2" xfId="46161" xr:uid="{5EBB1343-0280-4A27-8F4E-96F4215673D9}"/>
    <cellStyle name="Percent 4 4 4 3" xfId="10841" xr:uid="{00000000-0005-0000-0000-00009A330000}"/>
    <cellStyle name="Percent 4 4 4 3 2" xfId="46162" xr:uid="{65F6E618-BBA1-4943-9F6E-9DBF4A5B51C0}"/>
    <cellStyle name="Percent 4 4 4 4" xfId="10842" xr:uid="{00000000-0005-0000-0000-00009B330000}"/>
    <cellStyle name="Percent 4 4 4 4 2" xfId="46163" xr:uid="{7B632FDD-F180-4961-B6FD-99AFB2A00A8B}"/>
    <cellStyle name="Percent 4 4 4 5" xfId="10843" xr:uid="{00000000-0005-0000-0000-00009C330000}"/>
    <cellStyle name="Percent 4 4 4 5 2" xfId="46164" xr:uid="{82239A03-7A8D-43B6-8513-0F4056E08FF7}"/>
    <cellStyle name="Percent 4 4 4 6" xfId="12255" xr:uid="{00000000-0005-0000-0000-00009D330000}"/>
    <cellStyle name="Percent 4 4 4 6 2" xfId="46165" xr:uid="{D3C91294-C594-465F-8670-716A4D305CFA}"/>
    <cellStyle name="Percent 4 4 4 7" xfId="16151" xr:uid="{00000000-0005-0000-0000-00009E330000}"/>
    <cellStyle name="Percent 4 4 4 7 2" xfId="46166" xr:uid="{B338B7B4-1F3A-4708-B173-726E81525BC6}"/>
    <cellStyle name="Percent 4 4 4 8" xfId="8930" xr:uid="{00000000-0005-0000-0000-00009F330000}"/>
    <cellStyle name="Percent 4 4 4 8 2" xfId="46167" xr:uid="{D2C2458F-0C29-4AC0-8632-1986F433304F}"/>
    <cellStyle name="Percent 4 4 4 9" xfId="46160" xr:uid="{0949FB11-8CE4-414F-9C14-98E7DC68972B}"/>
    <cellStyle name="Percent 4 4 5" xfId="4694" xr:uid="{00000000-0005-0000-0000-0000A0330000}"/>
    <cellStyle name="Percent 4 4 5 2" xfId="10844" xr:uid="{00000000-0005-0000-0000-0000A1330000}"/>
    <cellStyle name="Percent 4 4 5 2 2" xfId="46169" xr:uid="{0FBD94B0-62D6-47B5-8D39-8E5180C5A4DD}"/>
    <cellStyle name="Percent 4 4 5 3" xfId="10845" xr:uid="{00000000-0005-0000-0000-0000A2330000}"/>
    <cellStyle name="Percent 4 4 5 3 2" xfId="46170" xr:uid="{3BF061D4-5559-46C6-A5DB-49BBEB53D40D}"/>
    <cellStyle name="Percent 4 4 5 4" xfId="10846" xr:uid="{00000000-0005-0000-0000-0000A3330000}"/>
    <cellStyle name="Percent 4 4 5 4 2" xfId="46171" xr:uid="{29D09669-A863-4504-9B74-62AC42490575}"/>
    <cellStyle name="Percent 4 4 5 5" xfId="10847" xr:uid="{00000000-0005-0000-0000-0000A4330000}"/>
    <cellStyle name="Percent 4 4 5 5 2" xfId="46172" xr:uid="{5A41E2EE-A2E9-4669-9A8A-B5F279086473}"/>
    <cellStyle name="Percent 4 4 5 6" xfId="12256" xr:uid="{00000000-0005-0000-0000-0000A5330000}"/>
    <cellStyle name="Percent 4 4 5 6 2" xfId="46173" xr:uid="{C0C90AAE-CE32-4D1D-8FAD-B5579299AF98}"/>
    <cellStyle name="Percent 4 4 5 7" xfId="14399" xr:uid="{00000000-0005-0000-0000-0000A6330000}"/>
    <cellStyle name="Percent 4 4 5 7 2" xfId="46174" xr:uid="{592803D4-B634-48DB-A84F-BE964FFFC694}"/>
    <cellStyle name="Percent 4 4 5 8" xfId="8931" xr:uid="{00000000-0005-0000-0000-0000A7330000}"/>
    <cellStyle name="Percent 4 4 5 8 2" xfId="46175" xr:uid="{8BDF4F84-0D0A-485A-8C51-9770BFF6B86E}"/>
    <cellStyle name="Percent 4 4 5 9" xfId="46168" xr:uid="{4138C1D0-5779-47E0-A81B-D1217484E0CA}"/>
    <cellStyle name="Percent 4 4 6" xfId="4695" xr:uid="{00000000-0005-0000-0000-0000A8330000}"/>
    <cellStyle name="Percent 4 4 6 2" xfId="10848" xr:uid="{00000000-0005-0000-0000-0000A9330000}"/>
    <cellStyle name="Percent 4 4 6 2 2" xfId="46177" xr:uid="{D8AE6069-6BC2-4A3A-9DE8-E734B978B3B1}"/>
    <cellStyle name="Percent 4 4 6 3" xfId="10849" xr:uid="{00000000-0005-0000-0000-0000AA330000}"/>
    <cellStyle name="Percent 4 4 6 3 2" xfId="46178" xr:uid="{93C30D91-321B-4FC0-93F0-26D378F8F542}"/>
    <cellStyle name="Percent 4 4 6 4" xfId="10850" xr:uid="{00000000-0005-0000-0000-0000AB330000}"/>
    <cellStyle name="Percent 4 4 6 4 2" xfId="46179" xr:uid="{61D8D96F-9743-4086-AB11-DA256507D12F}"/>
    <cellStyle name="Percent 4 4 6 5" xfId="10851" xr:uid="{00000000-0005-0000-0000-0000AC330000}"/>
    <cellStyle name="Percent 4 4 6 5 2" xfId="46180" xr:uid="{690603AD-8012-4458-B5E3-3AF21BE028C8}"/>
    <cellStyle name="Percent 4 4 6 6" xfId="12257" xr:uid="{00000000-0005-0000-0000-0000AD330000}"/>
    <cellStyle name="Percent 4 4 6 6 2" xfId="46181" xr:uid="{1EA686CD-0114-42CF-84F7-844CB8C7D9F7}"/>
    <cellStyle name="Percent 4 4 6 7" xfId="13810" xr:uid="{00000000-0005-0000-0000-0000AE330000}"/>
    <cellStyle name="Percent 4 4 6 7 2" xfId="46182" xr:uid="{73E6CC88-18DA-4ABC-9BE8-9F2D4B3C968C}"/>
    <cellStyle name="Percent 4 4 6 8" xfId="8932" xr:uid="{00000000-0005-0000-0000-0000AF330000}"/>
    <cellStyle name="Percent 4 4 6 8 2" xfId="46183" xr:uid="{13ECA26D-EA45-4C03-A214-BF9484F876DB}"/>
    <cellStyle name="Percent 4 4 6 9" xfId="46176" xr:uid="{509B5BD9-69CE-45E2-843F-BD8016E81810}"/>
    <cellStyle name="Percent 4 4 7" xfId="4696" xr:uid="{00000000-0005-0000-0000-0000B0330000}"/>
    <cellStyle name="Percent 4 4 7 2" xfId="10852" xr:uid="{00000000-0005-0000-0000-0000B1330000}"/>
    <cellStyle name="Percent 4 4 7 2 2" xfId="46185" xr:uid="{A77AAE64-8D1F-47EC-9106-E4305213B5DD}"/>
    <cellStyle name="Percent 4 4 7 3" xfId="10853" xr:uid="{00000000-0005-0000-0000-0000B2330000}"/>
    <cellStyle name="Percent 4 4 7 3 2" xfId="46186" xr:uid="{B1625CEA-365E-4BCE-A189-FE190E809C39}"/>
    <cellStyle name="Percent 4 4 7 4" xfId="10854" xr:uid="{00000000-0005-0000-0000-0000B3330000}"/>
    <cellStyle name="Percent 4 4 7 4 2" xfId="46187" xr:uid="{72BABECE-755A-4670-97FD-1DF4306CB459}"/>
    <cellStyle name="Percent 4 4 7 5" xfId="10855" xr:uid="{00000000-0005-0000-0000-0000B4330000}"/>
    <cellStyle name="Percent 4 4 7 5 2" xfId="46188" xr:uid="{B91CC882-C9AC-4476-839B-5D4CD38BA2F5}"/>
    <cellStyle name="Percent 4 4 7 6" xfId="12258" xr:uid="{00000000-0005-0000-0000-0000B5330000}"/>
    <cellStyle name="Percent 4 4 7 6 2" xfId="46189" xr:uid="{3A776AED-1882-49DF-98C3-F1153437762F}"/>
    <cellStyle name="Percent 4 4 7 7" xfId="13910" xr:uid="{00000000-0005-0000-0000-0000B6330000}"/>
    <cellStyle name="Percent 4 4 7 7 2" xfId="46190" xr:uid="{B1053F4B-73C5-4218-B85E-078EA6B7D489}"/>
    <cellStyle name="Percent 4 4 7 8" xfId="8933" xr:uid="{00000000-0005-0000-0000-0000B7330000}"/>
    <cellStyle name="Percent 4 4 7 8 2" xfId="46191" xr:uid="{8CA01BB8-0C74-47E3-A253-27A47DD79BF4}"/>
    <cellStyle name="Percent 4 4 7 9" xfId="46184" xr:uid="{E813CCEC-79E6-43B1-8637-39FC1C10C700}"/>
    <cellStyle name="Percent 4 4 8" xfId="4697" xr:uid="{00000000-0005-0000-0000-0000B8330000}"/>
    <cellStyle name="Percent 4 4 8 2" xfId="10856" xr:uid="{00000000-0005-0000-0000-0000B9330000}"/>
    <cellStyle name="Percent 4 4 8 2 2" xfId="46193" xr:uid="{5A34255A-7CDC-404D-BFB1-57305FD1149B}"/>
    <cellStyle name="Percent 4 4 8 3" xfId="10857" xr:uid="{00000000-0005-0000-0000-0000BA330000}"/>
    <cellStyle name="Percent 4 4 8 3 2" xfId="46194" xr:uid="{6B3F2011-71EC-47A6-A813-4AE292E8D48F}"/>
    <cellStyle name="Percent 4 4 8 4" xfId="10858" xr:uid="{00000000-0005-0000-0000-0000BB330000}"/>
    <cellStyle name="Percent 4 4 8 4 2" xfId="46195" xr:uid="{FB02940E-FCD6-4393-9BA9-6FD7C58E69C3}"/>
    <cellStyle name="Percent 4 4 8 5" xfId="10859" xr:uid="{00000000-0005-0000-0000-0000BC330000}"/>
    <cellStyle name="Percent 4 4 8 5 2" xfId="46196" xr:uid="{749ED782-E26D-4AA3-A5C2-E46E4A767A4B}"/>
    <cellStyle name="Percent 4 4 8 6" xfId="12259" xr:uid="{00000000-0005-0000-0000-0000BD330000}"/>
    <cellStyle name="Percent 4 4 8 6 2" xfId="46197" xr:uid="{8B81E643-8A8A-45D9-9D74-CC07946762B4}"/>
    <cellStyle name="Percent 4 4 8 7" xfId="13868" xr:uid="{00000000-0005-0000-0000-0000BE330000}"/>
    <cellStyle name="Percent 4 4 8 7 2" xfId="46198" xr:uid="{AF2055F8-C38C-4486-963A-6EFE92DE23C6}"/>
    <cellStyle name="Percent 4 4 8 8" xfId="8934" xr:uid="{00000000-0005-0000-0000-0000BF330000}"/>
    <cellStyle name="Percent 4 4 8 8 2" xfId="46199" xr:uid="{24B06AB4-57F9-4B45-A970-3F3A57F753A9}"/>
    <cellStyle name="Percent 4 4 8 9" xfId="46192" xr:uid="{9D69FAD1-5A49-499C-824B-3C603AB3A752}"/>
    <cellStyle name="Percent 4 4 9" xfId="5813" xr:uid="{00000000-0005-0000-0000-0000C0330000}"/>
    <cellStyle name="Percent 4 4 9 2" xfId="14390" xr:uid="{00000000-0005-0000-0000-0000C1330000}"/>
    <cellStyle name="Percent 4 4 9 2 2" xfId="46201" xr:uid="{24A5BC31-FAFB-4E80-BA3D-175313CA5ACD}"/>
    <cellStyle name="Percent 4 4 9 3" xfId="12594" xr:uid="{00000000-0005-0000-0000-0000C2330000}"/>
    <cellStyle name="Percent 4 4 9 3 2" xfId="46202" xr:uid="{23303397-5B52-46CA-AD42-6D9C30B01D05}"/>
    <cellStyle name="Percent 4 4 9 4" xfId="8935" xr:uid="{00000000-0005-0000-0000-0000C3330000}"/>
    <cellStyle name="Percent 4 4 9 4 2" xfId="46203" xr:uid="{8A159817-D395-4E66-99DA-BE6B95515CB1}"/>
    <cellStyle name="Percent 4 4 9 5" xfId="46200" xr:uid="{ECD7FEC2-D3C8-4AE2-BDDF-2466826BD822}"/>
    <cellStyle name="Percent 4 5" xfId="2945" xr:uid="{00000000-0005-0000-0000-0000C4330000}"/>
    <cellStyle name="Percent 4 5 10" xfId="10860" xr:uid="{00000000-0005-0000-0000-0000C5330000}"/>
    <cellStyle name="Percent 4 5 10 2" xfId="46205" xr:uid="{711EC297-E7D2-4B43-A43C-AE13EA62CC41}"/>
    <cellStyle name="Percent 4 5 11" xfId="10861" xr:uid="{00000000-0005-0000-0000-0000C6330000}"/>
    <cellStyle name="Percent 4 5 11 2" xfId="46206" xr:uid="{08751039-2CBA-42FF-9DF2-9E1A6FAC5422}"/>
    <cellStyle name="Percent 4 5 12" xfId="10862" xr:uid="{00000000-0005-0000-0000-0000C7330000}"/>
    <cellStyle name="Percent 4 5 12 2" xfId="46207" xr:uid="{DAB47534-DAE6-41DB-8343-B06A0781FAC8}"/>
    <cellStyle name="Percent 4 5 13" xfId="10863" xr:uid="{00000000-0005-0000-0000-0000C8330000}"/>
    <cellStyle name="Percent 4 5 13 2" xfId="46208" xr:uid="{8AA17C83-EE4B-4FD4-B58D-C5ECC64968AF}"/>
    <cellStyle name="Percent 4 5 14" xfId="12260" xr:uid="{00000000-0005-0000-0000-0000C9330000}"/>
    <cellStyle name="Percent 4 5 14 2" xfId="46209" xr:uid="{88F98F64-CB8F-486A-B85C-B3FAD71131D1}"/>
    <cellStyle name="Percent 4 5 15" xfId="13077" xr:uid="{00000000-0005-0000-0000-0000CA330000}"/>
    <cellStyle name="Percent 4 5 15 2" xfId="46210" xr:uid="{59360426-E3C7-47E5-9E4E-2270AD0419E1}"/>
    <cellStyle name="Percent 4 5 16" xfId="16278" xr:uid="{00000000-0005-0000-0000-0000CB330000}"/>
    <cellStyle name="Percent 4 5 16 2" xfId="46211" xr:uid="{99694609-E703-4F84-9E64-8E817A79546D}"/>
    <cellStyle name="Percent 4 5 17" xfId="8936" xr:uid="{00000000-0005-0000-0000-0000CC330000}"/>
    <cellStyle name="Percent 4 5 17 2" xfId="46212" xr:uid="{5BA98D16-CEE0-49DF-9FBF-E984AFA3030B}"/>
    <cellStyle name="Percent 4 5 18" xfId="46213" xr:uid="{6567B2D9-A228-4118-BE1F-29181A16F63B}"/>
    <cellStyle name="Percent 4 5 19" xfId="46204" xr:uid="{B1E80E99-C312-4502-AFB8-BF15E1B1DF19}"/>
    <cellStyle name="Percent 4 5 2" xfId="2946" xr:uid="{00000000-0005-0000-0000-0000CD330000}"/>
    <cellStyle name="Percent 4 5 2 2" xfId="10864" xr:uid="{00000000-0005-0000-0000-0000CE330000}"/>
    <cellStyle name="Percent 4 5 2 2 2" xfId="46215" xr:uid="{AF7AFDF8-76FC-43BD-84AA-B28C84FB9E74}"/>
    <cellStyle name="Percent 4 5 2 3" xfId="10865" xr:uid="{00000000-0005-0000-0000-0000CF330000}"/>
    <cellStyle name="Percent 4 5 2 3 2" xfId="46216" xr:uid="{9A1A37EB-D0AB-4D0F-9F16-7A25C7E2929C}"/>
    <cellStyle name="Percent 4 5 2 4" xfId="10866" xr:uid="{00000000-0005-0000-0000-0000D0330000}"/>
    <cellStyle name="Percent 4 5 2 4 2" xfId="46217" xr:uid="{8AB14955-8DB7-48D0-AA69-A4CF2A61D0E5}"/>
    <cellStyle name="Percent 4 5 2 5" xfId="10867" xr:uid="{00000000-0005-0000-0000-0000D1330000}"/>
    <cellStyle name="Percent 4 5 2 5 2" xfId="46218" xr:uid="{B592E757-38F7-47C1-A04B-BB205E00292C}"/>
    <cellStyle name="Percent 4 5 2 6" xfId="12261" xr:uid="{00000000-0005-0000-0000-0000D2330000}"/>
    <cellStyle name="Percent 4 5 2 6 2" xfId="46219" xr:uid="{6FF9817E-9F98-4A68-AD1F-38728CA22893}"/>
    <cellStyle name="Percent 4 5 2 7" xfId="12882" xr:uid="{00000000-0005-0000-0000-0000D3330000}"/>
    <cellStyle name="Percent 4 5 2 7 2" xfId="46220" xr:uid="{691F8FF3-89B2-4E24-A7B2-1CEED67870BD}"/>
    <cellStyle name="Percent 4 5 2 8" xfId="8937" xr:uid="{00000000-0005-0000-0000-0000D4330000}"/>
    <cellStyle name="Percent 4 5 2 8 2" xfId="46221" xr:uid="{6232AAF7-746B-4DDD-9315-1DE312FA9F5D}"/>
    <cellStyle name="Percent 4 5 2 9" xfId="46214" xr:uid="{A21AD5BF-85A7-4584-B020-C4BCA3414FEA}"/>
    <cellStyle name="Percent 4 5 3" xfId="4698" xr:uid="{00000000-0005-0000-0000-0000D5330000}"/>
    <cellStyle name="Percent 4 5 3 2" xfId="10868" xr:uid="{00000000-0005-0000-0000-0000D6330000}"/>
    <cellStyle name="Percent 4 5 3 2 2" xfId="46223" xr:uid="{FDAB8AE1-9DCB-4787-AE4F-B6484CCFB7AA}"/>
    <cellStyle name="Percent 4 5 3 3" xfId="10869" xr:uid="{00000000-0005-0000-0000-0000D7330000}"/>
    <cellStyle name="Percent 4 5 3 3 2" xfId="46224" xr:uid="{D3B70762-746C-4DDD-B46F-D7302E7ADEF0}"/>
    <cellStyle name="Percent 4 5 3 4" xfId="10870" xr:uid="{00000000-0005-0000-0000-0000D8330000}"/>
    <cellStyle name="Percent 4 5 3 4 2" xfId="46225" xr:uid="{A3C7AFF7-0843-4F96-AE94-FB3D8D623B79}"/>
    <cellStyle name="Percent 4 5 3 5" xfId="10871" xr:uid="{00000000-0005-0000-0000-0000D9330000}"/>
    <cellStyle name="Percent 4 5 3 5 2" xfId="46226" xr:uid="{2E130EB6-FD10-4D42-8628-9021B1AC4D94}"/>
    <cellStyle name="Percent 4 5 3 6" xfId="12262" xr:uid="{00000000-0005-0000-0000-0000DA330000}"/>
    <cellStyle name="Percent 4 5 3 6 2" xfId="46227" xr:uid="{AA9FB656-DDD4-4F45-82E4-3CD7982107C0}"/>
    <cellStyle name="Percent 4 5 3 7" xfId="12588" xr:uid="{00000000-0005-0000-0000-0000DB330000}"/>
    <cellStyle name="Percent 4 5 3 7 2" xfId="46228" xr:uid="{DB3425AE-15B6-4C43-A853-8F7D83EAD19D}"/>
    <cellStyle name="Percent 4 5 3 8" xfId="8938" xr:uid="{00000000-0005-0000-0000-0000DC330000}"/>
    <cellStyle name="Percent 4 5 3 8 2" xfId="46229" xr:uid="{EF768311-76AE-4C4C-A816-F4DD47E289F3}"/>
    <cellStyle name="Percent 4 5 3 9" xfId="46222" xr:uid="{3ADE9C4D-89BB-458E-BE27-25782F788E43}"/>
    <cellStyle name="Percent 4 5 4" xfId="4699" xr:uid="{00000000-0005-0000-0000-0000DD330000}"/>
    <cellStyle name="Percent 4 5 4 2" xfId="10872" xr:uid="{00000000-0005-0000-0000-0000DE330000}"/>
    <cellStyle name="Percent 4 5 4 2 2" xfId="46231" xr:uid="{668E977E-B510-4E17-A8C3-71094DA60D7A}"/>
    <cellStyle name="Percent 4 5 4 3" xfId="10873" xr:uid="{00000000-0005-0000-0000-0000DF330000}"/>
    <cellStyle name="Percent 4 5 4 3 2" xfId="46232" xr:uid="{B7AD32D1-B043-475A-806E-0355333F0C8E}"/>
    <cellStyle name="Percent 4 5 4 4" xfId="10874" xr:uid="{00000000-0005-0000-0000-0000E0330000}"/>
    <cellStyle name="Percent 4 5 4 4 2" xfId="46233" xr:uid="{98B91601-FEF9-46A8-9A7F-A759C7E929A9}"/>
    <cellStyle name="Percent 4 5 4 5" xfId="10875" xr:uid="{00000000-0005-0000-0000-0000E1330000}"/>
    <cellStyle name="Percent 4 5 4 5 2" xfId="46234" xr:uid="{BAF37575-A691-4F2B-9D5C-E39088A301FF}"/>
    <cellStyle name="Percent 4 5 4 6" xfId="12263" xr:uid="{00000000-0005-0000-0000-0000E2330000}"/>
    <cellStyle name="Percent 4 5 4 6 2" xfId="46235" xr:uid="{9F1F7524-A681-49C7-957F-84171B7EFBB9}"/>
    <cellStyle name="Percent 4 5 4 7" xfId="16211" xr:uid="{00000000-0005-0000-0000-0000E3330000}"/>
    <cellStyle name="Percent 4 5 4 7 2" xfId="46236" xr:uid="{60652403-BC34-4808-A9B8-9CE48D3BF12F}"/>
    <cellStyle name="Percent 4 5 4 8" xfId="8939" xr:uid="{00000000-0005-0000-0000-0000E4330000}"/>
    <cellStyle name="Percent 4 5 4 8 2" xfId="46237" xr:uid="{D4F36C5A-F629-40EF-A1B9-5EDC6485ABCD}"/>
    <cellStyle name="Percent 4 5 4 9" xfId="46230" xr:uid="{65E0D879-D259-4945-AE56-29DCA104D745}"/>
    <cellStyle name="Percent 4 5 5" xfId="4700" xr:uid="{00000000-0005-0000-0000-0000E5330000}"/>
    <cellStyle name="Percent 4 5 5 2" xfId="10876" xr:uid="{00000000-0005-0000-0000-0000E6330000}"/>
    <cellStyle name="Percent 4 5 5 2 2" xfId="46239" xr:uid="{8EB7C751-7BB5-4F41-A070-E53EB125D200}"/>
    <cellStyle name="Percent 4 5 5 3" xfId="10877" xr:uid="{00000000-0005-0000-0000-0000E7330000}"/>
    <cellStyle name="Percent 4 5 5 3 2" xfId="46240" xr:uid="{F60E1DF4-4C2A-4AD2-ADF8-D940B98BB66D}"/>
    <cellStyle name="Percent 4 5 5 4" xfId="10878" xr:uid="{00000000-0005-0000-0000-0000E8330000}"/>
    <cellStyle name="Percent 4 5 5 4 2" xfId="46241" xr:uid="{145CB6C4-8965-407D-AEFC-D208115DCE6A}"/>
    <cellStyle name="Percent 4 5 5 5" xfId="10879" xr:uid="{00000000-0005-0000-0000-0000E9330000}"/>
    <cellStyle name="Percent 4 5 5 5 2" xfId="46242" xr:uid="{AD3A2F4C-9FE5-431F-9DA3-545145035C32}"/>
    <cellStyle name="Percent 4 5 5 6" xfId="12264" xr:uid="{00000000-0005-0000-0000-0000EA330000}"/>
    <cellStyle name="Percent 4 5 5 6 2" xfId="46243" xr:uid="{271F5458-F2A1-4108-90C5-2D64F2B6AB45}"/>
    <cellStyle name="Percent 4 5 5 7" xfId="13822" xr:uid="{00000000-0005-0000-0000-0000EB330000}"/>
    <cellStyle name="Percent 4 5 5 7 2" xfId="46244" xr:uid="{1C9C7E52-884E-4D29-80BB-9EBF21B439EE}"/>
    <cellStyle name="Percent 4 5 5 8" xfId="8940" xr:uid="{00000000-0005-0000-0000-0000EC330000}"/>
    <cellStyle name="Percent 4 5 5 8 2" xfId="46245" xr:uid="{4F5ADAE9-8A0D-4408-8FEA-77A12D42703E}"/>
    <cellStyle name="Percent 4 5 5 9" xfId="46238" xr:uid="{1435B2DF-D86D-48C7-96F1-EEA6529D1A02}"/>
    <cellStyle name="Percent 4 5 6" xfId="4701" xr:uid="{00000000-0005-0000-0000-0000ED330000}"/>
    <cellStyle name="Percent 4 5 6 2" xfId="10880" xr:uid="{00000000-0005-0000-0000-0000EE330000}"/>
    <cellStyle name="Percent 4 5 6 2 2" xfId="46247" xr:uid="{46596743-BB05-40C8-9FC3-233128D6E68B}"/>
    <cellStyle name="Percent 4 5 6 3" xfId="10881" xr:uid="{00000000-0005-0000-0000-0000EF330000}"/>
    <cellStyle name="Percent 4 5 6 3 2" xfId="46248" xr:uid="{E3F27AE5-A2CC-4CD6-B793-0C2D5C72CC27}"/>
    <cellStyle name="Percent 4 5 6 4" xfId="10882" xr:uid="{00000000-0005-0000-0000-0000F0330000}"/>
    <cellStyle name="Percent 4 5 6 4 2" xfId="46249" xr:uid="{E32F62D3-A1E6-4EC4-914C-B99A82135447}"/>
    <cellStyle name="Percent 4 5 6 5" xfId="10883" xr:uid="{00000000-0005-0000-0000-0000F1330000}"/>
    <cellStyle name="Percent 4 5 6 5 2" xfId="46250" xr:uid="{AAEFC946-B11E-4732-86B0-3AB36DDB728E}"/>
    <cellStyle name="Percent 4 5 6 6" xfId="12265" xr:uid="{00000000-0005-0000-0000-0000F2330000}"/>
    <cellStyle name="Percent 4 5 6 6 2" xfId="46251" xr:uid="{D2BA0A4B-A6E1-4906-A599-9699788B02B8}"/>
    <cellStyle name="Percent 4 5 6 7" xfId="13059" xr:uid="{00000000-0005-0000-0000-0000F3330000}"/>
    <cellStyle name="Percent 4 5 6 7 2" xfId="46252" xr:uid="{13BA8AAE-1216-4311-B859-8C18C41EBDCB}"/>
    <cellStyle name="Percent 4 5 6 8" xfId="8941" xr:uid="{00000000-0005-0000-0000-0000F4330000}"/>
    <cellStyle name="Percent 4 5 6 8 2" xfId="46253" xr:uid="{FB3C8D07-8E8D-4285-9AF8-F6DF583DABBD}"/>
    <cellStyle name="Percent 4 5 6 9" xfId="46246" xr:uid="{193D9BCC-2448-4828-945C-107B1111D13E}"/>
    <cellStyle name="Percent 4 5 7" xfId="4702" xr:uid="{00000000-0005-0000-0000-0000F5330000}"/>
    <cellStyle name="Percent 4 5 7 2" xfId="10884" xr:uid="{00000000-0005-0000-0000-0000F6330000}"/>
    <cellStyle name="Percent 4 5 7 2 2" xfId="46255" xr:uid="{F37BDA13-2215-4C3D-840F-20D4FBC4A8F4}"/>
    <cellStyle name="Percent 4 5 7 3" xfId="10885" xr:uid="{00000000-0005-0000-0000-0000F7330000}"/>
    <cellStyle name="Percent 4 5 7 3 2" xfId="46256" xr:uid="{C03FF260-4863-439B-8B0A-22E15F87263F}"/>
    <cellStyle name="Percent 4 5 7 4" xfId="10886" xr:uid="{00000000-0005-0000-0000-0000F8330000}"/>
    <cellStyle name="Percent 4 5 7 4 2" xfId="46257" xr:uid="{0DAD0485-7195-42C3-A2B9-DD9983CCD3F1}"/>
    <cellStyle name="Percent 4 5 7 5" xfId="10887" xr:uid="{00000000-0005-0000-0000-0000F9330000}"/>
    <cellStyle name="Percent 4 5 7 5 2" xfId="46258" xr:uid="{AD4311F1-755C-4F53-89C3-87DC7A6AF203}"/>
    <cellStyle name="Percent 4 5 7 6" xfId="12266" xr:uid="{00000000-0005-0000-0000-0000FA330000}"/>
    <cellStyle name="Percent 4 5 7 6 2" xfId="46259" xr:uid="{77826516-05AD-4158-B9CB-241AE3C287C6}"/>
    <cellStyle name="Percent 4 5 7 7" xfId="16422" xr:uid="{00000000-0005-0000-0000-0000FB330000}"/>
    <cellStyle name="Percent 4 5 7 7 2" xfId="46260" xr:uid="{6333E72B-E7D2-4CD0-8E8B-4D77504C0822}"/>
    <cellStyle name="Percent 4 5 7 8" xfId="8942" xr:uid="{00000000-0005-0000-0000-0000FC330000}"/>
    <cellStyle name="Percent 4 5 7 8 2" xfId="46261" xr:uid="{DF483125-5453-42CA-B7D2-82600146F282}"/>
    <cellStyle name="Percent 4 5 7 9" xfId="46254" xr:uid="{D81FD71A-5BEF-482C-B37F-0789337CDCF7}"/>
    <cellStyle name="Percent 4 5 8" xfId="4703" xr:uid="{00000000-0005-0000-0000-0000FD330000}"/>
    <cellStyle name="Percent 4 5 8 2" xfId="10888" xr:uid="{00000000-0005-0000-0000-0000FE330000}"/>
    <cellStyle name="Percent 4 5 8 2 2" xfId="46263" xr:uid="{D8834F66-9803-4BF1-B13E-0B7C2BC1EBDD}"/>
    <cellStyle name="Percent 4 5 8 3" xfId="10889" xr:uid="{00000000-0005-0000-0000-0000FF330000}"/>
    <cellStyle name="Percent 4 5 8 3 2" xfId="46264" xr:uid="{64A60C99-1FE9-4C34-93CA-E8CC4AD2ED0F}"/>
    <cellStyle name="Percent 4 5 8 4" xfId="10890" xr:uid="{00000000-0005-0000-0000-000000340000}"/>
    <cellStyle name="Percent 4 5 8 4 2" xfId="46265" xr:uid="{2CE88E44-A407-486D-8D69-566EE53D92F4}"/>
    <cellStyle name="Percent 4 5 8 5" xfId="10891" xr:uid="{00000000-0005-0000-0000-000001340000}"/>
    <cellStyle name="Percent 4 5 8 5 2" xfId="46266" xr:uid="{B420EBFA-47F0-420D-AD72-D0C55149E3AE}"/>
    <cellStyle name="Percent 4 5 8 6" xfId="12267" xr:uid="{00000000-0005-0000-0000-000002340000}"/>
    <cellStyle name="Percent 4 5 8 6 2" xfId="46267" xr:uid="{D7648C64-3772-4472-9809-3ABF6DD81BDA}"/>
    <cellStyle name="Percent 4 5 8 7" xfId="16165" xr:uid="{00000000-0005-0000-0000-000003340000}"/>
    <cellStyle name="Percent 4 5 8 7 2" xfId="46268" xr:uid="{924DB8B3-3F06-4A94-BF29-FCD31F772E48}"/>
    <cellStyle name="Percent 4 5 8 8" xfId="8943" xr:uid="{00000000-0005-0000-0000-000004340000}"/>
    <cellStyle name="Percent 4 5 8 8 2" xfId="46269" xr:uid="{FDFF9990-A31E-4A9F-ABBA-AB09F31B65B9}"/>
    <cellStyle name="Percent 4 5 8 9" xfId="46262" xr:uid="{C28D3E8F-D2B8-4FE8-A088-3856D2EC207E}"/>
    <cellStyle name="Percent 4 5 9" xfId="6437" xr:uid="{00000000-0005-0000-0000-000005340000}"/>
    <cellStyle name="Percent 4 5 9 2" xfId="14871" xr:uid="{00000000-0005-0000-0000-000006340000}"/>
    <cellStyle name="Percent 4 5 9 2 2" xfId="46271" xr:uid="{62CE55C7-C923-4487-A8E3-9A1105829714}"/>
    <cellStyle name="Percent 4 5 9 3" xfId="13840" xr:uid="{00000000-0005-0000-0000-000007340000}"/>
    <cellStyle name="Percent 4 5 9 3 2" xfId="46272" xr:uid="{398E9B70-0D5F-48AB-A170-6B6E4A495CA3}"/>
    <cellStyle name="Percent 4 5 9 4" xfId="8944" xr:uid="{00000000-0005-0000-0000-000008340000}"/>
    <cellStyle name="Percent 4 5 9 4 2" xfId="46273" xr:uid="{70139662-7E8B-46ED-BAB2-AE908C2EBD71}"/>
    <cellStyle name="Percent 4 5 9 5" xfId="46270" xr:uid="{48067B90-D43B-4CFD-8928-E82B1FE7B3CD}"/>
    <cellStyle name="Percent 4 6" xfId="2947" xr:uid="{00000000-0005-0000-0000-000009340000}"/>
    <cellStyle name="Percent 4 6 10" xfId="10892" xr:uid="{00000000-0005-0000-0000-00000A340000}"/>
    <cellStyle name="Percent 4 6 10 2" xfId="46275" xr:uid="{71A1C71D-C1AC-4AC5-923E-9C70C0B9A632}"/>
    <cellStyle name="Percent 4 6 11" xfId="10893" xr:uid="{00000000-0005-0000-0000-00000B340000}"/>
    <cellStyle name="Percent 4 6 11 2" xfId="46276" xr:uid="{0EC92731-ED73-49B3-8842-089822804636}"/>
    <cellStyle name="Percent 4 6 12" xfId="10894" xr:uid="{00000000-0005-0000-0000-00000C340000}"/>
    <cellStyle name="Percent 4 6 12 2" xfId="46277" xr:uid="{11EE1110-51C0-4B2D-89BB-2742C1513C6A}"/>
    <cellStyle name="Percent 4 6 13" xfId="10895" xr:uid="{00000000-0005-0000-0000-00000D340000}"/>
    <cellStyle name="Percent 4 6 13 2" xfId="46278" xr:uid="{E1EF34ED-867B-46A0-963F-8EA9F0E23247}"/>
    <cellStyle name="Percent 4 6 14" xfId="12268" xr:uid="{00000000-0005-0000-0000-00000E340000}"/>
    <cellStyle name="Percent 4 6 14 2" xfId="46279" xr:uid="{1380875D-1121-4FDE-8D49-003DE2DD48AD}"/>
    <cellStyle name="Percent 4 6 15" xfId="13510" xr:uid="{00000000-0005-0000-0000-00000F340000}"/>
    <cellStyle name="Percent 4 6 15 2" xfId="46280" xr:uid="{57B09E44-BB89-48B7-A215-BCDE5482D910}"/>
    <cellStyle name="Percent 4 6 16" xfId="8945" xr:uid="{00000000-0005-0000-0000-000010340000}"/>
    <cellStyle name="Percent 4 6 16 2" xfId="46281" xr:uid="{39106367-A7EE-4EC7-BFA4-DD9881B908FA}"/>
    <cellStyle name="Percent 4 6 17" xfId="46274" xr:uid="{D0F58D83-EF1D-44D1-A6BF-927D676A446E}"/>
    <cellStyle name="Percent 4 6 2" xfId="4704" xr:uid="{00000000-0005-0000-0000-000011340000}"/>
    <cellStyle name="Percent 4 6 2 2" xfId="10896" xr:uid="{00000000-0005-0000-0000-000012340000}"/>
    <cellStyle name="Percent 4 6 2 2 2" xfId="46283" xr:uid="{002F0D02-0F71-40FF-9B2D-E614FF0F4080}"/>
    <cellStyle name="Percent 4 6 2 3" xfId="10897" xr:uid="{00000000-0005-0000-0000-000013340000}"/>
    <cellStyle name="Percent 4 6 2 3 2" xfId="46284" xr:uid="{B3D7C20C-D765-4EAA-BCF5-6226C966480C}"/>
    <cellStyle name="Percent 4 6 2 4" xfId="10898" xr:uid="{00000000-0005-0000-0000-000014340000}"/>
    <cellStyle name="Percent 4 6 2 4 2" xfId="46285" xr:uid="{74DB39E8-5990-4F67-B465-BE00BBB4AC2F}"/>
    <cellStyle name="Percent 4 6 2 5" xfId="10899" xr:uid="{00000000-0005-0000-0000-000015340000}"/>
    <cellStyle name="Percent 4 6 2 5 2" xfId="46286" xr:uid="{AA1E762F-2EB9-419A-A1AF-8657AEBF953E}"/>
    <cellStyle name="Percent 4 6 2 6" xfId="12269" xr:uid="{00000000-0005-0000-0000-000016340000}"/>
    <cellStyle name="Percent 4 6 2 6 2" xfId="46287" xr:uid="{01365746-E9C4-49C8-A608-A8537701D38A}"/>
    <cellStyle name="Percent 4 6 2 7" xfId="16273" xr:uid="{00000000-0005-0000-0000-000017340000}"/>
    <cellStyle name="Percent 4 6 2 7 2" xfId="46288" xr:uid="{485F611D-8F44-46FA-95F5-BAD36D2D8D9C}"/>
    <cellStyle name="Percent 4 6 2 8" xfId="8946" xr:uid="{00000000-0005-0000-0000-000018340000}"/>
    <cellStyle name="Percent 4 6 2 8 2" xfId="46289" xr:uid="{0E6F44A5-6DA5-4E1D-A6B3-1F410FF00191}"/>
    <cellStyle name="Percent 4 6 2 9" xfId="46282" xr:uid="{A1C57EB3-F506-4347-9CFE-964126E37805}"/>
    <cellStyle name="Percent 4 6 3" xfId="4705" xr:uid="{00000000-0005-0000-0000-000019340000}"/>
    <cellStyle name="Percent 4 6 3 2" xfId="10900" xr:uid="{00000000-0005-0000-0000-00001A340000}"/>
    <cellStyle name="Percent 4 6 3 2 2" xfId="46291" xr:uid="{D674CBF0-D31E-46EA-A8FA-F39D32723CE6}"/>
    <cellStyle name="Percent 4 6 3 3" xfId="10901" xr:uid="{00000000-0005-0000-0000-00001B340000}"/>
    <cellStyle name="Percent 4 6 3 3 2" xfId="46292" xr:uid="{CF60D13F-DBB8-4D4D-85CE-F9CCC9F929E9}"/>
    <cellStyle name="Percent 4 6 3 4" xfId="10902" xr:uid="{00000000-0005-0000-0000-00001C340000}"/>
    <cellStyle name="Percent 4 6 3 4 2" xfId="46293" xr:uid="{6F0754BD-CBD9-44F5-86E4-C50926C00B5B}"/>
    <cellStyle name="Percent 4 6 3 5" xfId="10903" xr:uid="{00000000-0005-0000-0000-00001D340000}"/>
    <cellStyle name="Percent 4 6 3 5 2" xfId="46294" xr:uid="{D7ED146C-E2D5-42D9-9C63-42819CE999D1}"/>
    <cellStyle name="Percent 4 6 3 6" xfId="12270" xr:uid="{00000000-0005-0000-0000-00001E340000}"/>
    <cellStyle name="Percent 4 6 3 6 2" xfId="46295" xr:uid="{89E6BD13-3CB2-48CB-8E89-DFB94D0E20D2}"/>
    <cellStyle name="Percent 4 6 3 7" xfId="12555" xr:uid="{00000000-0005-0000-0000-00001F340000}"/>
    <cellStyle name="Percent 4 6 3 7 2" xfId="46296" xr:uid="{AF1862CC-EDA9-4DA3-9016-3F3CB7CC736D}"/>
    <cellStyle name="Percent 4 6 3 8" xfId="8947" xr:uid="{00000000-0005-0000-0000-000020340000}"/>
    <cellStyle name="Percent 4 6 3 8 2" xfId="46297" xr:uid="{7A24CAD3-2DE5-4B25-BAA9-E076FB46C2EE}"/>
    <cellStyle name="Percent 4 6 3 9" xfId="46290" xr:uid="{C81EE1EE-74B3-4378-8D8A-74B05FF3B8CB}"/>
    <cellStyle name="Percent 4 6 4" xfId="4706" xr:uid="{00000000-0005-0000-0000-000021340000}"/>
    <cellStyle name="Percent 4 6 4 2" xfId="10904" xr:uid="{00000000-0005-0000-0000-000022340000}"/>
    <cellStyle name="Percent 4 6 4 2 2" xfId="46299" xr:uid="{B82799E0-38F8-4FC5-A3D6-BD5D12419990}"/>
    <cellStyle name="Percent 4 6 4 3" xfId="10905" xr:uid="{00000000-0005-0000-0000-000023340000}"/>
    <cellStyle name="Percent 4 6 4 3 2" xfId="46300" xr:uid="{B978B7B3-8274-4FAF-8822-BB9AC97D2997}"/>
    <cellStyle name="Percent 4 6 4 4" xfId="10906" xr:uid="{00000000-0005-0000-0000-000024340000}"/>
    <cellStyle name="Percent 4 6 4 4 2" xfId="46301" xr:uid="{2CA9BC96-EB5C-411D-AF65-3D7FE4BE0BD5}"/>
    <cellStyle name="Percent 4 6 4 5" xfId="10907" xr:uid="{00000000-0005-0000-0000-000025340000}"/>
    <cellStyle name="Percent 4 6 4 5 2" xfId="46302" xr:uid="{C1781C2B-3335-47B0-834D-093BBE2F2777}"/>
    <cellStyle name="Percent 4 6 4 6" xfId="12271" xr:uid="{00000000-0005-0000-0000-000026340000}"/>
    <cellStyle name="Percent 4 6 4 6 2" xfId="46303" xr:uid="{B87F8BBB-0D1D-4E21-9A43-59E78B9B2A34}"/>
    <cellStyle name="Percent 4 6 4 7" xfId="13735" xr:uid="{00000000-0005-0000-0000-000027340000}"/>
    <cellStyle name="Percent 4 6 4 7 2" xfId="46304" xr:uid="{3CA1553A-D36C-4DC7-B7AE-B37620E734E5}"/>
    <cellStyle name="Percent 4 6 4 8" xfId="8948" xr:uid="{00000000-0005-0000-0000-000028340000}"/>
    <cellStyle name="Percent 4 6 4 8 2" xfId="46305" xr:uid="{82F1A8AB-9F7C-4FF8-AD04-173DD6EC1D8E}"/>
    <cellStyle name="Percent 4 6 4 9" xfId="46298" xr:uid="{39AEEFE5-FB88-495B-B495-5E6E503F1C1E}"/>
    <cellStyle name="Percent 4 6 5" xfId="4707" xr:uid="{00000000-0005-0000-0000-000029340000}"/>
    <cellStyle name="Percent 4 6 5 2" xfId="10908" xr:uid="{00000000-0005-0000-0000-00002A340000}"/>
    <cellStyle name="Percent 4 6 5 2 2" xfId="46307" xr:uid="{A3894351-8D26-4152-997B-B03A6067C8D3}"/>
    <cellStyle name="Percent 4 6 5 3" xfId="10909" xr:uid="{00000000-0005-0000-0000-00002B340000}"/>
    <cellStyle name="Percent 4 6 5 3 2" xfId="46308" xr:uid="{FF3BF70B-461B-48E0-B46E-11C3FD8CFC0D}"/>
    <cellStyle name="Percent 4 6 5 4" xfId="10910" xr:uid="{00000000-0005-0000-0000-00002C340000}"/>
    <cellStyle name="Percent 4 6 5 4 2" xfId="46309" xr:uid="{20D56467-5192-4C36-B8A8-9BCAD92D05C3}"/>
    <cellStyle name="Percent 4 6 5 5" xfId="10911" xr:uid="{00000000-0005-0000-0000-00002D340000}"/>
    <cellStyle name="Percent 4 6 5 5 2" xfId="46310" xr:uid="{88E2E7F3-DF2E-4482-936B-DB55079D37D4}"/>
    <cellStyle name="Percent 4 6 5 6" xfId="12272" xr:uid="{00000000-0005-0000-0000-00002E340000}"/>
    <cellStyle name="Percent 4 6 5 6 2" xfId="46311" xr:uid="{4EC33F9F-0650-4D72-8363-585355EC724D}"/>
    <cellStyle name="Percent 4 6 5 7" xfId="16405" xr:uid="{00000000-0005-0000-0000-00002F340000}"/>
    <cellStyle name="Percent 4 6 5 7 2" xfId="46312" xr:uid="{58C9F5AF-C108-40F4-A1F6-F77A9A55552C}"/>
    <cellStyle name="Percent 4 6 5 8" xfId="8949" xr:uid="{00000000-0005-0000-0000-000030340000}"/>
    <cellStyle name="Percent 4 6 5 8 2" xfId="46313" xr:uid="{4DA2E1DD-9332-45A5-9BD8-9FEEDE2C1792}"/>
    <cellStyle name="Percent 4 6 5 9" xfId="46306" xr:uid="{71CE1ADE-E743-4421-823E-129F89FF5853}"/>
    <cellStyle name="Percent 4 6 6" xfId="4708" xr:uid="{00000000-0005-0000-0000-000031340000}"/>
    <cellStyle name="Percent 4 6 6 2" xfId="10912" xr:uid="{00000000-0005-0000-0000-000032340000}"/>
    <cellStyle name="Percent 4 6 6 2 2" xfId="46315" xr:uid="{69D23F51-03EC-44C2-B5B4-FC5CA78A05DD}"/>
    <cellStyle name="Percent 4 6 6 3" xfId="10913" xr:uid="{00000000-0005-0000-0000-000033340000}"/>
    <cellStyle name="Percent 4 6 6 3 2" xfId="46316" xr:uid="{70AC80B3-4DE0-4BDF-B0D6-954B4282CA6D}"/>
    <cellStyle name="Percent 4 6 6 4" xfId="10914" xr:uid="{00000000-0005-0000-0000-000034340000}"/>
    <cellStyle name="Percent 4 6 6 4 2" xfId="46317" xr:uid="{62CB5204-894B-4FF8-A6F6-3ADE06610982}"/>
    <cellStyle name="Percent 4 6 6 5" xfId="10915" xr:uid="{00000000-0005-0000-0000-000035340000}"/>
    <cellStyle name="Percent 4 6 6 5 2" xfId="46318" xr:uid="{A2D6F0C2-E27F-4DAD-AF30-671BBCC1BA95}"/>
    <cellStyle name="Percent 4 6 6 6" xfId="12273" xr:uid="{00000000-0005-0000-0000-000036340000}"/>
    <cellStyle name="Percent 4 6 6 6 2" xfId="46319" xr:uid="{39C2A370-BDD7-4D3C-80B7-4B9F3E90E356}"/>
    <cellStyle name="Percent 4 6 6 7" xfId="14406" xr:uid="{00000000-0005-0000-0000-000037340000}"/>
    <cellStyle name="Percent 4 6 6 7 2" xfId="46320" xr:uid="{4E5471D4-E485-4DD4-B1A9-DDB79516D2A4}"/>
    <cellStyle name="Percent 4 6 6 8" xfId="8950" xr:uid="{00000000-0005-0000-0000-000038340000}"/>
    <cellStyle name="Percent 4 6 6 8 2" xfId="46321" xr:uid="{1FE64D1B-D8F4-412F-9E34-72F9A84B47B9}"/>
    <cellStyle name="Percent 4 6 6 9" xfId="46314" xr:uid="{C14095F6-58D1-4844-8C29-29E370C0DAA5}"/>
    <cellStyle name="Percent 4 6 7" xfId="4709" xr:uid="{00000000-0005-0000-0000-000039340000}"/>
    <cellStyle name="Percent 4 6 7 2" xfId="10916" xr:uid="{00000000-0005-0000-0000-00003A340000}"/>
    <cellStyle name="Percent 4 6 7 2 2" xfId="46323" xr:uid="{BF11BBFF-2431-4FFF-B2EA-6F119FDB92C7}"/>
    <cellStyle name="Percent 4 6 7 3" xfId="10917" xr:uid="{00000000-0005-0000-0000-00003B340000}"/>
    <cellStyle name="Percent 4 6 7 3 2" xfId="46324" xr:uid="{38A4C15F-7E5E-4A2C-ADC8-405BC15B52AC}"/>
    <cellStyle name="Percent 4 6 7 4" xfId="10918" xr:uid="{00000000-0005-0000-0000-00003C340000}"/>
    <cellStyle name="Percent 4 6 7 4 2" xfId="46325" xr:uid="{C5A5F403-093F-4527-80E5-85C06B793886}"/>
    <cellStyle name="Percent 4 6 7 5" xfId="10919" xr:uid="{00000000-0005-0000-0000-00003D340000}"/>
    <cellStyle name="Percent 4 6 7 5 2" xfId="46326" xr:uid="{72D1BBD0-588A-472F-A9E8-63B51C8061E0}"/>
    <cellStyle name="Percent 4 6 7 6" xfId="12274" xr:uid="{00000000-0005-0000-0000-00003E340000}"/>
    <cellStyle name="Percent 4 6 7 6 2" xfId="46327" xr:uid="{E21956B5-0974-4CFE-9179-1B79A442BD78}"/>
    <cellStyle name="Percent 4 6 7 7" xfId="13731" xr:uid="{00000000-0005-0000-0000-00003F340000}"/>
    <cellStyle name="Percent 4 6 7 7 2" xfId="46328" xr:uid="{99BAF77A-9DD2-4872-AD6A-426CAB2483CB}"/>
    <cellStyle name="Percent 4 6 7 8" xfId="8951" xr:uid="{00000000-0005-0000-0000-000040340000}"/>
    <cellStyle name="Percent 4 6 7 8 2" xfId="46329" xr:uid="{5316AE31-2A7A-4487-B0B7-ED43BCCF37F4}"/>
    <cellStyle name="Percent 4 6 7 9" xfId="46322" xr:uid="{B6AECB23-170E-4118-8950-7F203F038051}"/>
    <cellStyle name="Percent 4 6 8" xfId="4710" xr:uid="{00000000-0005-0000-0000-000041340000}"/>
    <cellStyle name="Percent 4 6 8 2" xfId="10920" xr:uid="{00000000-0005-0000-0000-000042340000}"/>
    <cellStyle name="Percent 4 6 8 2 2" xfId="46331" xr:uid="{36A3D85E-DAEA-4DCF-BE93-2F2D459CFBF6}"/>
    <cellStyle name="Percent 4 6 8 3" xfId="10921" xr:uid="{00000000-0005-0000-0000-000043340000}"/>
    <cellStyle name="Percent 4 6 8 3 2" xfId="46332" xr:uid="{AD269E44-399F-48A5-9829-E667158E8786}"/>
    <cellStyle name="Percent 4 6 8 4" xfId="10922" xr:uid="{00000000-0005-0000-0000-000044340000}"/>
    <cellStyle name="Percent 4 6 8 4 2" xfId="46333" xr:uid="{A8DE8A55-7643-45B2-8BB3-B776A6731159}"/>
    <cellStyle name="Percent 4 6 8 5" xfId="10923" xr:uid="{00000000-0005-0000-0000-000045340000}"/>
    <cellStyle name="Percent 4 6 8 5 2" xfId="46334" xr:uid="{944F759A-B224-42F2-A908-26138A9B2FAC}"/>
    <cellStyle name="Percent 4 6 8 6" xfId="12275" xr:uid="{00000000-0005-0000-0000-000046340000}"/>
    <cellStyle name="Percent 4 6 8 6 2" xfId="46335" xr:uid="{05202141-1833-4A78-BBEB-979BE55DE84E}"/>
    <cellStyle name="Percent 4 6 8 7" xfId="16586" xr:uid="{00000000-0005-0000-0000-000047340000}"/>
    <cellStyle name="Percent 4 6 8 7 2" xfId="46336" xr:uid="{6176C35A-FF3E-4088-A5DD-48CB5370CAB0}"/>
    <cellStyle name="Percent 4 6 8 8" xfId="8952" xr:uid="{00000000-0005-0000-0000-000048340000}"/>
    <cellStyle name="Percent 4 6 8 8 2" xfId="46337" xr:uid="{67C510ED-2E40-485E-BE1D-54FC8D757884}"/>
    <cellStyle name="Percent 4 6 8 9" xfId="46330" xr:uid="{0837F488-EAB3-478D-9D30-51553F447A55}"/>
    <cellStyle name="Percent 4 6 9" xfId="10924" xr:uid="{00000000-0005-0000-0000-000049340000}"/>
    <cellStyle name="Percent 4 6 9 2" xfId="46338" xr:uid="{178E9F2D-3D88-4343-BC58-D3BA73E31B7B}"/>
    <cellStyle name="Percent 4 7" xfId="2948" xr:uid="{00000000-0005-0000-0000-00004A340000}"/>
    <cellStyle name="Percent 4 7 10" xfId="46339" xr:uid="{60FA1CF0-43B8-45DB-A48B-919CC29901F1}"/>
    <cellStyle name="Percent 4 7 2" xfId="10925" xr:uid="{00000000-0005-0000-0000-00004B340000}"/>
    <cellStyle name="Percent 4 7 2 2" xfId="46340" xr:uid="{91311032-E489-43A1-BCE1-477950772DD3}"/>
    <cellStyle name="Percent 4 7 3" xfId="10926" xr:uid="{00000000-0005-0000-0000-00004C340000}"/>
    <cellStyle name="Percent 4 7 3 2" xfId="46341" xr:uid="{F8FE37E9-C2CB-4D4D-B998-4271527D6AB3}"/>
    <cellStyle name="Percent 4 7 4" xfId="10927" xr:uid="{00000000-0005-0000-0000-00004D340000}"/>
    <cellStyle name="Percent 4 7 4 2" xfId="46342" xr:uid="{32F64BFF-4110-457C-9A1C-7018D07AD6CC}"/>
    <cellStyle name="Percent 4 7 5" xfId="10928" xr:uid="{00000000-0005-0000-0000-00004E340000}"/>
    <cellStyle name="Percent 4 7 5 2" xfId="46343" xr:uid="{EAB8062E-DBD4-4590-A1DF-6A016DA08794}"/>
    <cellStyle name="Percent 4 7 6" xfId="10929" xr:uid="{00000000-0005-0000-0000-00004F340000}"/>
    <cellStyle name="Percent 4 7 6 2" xfId="46344" xr:uid="{6F9322CC-6FDE-4EC6-BAF6-39E33C8B3392}"/>
    <cellStyle name="Percent 4 7 7" xfId="12276" xr:uid="{00000000-0005-0000-0000-000050340000}"/>
    <cellStyle name="Percent 4 7 7 2" xfId="46345" xr:uid="{55D06A26-4EDC-45A0-B5C2-53500AB2F55E}"/>
    <cellStyle name="Percent 4 7 8" xfId="12732" xr:uid="{00000000-0005-0000-0000-000051340000}"/>
    <cellStyle name="Percent 4 7 8 2" xfId="46346" xr:uid="{2368E507-A4E0-4913-9312-5072DC02FF5B}"/>
    <cellStyle name="Percent 4 7 9" xfId="8953" xr:uid="{00000000-0005-0000-0000-000052340000}"/>
    <cellStyle name="Percent 4 7 9 2" xfId="46347" xr:uid="{D0048801-0786-43B1-A733-6EB3DFD9DCA8}"/>
    <cellStyle name="Percent 4 8" xfId="2949" xr:uid="{00000000-0005-0000-0000-000053340000}"/>
    <cellStyle name="Percent 4 8 10" xfId="46348" xr:uid="{B250CBA8-8651-4A5D-9A6A-7B629BC064EE}"/>
    <cellStyle name="Percent 4 8 2" xfId="10930" xr:uid="{00000000-0005-0000-0000-000054340000}"/>
    <cellStyle name="Percent 4 8 2 2" xfId="46349" xr:uid="{DE16AEA0-25AF-44DC-850E-73E9656D3E77}"/>
    <cellStyle name="Percent 4 8 3" xfId="10931" xr:uid="{00000000-0005-0000-0000-000055340000}"/>
    <cellStyle name="Percent 4 8 3 2" xfId="46350" xr:uid="{465F2F63-F018-4C3C-B04B-5D81B33E2383}"/>
    <cellStyle name="Percent 4 8 4" xfId="10932" xr:uid="{00000000-0005-0000-0000-000056340000}"/>
    <cellStyle name="Percent 4 8 4 2" xfId="46351" xr:uid="{69230D8F-B130-4B87-88FE-240DB0E555CE}"/>
    <cellStyle name="Percent 4 8 5" xfId="10933" xr:uid="{00000000-0005-0000-0000-000057340000}"/>
    <cellStyle name="Percent 4 8 5 2" xfId="46352" xr:uid="{72F445B9-0A16-4CD9-A7B5-39C0C466C076}"/>
    <cellStyle name="Percent 4 8 6" xfId="10934" xr:uid="{00000000-0005-0000-0000-000058340000}"/>
    <cellStyle name="Percent 4 8 6 2" xfId="46353" xr:uid="{B8311FB9-A15A-4675-B48A-2CDD1D16F44D}"/>
    <cellStyle name="Percent 4 8 7" xfId="12277" xr:uid="{00000000-0005-0000-0000-000059340000}"/>
    <cellStyle name="Percent 4 8 7 2" xfId="46354" xr:uid="{FDFB8EF8-D939-4AF2-8FCC-A64480EC0C4A}"/>
    <cellStyle name="Percent 4 8 8" xfId="16667" xr:uid="{00000000-0005-0000-0000-00005A340000}"/>
    <cellStyle name="Percent 4 8 8 2" xfId="46355" xr:uid="{A69477D8-0548-4CCB-92FF-B53F51729B6F}"/>
    <cellStyle name="Percent 4 8 9" xfId="8954" xr:uid="{00000000-0005-0000-0000-00005B340000}"/>
    <cellStyle name="Percent 4 8 9 2" xfId="46356" xr:uid="{AE2D996B-DC99-470C-A793-CFDC011E4953}"/>
    <cellStyle name="Percent 4 9" xfId="2950" xr:uid="{00000000-0005-0000-0000-00005C340000}"/>
    <cellStyle name="Percent 4 9 10" xfId="46357" xr:uid="{5A1C9BFD-82C1-41DF-8316-C983A13D32E6}"/>
    <cellStyle name="Percent 4 9 2" xfId="10935" xr:uid="{00000000-0005-0000-0000-00005D340000}"/>
    <cellStyle name="Percent 4 9 2 2" xfId="46358" xr:uid="{26C0CD16-B692-4DCF-BE26-EFDD8A0096BF}"/>
    <cellStyle name="Percent 4 9 3" xfId="10936" xr:uid="{00000000-0005-0000-0000-00005E340000}"/>
    <cellStyle name="Percent 4 9 3 2" xfId="46359" xr:uid="{2403BCD8-980C-4914-8011-154BC7AEFF17}"/>
    <cellStyle name="Percent 4 9 4" xfId="10937" xr:uid="{00000000-0005-0000-0000-00005F340000}"/>
    <cellStyle name="Percent 4 9 4 2" xfId="46360" xr:uid="{29C91842-233B-497A-96C4-474841256332}"/>
    <cellStyle name="Percent 4 9 5" xfId="10938" xr:uid="{00000000-0005-0000-0000-000060340000}"/>
    <cellStyle name="Percent 4 9 5 2" xfId="46361" xr:uid="{DBC7AE86-4D22-409F-9168-573EE147B589}"/>
    <cellStyle name="Percent 4 9 6" xfId="10939" xr:uid="{00000000-0005-0000-0000-000061340000}"/>
    <cellStyle name="Percent 4 9 6 2" xfId="46362" xr:uid="{73EA5C94-2F8F-4AA9-A433-1CEB6A88E2C1}"/>
    <cellStyle name="Percent 4 9 7" xfId="12278" xr:uid="{00000000-0005-0000-0000-000062340000}"/>
    <cellStyle name="Percent 4 9 7 2" xfId="46363" xr:uid="{C209E3DE-E09E-4E34-9206-B6968E16DD48}"/>
    <cellStyle name="Percent 4 9 8" xfId="12641" xr:uid="{00000000-0005-0000-0000-000063340000}"/>
    <cellStyle name="Percent 4 9 8 2" xfId="46364" xr:uid="{5472476F-4B0D-4C0E-BED2-CA3E3A4C7874}"/>
    <cellStyle name="Percent 4 9 9" xfId="8955" xr:uid="{00000000-0005-0000-0000-000064340000}"/>
    <cellStyle name="Percent 4 9 9 2" xfId="46365" xr:uid="{D7B1C2CB-A059-4A2F-BA2F-CD9CCB5685C6}"/>
    <cellStyle name="Percent 42" xfId="46366" xr:uid="{6E56DC4D-9D15-4CB1-90E9-CAD76DF28943}"/>
    <cellStyle name="Percent 42 2" xfId="49871" xr:uid="{AEC17B9A-4E73-4006-B8CC-A74571F233CB}"/>
    <cellStyle name="Percent 5" xfId="242" xr:uid="{00000000-0005-0000-0000-000065340000}"/>
    <cellStyle name="Percent 5 10" xfId="4711" xr:uid="{00000000-0005-0000-0000-000066340000}"/>
    <cellStyle name="Percent 5 10 2" xfId="12280" xr:uid="{00000000-0005-0000-0000-000067340000}"/>
    <cellStyle name="Percent 5 10 2 2" xfId="46369" xr:uid="{8FF322AA-4A3E-42A7-ABCD-5635423F7AF6}"/>
    <cellStyle name="Percent 5 10 3" xfId="16170" xr:uid="{00000000-0005-0000-0000-000068340000}"/>
    <cellStyle name="Percent 5 10 3 2" xfId="46370" xr:uid="{09CCA302-3C69-4735-9F87-EA6D2BE77EC1}"/>
    <cellStyle name="Percent 5 10 4" xfId="8957" xr:uid="{00000000-0005-0000-0000-000069340000}"/>
    <cellStyle name="Percent 5 10 4 2" xfId="46371" xr:uid="{721D1873-2B2A-48E5-AFF4-E1140C980244}"/>
    <cellStyle name="Percent 5 10 5" xfId="46368" xr:uid="{BF0B9BF8-1855-41E5-8ED0-EFA64F1E6BC6}"/>
    <cellStyle name="Percent 5 11" xfId="4712" xr:uid="{00000000-0005-0000-0000-00006A340000}"/>
    <cellStyle name="Percent 5 11 10" xfId="28238" xr:uid="{06F9AEBF-CE1A-4CFC-A3C7-48583CE294E1}"/>
    <cellStyle name="Percent 5 11 11" xfId="46372" xr:uid="{AF3F6D60-6C2A-4DCF-9AAB-0B2F82DF9DBE}"/>
    <cellStyle name="Percent 5 11 2" xfId="4991" xr:uid="{00000000-0005-0000-0000-00006B340000}"/>
    <cellStyle name="Percent 5 11 2 10" xfId="28447" xr:uid="{44BF3EF3-2A43-48D7-8284-A2AD78419A95}"/>
    <cellStyle name="Percent 5 11 2 11" xfId="46373" xr:uid="{7F89A1FE-4824-4DF6-A614-BE501910CBD6}"/>
    <cellStyle name="Percent 5 11 2 2" xfId="5409" xr:uid="{00000000-0005-0000-0000-00006C340000}"/>
    <cellStyle name="Percent 5 11 2 2 2" xfId="7272" xr:uid="{00000000-0005-0000-0000-00006D340000}"/>
    <cellStyle name="Percent 5 11 2 2 2 2" xfId="15705" xr:uid="{00000000-0005-0000-0000-00006E340000}"/>
    <cellStyle name="Percent 5 11 2 2 2 2 2" xfId="27599" xr:uid="{B7F9A7EB-9272-455A-9BD0-C446FCF022FA}"/>
    <cellStyle name="Percent 5 11 2 2 2 2 3" xfId="21939" xr:uid="{60823ED9-820D-46F2-AC01-ADFF366F1224}"/>
    <cellStyle name="Percent 5 11 2 2 2 2 4" xfId="32979" xr:uid="{EA46D256-7B0F-4668-980C-0BE6B5321FC9}"/>
    <cellStyle name="Percent 5 11 2 2 2 2 5" xfId="46376" xr:uid="{FA1C22DE-72A1-4C96-9980-0D1CB02FF9DF}"/>
    <cellStyle name="Percent 5 11 2 2 2 3" xfId="24766" xr:uid="{8416F8A1-3D81-4B10-8AB6-64C9C014D1C4}"/>
    <cellStyle name="Percent 5 11 2 2 2 4" xfId="19106" xr:uid="{47CF0C22-838A-46E9-B82E-887E4AE83C07}"/>
    <cellStyle name="Percent 5 11 2 2 2 5" xfId="30427" xr:uid="{8345CDEE-134E-4641-B594-68A3D220B4E8}"/>
    <cellStyle name="Percent 5 11 2 2 2 6" xfId="46375" xr:uid="{79C22B8F-D71D-425A-A15F-1DD2EE82A24C}"/>
    <cellStyle name="Percent 5 11 2 2 3" xfId="14295" xr:uid="{00000000-0005-0000-0000-00006F340000}"/>
    <cellStyle name="Percent 5 11 2 2 3 2" xfId="26334" xr:uid="{96133786-B4EB-46AF-9F3F-BCD321D03D75}"/>
    <cellStyle name="Percent 5 11 2 2 3 3" xfId="20674" xr:uid="{CD49EB8E-81B8-47CB-8518-7539AE9A5D75}"/>
    <cellStyle name="Percent 5 11 2 2 3 4" xfId="31714" xr:uid="{C5F352EA-16B7-4154-AB50-A5D3CD4F74B3}"/>
    <cellStyle name="Percent 5 11 2 2 3 5" xfId="46377" xr:uid="{1347D0CB-003E-47E4-934B-4DFC894349DF}"/>
    <cellStyle name="Percent 5 11 2 2 4" xfId="23204" xr:uid="{02CAFB99-A7EB-4087-A2D1-4C476F9875B2}"/>
    <cellStyle name="Percent 5 11 2 2 5" xfId="17544" xr:uid="{4ED423A8-130F-4521-802F-96DA5247DE3A}"/>
    <cellStyle name="Percent 5 11 2 2 6" xfId="28865" xr:uid="{C5AA5B45-453D-4B56-ACEC-01BB9125D7EC}"/>
    <cellStyle name="Percent 5 11 2 2 7" xfId="46374" xr:uid="{51FCF89B-02D3-4510-BECB-2BA2BC6F08EA}"/>
    <cellStyle name="Percent 5 11 2 3" xfId="6439" xr:uid="{00000000-0005-0000-0000-000070340000}"/>
    <cellStyle name="Percent 5 11 2 3 2" xfId="7706" xr:uid="{00000000-0005-0000-0000-000071340000}"/>
    <cellStyle name="Percent 5 11 2 3 2 2" xfId="16139" xr:uid="{00000000-0005-0000-0000-000072340000}"/>
    <cellStyle name="Percent 5 11 2 3 2 2 2" xfId="28033" xr:uid="{AE88F9EE-74C0-44CC-9B37-B9B18D6F0376}"/>
    <cellStyle name="Percent 5 11 2 3 2 2 3" xfId="22373" xr:uid="{C6F7F0F3-3402-4CC5-8419-7F734FB0570C}"/>
    <cellStyle name="Percent 5 11 2 3 2 2 4" xfId="33413" xr:uid="{51C33537-21E3-4DF9-8DF5-5D5C5404C1D5}"/>
    <cellStyle name="Percent 5 11 2 3 2 2 5" xfId="46380" xr:uid="{3B0F3DBF-352A-4DEF-AE64-C7766A5D471C}"/>
    <cellStyle name="Percent 5 11 2 3 2 3" xfId="25200" xr:uid="{7189469F-D20A-4115-B7B7-5EF9F4C1F9BA}"/>
    <cellStyle name="Percent 5 11 2 3 2 4" xfId="19540" xr:uid="{EAF0A757-CBF2-4B74-B374-142E70DB2737}"/>
    <cellStyle name="Percent 5 11 2 3 2 5" xfId="30861" xr:uid="{BB6D3E0D-9CF7-405F-A018-DF1B976B6F4E}"/>
    <cellStyle name="Percent 5 11 2 3 2 6" xfId="46379" xr:uid="{E42F603E-BCD7-4B0C-82CF-78C379FCFCD9}"/>
    <cellStyle name="Percent 5 11 2 3 3" xfId="14873" xr:uid="{00000000-0005-0000-0000-000073340000}"/>
    <cellStyle name="Percent 5 11 2 3 3 2" xfId="26777" xr:uid="{96F4C966-8FB1-425C-932B-687F0B275CF9}"/>
    <cellStyle name="Percent 5 11 2 3 3 3" xfId="21117" xr:uid="{9EBEB498-B817-4404-B9AF-EC2CA337B3FD}"/>
    <cellStyle name="Percent 5 11 2 3 3 4" xfId="32157" xr:uid="{66A77819-F9E9-48D5-9B2D-9F5481C77486}"/>
    <cellStyle name="Percent 5 11 2 3 3 5" xfId="46381" xr:uid="{EF694187-1BCA-41A9-9CAB-71E989D488B8}"/>
    <cellStyle name="Percent 5 11 2 3 4" xfId="23944" xr:uid="{427EC579-333E-4D0F-9BB0-198937453F1A}"/>
    <cellStyle name="Percent 5 11 2 3 5" xfId="18284" xr:uid="{B690E227-E246-4900-9A9E-E7FF33B71B28}"/>
    <cellStyle name="Percent 5 11 2 3 6" xfId="29605" xr:uid="{D94F1B3A-DDD5-496B-8A80-AF9C6152B966}"/>
    <cellStyle name="Percent 5 11 2 3 7" xfId="46378" xr:uid="{B9622528-FD74-432E-B40F-1C39030D74F2}"/>
    <cellStyle name="Percent 5 11 2 4" xfId="6854" xr:uid="{00000000-0005-0000-0000-000074340000}"/>
    <cellStyle name="Percent 5 11 2 4 2" xfId="15287" xr:uid="{00000000-0005-0000-0000-000075340000}"/>
    <cellStyle name="Percent 5 11 2 4 2 2" xfId="27181" xr:uid="{C2EEC5DA-19AF-489F-B814-4142568268F8}"/>
    <cellStyle name="Percent 5 11 2 4 2 3" xfId="21521" xr:uid="{5432D05B-6CD1-44CF-BB62-3E96451CD6A1}"/>
    <cellStyle name="Percent 5 11 2 4 2 4" xfId="32561" xr:uid="{20272338-C168-49C4-8B5F-6613F0773758}"/>
    <cellStyle name="Percent 5 11 2 4 2 5" xfId="46383" xr:uid="{3CE6CA5B-776B-4CA5-82F4-10FB02AE6251}"/>
    <cellStyle name="Percent 5 11 2 4 3" xfId="24348" xr:uid="{C8052CAF-B62F-45D4-8D0B-D1F93EE696F7}"/>
    <cellStyle name="Percent 5 11 2 4 4" xfId="18688" xr:uid="{25E7821B-DD93-47FB-93D6-DFBF19548118}"/>
    <cellStyle name="Percent 5 11 2 4 5" xfId="30009" xr:uid="{EF7EFBDD-930F-4C4C-98EA-F1EBB8CBF8E2}"/>
    <cellStyle name="Percent 5 11 2 4 6" xfId="46382" xr:uid="{041A5069-2D4B-4F8B-B12E-658A3AC8D353}"/>
    <cellStyle name="Percent 5 11 2 5" xfId="13918" xr:uid="{00000000-0005-0000-0000-000076340000}"/>
    <cellStyle name="Percent 5 11 2 5 2" xfId="25961" xr:uid="{CB333CD3-7C3B-436E-8076-0573761417D2}"/>
    <cellStyle name="Percent 5 11 2 5 3" xfId="20301" xr:uid="{4899D2D8-FBB7-49E9-9059-8B2B2E48F509}"/>
    <cellStyle name="Percent 5 11 2 5 4" xfId="31341" xr:uid="{79DB841D-65AF-4887-89DE-7F05D0399456}"/>
    <cellStyle name="Percent 5 11 2 5 5" xfId="46384" xr:uid="{291CE033-7CDC-4DAA-BB53-38747362AE96}"/>
    <cellStyle name="Percent 5 11 2 6" xfId="14415" xr:uid="{00000000-0005-0000-0000-000077340000}"/>
    <cellStyle name="Percent 5 11 2 6 2" xfId="46385" xr:uid="{2F569863-BA23-461F-B6A2-76A2B136CFED}"/>
    <cellStyle name="Percent 5 11 2 7" xfId="8959" xr:uid="{00000000-0005-0000-0000-000078340000}"/>
    <cellStyle name="Percent 5 11 2 7 2" xfId="46386" xr:uid="{B50A696C-353C-4197-8C34-542A1E5EF5C4}"/>
    <cellStyle name="Percent 5 11 2 8" xfId="22786" xr:uid="{CFC6F0E4-41AD-49B2-A820-F4E42A3F486B}"/>
    <cellStyle name="Percent 5 11 2 9" xfId="17126" xr:uid="{F1004EBA-BAE5-4364-BC86-072C5E6901B5}"/>
    <cellStyle name="Percent 5 11 3" xfId="5200" xr:uid="{00000000-0005-0000-0000-000079340000}"/>
    <cellStyle name="Percent 5 11 3 2" xfId="7063" xr:uid="{00000000-0005-0000-0000-00007A340000}"/>
    <cellStyle name="Percent 5 11 3 2 2" xfId="15496" xr:uid="{00000000-0005-0000-0000-00007B340000}"/>
    <cellStyle name="Percent 5 11 3 2 2 2" xfId="27390" xr:uid="{65685DAB-3C89-41AB-825F-962882C3A373}"/>
    <cellStyle name="Percent 5 11 3 2 2 3" xfId="21730" xr:uid="{43D40B21-8EFC-436A-854E-0C8FE5F861EC}"/>
    <cellStyle name="Percent 5 11 3 2 2 4" xfId="32770" xr:uid="{0DDD0D30-BE1C-4E4F-BFD2-A8B40E5DE208}"/>
    <cellStyle name="Percent 5 11 3 2 2 5" xfId="46389" xr:uid="{B2C90B47-F851-4E1C-A8DA-7EFD6B2CE704}"/>
    <cellStyle name="Percent 5 11 3 2 3" xfId="24557" xr:uid="{185D37C4-3B07-4FA1-BC2E-0D27E034348D}"/>
    <cellStyle name="Percent 5 11 3 2 4" xfId="18897" xr:uid="{85E51844-1581-40F3-9900-5D664C0AEF99}"/>
    <cellStyle name="Percent 5 11 3 2 5" xfId="30218" xr:uid="{FBA14D05-2099-44A1-AA55-C08C8A6E25C0}"/>
    <cellStyle name="Percent 5 11 3 2 6" xfId="46388" xr:uid="{7D0F4F5E-4353-46D9-BDE2-56C45BFE37DF}"/>
    <cellStyle name="Percent 5 11 3 3" xfId="12281" xr:uid="{00000000-0005-0000-0000-00007C340000}"/>
    <cellStyle name="Percent 5 11 3 3 2" xfId="25686" xr:uid="{9D1B75E5-1F73-4815-8C0D-9142EB389695}"/>
    <cellStyle name="Percent 5 11 3 3 3" xfId="20026" xr:uid="{80AA232E-3EF2-4500-94D1-CCE4999AA668}"/>
    <cellStyle name="Percent 5 11 3 3 4" xfId="31329" xr:uid="{82BFB777-578C-4783-B43D-7229A35C3EB5}"/>
    <cellStyle name="Percent 5 11 3 3 5" xfId="46390" xr:uid="{5BB3342E-3774-4221-A313-9302D64F3187}"/>
    <cellStyle name="Percent 5 11 3 4" xfId="22995" xr:uid="{8A6D46EA-AE70-4CEA-A3A9-181B2853E3CE}"/>
    <cellStyle name="Percent 5 11 3 5" xfId="17335" xr:uid="{D4B0844F-9737-4D3F-8B8E-43FF3FED1C57}"/>
    <cellStyle name="Percent 5 11 3 6" xfId="28656" xr:uid="{30D10BDE-1DEE-4FCE-9147-C219ED01A6B7}"/>
    <cellStyle name="Percent 5 11 3 7" xfId="46387" xr:uid="{92FBF5AC-7CE9-4492-90AA-C69AEDE88243}"/>
    <cellStyle name="Percent 5 11 4" xfId="6438" xr:uid="{00000000-0005-0000-0000-00007D340000}"/>
    <cellStyle name="Percent 5 11 4 2" xfId="7705" xr:uid="{00000000-0005-0000-0000-00007E340000}"/>
    <cellStyle name="Percent 5 11 4 2 2" xfId="16138" xr:uid="{00000000-0005-0000-0000-00007F340000}"/>
    <cellStyle name="Percent 5 11 4 2 2 2" xfId="28032" xr:uid="{C23BC589-B0C2-4CCB-8CA4-E0600F0B659E}"/>
    <cellStyle name="Percent 5 11 4 2 2 3" xfId="22372" xr:uid="{D02215B6-EE26-4F10-BBB8-BCEFC0AB31EE}"/>
    <cellStyle name="Percent 5 11 4 2 2 4" xfId="33412" xr:uid="{140B59F3-8C3C-4C61-BAD9-B62F71859331}"/>
    <cellStyle name="Percent 5 11 4 2 2 5" xfId="46393" xr:uid="{206FB887-DCBC-4C7C-BA90-EFD6981CBE58}"/>
    <cellStyle name="Percent 5 11 4 2 3" xfId="25199" xr:uid="{C829AB17-227E-40F5-AC17-B66529CD78A4}"/>
    <cellStyle name="Percent 5 11 4 2 4" xfId="19539" xr:uid="{F20264FE-D48F-4D1F-99D2-A6988A5DAC04}"/>
    <cellStyle name="Percent 5 11 4 2 5" xfId="30860" xr:uid="{9EA0159C-FBB8-44B1-968B-E92455CD93D6}"/>
    <cellStyle name="Percent 5 11 4 2 6" xfId="46392" xr:uid="{AC53A99C-B335-4868-8D2C-BABD98AF2487}"/>
    <cellStyle name="Percent 5 11 4 3" xfId="14872" xr:uid="{00000000-0005-0000-0000-000080340000}"/>
    <cellStyle name="Percent 5 11 4 3 2" xfId="26776" xr:uid="{0C43DC5A-0F5B-4F67-8AD8-FC0FE6EBF327}"/>
    <cellStyle name="Percent 5 11 4 3 3" xfId="21116" xr:uid="{396FC86D-6668-4882-AD20-168BF27BEF85}"/>
    <cellStyle name="Percent 5 11 4 3 4" xfId="32156" xr:uid="{ED8B81EF-24CC-451D-A36F-E5ABDEDACB09}"/>
    <cellStyle name="Percent 5 11 4 3 5" xfId="46394" xr:uid="{C14335C1-1C11-4EE8-974C-9A74AC9EA800}"/>
    <cellStyle name="Percent 5 11 4 4" xfId="23943" xr:uid="{069729B7-4C94-4081-B3C4-E4933E7124C9}"/>
    <cellStyle name="Percent 5 11 4 5" xfId="18283" xr:uid="{3B3BDBFB-85FB-4818-A60E-90754FE5BDA3}"/>
    <cellStyle name="Percent 5 11 4 6" xfId="29604" xr:uid="{8F9FE976-5B40-4FD3-86C4-2DD4366730A9}"/>
    <cellStyle name="Percent 5 11 4 7" xfId="46391" xr:uid="{9A917D26-023F-4B3A-9651-67DD36B5ADFC}"/>
    <cellStyle name="Percent 5 11 5" xfId="6645" xr:uid="{00000000-0005-0000-0000-000081340000}"/>
    <cellStyle name="Percent 5 11 5 2" xfId="15078" xr:uid="{00000000-0005-0000-0000-000082340000}"/>
    <cellStyle name="Percent 5 11 5 2 2" xfId="26972" xr:uid="{753F387A-46EF-46B8-A81F-489046A83893}"/>
    <cellStyle name="Percent 5 11 5 2 3" xfId="21312" xr:uid="{B0AC7FA7-6036-4F6C-AF08-173DE4588147}"/>
    <cellStyle name="Percent 5 11 5 2 4" xfId="32352" xr:uid="{1A034E94-BB0C-4220-9D2F-F2EFF7801172}"/>
    <cellStyle name="Percent 5 11 5 2 5" xfId="46396" xr:uid="{512F4D15-92AB-4AD2-A5B5-61D19EE069A2}"/>
    <cellStyle name="Percent 5 11 5 3" xfId="24139" xr:uid="{8094FB87-D0A9-4678-8BB1-96976DA52DA7}"/>
    <cellStyle name="Percent 5 11 5 4" xfId="18479" xr:uid="{A4243F79-6B05-455C-B40C-079A37E355D3}"/>
    <cellStyle name="Percent 5 11 5 5" xfId="29800" xr:uid="{AD8132DC-676E-4CF9-983F-E8E4F57500EA}"/>
    <cellStyle name="Percent 5 11 5 6" xfId="46395" xr:uid="{139B5916-B4B0-40DD-87AB-A70A10059E3D}"/>
    <cellStyle name="Percent 5 11 6" xfId="16686" xr:uid="{00000000-0005-0000-0000-000083340000}"/>
    <cellStyle name="Percent 5 11 6 2" xfId="46397" xr:uid="{D64622D3-006C-4084-8CED-C7D6D78FC1FB}"/>
    <cellStyle name="Percent 5 11 7" xfId="8958" xr:uid="{00000000-0005-0000-0000-000084340000}"/>
    <cellStyle name="Percent 5 11 7 2" xfId="46398" xr:uid="{8DA687EA-8717-4A7F-82CA-875D4A2FBE41}"/>
    <cellStyle name="Percent 5 11 8" xfId="22577" xr:uid="{565115B7-3483-4002-B68F-9E892B7C1446}"/>
    <cellStyle name="Percent 5 11 9" xfId="16917" xr:uid="{55B1F0F7-71AC-49D8-A7E3-4B18B3E58456}"/>
    <cellStyle name="Percent 5 12" xfId="10940" xr:uid="{00000000-0005-0000-0000-000085340000}"/>
    <cellStyle name="Percent 5 12 2" xfId="46399" xr:uid="{617C9122-F9DD-4297-A061-7AA99D4707EA}"/>
    <cellStyle name="Percent 5 13" xfId="10941" xr:uid="{00000000-0005-0000-0000-000086340000}"/>
    <cellStyle name="Percent 5 13 2" xfId="46400" xr:uid="{D330CDBF-23F4-4258-8165-12878C9CA27B}"/>
    <cellStyle name="Percent 5 14" xfId="10942" xr:uid="{00000000-0005-0000-0000-000087340000}"/>
    <cellStyle name="Percent 5 14 2" xfId="46401" xr:uid="{8F5B7F5C-C9FC-45D7-A620-B305292C8D5C}"/>
    <cellStyle name="Percent 5 15" xfId="12279" xr:uid="{00000000-0005-0000-0000-000088340000}"/>
    <cellStyle name="Percent 5 15 2" xfId="46402" xr:uid="{A0427C82-C282-4C19-8C8C-94F9E68D2B3D}"/>
    <cellStyle name="Percent 5 16" xfId="12846" xr:uid="{00000000-0005-0000-0000-000089340000}"/>
    <cellStyle name="Percent 5 16 2" xfId="46403" xr:uid="{7A5DED28-36A0-42E9-8CC4-255E96968D15}"/>
    <cellStyle name="Percent 5 17" xfId="8956" xr:uid="{00000000-0005-0000-0000-00008A340000}"/>
    <cellStyle name="Percent 5 17 2" xfId="46404" xr:uid="{93997584-DE34-4D1E-8464-AA465208D51F}"/>
    <cellStyle name="Percent 5 18" xfId="46367" xr:uid="{12649158-647B-40BE-B25E-31B63A6BEB9D}"/>
    <cellStyle name="Percent 5 2" xfId="243" xr:uid="{00000000-0005-0000-0000-00008B340000}"/>
    <cellStyle name="Percent 5 2 10" xfId="49872" xr:uid="{F0CE4BB9-F0C0-456D-9349-B925DBF98E43}"/>
    <cellStyle name="Percent 5 2 2" xfId="10943" xr:uid="{00000000-0005-0000-0000-00008C340000}"/>
    <cellStyle name="Percent 5 2 2 2" xfId="46407" xr:uid="{5C4E7067-BDBE-4A09-8E4F-FED697799324}"/>
    <cellStyle name="Percent 5 2 2 3" xfId="46408" xr:uid="{CACF55ED-553B-4BC3-8119-F210AF5A9BB3}"/>
    <cellStyle name="Percent 5 2 2 4" xfId="46406" xr:uid="{175D1BA5-76F9-4231-BF81-3AF787A8C5D6}"/>
    <cellStyle name="Percent 5 2 2 5" xfId="49873" xr:uid="{4C0F7539-0E69-4A60-84A8-8F1B28B9019C}"/>
    <cellStyle name="Percent 5 2 3" xfId="10944" xr:uid="{00000000-0005-0000-0000-00008D340000}"/>
    <cellStyle name="Percent 5 2 3 2" xfId="46410" xr:uid="{55D3AE7A-6E17-4ADB-9ABE-CC586BBFC397}"/>
    <cellStyle name="Percent 5 2 3 2 2" xfId="46411" xr:uid="{756D3D05-60A6-4CF3-91C1-A1D320ABE3FC}"/>
    <cellStyle name="Percent 5 2 3 2 3" xfId="49875" xr:uid="{0C264120-BC0D-49EE-B2AF-C93CEF0876D6}"/>
    <cellStyle name="Percent 5 2 3 3" xfId="46412" xr:uid="{82D31908-51DA-4751-8222-E1C292EB9A8E}"/>
    <cellStyle name="Percent 5 2 3 4" xfId="46413" xr:uid="{7FEC432E-A918-47EB-ACA1-4E7DB4B2A677}"/>
    <cellStyle name="Percent 5 2 3 5" xfId="46409" xr:uid="{C3B89750-70BA-495D-A513-54D8110B3B3D}"/>
    <cellStyle name="Percent 5 2 3 6" xfId="49874" xr:uid="{978BD3AF-206D-474F-8994-62A25F643B9E}"/>
    <cellStyle name="Percent 5 2 4" xfId="10945" xr:uid="{00000000-0005-0000-0000-00008E340000}"/>
    <cellStyle name="Percent 5 2 4 2" xfId="46415" xr:uid="{E212466C-3994-48C5-BE4B-262C003711D2}"/>
    <cellStyle name="Percent 5 2 4 3" xfId="46414" xr:uid="{4DB55048-F461-45FB-8140-12AC19572E17}"/>
    <cellStyle name="Percent 5 2 5" xfId="10946" xr:uid="{00000000-0005-0000-0000-00008F340000}"/>
    <cellStyle name="Percent 5 2 5 2" xfId="46417" xr:uid="{F7BF74AD-6065-483B-9A6D-1346494B462C}"/>
    <cellStyle name="Percent 5 2 5 3" xfId="46416" xr:uid="{2C4AC4ED-C840-44F7-B173-5B34A8B41DF8}"/>
    <cellStyle name="Percent 5 2 6" xfId="12282" xr:uid="{00000000-0005-0000-0000-000090340000}"/>
    <cellStyle name="Percent 5 2 6 2" xfId="46418" xr:uid="{17B22C2A-EAA5-40C4-BF33-2F29F035E5D6}"/>
    <cellStyle name="Percent 5 2 7" xfId="12634" xr:uid="{00000000-0005-0000-0000-000091340000}"/>
    <cellStyle name="Percent 5 2 7 2" xfId="46419" xr:uid="{AF70BC61-DCF0-46DE-B5C8-1A8EF1067DB9}"/>
    <cellStyle name="Percent 5 2 8" xfId="8960" xr:uid="{00000000-0005-0000-0000-000092340000}"/>
    <cellStyle name="Percent 5 2 8 2" xfId="46420" xr:uid="{79E567B7-653E-4355-AAAB-1E10042E962D}"/>
    <cellStyle name="Percent 5 2 9" xfId="46405" xr:uid="{C8E16292-FDE4-4C39-9836-A6E793ACCA38}"/>
    <cellStyle name="Percent 5 3" xfId="244" xr:uid="{00000000-0005-0000-0000-000093340000}"/>
    <cellStyle name="Percent 5 3 10" xfId="46422" xr:uid="{BBCC0BD6-C485-406A-A3F2-138A99261008}"/>
    <cellStyle name="Percent 5 3 11" xfId="46421" xr:uid="{4BF83DF2-1C78-470C-9395-0ABCED0B59BA}"/>
    <cellStyle name="Percent 5 3 2" xfId="2952" xr:uid="{00000000-0005-0000-0000-000094340000}"/>
    <cellStyle name="Percent 5 3 2 2" xfId="10947" xr:uid="{00000000-0005-0000-0000-000095340000}"/>
    <cellStyle name="Percent 5 3 2 2 2" xfId="46425" xr:uid="{10E68C86-4223-4AC8-829B-64624BA89ED9}"/>
    <cellStyle name="Percent 5 3 2 2 3" xfId="46424" xr:uid="{8256300C-4988-45E7-BE35-AB90BC11001A}"/>
    <cellStyle name="Percent 5 3 2 3" xfId="10948" xr:uid="{00000000-0005-0000-0000-000096340000}"/>
    <cellStyle name="Percent 5 3 2 3 2" xfId="46426" xr:uid="{6FECF452-9915-49A9-BC9C-86FD6336A78A}"/>
    <cellStyle name="Percent 5 3 2 4" xfId="10949" xr:uid="{00000000-0005-0000-0000-000097340000}"/>
    <cellStyle name="Percent 5 3 2 4 2" xfId="46427" xr:uid="{EF65D511-C5C4-4090-A8CC-3D3B821C2B31}"/>
    <cellStyle name="Percent 5 3 2 5" xfId="10950" xr:uid="{00000000-0005-0000-0000-000098340000}"/>
    <cellStyle name="Percent 5 3 2 5 2" xfId="46428" xr:uid="{6B04B6B5-AA4C-4C10-8A50-3528DF6ADFC4}"/>
    <cellStyle name="Percent 5 3 2 6" xfId="13079" xr:uid="{00000000-0005-0000-0000-000099340000}"/>
    <cellStyle name="Percent 5 3 2 6 2" xfId="46429" xr:uid="{E6086EAB-7FE5-4C60-9011-9344B7EDC395}"/>
    <cellStyle name="Percent 5 3 2 7" xfId="16548" xr:uid="{00000000-0005-0000-0000-00009A340000}"/>
    <cellStyle name="Percent 5 3 2 7 2" xfId="46430" xr:uid="{1DCD6B67-64C9-42E3-9599-7C51CCFB8E99}"/>
    <cellStyle name="Percent 5 3 2 8" xfId="8962" xr:uid="{00000000-0005-0000-0000-00009B340000}"/>
    <cellStyle name="Percent 5 3 2 8 2" xfId="46431" xr:uid="{8F8DF1B2-1C04-4ADB-8847-5F7FEF21BFD1}"/>
    <cellStyle name="Percent 5 3 2 9" xfId="46423" xr:uid="{E895C967-27F7-4233-A5CF-3011DE5E364F}"/>
    <cellStyle name="Percent 5 3 3" xfId="10951" xr:uid="{00000000-0005-0000-0000-00009C340000}"/>
    <cellStyle name="Percent 5 3 3 2" xfId="46433" xr:uid="{25BB70B7-DDC4-4C4F-8C4D-8D1368CBA815}"/>
    <cellStyle name="Percent 5 3 3 3" xfId="46432" xr:uid="{196EC675-EB4B-4316-9AE9-5F05CC3241E4}"/>
    <cellStyle name="Percent 5 3 4" xfId="10952" xr:uid="{00000000-0005-0000-0000-00009D340000}"/>
    <cellStyle name="Percent 5 3 4 2" xfId="46434" xr:uid="{70F1EEBF-183F-4BA1-8D00-09F40061C3EC}"/>
    <cellStyle name="Percent 5 3 5" xfId="10953" xr:uid="{00000000-0005-0000-0000-00009E340000}"/>
    <cellStyle name="Percent 5 3 5 2" xfId="46435" xr:uid="{61A2CAE9-22F2-422E-8C03-31E5670AD664}"/>
    <cellStyle name="Percent 5 3 6" xfId="10954" xr:uid="{00000000-0005-0000-0000-00009F340000}"/>
    <cellStyle name="Percent 5 3 6 2" xfId="46436" xr:uid="{2A9308C7-26BD-4BCC-8833-3C2BC06644E6}"/>
    <cellStyle name="Percent 5 3 7" xfId="12283" xr:uid="{00000000-0005-0000-0000-0000A0340000}"/>
    <cellStyle name="Percent 5 3 7 2" xfId="46437" xr:uid="{5152E2FD-35C3-43EC-BDA0-ACC38F0907A7}"/>
    <cellStyle name="Percent 5 3 8" xfId="12424" xr:uid="{00000000-0005-0000-0000-0000A1340000}"/>
    <cellStyle name="Percent 5 3 8 2" xfId="46438" xr:uid="{B37A543A-D283-45A3-9919-B3E116B4C08D}"/>
    <cellStyle name="Percent 5 3 9" xfId="8961" xr:uid="{00000000-0005-0000-0000-0000A2340000}"/>
    <cellStyle name="Percent 5 3 9 2" xfId="46439" xr:uid="{FCF9D48C-C8D7-422B-85F6-969A55249740}"/>
    <cellStyle name="Percent 5 4" xfId="335" xr:uid="{00000000-0005-0000-0000-0000A3340000}"/>
    <cellStyle name="Percent 5 4 10" xfId="46440" xr:uid="{FB21C21A-B737-44A8-B2AD-1A27F0EF2A69}"/>
    <cellStyle name="Percent 5 4 11" xfId="49876" xr:uid="{976B219F-00C0-4AB6-8624-6E2C16FEA59B}"/>
    <cellStyle name="Percent 5 4 2" xfId="2953" xr:uid="{00000000-0005-0000-0000-0000A4340000}"/>
    <cellStyle name="Percent 5 4 2 2" xfId="13080" xr:uid="{00000000-0005-0000-0000-0000A5340000}"/>
    <cellStyle name="Percent 5 4 2 2 2" xfId="46443" xr:uid="{DAB4A160-8E93-43FF-B700-CF19B8B1F440}"/>
    <cellStyle name="Percent 5 4 2 2 3" xfId="46442" xr:uid="{9A564BAA-99B6-4CEA-A50A-B72B5C6CE931}"/>
    <cellStyle name="Percent 5 4 2 3" xfId="12798" xr:uid="{00000000-0005-0000-0000-0000A6340000}"/>
    <cellStyle name="Percent 5 4 2 3 2" xfId="46444" xr:uid="{20302C9C-BC8C-4655-99BD-62F29D23F0D5}"/>
    <cellStyle name="Percent 5 4 2 4" xfId="8964" xr:uid="{00000000-0005-0000-0000-0000A7340000}"/>
    <cellStyle name="Percent 5 4 2 4 2" xfId="46445" xr:uid="{6FE94C97-3926-4F9B-8CE8-4AD8A5EA6B48}"/>
    <cellStyle name="Percent 5 4 2 5" xfId="46446" xr:uid="{5B55BB8E-FF8F-4302-8C73-070813B30DD4}"/>
    <cellStyle name="Percent 5 4 2 6" xfId="46441" xr:uid="{B4AF5F92-8084-423A-AB12-4E7025DB7D09}"/>
    <cellStyle name="Percent 5 4 2 7" xfId="49877" xr:uid="{88239202-1964-46C7-9765-0932A6F407BB}"/>
    <cellStyle name="Percent 5 4 3" xfId="10955" xr:uid="{00000000-0005-0000-0000-0000A8340000}"/>
    <cellStyle name="Percent 5 4 3 2" xfId="46448" xr:uid="{F809E795-B9F3-4052-99FD-A9C72F140CCE}"/>
    <cellStyle name="Percent 5 4 3 3" xfId="46447" xr:uid="{38514133-D258-4058-B5CE-C3AC313A78E7}"/>
    <cellStyle name="Percent 5 4 4" xfId="10956" xr:uid="{00000000-0005-0000-0000-0000A9340000}"/>
    <cellStyle name="Percent 5 4 4 2" xfId="46449" xr:uid="{6C9F176E-B461-491D-B7E4-A7664C4C8E0B}"/>
    <cellStyle name="Percent 5 4 5" xfId="10957" xr:uid="{00000000-0005-0000-0000-0000AA340000}"/>
    <cellStyle name="Percent 5 4 5 2" xfId="46450" xr:uid="{B9B3D610-B85B-4E4C-B651-2DCF4BD51558}"/>
    <cellStyle name="Percent 5 4 6" xfId="12284" xr:uid="{00000000-0005-0000-0000-0000AB340000}"/>
    <cellStyle name="Percent 5 4 6 2" xfId="46451" xr:uid="{CE1BFD1A-FEBD-4704-875E-22817B39921C}"/>
    <cellStyle name="Percent 5 4 7" xfId="16302" xr:uid="{00000000-0005-0000-0000-0000AC340000}"/>
    <cellStyle name="Percent 5 4 7 2" xfId="46452" xr:uid="{58A5090E-035C-4594-B95A-228975EB87D1}"/>
    <cellStyle name="Percent 5 4 8" xfId="8963" xr:uid="{00000000-0005-0000-0000-0000AD340000}"/>
    <cellStyle name="Percent 5 4 8 2" xfId="46453" xr:uid="{6DAD4BC6-4158-45D4-B3F6-E29120588A11}"/>
    <cellStyle name="Percent 5 4 9" xfId="46454" xr:uid="{CD6B6F47-1EA8-4E19-ABF5-4544E9CB1379}"/>
    <cellStyle name="Percent 5 5" xfId="2951" xr:uid="{00000000-0005-0000-0000-0000AE340000}"/>
    <cellStyle name="Percent 5 5 10" xfId="46456" xr:uid="{C707C7BE-A8E8-49B1-99D1-F96542F6A4CE}"/>
    <cellStyle name="Percent 5 5 11" xfId="46455" xr:uid="{E44A3DE2-115C-46CC-9784-09B8AF1AE6C8}"/>
    <cellStyle name="Percent 5 5 2" xfId="4713" xr:uid="{00000000-0005-0000-0000-0000AF340000}"/>
    <cellStyle name="Percent 5 5 2 2" xfId="13851" xr:uid="{00000000-0005-0000-0000-0000B0340000}"/>
    <cellStyle name="Percent 5 5 2 2 2" xfId="46458" xr:uid="{1E9ECE7A-881A-4222-B0FA-F87A050A707C}"/>
    <cellStyle name="Percent 5 5 2 3" xfId="14320" xr:uid="{00000000-0005-0000-0000-0000B1340000}"/>
    <cellStyle name="Percent 5 5 2 3 2" xfId="46459" xr:uid="{A8E42FA1-58C6-413A-9D40-52437E6B73CA}"/>
    <cellStyle name="Percent 5 5 2 4" xfId="8966" xr:uid="{00000000-0005-0000-0000-0000B2340000}"/>
    <cellStyle name="Percent 5 5 2 4 2" xfId="46460" xr:uid="{5886DCD3-FF0C-47C6-A337-1BB95F0AB7E7}"/>
    <cellStyle name="Percent 5 5 2 5" xfId="46457" xr:uid="{184DE17E-77D4-48FC-8F8C-6134EE8D9CB5}"/>
    <cellStyle name="Percent 5 5 3" xfId="6440" xr:uid="{00000000-0005-0000-0000-0000B3340000}"/>
    <cellStyle name="Percent 5 5 3 2" xfId="14874" xr:uid="{00000000-0005-0000-0000-0000B4340000}"/>
    <cellStyle name="Percent 5 5 3 2 2" xfId="46462" xr:uid="{95C2F14B-3EDB-4788-AC99-47CE85C45E3C}"/>
    <cellStyle name="Percent 5 5 3 3" xfId="12604" xr:uid="{00000000-0005-0000-0000-0000B5340000}"/>
    <cellStyle name="Percent 5 5 3 3 2" xfId="46463" xr:uid="{DED13870-04EF-4B18-BFE1-20B0148D57C1}"/>
    <cellStyle name="Percent 5 5 3 4" xfId="8967" xr:uid="{00000000-0005-0000-0000-0000B6340000}"/>
    <cellStyle name="Percent 5 5 3 4 2" xfId="46464" xr:uid="{1DE998DF-D5C9-4105-A094-FFC3D1856132}"/>
    <cellStyle name="Percent 5 5 3 5" xfId="46461" xr:uid="{4EDABFD3-CE28-49C6-8A71-51B930B5E1DA}"/>
    <cellStyle name="Percent 5 5 4" xfId="10958" xr:uid="{00000000-0005-0000-0000-0000B7340000}"/>
    <cellStyle name="Percent 5 5 4 2" xfId="46465" xr:uid="{7682D948-9AEA-42BA-8D17-72DFBFACBE6B}"/>
    <cellStyle name="Percent 5 5 5" xfId="10959" xr:uid="{00000000-0005-0000-0000-0000B8340000}"/>
    <cellStyle name="Percent 5 5 5 2" xfId="46466" xr:uid="{DF726D9C-7A3E-4CA2-A661-75706D3C244F}"/>
    <cellStyle name="Percent 5 5 6" xfId="12285" xr:uid="{00000000-0005-0000-0000-0000B9340000}"/>
    <cellStyle name="Percent 5 5 6 2" xfId="46467" xr:uid="{4383AEAB-F61A-48A7-B776-BF5A00D2C7F7}"/>
    <cellStyle name="Percent 5 5 7" xfId="13078" xr:uid="{00000000-0005-0000-0000-0000BA340000}"/>
    <cellStyle name="Percent 5 5 7 2" xfId="46468" xr:uid="{E443360B-1FAD-4478-A1A5-3ECBE1104E05}"/>
    <cellStyle name="Percent 5 5 8" xfId="12655" xr:uid="{00000000-0005-0000-0000-0000BB340000}"/>
    <cellStyle name="Percent 5 5 8 2" xfId="46469" xr:uid="{135225A8-FC5B-403B-8C90-9ED0E4AFCBAA}"/>
    <cellStyle name="Percent 5 5 9" xfId="8965" xr:uid="{00000000-0005-0000-0000-0000BC340000}"/>
    <cellStyle name="Percent 5 5 9 2" xfId="46470" xr:uid="{E85EAE8B-45F3-46FD-A858-AAF727B8FDA1}"/>
    <cellStyle name="Percent 5 6" xfId="4714" xr:uid="{00000000-0005-0000-0000-0000BD340000}"/>
    <cellStyle name="Percent 5 6 2" xfId="10960" xr:uid="{00000000-0005-0000-0000-0000BE340000}"/>
    <cellStyle name="Percent 5 6 2 2" xfId="46472" xr:uid="{690531A0-BBE7-418E-80DB-7993CEA4D2A4}"/>
    <cellStyle name="Percent 5 6 3" xfId="10961" xr:uid="{00000000-0005-0000-0000-0000BF340000}"/>
    <cellStyle name="Percent 5 6 3 2" xfId="46473" xr:uid="{4F693BA8-F0AA-48D8-B162-95C7EA85E45B}"/>
    <cellStyle name="Percent 5 6 4" xfId="10962" xr:uid="{00000000-0005-0000-0000-0000C0340000}"/>
    <cellStyle name="Percent 5 6 4 2" xfId="46474" xr:uid="{EAA815E2-4A1C-465B-A93E-1CF6E025FCC6}"/>
    <cellStyle name="Percent 5 6 5" xfId="10963" xr:uid="{00000000-0005-0000-0000-0000C1340000}"/>
    <cellStyle name="Percent 5 6 5 2" xfId="46475" xr:uid="{20E5C493-7F85-49FB-824D-ADE5DAB18712}"/>
    <cellStyle name="Percent 5 6 6" xfId="12286" xr:uid="{00000000-0005-0000-0000-0000C2340000}"/>
    <cellStyle name="Percent 5 6 6 2" xfId="46476" xr:uid="{BD690818-2944-4100-9730-EDAD66F766F9}"/>
    <cellStyle name="Percent 5 6 7" xfId="13814" xr:uid="{00000000-0005-0000-0000-0000C3340000}"/>
    <cellStyle name="Percent 5 6 7 2" xfId="46477" xr:uid="{F75B9666-28E0-49E9-96D9-A37E3CF9A906}"/>
    <cellStyle name="Percent 5 6 8" xfId="8968" xr:uid="{00000000-0005-0000-0000-0000C4340000}"/>
    <cellStyle name="Percent 5 6 8 2" xfId="46478" xr:uid="{CD8DC609-2FB0-4063-B947-6C48C8CDD3FB}"/>
    <cellStyle name="Percent 5 6 9" xfId="46471" xr:uid="{A6B8A8C6-24AB-4EF3-A62C-B9916803A4C7}"/>
    <cellStyle name="Percent 5 7" xfId="4715" xr:uid="{00000000-0005-0000-0000-0000C5340000}"/>
    <cellStyle name="Percent 5 7 2" xfId="10964" xr:uid="{00000000-0005-0000-0000-0000C6340000}"/>
    <cellStyle name="Percent 5 7 2 2" xfId="46480" xr:uid="{DAA3E807-C6EB-4FFD-BFD4-3926B2716F56}"/>
    <cellStyle name="Percent 5 7 3" xfId="10965" xr:uid="{00000000-0005-0000-0000-0000C7340000}"/>
    <cellStyle name="Percent 5 7 3 2" xfId="46481" xr:uid="{9F5A0295-406E-40D5-8158-BB0243BEA8DF}"/>
    <cellStyle name="Percent 5 7 4" xfId="10966" xr:uid="{00000000-0005-0000-0000-0000C8340000}"/>
    <cellStyle name="Percent 5 7 4 2" xfId="46482" xr:uid="{42D0DAA1-62FE-4135-933D-283459BC992E}"/>
    <cellStyle name="Percent 5 7 5" xfId="10967" xr:uid="{00000000-0005-0000-0000-0000C9340000}"/>
    <cellStyle name="Percent 5 7 5 2" xfId="46483" xr:uid="{C46F5E14-B84B-4831-8D6C-B8730444F28B}"/>
    <cellStyle name="Percent 5 7 6" xfId="12287" xr:uid="{00000000-0005-0000-0000-0000CA340000}"/>
    <cellStyle name="Percent 5 7 6 2" xfId="46484" xr:uid="{BB559BAE-52B5-4EF5-90C1-365C0532BC9B}"/>
    <cellStyle name="Percent 5 7 7" xfId="16348" xr:uid="{00000000-0005-0000-0000-0000CB340000}"/>
    <cellStyle name="Percent 5 7 7 2" xfId="46485" xr:uid="{4E8686A5-941F-4CE3-95C0-3CAE02F86E27}"/>
    <cellStyle name="Percent 5 7 8" xfId="8969" xr:uid="{00000000-0005-0000-0000-0000CC340000}"/>
    <cellStyle name="Percent 5 7 8 2" xfId="46486" xr:uid="{118CBC48-CE3F-46B9-9F9A-CAFA86052B12}"/>
    <cellStyle name="Percent 5 7 9" xfId="46479" xr:uid="{7959AA98-706C-4B00-884A-AAAB8C3A1E57}"/>
    <cellStyle name="Percent 5 8" xfId="4716" xr:uid="{00000000-0005-0000-0000-0000CD340000}"/>
    <cellStyle name="Percent 5 8 2" xfId="10968" xr:uid="{00000000-0005-0000-0000-0000CE340000}"/>
    <cellStyle name="Percent 5 8 2 2" xfId="46488" xr:uid="{E7FEC45A-BA37-420D-94AC-0554FB99288F}"/>
    <cellStyle name="Percent 5 8 3" xfId="10969" xr:uid="{00000000-0005-0000-0000-0000CF340000}"/>
    <cellStyle name="Percent 5 8 3 2" xfId="46489" xr:uid="{6B337A3C-665E-42A7-B1BC-7000AA95EFD0}"/>
    <cellStyle name="Percent 5 8 4" xfId="10970" xr:uid="{00000000-0005-0000-0000-0000D0340000}"/>
    <cellStyle name="Percent 5 8 4 2" xfId="46490" xr:uid="{DA41E6F7-7BC4-4142-BC72-71D23B6C62D0}"/>
    <cellStyle name="Percent 5 8 5" xfId="10971" xr:uid="{00000000-0005-0000-0000-0000D1340000}"/>
    <cellStyle name="Percent 5 8 5 2" xfId="46491" xr:uid="{EF27BF2A-475D-4F6F-A9C6-F91C1ADFC629}"/>
    <cellStyle name="Percent 5 8 6" xfId="12288" xr:uid="{00000000-0005-0000-0000-0000D2340000}"/>
    <cellStyle name="Percent 5 8 6 2" xfId="46492" xr:uid="{1940C2C5-8E43-43CB-9200-5EA8DA574538}"/>
    <cellStyle name="Percent 5 8 7" xfId="12465" xr:uid="{00000000-0005-0000-0000-0000D3340000}"/>
    <cellStyle name="Percent 5 8 7 2" xfId="46493" xr:uid="{21D6C4E7-B6AC-4707-9018-A6929C896211}"/>
    <cellStyle name="Percent 5 8 8" xfId="8970" xr:uid="{00000000-0005-0000-0000-0000D4340000}"/>
    <cellStyle name="Percent 5 8 8 2" xfId="46494" xr:uid="{5B3DCCAB-9320-435F-9357-77405AF8A9B3}"/>
    <cellStyle name="Percent 5 8 9" xfId="46487" xr:uid="{68F5DC54-7CBD-4D1C-A117-FD5961740BE0}"/>
    <cellStyle name="Percent 5 9" xfId="4717" xr:uid="{00000000-0005-0000-0000-0000D5340000}"/>
    <cellStyle name="Percent 5 9 2" xfId="4718" xr:uid="{00000000-0005-0000-0000-0000D6340000}"/>
    <cellStyle name="Percent 5 9 2 2" xfId="8973" xr:uid="{00000000-0005-0000-0000-0000D7340000}"/>
    <cellStyle name="Percent 5 9 2 2 2" xfId="16401" xr:uid="{00000000-0005-0000-0000-0000D8340000}"/>
    <cellStyle name="Percent 5 9 2 2 2 2" xfId="46498" xr:uid="{78137A67-F640-4460-A09E-9C1561A26B72}"/>
    <cellStyle name="Percent 5 9 2 2 3" xfId="46497" xr:uid="{0BF03AF5-E10F-4BB6-A834-1EF69A167D08}"/>
    <cellStyle name="Percent 5 9 2 3" xfId="12290" xr:uid="{00000000-0005-0000-0000-0000D9340000}"/>
    <cellStyle name="Percent 5 9 2 3 2" xfId="25687" xr:uid="{B940E908-FBB5-469F-B44B-810798F48236}"/>
    <cellStyle name="Percent 5 9 2 3 3" xfId="20027" xr:uid="{A458C5A0-4D88-4462-9085-7B0FFC01515D}"/>
    <cellStyle name="Percent 5 9 2 3 4" xfId="31330" xr:uid="{25E3C816-5784-4FCA-97D0-50515035AA23}"/>
    <cellStyle name="Percent 5 9 2 3 5" xfId="46499" xr:uid="{FAE9345D-CBCE-4867-A982-FEB7432FC86C}"/>
    <cellStyle name="Percent 5 9 2 4" xfId="13854" xr:uid="{00000000-0005-0000-0000-0000DA340000}"/>
    <cellStyle name="Percent 5 9 2 4 2" xfId="46500" xr:uid="{CEFEC3E8-4EC9-461B-BA68-7F232B36AB98}"/>
    <cellStyle name="Percent 5 9 2 5" xfId="12802" xr:uid="{00000000-0005-0000-0000-0000DB340000}"/>
    <cellStyle name="Percent 5 9 2 5 2" xfId="46501" xr:uid="{0D957282-D092-4AF1-82F1-CB332D713982}"/>
    <cellStyle name="Percent 5 9 2 6" xfId="8972" xr:uid="{00000000-0005-0000-0000-0000DC340000}"/>
    <cellStyle name="Percent 5 9 2 6 2" xfId="46502" xr:uid="{63E4959C-CC3F-43D8-B523-528683B8E09C}"/>
    <cellStyle name="Percent 5 9 2 7" xfId="46496" xr:uid="{8E15905C-CB48-4AE2-863A-CBA1970718E0}"/>
    <cellStyle name="Percent 5 9 3" xfId="6441" xr:uid="{00000000-0005-0000-0000-0000DD340000}"/>
    <cellStyle name="Percent 5 9 3 2" xfId="12291" xr:uid="{00000000-0005-0000-0000-0000DE340000}"/>
    <cellStyle name="Percent 5 9 3 2 2" xfId="46504" xr:uid="{26429DDC-AE9E-4264-96E1-5CDD5C5C7102}"/>
    <cellStyle name="Percent 5 9 3 3" xfId="10972" xr:uid="{00000000-0005-0000-0000-0000DF340000}"/>
    <cellStyle name="Percent 5 9 3 3 2" xfId="46505" xr:uid="{00287140-FB6E-426C-82AF-1BCEBCC63F4E}"/>
    <cellStyle name="Percent 5 9 3 4" xfId="46503" xr:uid="{83A42F23-AF63-45ED-A911-A83A94A1A5BA}"/>
    <cellStyle name="Percent 5 9 4" xfId="5720" xr:uid="{00000000-0005-0000-0000-0000E0340000}"/>
    <cellStyle name="Percent 5 9 4 2" xfId="7294" xr:uid="{00000000-0005-0000-0000-0000E1340000}"/>
    <cellStyle name="Percent 5 9 4 2 2" xfId="15727" xr:uid="{00000000-0005-0000-0000-0000E2340000}"/>
    <cellStyle name="Percent 5 9 4 2 2 2" xfId="27621" xr:uid="{A0900EE2-F98F-43D8-B2BE-C256848300B3}"/>
    <cellStyle name="Percent 5 9 4 2 2 3" xfId="21961" xr:uid="{989C71D2-D784-4B62-AEE6-03D4414DB47B}"/>
    <cellStyle name="Percent 5 9 4 2 2 4" xfId="33001" xr:uid="{BFA1457F-5E16-4FF2-B5E5-5E50044C70B5}"/>
    <cellStyle name="Percent 5 9 4 2 2 5" xfId="46508" xr:uid="{E206F21E-DC7E-49EF-8515-5E94B6A45D6F}"/>
    <cellStyle name="Percent 5 9 4 2 3" xfId="24788" xr:uid="{21267A4D-D0A2-4049-8D92-6FB660F1BCDF}"/>
    <cellStyle name="Percent 5 9 4 2 4" xfId="19128" xr:uid="{6C85118A-1D36-467B-A105-02A5FE8C73CB}"/>
    <cellStyle name="Percent 5 9 4 2 5" xfId="30449" xr:uid="{500A6450-F71E-4F34-9258-4562396CE53F}"/>
    <cellStyle name="Percent 5 9 4 2 6" xfId="46507" xr:uid="{A03C133E-E32D-41A7-A0F6-0FF57FDDBE39}"/>
    <cellStyle name="Percent 5 9 4 3" xfId="14353" xr:uid="{00000000-0005-0000-0000-0000E3340000}"/>
    <cellStyle name="Percent 5 9 4 3 2" xfId="26358" xr:uid="{911CFF49-6541-4F3A-8C02-4DDD16CEC73C}"/>
    <cellStyle name="Percent 5 9 4 3 3" xfId="20698" xr:uid="{E8F16CDF-A4DC-4E22-8E48-7318AA538DA9}"/>
    <cellStyle name="Percent 5 9 4 3 4" xfId="31738" xr:uid="{91E17982-B33F-4786-9444-11CB98ED64B6}"/>
    <cellStyle name="Percent 5 9 4 3 5" xfId="46509" xr:uid="{A2A98E2F-C20C-42AC-B896-6D8817ED195E}"/>
    <cellStyle name="Percent 5 9 4 4" xfId="10973" xr:uid="{00000000-0005-0000-0000-0000E4340000}"/>
    <cellStyle name="Percent 5 9 4 4 2" xfId="46510" xr:uid="{36AC08BB-C792-4096-AAE4-50ED6E642FB2}"/>
    <cellStyle name="Percent 5 9 4 5" xfId="23420" xr:uid="{EDF636D4-5483-4D6A-AAD3-C9C0AF494234}"/>
    <cellStyle name="Percent 5 9 4 6" xfId="17760" xr:uid="{3072BC3F-0463-47F6-AFF2-7E13EF31B920}"/>
    <cellStyle name="Percent 5 9 4 7" xfId="29081" xr:uid="{F175D1F4-1CBC-4EDE-AB6F-BB5C9099DF2B}"/>
    <cellStyle name="Percent 5 9 4 8" xfId="46506" xr:uid="{0F5BE381-C8BE-42BD-9F82-6E6CA9A2B670}"/>
    <cellStyle name="Percent 5 9 5" xfId="10974" xr:uid="{00000000-0005-0000-0000-0000E5340000}"/>
    <cellStyle name="Percent 5 9 5 2" xfId="46511" xr:uid="{FDBBE56F-FC2A-4FC2-BA4B-71C692163ADD}"/>
    <cellStyle name="Percent 5 9 6" xfId="12289" xr:uid="{00000000-0005-0000-0000-0000E6340000}"/>
    <cellStyle name="Percent 5 9 6 2" xfId="46512" xr:uid="{D7D005F2-9A13-440A-A7B7-A9235354941B}"/>
    <cellStyle name="Percent 5 9 7" xfId="12607" xr:uid="{00000000-0005-0000-0000-0000E7340000}"/>
    <cellStyle name="Percent 5 9 7 2" xfId="46513" xr:uid="{193C1EB5-5353-4DDA-BC99-FFCB9DDB9CEB}"/>
    <cellStyle name="Percent 5 9 8" xfId="8971" xr:uid="{00000000-0005-0000-0000-0000E8340000}"/>
    <cellStyle name="Percent 5 9 8 2" xfId="46514" xr:uid="{853121E2-F733-4C6D-8647-5F92BA9427F3}"/>
    <cellStyle name="Percent 5 9 9" xfId="46495" xr:uid="{BD1EED9A-5902-4C86-AD9A-DF6AEEB87DD8}"/>
    <cellStyle name="Percent 6" xfId="285" xr:uid="{00000000-0005-0000-0000-0000E9340000}"/>
    <cellStyle name="Percent 6 10" xfId="5026" xr:uid="{00000000-0005-0000-0000-0000EA340000}"/>
    <cellStyle name="Percent 6 10 10" xfId="46516" xr:uid="{1B1A89CE-B9D7-47E7-854C-1181048A2C3C}"/>
    <cellStyle name="Percent 6 10 2" xfId="6442" xr:uid="{00000000-0005-0000-0000-0000EB340000}"/>
    <cellStyle name="Percent 6 10 2 2" xfId="7707" xr:uid="{00000000-0005-0000-0000-0000EC340000}"/>
    <cellStyle name="Percent 6 10 2 2 2" xfId="16140" xr:uid="{00000000-0005-0000-0000-0000ED340000}"/>
    <cellStyle name="Percent 6 10 2 2 2 2" xfId="28034" xr:uid="{0366FC77-EFCE-44AB-AC94-742A2C886DF6}"/>
    <cellStyle name="Percent 6 10 2 2 2 3" xfId="22374" xr:uid="{715F465E-D7AB-4736-998B-D036659AEACB}"/>
    <cellStyle name="Percent 6 10 2 2 2 4" xfId="33414" xr:uid="{4E7E6CF0-B411-466C-847B-5ABF8B025ABD}"/>
    <cellStyle name="Percent 6 10 2 2 2 5" xfId="46519" xr:uid="{268D0310-A828-4A83-A74C-E507C5297CF4}"/>
    <cellStyle name="Percent 6 10 2 2 3" xfId="25201" xr:uid="{B112E70D-9162-41F1-9B1C-FA9464765DD8}"/>
    <cellStyle name="Percent 6 10 2 2 4" xfId="19541" xr:uid="{58BC13D2-8C31-42B1-8F28-7F00E06213CA}"/>
    <cellStyle name="Percent 6 10 2 2 5" xfId="30862" xr:uid="{37A92DD4-0F0E-42A3-80DE-3F0FB245FE48}"/>
    <cellStyle name="Percent 6 10 2 2 6" xfId="46518" xr:uid="{E50313FF-15E9-4324-B49D-72951F3B517C}"/>
    <cellStyle name="Percent 6 10 2 3" xfId="14875" xr:uid="{00000000-0005-0000-0000-0000EE340000}"/>
    <cellStyle name="Percent 6 10 2 3 2" xfId="26778" xr:uid="{C108761D-BCCF-418D-AD09-FBEE192438CE}"/>
    <cellStyle name="Percent 6 10 2 3 3" xfId="21118" xr:uid="{9E38F670-8718-4A7C-8D07-1C1AE032DCD0}"/>
    <cellStyle name="Percent 6 10 2 3 4" xfId="32158" xr:uid="{0869B1E2-1CEC-4313-8741-EC7C3C7EB0AD}"/>
    <cellStyle name="Percent 6 10 2 3 5" xfId="46520" xr:uid="{BB47AF21-CFB8-4148-936C-8252175C71F9}"/>
    <cellStyle name="Percent 6 10 2 4" xfId="23945" xr:uid="{AE33D3E7-C061-4C7F-9CDF-AB17078931F0}"/>
    <cellStyle name="Percent 6 10 2 5" xfId="18285" xr:uid="{4B2ADFA6-F6B9-47E4-8ED6-C55E18B3C797}"/>
    <cellStyle name="Percent 6 10 2 6" xfId="29606" xr:uid="{83AF7416-B0D7-45C6-A507-EDA6B143058C}"/>
    <cellStyle name="Percent 6 10 2 7" xfId="46517" xr:uid="{E6E6F2B5-2BDD-4F57-9DB2-E0B0588613B1}"/>
    <cellStyle name="Percent 6 10 3" xfId="6889" xr:uid="{00000000-0005-0000-0000-0000EF340000}"/>
    <cellStyle name="Percent 6 10 3 2" xfId="15322" xr:uid="{00000000-0005-0000-0000-0000F0340000}"/>
    <cellStyle name="Percent 6 10 3 2 2" xfId="27216" xr:uid="{F08EAA7D-EB96-4842-8974-B64749A7EA1F}"/>
    <cellStyle name="Percent 6 10 3 2 3" xfId="21556" xr:uid="{4529A09C-5540-4C69-B917-CFBCC075F6FA}"/>
    <cellStyle name="Percent 6 10 3 2 4" xfId="32596" xr:uid="{5C1AFF42-CB08-4B98-BE04-312185A3EC61}"/>
    <cellStyle name="Percent 6 10 3 2 5" xfId="46522" xr:uid="{6B0E1440-4381-467C-ACF7-B0256298C101}"/>
    <cellStyle name="Percent 6 10 3 3" xfId="24383" xr:uid="{25646A60-ABCD-4954-9DAD-5E2A7DE36353}"/>
    <cellStyle name="Percent 6 10 3 4" xfId="18723" xr:uid="{7881B130-1162-4FDA-BF8E-0B40EE0EECEE}"/>
    <cellStyle name="Percent 6 10 3 5" xfId="30044" xr:uid="{B7AFFA1D-A266-4906-9DE3-C6E9926A089C}"/>
    <cellStyle name="Percent 6 10 3 6" xfId="46521" xr:uid="{8FCFA6C3-F441-4B39-B552-0B0F3FC80F90}"/>
    <cellStyle name="Percent 6 10 4" xfId="13930" xr:uid="{00000000-0005-0000-0000-0000F1340000}"/>
    <cellStyle name="Percent 6 10 4 2" xfId="25971" xr:uid="{1603108B-B786-4C97-9E4F-175D2ABC0852}"/>
    <cellStyle name="Percent 6 10 4 3" xfId="20311" xr:uid="{CC8C562D-215F-4E3A-8787-240D83F49C67}"/>
    <cellStyle name="Percent 6 10 4 4" xfId="31351" xr:uid="{54FB7489-B260-4200-8BED-ADED47375F5E}"/>
    <cellStyle name="Percent 6 10 4 5" xfId="46523" xr:uid="{E072D8E4-C5ED-4EDF-92D4-4336BBFDB699}"/>
    <cellStyle name="Percent 6 10 5" xfId="12799" xr:uid="{00000000-0005-0000-0000-0000F2340000}"/>
    <cellStyle name="Percent 6 10 5 2" xfId="46524" xr:uid="{E73ED7EF-4A2E-4D83-940D-1EFC535C43EF}"/>
    <cellStyle name="Percent 6 10 6" xfId="8975" xr:uid="{00000000-0005-0000-0000-0000F3340000}"/>
    <cellStyle name="Percent 6 10 6 2" xfId="46525" xr:uid="{173D3E68-7064-4745-98CC-137733382B78}"/>
    <cellStyle name="Percent 6 10 7" xfId="22821" xr:uid="{CD51EAC8-2801-4777-BF15-E03AC7FEB1E6}"/>
    <cellStyle name="Percent 6 10 8" xfId="17161" xr:uid="{C4B00645-E3B4-4D86-BB54-39E9F6AF940B}"/>
    <cellStyle name="Percent 6 10 9" xfId="28482" xr:uid="{A787AE09-5E82-492E-821C-AD44F4D1638B}"/>
    <cellStyle name="Percent 6 11" xfId="6471" xr:uid="{00000000-0005-0000-0000-0000F4340000}"/>
    <cellStyle name="Percent 6 11 2" xfId="14904" xr:uid="{00000000-0005-0000-0000-0000F5340000}"/>
    <cellStyle name="Percent 6 11 2 2" xfId="26798" xr:uid="{ED0AD1BA-175A-4E75-B575-4AD02F4C944C}"/>
    <cellStyle name="Percent 6 11 2 3" xfId="21138" xr:uid="{7B710113-84A7-4692-BA94-EDD7354826AB}"/>
    <cellStyle name="Percent 6 11 2 4" xfId="32178" xr:uid="{4E87CF9D-3FB7-4539-AE8F-77A4AA2263E1}"/>
    <cellStyle name="Percent 6 11 2 5" xfId="46527" xr:uid="{3798736B-92FB-497F-BD94-3925EF9A88D8}"/>
    <cellStyle name="Percent 6 11 3" xfId="10975" xr:uid="{00000000-0005-0000-0000-0000F6340000}"/>
    <cellStyle name="Percent 6 11 3 2" xfId="46528" xr:uid="{0D96A426-F74B-433E-8CB6-AD28A1CCD358}"/>
    <cellStyle name="Percent 6 11 4" xfId="23965" xr:uid="{83A2342A-1171-4554-99A4-7572DE9E3986}"/>
    <cellStyle name="Percent 6 11 5" xfId="18305" xr:uid="{EE747056-D3B2-429F-A81C-E99EDFC23986}"/>
    <cellStyle name="Percent 6 11 6" xfId="29626" xr:uid="{7B9A45BE-35E8-47F2-B48C-8280462F190A}"/>
    <cellStyle name="Percent 6 11 7" xfId="46526" xr:uid="{040CFF78-490F-4367-8157-AE315F2AC8D7}"/>
    <cellStyle name="Percent 6 12" xfId="10976" xr:uid="{00000000-0005-0000-0000-0000F7340000}"/>
    <cellStyle name="Percent 6 12 2" xfId="46529" xr:uid="{93AED139-2E4D-442B-AD91-E4076C5FE1A9}"/>
    <cellStyle name="Percent 6 13" xfId="10977" xr:uid="{00000000-0005-0000-0000-0000F8340000}"/>
    <cellStyle name="Percent 6 13 2" xfId="46530" xr:uid="{40795BC1-3F91-41AB-BC17-6D392A0D676A}"/>
    <cellStyle name="Percent 6 14" xfId="10978" xr:uid="{00000000-0005-0000-0000-0000F9340000}"/>
    <cellStyle name="Percent 6 14 2" xfId="46531" xr:uid="{96259F3D-112F-4BD9-802E-CEA477EB8C18}"/>
    <cellStyle name="Percent 6 15" xfId="12292" xr:uid="{00000000-0005-0000-0000-0000FA340000}"/>
    <cellStyle name="Percent 6 15 2" xfId="46532" xr:uid="{84C306D0-A14B-44D3-9885-FFC049E1189B}"/>
    <cellStyle name="Percent 6 16" xfId="12469" xr:uid="{00000000-0005-0000-0000-0000FB340000}"/>
    <cellStyle name="Percent 6 16 2" xfId="25709" xr:uid="{8FD36ECC-C811-45CB-BB28-49B9EED58692}"/>
    <cellStyle name="Percent 6 16 3" xfId="20049" xr:uid="{6DC384F8-786A-48F6-98F3-21412543836E}"/>
    <cellStyle name="Percent 6 16 4" xfId="31331" xr:uid="{8F81B2D2-63DB-4E6B-9069-A962E82E6E76}"/>
    <cellStyle name="Percent 6 16 5" xfId="46533" xr:uid="{9CAFA033-CF42-47D0-9DAA-9AD0B9A73FE1}"/>
    <cellStyle name="Percent 6 17" xfId="16201" xr:uid="{00000000-0005-0000-0000-0000FC340000}"/>
    <cellStyle name="Percent 6 17 2" xfId="46534" xr:uid="{DBCB0D33-A86F-476D-BB6A-F5E07F94D9B3}"/>
    <cellStyle name="Percent 6 18" xfId="8974" xr:uid="{00000000-0005-0000-0000-0000FD340000}"/>
    <cellStyle name="Percent 6 18 2" xfId="46535" xr:uid="{8BBEBEE9-5C5D-4F1A-9212-A723E0D58779}"/>
    <cellStyle name="Percent 6 19" xfId="22403" xr:uid="{AB857B70-C436-45EC-A501-62C16E311811}"/>
    <cellStyle name="Percent 6 2" xfId="2955" xr:uid="{00000000-0005-0000-0000-0000FE340000}"/>
    <cellStyle name="Percent 6 2 2" xfId="10979" xr:uid="{00000000-0005-0000-0000-0000FF340000}"/>
    <cellStyle name="Percent 6 2 2 2" xfId="46537" xr:uid="{C27FAC03-9B20-46A0-9202-AEB173C1720E}"/>
    <cellStyle name="Percent 6 2 3" xfId="10980" xr:uid="{00000000-0005-0000-0000-000000350000}"/>
    <cellStyle name="Percent 6 2 3 2" xfId="46538" xr:uid="{4DEF9C8C-8C60-47D0-A7E7-0D0F96F6C5CB}"/>
    <cellStyle name="Percent 6 2 4" xfId="10981" xr:uid="{00000000-0005-0000-0000-000001350000}"/>
    <cellStyle name="Percent 6 2 4 2" xfId="46539" xr:uid="{838A18BA-087C-4A78-BAD9-684BD677C8DA}"/>
    <cellStyle name="Percent 6 2 5" xfId="10982" xr:uid="{00000000-0005-0000-0000-000002350000}"/>
    <cellStyle name="Percent 6 2 5 2" xfId="46540" xr:uid="{FD661F97-9D0E-4631-8425-91BECE24BBC6}"/>
    <cellStyle name="Percent 6 2 6" xfId="12293" xr:uid="{00000000-0005-0000-0000-000003350000}"/>
    <cellStyle name="Percent 6 2 6 2" xfId="46541" xr:uid="{1EE26EB8-9C59-4EC2-A7C4-2675E20A9B5C}"/>
    <cellStyle name="Percent 6 2 7" xfId="16607" xr:uid="{00000000-0005-0000-0000-000004350000}"/>
    <cellStyle name="Percent 6 2 7 2" xfId="46542" xr:uid="{998A0E0B-C1CA-48EC-9B14-E2B57EE7AEAD}"/>
    <cellStyle name="Percent 6 2 8" xfId="8976" xr:uid="{00000000-0005-0000-0000-000005350000}"/>
    <cellStyle name="Percent 6 2 8 2" xfId="46543" xr:uid="{3AE92EF9-7797-4FE3-8BB4-52F813331064}"/>
    <cellStyle name="Percent 6 2 9" xfId="46536" xr:uid="{08245091-F482-403F-B61B-6D89874D987B}"/>
    <cellStyle name="Percent 6 20" xfId="16743" xr:uid="{1B3B4A21-E76F-4D3D-A178-4922E5EB9F1F}"/>
    <cellStyle name="Percent 6 21" xfId="28064" xr:uid="{4B9302D3-14C5-4E12-8688-63EB6240323A}"/>
    <cellStyle name="Percent 6 22" xfId="46515" xr:uid="{7B4DA5B3-3F9A-4FC8-95F8-22304CF7E34C}"/>
    <cellStyle name="Percent 6 3" xfId="2954" xr:uid="{00000000-0005-0000-0000-000006350000}"/>
    <cellStyle name="Percent 6 3 10" xfId="46544" xr:uid="{E8A9C126-359F-4CA3-90E8-70192D39C912}"/>
    <cellStyle name="Percent 6 3 2" xfId="4719" xr:uid="{00000000-0005-0000-0000-000007350000}"/>
    <cellStyle name="Percent 6 3 2 2" xfId="13855" xr:uid="{00000000-0005-0000-0000-000008350000}"/>
    <cellStyle name="Percent 6 3 2 2 2" xfId="46546" xr:uid="{18FCAB0A-0A95-49E2-BF35-14EF397D2658}"/>
    <cellStyle name="Percent 6 3 2 3" xfId="16672" xr:uid="{00000000-0005-0000-0000-000009350000}"/>
    <cellStyle name="Percent 6 3 2 3 2" xfId="46547" xr:uid="{4B6FC4FD-DFB1-448E-93C6-91A33BAAAEC3}"/>
    <cellStyle name="Percent 6 3 2 4" xfId="8978" xr:uid="{00000000-0005-0000-0000-00000A350000}"/>
    <cellStyle name="Percent 6 3 2 4 2" xfId="46548" xr:uid="{ECB3AD13-99FF-49A1-A7F0-5F6951CBE62A}"/>
    <cellStyle name="Percent 6 3 2 5" xfId="46545" xr:uid="{0D53A7CE-CD74-41B8-B727-874D50E154AD}"/>
    <cellStyle name="Percent 6 3 3" xfId="6443" xr:uid="{00000000-0005-0000-0000-00000B350000}"/>
    <cellStyle name="Percent 6 3 3 2" xfId="14876" xr:uid="{00000000-0005-0000-0000-00000C350000}"/>
    <cellStyle name="Percent 6 3 3 2 2" xfId="46550" xr:uid="{BC61CB59-7426-48EB-8B8E-806AD5C60F5D}"/>
    <cellStyle name="Percent 6 3 3 3" xfId="13879" xr:uid="{00000000-0005-0000-0000-00000D350000}"/>
    <cellStyle name="Percent 6 3 3 3 2" xfId="46551" xr:uid="{80EEC405-ED88-4423-BA57-E4F638376C2B}"/>
    <cellStyle name="Percent 6 3 3 4" xfId="8979" xr:uid="{00000000-0005-0000-0000-00000E350000}"/>
    <cellStyle name="Percent 6 3 3 4 2" xfId="46552" xr:uid="{09769446-348D-4AF3-9B7D-47E84BD0F419}"/>
    <cellStyle name="Percent 6 3 3 5" xfId="46549" xr:uid="{96C199A0-A30B-4B7B-B5BC-93797FA6F325}"/>
    <cellStyle name="Percent 6 3 4" xfId="10983" xr:uid="{00000000-0005-0000-0000-00000F350000}"/>
    <cellStyle name="Percent 6 3 4 2" xfId="46553" xr:uid="{F11C889F-30E6-4403-89FE-A35BCFDA3992}"/>
    <cellStyle name="Percent 6 3 5" xfId="10984" xr:uid="{00000000-0005-0000-0000-000010350000}"/>
    <cellStyle name="Percent 6 3 5 2" xfId="46554" xr:uid="{80264A39-01DE-4502-9F9F-0BAE10619D9D}"/>
    <cellStyle name="Percent 6 3 6" xfId="12294" xr:uid="{00000000-0005-0000-0000-000011350000}"/>
    <cellStyle name="Percent 6 3 6 2" xfId="46555" xr:uid="{A3B37BD3-2F33-4D74-9319-A73ED0885D8C}"/>
    <cellStyle name="Percent 6 3 7" xfId="13081" xr:uid="{00000000-0005-0000-0000-000012350000}"/>
    <cellStyle name="Percent 6 3 7 2" xfId="46556" xr:uid="{5E60691B-34DA-4505-945F-556348F9D39F}"/>
    <cellStyle name="Percent 6 3 8" xfId="16618" xr:uid="{00000000-0005-0000-0000-000013350000}"/>
    <cellStyle name="Percent 6 3 8 2" xfId="46557" xr:uid="{0A61EAF7-1DC8-4E2A-8468-15A055D019DE}"/>
    <cellStyle name="Percent 6 3 9" xfId="8977" xr:uid="{00000000-0005-0000-0000-000014350000}"/>
    <cellStyle name="Percent 6 3 9 2" xfId="46558" xr:uid="{52E71FC5-874D-4A9B-9F0C-456A899AC37D}"/>
    <cellStyle name="Percent 6 4" xfId="4720" xr:uid="{00000000-0005-0000-0000-000015350000}"/>
    <cellStyle name="Percent 6 4 2" xfId="10985" xr:uid="{00000000-0005-0000-0000-000016350000}"/>
    <cellStyle name="Percent 6 4 2 2" xfId="46560" xr:uid="{7FCC84C0-715B-4A11-9EBB-3C8884032E13}"/>
    <cellStyle name="Percent 6 4 3" xfId="10986" xr:uid="{00000000-0005-0000-0000-000017350000}"/>
    <cellStyle name="Percent 6 4 3 2" xfId="46561" xr:uid="{97E0D6FB-A36A-47DF-BECF-F2A4A3DF9B6C}"/>
    <cellStyle name="Percent 6 4 4" xfId="10987" xr:uid="{00000000-0005-0000-0000-000018350000}"/>
    <cellStyle name="Percent 6 4 4 2" xfId="46562" xr:uid="{873C6DD0-8BAC-4629-BB95-AA1F6E095664}"/>
    <cellStyle name="Percent 6 4 5" xfId="10988" xr:uid="{00000000-0005-0000-0000-000019350000}"/>
    <cellStyle name="Percent 6 4 5 2" xfId="46563" xr:uid="{61335130-E2E7-4D49-8263-04D9CBED9E79}"/>
    <cellStyle name="Percent 6 4 6" xfId="12295" xr:uid="{00000000-0005-0000-0000-00001A350000}"/>
    <cellStyle name="Percent 6 4 6 2" xfId="46564" xr:uid="{6D2767C3-D72E-4113-84B1-CF2571582DCA}"/>
    <cellStyle name="Percent 6 4 7" xfId="16621" xr:uid="{00000000-0005-0000-0000-00001B350000}"/>
    <cellStyle name="Percent 6 4 7 2" xfId="46565" xr:uid="{BBAA7897-06DB-46D8-B974-5D8BD297F9B6}"/>
    <cellStyle name="Percent 6 4 8" xfId="8980" xr:uid="{00000000-0005-0000-0000-00001C350000}"/>
    <cellStyle name="Percent 6 4 8 2" xfId="46566" xr:uid="{35749FB3-680B-4B49-80F1-792AA494EF91}"/>
    <cellStyle name="Percent 6 4 9" xfId="46559" xr:uid="{7D08485D-9735-41BB-A5CD-0E46474729C6}"/>
    <cellStyle name="Percent 6 5" xfId="4721" xr:uid="{00000000-0005-0000-0000-00001D350000}"/>
    <cellStyle name="Percent 6 5 2" xfId="10989" xr:uid="{00000000-0005-0000-0000-00001E350000}"/>
    <cellStyle name="Percent 6 5 2 2" xfId="46568" xr:uid="{9C11FCE1-320D-4738-9E55-3E3C89E7D75A}"/>
    <cellStyle name="Percent 6 5 3" xfId="10990" xr:uid="{00000000-0005-0000-0000-00001F350000}"/>
    <cellStyle name="Percent 6 5 3 2" xfId="46569" xr:uid="{0E8C85B5-451D-44E1-9A40-2498F681C3D8}"/>
    <cellStyle name="Percent 6 5 4" xfId="10991" xr:uid="{00000000-0005-0000-0000-000020350000}"/>
    <cellStyle name="Percent 6 5 4 2" xfId="46570" xr:uid="{5D7A8B78-798B-4300-9628-8539E07F35B0}"/>
    <cellStyle name="Percent 6 5 5" xfId="10992" xr:uid="{00000000-0005-0000-0000-000021350000}"/>
    <cellStyle name="Percent 6 5 5 2" xfId="46571" xr:uid="{69836E33-370B-4AED-8FB3-E63C791E79DE}"/>
    <cellStyle name="Percent 6 5 6" xfId="12296" xr:uid="{00000000-0005-0000-0000-000022350000}"/>
    <cellStyle name="Percent 6 5 6 2" xfId="46572" xr:uid="{A904D922-86DA-4672-9003-36FEB1DB47FF}"/>
    <cellStyle name="Percent 6 5 7" xfId="12597" xr:uid="{00000000-0005-0000-0000-000023350000}"/>
    <cellStyle name="Percent 6 5 7 2" xfId="46573" xr:uid="{0E625D3C-4F6D-493C-A815-D93492E6F252}"/>
    <cellStyle name="Percent 6 5 8" xfId="8981" xr:uid="{00000000-0005-0000-0000-000024350000}"/>
    <cellStyle name="Percent 6 5 8 2" xfId="46574" xr:uid="{637512A7-CD80-451F-91AB-30016914AA30}"/>
    <cellStyle name="Percent 6 5 9" xfId="46567" xr:uid="{4153CC9A-7E00-45A7-8CA0-BB1DB4D3D6B7}"/>
    <cellStyle name="Percent 6 6" xfId="4722" xr:uid="{00000000-0005-0000-0000-000025350000}"/>
    <cellStyle name="Percent 6 6 2" xfId="10993" xr:uid="{00000000-0005-0000-0000-000026350000}"/>
    <cellStyle name="Percent 6 6 2 2" xfId="46576" xr:uid="{EA4A588D-CD97-43FD-8577-D3AE67BE8811}"/>
    <cellStyle name="Percent 6 6 3" xfId="10994" xr:uid="{00000000-0005-0000-0000-000027350000}"/>
    <cellStyle name="Percent 6 6 3 2" xfId="46577" xr:uid="{54AF73EE-3761-483B-B891-F4C306CC86A9}"/>
    <cellStyle name="Percent 6 6 4" xfId="10995" xr:uid="{00000000-0005-0000-0000-000028350000}"/>
    <cellStyle name="Percent 6 6 4 2" xfId="46578" xr:uid="{A3F4AAEF-EFFD-4B2D-9C59-7894FB2C9C08}"/>
    <cellStyle name="Percent 6 6 5" xfId="10996" xr:uid="{00000000-0005-0000-0000-000029350000}"/>
    <cellStyle name="Percent 6 6 5 2" xfId="46579" xr:uid="{A80C0C4D-CF07-41AD-9F06-A3676D9702BA}"/>
    <cellStyle name="Percent 6 6 6" xfId="12297" xr:uid="{00000000-0005-0000-0000-00002A350000}"/>
    <cellStyle name="Percent 6 6 6 2" xfId="46580" xr:uid="{3901D95F-97B0-40B0-93DE-E1B12515E27D}"/>
    <cellStyle name="Percent 6 6 7" xfId="12820" xr:uid="{00000000-0005-0000-0000-00002B350000}"/>
    <cellStyle name="Percent 6 6 7 2" xfId="46581" xr:uid="{4416F68E-57DC-424D-84DE-BEDD4E6EC5E6}"/>
    <cellStyle name="Percent 6 6 8" xfId="8982" xr:uid="{00000000-0005-0000-0000-00002C350000}"/>
    <cellStyle name="Percent 6 6 8 2" xfId="46582" xr:uid="{BA4D6A47-9CB9-441A-B9B1-665C6A6C769C}"/>
    <cellStyle name="Percent 6 6 9" xfId="46575" xr:uid="{43951D0B-5D4F-40F9-B233-41B847364113}"/>
    <cellStyle name="Percent 6 7" xfId="4723" xr:uid="{00000000-0005-0000-0000-00002D350000}"/>
    <cellStyle name="Percent 6 7 2" xfId="10997" xr:uid="{00000000-0005-0000-0000-00002E350000}"/>
    <cellStyle name="Percent 6 7 2 2" xfId="46584" xr:uid="{AB6CB3B6-6AD7-46B0-8FEC-892D898990F3}"/>
    <cellStyle name="Percent 6 7 3" xfId="10998" xr:uid="{00000000-0005-0000-0000-00002F350000}"/>
    <cellStyle name="Percent 6 7 3 2" xfId="46585" xr:uid="{C683AA03-2CBF-4164-95A8-013F83E98C5C}"/>
    <cellStyle name="Percent 6 7 4" xfId="10999" xr:uid="{00000000-0005-0000-0000-000030350000}"/>
    <cellStyle name="Percent 6 7 4 2" xfId="46586" xr:uid="{1FD818F6-E276-4849-8BD8-8B45657FECDA}"/>
    <cellStyle name="Percent 6 7 5" xfId="11000" xr:uid="{00000000-0005-0000-0000-000031350000}"/>
    <cellStyle name="Percent 6 7 5 2" xfId="46587" xr:uid="{FA071BA6-5317-4FA8-ACF6-B4C96B2C8CA0}"/>
    <cellStyle name="Percent 6 7 6" xfId="12298" xr:uid="{00000000-0005-0000-0000-000032350000}"/>
    <cellStyle name="Percent 6 7 6 2" xfId="46588" xr:uid="{ABE3F5A1-461C-47FF-8CEB-91858DC4E147}"/>
    <cellStyle name="Percent 6 7 7" xfId="16462" xr:uid="{00000000-0005-0000-0000-000033350000}"/>
    <cellStyle name="Percent 6 7 7 2" xfId="46589" xr:uid="{77CE534D-0F21-41A8-A425-0B276539A1D3}"/>
    <cellStyle name="Percent 6 7 8" xfId="8983" xr:uid="{00000000-0005-0000-0000-000034350000}"/>
    <cellStyle name="Percent 6 7 8 2" xfId="46590" xr:uid="{6783040D-F742-4F56-BEEA-C2D062BC1908}"/>
    <cellStyle name="Percent 6 7 9" xfId="46583" xr:uid="{B3671B1F-750A-44AD-81A4-85D818FE6D01}"/>
    <cellStyle name="Percent 6 8" xfId="4724" xr:uid="{00000000-0005-0000-0000-000035350000}"/>
    <cellStyle name="Percent 6 8 2" xfId="11001" xr:uid="{00000000-0005-0000-0000-000036350000}"/>
    <cellStyle name="Percent 6 8 2 2" xfId="46592" xr:uid="{E8A1B383-AD06-4C3F-BE44-4C39083DE377}"/>
    <cellStyle name="Percent 6 8 3" xfId="11002" xr:uid="{00000000-0005-0000-0000-000037350000}"/>
    <cellStyle name="Percent 6 8 3 2" xfId="46593" xr:uid="{1E870146-F2E0-418F-A28C-8CA443E04806}"/>
    <cellStyle name="Percent 6 8 4" xfId="11003" xr:uid="{00000000-0005-0000-0000-000038350000}"/>
    <cellStyle name="Percent 6 8 4 2" xfId="46594" xr:uid="{3895BC5F-55A4-46D4-8F18-F2B2E5DDAC02}"/>
    <cellStyle name="Percent 6 8 5" xfId="11004" xr:uid="{00000000-0005-0000-0000-000039350000}"/>
    <cellStyle name="Percent 6 8 5 2" xfId="46595" xr:uid="{E4EA7656-A541-4FC7-9E36-C620687B85A4}"/>
    <cellStyle name="Percent 6 8 6" xfId="12299" xr:uid="{00000000-0005-0000-0000-00003A350000}"/>
    <cellStyle name="Percent 6 8 6 2" xfId="46596" xr:uid="{6FADEDD2-574B-49EE-80A1-2DDC72377153}"/>
    <cellStyle name="Percent 6 8 7" xfId="16350" xr:uid="{00000000-0005-0000-0000-00003B350000}"/>
    <cellStyle name="Percent 6 8 7 2" xfId="46597" xr:uid="{C6FCC9F2-1126-4C60-B24C-19CDC6B4A6F8}"/>
    <cellStyle name="Percent 6 8 8" xfId="8984" xr:uid="{00000000-0005-0000-0000-00003C350000}"/>
    <cellStyle name="Percent 6 8 8 2" xfId="46598" xr:uid="{61B48CB2-76F6-4161-AA81-2B04CD92BA56}"/>
    <cellStyle name="Percent 6 8 9" xfId="46591" xr:uid="{8F9C26C2-14CE-4C1D-94CB-FBD7DBA503C0}"/>
    <cellStyle name="Percent 6 9" xfId="4813" xr:uid="{00000000-0005-0000-0000-00003D350000}"/>
    <cellStyle name="Percent 6 9 10" xfId="16952" xr:uid="{8ED9327B-E6BB-4588-8A4A-0C9467F1A2FE}"/>
    <cellStyle name="Percent 6 9 11" xfId="28273" xr:uid="{B6FE1E75-8967-45EA-B635-14F1C2F6EAE8}"/>
    <cellStyle name="Percent 6 9 12" xfId="46599" xr:uid="{EC91B7A6-0E58-4B98-8584-51804D448A13}"/>
    <cellStyle name="Percent 6 9 2" xfId="5235" xr:uid="{00000000-0005-0000-0000-00003E350000}"/>
    <cellStyle name="Percent 6 9 2 2" xfId="7098" xr:uid="{00000000-0005-0000-0000-00003F350000}"/>
    <cellStyle name="Percent 6 9 2 2 2" xfId="15531" xr:uid="{00000000-0005-0000-0000-000040350000}"/>
    <cellStyle name="Percent 6 9 2 2 2 2" xfId="27425" xr:uid="{7861D286-CDB9-4EBA-B3B9-956410E51544}"/>
    <cellStyle name="Percent 6 9 2 2 2 3" xfId="21765" xr:uid="{82646E30-F5F9-47DB-ADF9-46C5F95E1B56}"/>
    <cellStyle name="Percent 6 9 2 2 2 4" xfId="32805" xr:uid="{331818E7-F1AC-4030-A5A3-47C0FB04986B}"/>
    <cellStyle name="Percent 6 9 2 2 2 5" xfId="46602" xr:uid="{D6BA05B8-EFE7-4FD4-AEBA-7549941C6D78}"/>
    <cellStyle name="Percent 6 9 2 2 3" xfId="24592" xr:uid="{98BFCD40-0FF4-491B-8645-46D21A3DFDCB}"/>
    <cellStyle name="Percent 6 9 2 2 4" xfId="18932" xr:uid="{501871F2-E6FD-4AB6-9851-55CDD84656AC}"/>
    <cellStyle name="Percent 6 9 2 2 5" xfId="30253" xr:uid="{77C2DEF7-2CCB-4171-B474-0F65E37D7B5D}"/>
    <cellStyle name="Percent 6 9 2 2 6" xfId="46601" xr:uid="{0D18D644-1CE3-4B38-ACA4-125EE49FE9CF}"/>
    <cellStyle name="Percent 6 9 2 3" xfId="14121" xr:uid="{00000000-0005-0000-0000-000041350000}"/>
    <cellStyle name="Percent 6 9 2 3 2" xfId="26160" xr:uid="{6E6D1B1C-8578-4EDC-9AD5-7BC867DB889B}"/>
    <cellStyle name="Percent 6 9 2 3 3" xfId="20500" xr:uid="{D8AD3266-E975-4668-99F1-F6C4276CF7CD}"/>
    <cellStyle name="Percent 6 9 2 3 4" xfId="31540" xr:uid="{1F6A8313-C14A-4705-A2B2-F49F87E3D52F}"/>
    <cellStyle name="Percent 6 9 2 3 5" xfId="46603" xr:uid="{4F12F4F6-AECD-4A35-B319-92BF28FEE9A7}"/>
    <cellStyle name="Percent 6 9 2 4" xfId="11005" xr:uid="{00000000-0005-0000-0000-000042350000}"/>
    <cellStyle name="Percent 6 9 2 4 2" xfId="46604" xr:uid="{19256E20-CCA1-4A47-97C5-612B4E9C94C1}"/>
    <cellStyle name="Percent 6 9 2 5" xfId="23030" xr:uid="{24637819-C311-425C-89B7-B8F14C21BFB1}"/>
    <cellStyle name="Percent 6 9 2 6" xfId="17370" xr:uid="{96957300-854A-4E54-BA3B-58909FDE704C}"/>
    <cellStyle name="Percent 6 9 2 7" xfId="28691" xr:uid="{F4C03FF4-CF09-4BCB-ACB6-78514EB1B673}"/>
    <cellStyle name="Percent 6 9 2 8" xfId="46600" xr:uid="{6C13E870-026D-4438-9806-35FA1D5605EC}"/>
    <cellStyle name="Percent 6 9 3" xfId="6444" xr:uid="{00000000-0005-0000-0000-000043350000}"/>
    <cellStyle name="Percent 6 9 3 2" xfId="7708" xr:uid="{00000000-0005-0000-0000-000044350000}"/>
    <cellStyle name="Percent 6 9 3 2 2" xfId="16141" xr:uid="{00000000-0005-0000-0000-000045350000}"/>
    <cellStyle name="Percent 6 9 3 2 2 2" xfId="28035" xr:uid="{45B37C5E-557F-418C-8C6A-A0AE97960EFC}"/>
    <cellStyle name="Percent 6 9 3 2 2 3" xfId="22375" xr:uid="{0D8B05FE-189B-418F-9C37-DDEB92DA8FE5}"/>
    <cellStyle name="Percent 6 9 3 2 2 4" xfId="33415" xr:uid="{8957B29A-BCAE-46F9-8D43-3E39FFFEB88F}"/>
    <cellStyle name="Percent 6 9 3 2 2 5" xfId="46607" xr:uid="{3B1869E9-062E-4853-8BE6-724298C9EAE8}"/>
    <cellStyle name="Percent 6 9 3 2 3" xfId="25202" xr:uid="{6FC220C6-14CC-4342-B395-2C2FC6A6B20E}"/>
    <cellStyle name="Percent 6 9 3 2 4" xfId="19542" xr:uid="{BA8D3D88-B8D2-4178-BC9A-EA84EF6EAE9E}"/>
    <cellStyle name="Percent 6 9 3 2 5" xfId="30863" xr:uid="{4A2C8834-CE1C-4828-A061-806F633264D9}"/>
    <cellStyle name="Percent 6 9 3 2 6" xfId="46606" xr:uid="{C17B5723-78BA-40B6-9E50-57F2BFC7C69E}"/>
    <cellStyle name="Percent 6 9 3 3" xfId="14877" xr:uid="{00000000-0005-0000-0000-000046350000}"/>
    <cellStyle name="Percent 6 9 3 3 2" xfId="26779" xr:uid="{B2C6CB56-9FF1-4DF8-A2D6-4E1177C3B2C3}"/>
    <cellStyle name="Percent 6 9 3 3 3" xfId="21119" xr:uid="{3AE3E278-4A6B-4722-9468-266872B8B2DB}"/>
    <cellStyle name="Percent 6 9 3 3 4" xfId="32159" xr:uid="{4723BE78-185D-4817-B28B-DFEFC8954B80}"/>
    <cellStyle name="Percent 6 9 3 3 5" xfId="46608" xr:uid="{AD7F0E1C-7355-414E-AE2D-0E63340B0E2A}"/>
    <cellStyle name="Percent 6 9 3 4" xfId="11006" xr:uid="{00000000-0005-0000-0000-000047350000}"/>
    <cellStyle name="Percent 6 9 3 4 2" xfId="46609" xr:uid="{31AA77F3-5C95-4527-8B26-EA3A95AED0F5}"/>
    <cellStyle name="Percent 6 9 3 5" xfId="23946" xr:uid="{45D84F8E-7BD2-489E-A25D-252AC9368710}"/>
    <cellStyle name="Percent 6 9 3 6" xfId="18286" xr:uid="{CE0F57D3-1978-49F4-9661-42B60E7DBC00}"/>
    <cellStyle name="Percent 6 9 3 7" xfId="29607" xr:uid="{30DCFCD2-290D-4ACF-90E5-53DAFC286978}"/>
    <cellStyle name="Percent 6 9 3 8" xfId="46605" xr:uid="{B0E6EE96-556D-44ED-9C62-814D499921DC}"/>
    <cellStyle name="Percent 6 9 4" xfId="6680" xr:uid="{00000000-0005-0000-0000-000048350000}"/>
    <cellStyle name="Percent 6 9 4 2" xfId="15113" xr:uid="{00000000-0005-0000-0000-000049350000}"/>
    <cellStyle name="Percent 6 9 4 2 2" xfId="27007" xr:uid="{14B43380-00AA-40C7-ADC6-740E155B4978}"/>
    <cellStyle name="Percent 6 9 4 2 3" xfId="21347" xr:uid="{FDCC4FC9-F92F-450A-81FA-AEF19E088C59}"/>
    <cellStyle name="Percent 6 9 4 2 4" xfId="32387" xr:uid="{EC1BD2C4-72EB-4B11-9E7F-EB0A65243D7F}"/>
    <cellStyle name="Percent 6 9 4 2 5" xfId="46611" xr:uid="{D6CC6B13-9BA0-4BB7-AABD-05BE71AB74E1}"/>
    <cellStyle name="Percent 6 9 4 3" xfId="11007" xr:uid="{00000000-0005-0000-0000-00004A350000}"/>
    <cellStyle name="Percent 6 9 4 3 2" xfId="46612" xr:uid="{1B89F76E-3A04-4613-9AD6-06C575491652}"/>
    <cellStyle name="Percent 6 9 4 4" xfId="24174" xr:uid="{14225054-37C3-4D55-8443-494649BF455A}"/>
    <cellStyle name="Percent 6 9 4 5" xfId="18514" xr:uid="{3139340D-39B5-43ED-86C1-A4807EE20107}"/>
    <cellStyle name="Percent 6 9 4 6" xfId="29835" xr:uid="{0D74C01E-785C-4473-A5DD-7C2994633B6D}"/>
    <cellStyle name="Percent 6 9 4 7" xfId="46610" xr:uid="{904AB67F-99DB-4644-A877-40916967AC9A}"/>
    <cellStyle name="Percent 6 9 5" xfId="11008" xr:uid="{00000000-0005-0000-0000-00004B350000}"/>
    <cellStyle name="Percent 6 9 5 2" xfId="46613" xr:uid="{DE2300EC-8B2B-4F53-9C06-E0B9E3636BEA}"/>
    <cellStyle name="Percent 6 9 6" xfId="13881" xr:uid="{00000000-0005-0000-0000-00004C350000}"/>
    <cellStyle name="Percent 6 9 6 2" xfId="25957" xr:uid="{7C571DBB-9476-4EC6-B2CC-839DA7E2D74C}"/>
    <cellStyle name="Percent 6 9 6 3" xfId="20297" xr:uid="{9F0FB085-8EBB-428C-977F-9777FF4D918C}"/>
    <cellStyle name="Percent 6 9 6 4" xfId="31337" xr:uid="{7E81458B-61D7-4963-B02B-A5C54FBDF830}"/>
    <cellStyle name="Percent 6 9 6 5" xfId="46614" xr:uid="{E004F8D4-5F3D-48F2-B10C-07433723DDD6}"/>
    <cellStyle name="Percent 6 9 7" xfId="13803" xr:uid="{00000000-0005-0000-0000-00004D350000}"/>
    <cellStyle name="Percent 6 9 7 2" xfId="46615" xr:uid="{B6480A54-8B36-4BCF-A3DC-7490E09FD7E8}"/>
    <cellStyle name="Percent 6 9 8" xfId="8985" xr:uid="{00000000-0005-0000-0000-00004E350000}"/>
    <cellStyle name="Percent 6 9 8 2" xfId="46616" xr:uid="{75D25294-9D2B-4EC6-A168-EDDC55A216D0}"/>
    <cellStyle name="Percent 6 9 9" xfId="22612" xr:uid="{D0FA5508-5BE5-4EF4-A3FE-576ACE6D26D7}"/>
    <cellStyle name="Percent 7" xfId="287" xr:uid="{00000000-0005-0000-0000-00004F350000}"/>
    <cellStyle name="Percent 7 10" xfId="5028" xr:uid="{00000000-0005-0000-0000-000050350000}"/>
    <cellStyle name="Percent 7 10 10" xfId="46618" xr:uid="{A1F85B11-DAAF-4C1C-8700-163F9CB6107F}"/>
    <cellStyle name="Percent 7 10 2" xfId="6445" xr:uid="{00000000-0005-0000-0000-000051350000}"/>
    <cellStyle name="Percent 7 10 2 2" xfId="7709" xr:uid="{00000000-0005-0000-0000-000052350000}"/>
    <cellStyle name="Percent 7 10 2 2 2" xfId="16142" xr:uid="{00000000-0005-0000-0000-000053350000}"/>
    <cellStyle name="Percent 7 10 2 2 2 2" xfId="28036" xr:uid="{4B294EC6-B576-48CA-9777-68EA6CF6E7F6}"/>
    <cellStyle name="Percent 7 10 2 2 2 3" xfId="22376" xr:uid="{A2269ADA-8A49-4E0D-9DAE-F812BB156766}"/>
    <cellStyle name="Percent 7 10 2 2 2 4" xfId="33416" xr:uid="{BE37DAD4-7D73-4023-8F62-FE6E9BFCA066}"/>
    <cellStyle name="Percent 7 10 2 2 2 5" xfId="46621" xr:uid="{F68E9EE7-510B-446A-A843-7BAC6C9DD1DF}"/>
    <cellStyle name="Percent 7 10 2 2 3" xfId="25203" xr:uid="{13C85B75-4900-4CA7-B581-60D374FC971E}"/>
    <cellStyle name="Percent 7 10 2 2 4" xfId="19543" xr:uid="{7D9E2E97-7567-43C4-A3F8-48134E6CBC95}"/>
    <cellStyle name="Percent 7 10 2 2 5" xfId="30864" xr:uid="{F9D04701-309E-48C6-89CF-CFBB6A2F6E9C}"/>
    <cellStyle name="Percent 7 10 2 2 6" xfId="46620" xr:uid="{96DB9FAD-6ECB-441B-B08C-839CBC203BA7}"/>
    <cellStyle name="Percent 7 10 2 3" xfId="14878" xr:uid="{00000000-0005-0000-0000-000054350000}"/>
    <cellStyle name="Percent 7 10 2 3 2" xfId="26780" xr:uid="{3345B921-65AE-439C-A239-50FD78323617}"/>
    <cellStyle name="Percent 7 10 2 3 3" xfId="21120" xr:uid="{7C6F84CD-F720-4EE7-9F4E-E2FD471F5758}"/>
    <cellStyle name="Percent 7 10 2 3 4" xfId="32160" xr:uid="{B48617B1-9872-4738-9D4D-CB8CD208AE3D}"/>
    <cellStyle name="Percent 7 10 2 3 5" xfId="46622" xr:uid="{D5A132D3-AD6A-4D6B-9936-C79C4618E344}"/>
    <cellStyle name="Percent 7 10 2 4" xfId="23947" xr:uid="{9BFF75CC-D31B-41D2-9BAB-8A6C0360AF25}"/>
    <cellStyle name="Percent 7 10 2 5" xfId="18287" xr:uid="{A30B4C35-4A48-4F78-985A-CB2FB5BF1B83}"/>
    <cellStyle name="Percent 7 10 2 6" xfId="29608" xr:uid="{647BECE3-2D36-4F0E-8A55-873C9C0EF29A}"/>
    <cellStyle name="Percent 7 10 2 7" xfId="46619" xr:uid="{30E0BD3F-D94B-47A3-B75A-612B16321EC3}"/>
    <cellStyle name="Percent 7 10 3" xfId="6891" xr:uid="{00000000-0005-0000-0000-000055350000}"/>
    <cellStyle name="Percent 7 10 3 2" xfId="15324" xr:uid="{00000000-0005-0000-0000-000056350000}"/>
    <cellStyle name="Percent 7 10 3 2 2" xfId="27218" xr:uid="{FA88C6F2-3FCA-4BA7-B001-F68F8C4542F7}"/>
    <cellStyle name="Percent 7 10 3 2 3" xfId="21558" xr:uid="{70D4D21A-5E30-4073-8A47-9F7C8B2B2FCA}"/>
    <cellStyle name="Percent 7 10 3 2 4" xfId="32598" xr:uid="{5443D714-DF36-4123-B5C5-A4E7EE6EB384}"/>
    <cellStyle name="Percent 7 10 3 2 5" xfId="46624" xr:uid="{D0F92866-8EE9-4F50-A962-9D3FD22C171E}"/>
    <cellStyle name="Percent 7 10 3 3" xfId="24385" xr:uid="{14AF5F52-F643-4990-9528-8D96FDB83DAC}"/>
    <cellStyle name="Percent 7 10 3 4" xfId="18725" xr:uid="{AD6034C1-529B-4982-86E3-659F747940AD}"/>
    <cellStyle name="Percent 7 10 3 5" xfId="30046" xr:uid="{B9AB8F68-A7E8-4827-B076-37A2ECA4A987}"/>
    <cellStyle name="Percent 7 10 3 6" xfId="46623" xr:uid="{B0161202-3F94-49AD-8F5B-E043B05F8CD9}"/>
    <cellStyle name="Percent 7 10 4" xfId="13932" xr:uid="{00000000-0005-0000-0000-000057350000}"/>
    <cellStyle name="Percent 7 10 4 2" xfId="25973" xr:uid="{F53BC744-165E-4306-A49A-34DA12BBF5CF}"/>
    <cellStyle name="Percent 7 10 4 3" xfId="20313" xr:uid="{8214074E-321D-4212-A580-61312AC6B0FB}"/>
    <cellStyle name="Percent 7 10 4 4" xfId="31353" xr:uid="{60B6D4B8-08A8-450C-B263-CF3B05111E6C}"/>
    <cellStyle name="Percent 7 10 4 5" xfId="46625" xr:uid="{3C94A4B0-8401-4FC6-A69D-C11C52573333}"/>
    <cellStyle name="Percent 7 10 5" xfId="16680" xr:uid="{00000000-0005-0000-0000-000058350000}"/>
    <cellStyle name="Percent 7 10 5 2" xfId="46626" xr:uid="{88D12B9B-DADA-46AF-BDAB-F3E56634F669}"/>
    <cellStyle name="Percent 7 10 6" xfId="8987" xr:uid="{00000000-0005-0000-0000-000059350000}"/>
    <cellStyle name="Percent 7 10 6 2" xfId="46627" xr:uid="{B6DD3D8A-775D-4D98-AAEA-C7D78827C342}"/>
    <cellStyle name="Percent 7 10 7" xfId="22823" xr:uid="{0B2FA72F-5251-452C-900E-E9DD99432DEB}"/>
    <cellStyle name="Percent 7 10 8" xfId="17163" xr:uid="{2F90E53D-B62D-42DA-8D54-8884935BD322}"/>
    <cellStyle name="Percent 7 10 9" xfId="28484" xr:uid="{9E450C52-CBE8-4CE4-B51E-0B52D4A8E50D}"/>
    <cellStyle name="Percent 7 11" xfId="6473" xr:uid="{00000000-0005-0000-0000-00005A350000}"/>
    <cellStyle name="Percent 7 11 2" xfId="14906" xr:uid="{00000000-0005-0000-0000-00005B350000}"/>
    <cellStyle name="Percent 7 11 2 2" xfId="26800" xr:uid="{3A2ACC44-C1D8-440C-9B77-3419ACFE2D8E}"/>
    <cellStyle name="Percent 7 11 2 3" xfId="21140" xr:uid="{86B76E25-DA67-4003-996C-FA5A4106E751}"/>
    <cellStyle name="Percent 7 11 2 4" xfId="32180" xr:uid="{BBD27E02-0686-40A6-8E2B-E0A413A2B26F}"/>
    <cellStyle name="Percent 7 11 2 5" xfId="46629" xr:uid="{E910AE9B-287A-4A0D-81FF-A45150BB374F}"/>
    <cellStyle name="Percent 7 11 3" xfId="11009" xr:uid="{00000000-0005-0000-0000-00005C350000}"/>
    <cellStyle name="Percent 7 11 3 2" xfId="46630" xr:uid="{87822A5F-FA5E-45DE-825C-E172BA4A35BE}"/>
    <cellStyle name="Percent 7 11 4" xfId="23967" xr:uid="{FF50CFF7-5B02-4BEE-AE00-D33D687ECBE0}"/>
    <cellStyle name="Percent 7 11 5" xfId="18307" xr:uid="{C3C6CF3C-EA1F-47D6-92B7-8AD0CC8CE218}"/>
    <cellStyle name="Percent 7 11 6" xfId="29628" xr:uid="{CCA7C6D1-0D2F-41DB-A2DB-6DD1FD4ACCC8}"/>
    <cellStyle name="Percent 7 11 7" xfId="46628" xr:uid="{472ED7B2-E5D4-4E3F-BF92-50DE48C76BD1}"/>
    <cellStyle name="Percent 7 12" xfId="11010" xr:uid="{00000000-0005-0000-0000-00005D350000}"/>
    <cellStyle name="Percent 7 12 2" xfId="46631" xr:uid="{0A805BD4-CE59-446A-AB6B-02EA945C96F0}"/>
    <cellStyle name="Percent 7 13" xfId="11011" xr:uid="{00000000-0005-0000-0000-00005E350000}"/>
    <cellStyle name="Percent 7 13 2" xfId="46632" xr:uid="{B5999A68-2396-447E-BE70-FB95CD8F2B66}"/>
    <cellStyle name="Percent 7 14" xfId="11012" xr:uid="{00000000-0005-0000-0000-00005F350000}"/>
    <cellStyle name="Percent 7 14 2" xfId="46633" xr:uid="{4881888B-ABBF-4494-8E76-C1B519470E55}"/>
    <cellStyle name="Percent 7 15" xfId="12300" xr:uid="{00000000-0005-0000-0000-000060350000}"/>
    <cellStyle name="Percent 7 15 2" xfId="46634" xr:uid="{0CF0F1C5-62C0-490F-86C0-A64456077913}"/>
    <cellStyle name="Percent 7 16" xfId="12470" xr:uid="{00000000-0005-0000-0000-000061350000}"/>
    <cellStyle name="Percent 7 16 2" xfId="25710" xr:uid="{0984786F-AEFE-452D-B818-757F1002E155}"/>
    <cellStyle name="Percent 7 16 3" xfId="20050" xr:uid="{20BE49BC-2942-4597-88B3-B928D8F377B9}"/>
    <cellStyle name="Percent 7 16 4" xfId="31332" xr:uid="{56973858-CF62-4196-9337-AC6DEC607CBD}"/>
    <cellStyle name="Percent 7 16 5" xfId="46635" xr:uid="{501C6C28-CB3E-4D36-BE75-2913613D8999}"/>
    <cellStyle name="Percent 7 17" xfId="14326" xr:uid="{00000000-0005-0000-0000-000062350000}"/>
    <cellStyle name="Percent 7 17 2" xfId="46636" xr:uid="{B627DB44-09D4-4844-B847-D5E2E6F9D75A}"/>
    <cellStyle name="Percent 7 18" xfId="8986" xr:uid="{00000000-0005-0000-0000-000063350000}"/>
    <cellStyle name="Percent 7 18 2" xfId="46637" xr:uid="{0FC21E4B-1DD1-4001-9D03-86D04289D4B9}"/>
    <cellStyle name="Percent 7 19" xfId="22405" xr:uid="{23448EF4-EA72-4ABE-86A9-3AE48A26297B}"/>
    <cellStyle name="Percent 7 2" xfId="2956" xr:uid="{00000000-0005-0000-0000-000064350000}"/>
    <cellStyle name="Percent 7 2 2" xfId="11013" xr:uid="{00000000-0005-0000-0000-000065350000}"/>
    <cellStyle name="Percent 7 2 2 2" xfId="46639" xr:uid="{1A4A4BBE-54EF-43BC-9D35-038A668866F3}"/>
    <cellStyle name="Percent 7 2 3" xfId="11014" xr:uid="{00000000-0005-0000-0000-000066350000}"/>
    <cellStyle name="Percent 7 2 3 2" xfId="46640" xr:uid="{E7499927-B2D1-4E97-B7AA-8BEEE11795D6}"/>
    <cellStyle name="Percent 7 2 4" xfId="11015" xr:uid="{00000000-0005-0000-0000-000067350000}"/>
    <cellStyle name="Percent 7 2 4 2" xfId="46641" xr:uid="{1B79D8EC-BF70-4FD9-A859-8F03E1EF9AF3}"/>
    <cellStyle name="Percent 7 2 5" xfId="11016" xr:uid="{00000000-0005-0000-0000-000068350000}"/>
    <cellStyle name="Percent 7 2 5 2" xfId="46642" xr:uid="{DFD599E7-AFDE-4AEE-B7BA-E6FEFD5811F9}"/>
    <cellStyle name="Percent 7 2 6" xfId="12301" xr:uid="{00000000-0005-0000-0000-000069350000}"/>
    <cellStyle name="Percent 7 2 6 2" xfId="46643" xr:uid="{F932EDD3-AD31-430D-8B1D-408D907D9591}"/>
    <cellStyle name="Percent 7 2 7" xfId="14315" xr:uid="{00000000-0005-0000-0000-00006A350000}"/>
    <cellStyle name="Percent 7 2 7 2" xfId="46644" xr:uid="{1459810F-A9DA-4D9C-B10A-26C21B0B0220}"/>
    <cellStyle name="Percent 7 2 8" xfId="8988" xr:uid="{00000000-0005-0000-0000-00006B350000}"/>
    <cellStyle name="Percent 7 2 8 2" xfId="46645" xr:uid="{B03BBD57-DD84-481D-983E-03FABD4F8369}"/>
    <cellStyle name="Percent 7 2 9" xfId="46638" xr:uid="{5BCA4B51-F3B7-4254-83BE-965E7427F562}"/>
    <cellStyle name="Percent 7 20" xfId="16745" xr:uid="{A02EB2BF-5B41-4F55-BC3A-946EC96F4E33}"/>
    <cellStyle name="Percent 7 21" xfId="28066" xr:uid="{6938A6D4-1495-4749-8EB4-2E21B4767FAC}"/>
    <cellStyle name="Percent 7 22" xfId="46617" xr:uid="{F71CDDB0-B736-4281-8595-ED59CCCDEF42}"/>
    <cellStyle name="Percent 7 3" xfId="4725" xr:uid="{00000000-0005-0000-0000-00006C350000}"/>
    <cellStyle name="Percent 7 3 2" xfId="11017" xr:uid="{00000000-0005-0000-0000-00006D350000}"/>
    <cellStyle name="Percent 7 3 2 2" xfId="46647" xr:uid="{03238FB7-579D-4C54-BFBC-5E830166198F}"/>
    <cellStyle name="Percent 7 3 3" xfId="11018" xr:uid="{00000000-0005-0000-0000-00006E350000}"/>
    <cellStyle name="Percent 7 3 3 2" xfId="46648" xr:uid="{3916D606-1B92-4481-A800-AC6FC7801E45}"/>
    <cellStyle name="Percent 7 3 4" xfId="11019" xr:uid="{00000000-0005-0000-0000-00006F350000}"/>
    <cellStyle name="Percent 7 3 4 2" xfId="46649" xr:uid="{5A60C110-9C47-4F1E-B318-1F4091E328D5}"/>
    <cellStyle name="Percent 7 3 5" xfId="11020" xr:uid="{00000000-0005-0000-0000-000070350000}"/>
    <cellStyle name="Percent 7 3 5 2" xfId="46650" xr:uid="{4DAB13F5-E95F-44CC-B28C-DB44E8CFC94B}"/>
    <cellStyle name="Percent 7 3 6" xfId="12302" xr:uid="{00000000-0005-0000-0000-000071350000}"/>
    <cellStyle name="Percent 7 3 6 2" xfId="46651" xr:uid="{F88A8C09-6E90-4047-8882-5A5BF2E84146}"/>
    <cellStyle name="Percent 7 3 7" xfId="13856" xr:uid="{00000000-0005-0000-0000-000072350000}"/>
    <cellStyle name="Percent 7 3 7 2" xfId="46652" xr:uid="{ED2C7338-FB4C-43D9-8CF6-B289097ED4A0}"/>
    <cellStyle name="Percent 7 3 8" xfId="8989" xr:uid="{00000000-0005-0000-0000-000073350000}"/>
    <cellStyle name="Percent 7 3 8 2" xfId="46653" xr:uid="{A37ADF57-5EB7-4951-883C-0D0B38272335}"/>
    <cellStyle name="Percent 7 3 9" xfId="46646" xr:uid="{FE354DF2-409C-4BD7-89AB-A0245328AD16}"/>
    <cellStyle name="Percent 7 4" xfId="4726" xr:uid="{00000000-0005-0000-0000-000074350000}"/>
    <cellStyle name="Percent 7 4 2" xfId="11021" xr:uid="{00000000-0005-0000-0000-000075350000}"/>
    <cellStyle name="Percent 7 4 2 2" xfId="46655" xr:uid="{EE74399C-B20F-4B85-9E05-B9D4C4A6BC33}"/>
    <cellStyle name="Percent 7 4 3" xfId="11022" xr:uid="{00000000-0005-0000-0000-000076350000}"/>
    <cellStyle name="Percent 7 4 3 2" xfId="46656" xr:uid="{B18CC162-6491-43EF-931B-84B1A9291F93}"/>
    <cellStyle name="Percent 7 4 4" xfId="11023" xr:uid="{00000000-0005-0000-0000-000077350000}"/>
    <cellStyle name="Percent 7 4 4 2" xfId="46657" xr:uid="{A84B4FBF-057F-4EB6-A5D8-A9875F81F63F}"/>
    <cellStyle name="Percent 7 4 5" xfId="11024" xr:uid="{00000000-0005-0000-0000-000078350000}"/>
    <cellStyle name="Percent 7 4 5 2" xfId="46658" xr:uid="{8B704BF8-93EB-47A8-B366-A8F9F642963D}"/>
    <cellStyle name="Percent 7 4 6" xfId="12303" xr:uid="{00000000-0005-0000-0000-000079350000}"/>
    <cellStyle name="Percent 7 4 6 2" xfId="46659" xr:uid="{20722866-EC72-4343-8AC2-EC599EAB9754}"/>
    <cellStyle name="Percent 7 4 7" xfId="13857" xr:uid="{00000000-0005-0000-0000-00007A350000}"/>
    <cellStyle name="Percent 7 4 7 2" xfId="46660" xr:uid="{26E5636A-5F3F-459D-AD3A-4F97F14ACE6B}"/>
    <cellStyle name="Percent 7 4 8" xfId="8990" xr:uid="{00000000-0005-0000-0000-00007B350000}"/>
    <cellStyle name="Percent 7 4 8 2" xfId="46661" xr:uid="{41FA9A70-4966-4055-800D-6CD60BC4AE58}"/>
    <cellStyle name="Percent 7 4 9" xfId="46654" xr:uid="{76AD49E7-6727-44EB-B544-B70C2B0008C2}"/>
    <cellStyle name="Percent 7 5" xfId="4727" xr:uid="{00000000-0005-0000-0000-00007C350000}"/>
    <cellStyle name="Percent 7 5 2" xfId="11025" xr:uid="{00000000-0005-0000-0000-00007D350000}"/>
    <cellStyle name="Percent 7 5 2 2" xfId="46663" xr:uid="{C45B5A84-351D-4323-8836-9C3D341D6F82}"/>
    <cellStyle name="Percent 7 5 3" xfId="11026" xr:uid="{00000000-0005-0000-0000-00007E350000}"/>
    <cellStyle name="Percent 7 5 3 2" xfId="46664" xr:uid="{FD0AD683-1771-4B6C-AFD8-7566B9C0ED44}"/>
    <cellStyle name="Percent 7 5 4" xfId="11027" xr:uid="{00000000-0005-0000-0000-00007F350000}"/>
    <cellStyle name="Percent 7 5 4 2" xfId="46665" xr:uid="{27934BE5-9384-4C79-B4AA-4784345A2E28}"/>
    <cellStyle name="Percent 7 5 5" xfId="11028" xr:uid="{00000000-0005-0000-0000-000080350000}"/>
    <cellStyle name="Percent 7 5 5 2" xfId="46666" xr:uid="{7637F7D0-6FDE-4CB4-9A2C-860FE2D372D3}"/>
    <cellStyle name="Percent 7 5 6" xfId="12304" xr:uid="{00000000-0005-0000-0000-000081350000}"/>
    <cellStyle name="Percent 7 5 6 2" xfId="46667" xr:uid="{756AB60B-95C3-4DF9-88E3-3AD185B8C340}"/>
    <cellStyle name="Percent 7 5 7" xfId="13834" xr:uid="{00000000-0005-0000-0000-000082350000}"/>
    <cellStyle name="Percent 7 5 7 2" xfId="46668" xr:uid="{597710F3-4C7E-4239-BA06-65CBBB0C10B1}"/>
    <cellStyle name="Percent 7 5 8" xfId="8991" xr:uid="{00000000-0005-0000-0000-000083350000}"/>
    <cellStyle name="Percent 7 5 8 2" xfId="46669" xr:uid="{D252869E-33BB-4547-A98B-43393F992692}"/>
    <cellStyle name="Percent 7 5 9" xfId="46662" xr:uid="{9CFCCFB8-49EC-4C5C-B751-713BBA58DA04}"/>
    <cellStyle name="Percent 7 6" xfId="4728" xr:uid="{00000000-0005-0000-0000-000084350000}"/>
    <cellStyle name="Percent 7 6 2" xfId="11029" xr:uid="{00000000-0005-0000-0000-000085350000}"/>
    <cellStyle name="Percent 7 6 2 2" xfId="46671" xr:uid="{7C85244B-E4DD-4D3F-ACBE-49A8CC79756F}"/>
    <cellStyle name="Percent 7 6 3" xfId="11030" xr:uid="{00000000-0005-0000-0000-000086350000}"/>
    <cellStyle name="Percent 7 6 3 2" xfId="46672" xr:uid="{93421205-51D4-46CC-962E-356BEC23825F}"/>
    <cellStyle name="Percent 7 6 4" xfId="11031" xr:uid="{00000000-0005-0000-0000-000087350000}"/>
    <cellStyle name="Percent 7 6 4 2" xfId="46673" xr:uid="{711DAA0C-4584-4806-BA40-8AC2BAC7EE94}"/>
    <cellStyle name="Percent 7 6 5" xfId="11032" xr:uid="{00000000-0005-0000-0000-000088350000}"/>
    <cellStyle name="Percent 7 6 5 2" xfId="46674" xr:uid="{DD804885-E1C9-4CA5-9ACD-F6B1B1DAEB77}"/>
    <cellStyle name="Percent 7 6 6" xfId="12305" xr:uid="{00000000-0005-0000-0000-000089350000}"/>
    <cellStyle name="Percent 7 6 6 2" xfId="46675" xr:uid="{D9990CA5-147B-40E5-9C39-873BB89B7E29}"/>
    <cellStyle name="Percent 7 6 7" xfId="16626" xr:uid="{00000000-0005-0000-0000-00008A350000}"/>
    <cellStyle name="Percent 7 6 7 2" xfId="46676" xr:uid="{D22F2BE9-9704-46B0-8BA4-3AFF5B7ABD9E}"/>
    <cellStyle name="Percent 7 6 8" xfId="8992" xr:uid="{00000000-0005-0000-0000-00008B350000}"/>
    <cellStyle name="Percent 7 6 8 2" xfId="46677" xr:uid="{57C3966A-A4E5-4F9D-939A-A3CC0F3E3112}"/>
    <cellStyle name="Percent 7 6 9" xfId="46670" xr:uid="{F0EA59D1-8E3D-4CB9-A16B-4A1BB01C6103}"/>
    <cellStyle name="Percent 7 7" xfId="4729" xr:uid="{00000000-0005-0000-0000-00008C350000}"/>
    <cellStyle name="Percent 7 7 2" xfId="11033" xr:uid="{00000000-0005-0000-0000-00008D350000}"/>
    <cellStyle name="Percent 7 7 2 2" xfId="46679" xr:uid="{3D1D88A6-6DD4-4BB7-AC42-D1FD0CA6AD4F}"/>
    <cellStyle name="Percent 7 7 3" xfId="11034" xr:uid="{00000000-0005-0000-0000-00008E350000}"/>
    <cellStyle name="Percent 7 7 3 2" xfId="46680" xr:uid="{6011200C-67CA-4FF3-A76D-701956188E1F}"/>
    <cellStyle name="Percent 7 7 4" xfId="11035" xr:uid="{00000000-0005-0000-0000-00008F350000}"/>
    <cellStyle name="Percent 7 7 4 2" xfId="46681" xr:uid="{AF821559-E9DF-41E3-819E-B2AB7DB93838}"/>
    <cellStyle name="Percent 7 7 5" xfId="11036" xr:uid="{00000000-0005-0000-0000-000090350000}"/>
    <cellStyle name="Percent 7 7 5 2" xfId="46682" xr:uid="{7B88D3FE-F125-4E86-BEBA-73D2C6356AF2}"/>
    <cellStyle name="Percent 7 7 6" xfId="12306" xr:uid="{00000000-0005-0000-0000-000091350000}"/>
    <cellStyle name="Percent 7 7 6 2" xfId="46683" xr:uid="{72E3C4FF-7CAA-4762-BA7B-F9AD4C96132A}"/>
    <cellStyle name="Percent 7 7 7" xfId="12781" xr:uid="{00000000-0005-0000-0000-000092350000}"/>
    <cellStyle name="Percent 7 7 7 2" xfId="46684" xr:uid="{C158CF55-B80D-40D7-A07C-493C377E3676}"/>
    <cellStyle name="Percent 7 7 8" xfId="8993" xr:uid="{00000000-0005-0000-0000-000093350000}"/>
    <cellStyle name="Percent 7 7 8 2" xfId="46685" xr:uid="{5F4A948D-F17B-45DC-B5D4-5D4A7B941666}"/>
    <cellStyle name="Percent 7 7 9" xfId="46678" xr:uid="{E040864B-24BF-4D6C-8D18-F6D4961D9119}"/>
    <cellStyle name="Percent 7 8" xfId="4730" xr:uid="{00000000-0005-0000-0000-000094350000}"/>
    <cellStyle name="Percent 7 8 2" xfId="11037" xr:uid="{00000000-0005-0000-0000-000095350000}"/>
    <cellStyle name="Percent 7 8 2 2" xfId="46687" xr:uid="{9AFFC7EB-B9C7-4DBF-8B90-09473329E6AC}"/>
    <cellStyle name="Percent 7 8 3" xfId="11038" xr:uid="{00000000-0005-0000-0000-000096350000}"/>
    <cellStyle name="Percent 7 8 3 2" xfId="46688" xr:uid="{F029A2A3-25D6-4D30-B38A-D080A438A653}"/>
    <cellStyle name="Percent 7 8 4" xfId="11039" xr:uid="{00000000-0005-0000-0000-000097350000}"/>
    <cellStyle name="Percent 7 8 4 2" xfId="46689" xr:uid="{4C5B7C39-AB5D-469F-BEC7-9712B8B1E15B}"/>
    <cellStyle name="Percent 7 8 5" xfId="11040" xr:uid="{00000000-0005-0000-0000-000098350000}"/>
    <cellStyle name="Percent 7 8 5 2" xfId="46690" xr:uid="{27D8E70C-9940-49D7-A83B-45692A0B305B}"/>
    <cellStyle name="Percent 7 8 6" xfId="12307" xr:uid="{00000000-0005-0000-0000-000099350000}"/>
    <cellStyle name="Percent 7 8 6 2" xfId="46691" xr:uid="{DCFF1FBF-3ABE-4D24-9EF6-4EC30624AACC}"/>
    <cellStyle name="Percent 7 8 7" xfId="13770" xr:uid="{00000000-0005-0000-0000-00009A350000}"/>
    <cellStyle name="Percent 7 8 7 2" xfId="46692" xr:uid="{DEA7AEA3-12A9-40CD-B8FB-EFA6D0FA8191}"/>
    <cellStyle name="Percent 7 8 8" xfId="8994" xr:uid="{00000000-0005-0000-0000-00009B350000}"/>
    <cellStyle name="Percent 7 8 8 2" xfId="46693" xr:uid="{696C375F-8D8B-4C35-B864-F63CC0BEF4A4}"/>
    <cellStyle name="Percent 7 8 9" xfId="46686" xr:uid="{5FD93BEF-C1A1-430F-858B-0E4AE40D2A14}"/>
    <cellStyle name="Percent 7 9" xfId="4815" xr:uid="{00000000-0005-0000-0000-00009C350000}"/>
    <cellStyle name="Percent 7 9 10" xfId="16954" xr:uid="{EB9FB862-252F-4701-8DD6-D67E3E293ABB}"/>
    <cellStyle name="Percent 7 9 11" xfId="28275" xr:uid="{D36587B6-BF92-43A0-A711-6C7D24E8D6A6}"/>
    <cellStyle name="Percent 7 9 12" xfId="46694" xr:uid="{38174A2D-9BFE-49AA-B327-76851CDD7D0D}"/>
    <cellStyle name="Percent 7 9 2" xfId="5237" xr:uid="{00000000-0005-0000-0000-00009D350000}"/>
    <cellStyle name="Percent 7 9 2 2" xfId="7100" xr:uid="{00000000-0005-0000-0000-00009E350000}"/>
    <cellStyle name="Percent 7 9 2 2 2" xfId="15533" xr:uid="{00000000-0005-0000-0000-00009F350000}"/>
    <cellStyle name="Percent 7 9 2 2 2 2" xfId="27427" xr:uid="{0001AA8A-10EF-44D3-9322-DE59409003C8}"/>
    <cellStyle name="Percent 7 9 2 2 2 3" xfId="21767" xr:uid="{EEA7E78B-4DF1-46D3-9517-1122EBED8D5E}"/>
    <cellStyle name="Percent 7 9 2 2 2 4" xfId="32807" xr:uid="{02BBE748-F4C2-45C5-A218-9B412B6901C2}"/>
    <cellStyle name="Percent 7 9 2 2 2 5" xfId="46697" xr:uid="{A5FD66B3-B2B1-4422-AC2B-3B9F19040406}"/>
    <cellStyle name="Percent 7 9 2 2 3" xfId="24594" xr:uid="{61B518CA-A1D8-4027-896E-237E7039F312}"/>
    <cellStyle name="Percent 7 9 2 2 4" xfId="18934" xr:uid="{28BB8626-969A-4464-8E99-C6550B164BB7}"/>
    <cellStyle name="Percent 7 9 2 2 5" xfId="30255" xr:uid="{31A75CC7-3B4B-41F3-8375-5699C141E848}"/>
    <cellStyle name="Percent 7 9 2 2 6" xfId="46696" xr:uid="{81229321-6762-4B37-A52B-0A1F7CA22A84}"/>
    <cellStyle name="Percent 7 9 2 3" xfId="14123" xr:uid="{00000000-0005-0000-0000-0000A0350000}"/>
    <cellStyle name="Percent 7 9 2 3 2" xfId="26162" xr:uid="{74E477B6-B27B-44FA-B025-925E0FE14455}"/>
    <cellStyle name="Percent 7 9 2 3 3" xfId="20502" xr:uid="{BF29655D-989F-41FC-9A35-E6A027469DAB}"/>
    <cellStyle name="Percent 7 9 2 3 4" xfId="31542" xr:uid="{82725BCE-449B-4CB4-917B-A62553F2053E}"/>
    <cellStyle name="Percent 7 9 2 3 5" xfId="46698" xr:uid="{8911D14C-D848-4499-90E4-287A635CB202}"/>
    <cellStyle name="Percent 7 9 2 4" xfId="11041" xr:uid="{00000000-0005-0000-0000-0000A1350000}"/>
    <cellStyle name="Percent 7 9 2 4 2" xfId="46699" xr:uid="{3628331F-C2A5-4A63-AF2C-F53DE08E95DF}"/>
    <cellStyle name="Percent 7 9 2 5" xfId="23032" xr:uid="{1BE94221-D002-4E86-9512-A8917A96B994}"/>
    <cellStyle name="Percent 7 9 2 6" xfId="17372" xr:uid="{F91C6395-5593-4821-9022-95ABB9548695}"/>
    <cellStyle name="Percent 7 9 2 7" xfId="28693" xr:uid="{5C5DF295-16D8-45F1-AD30-7FE289525E8C}"/>
    <cellStyle name="Percent 7 9 2 8" xfId="46695" xr:uid="{7EDA2024-F911-46E8-AEF9-BCA9829CD0DF}"/>
    <cellStyle name="Percent 7 9 3" xfId="6446" xr:uid="{00000000-0005-0000-0000-0000A2350000}"/>
    <cellStyle name="Percent 7 9 3 2" xfId="7710" xr:uid="{00000000-0005-0000-0000-0000A3350000}"/>
    <cellStyle name="Percent 7 9 3 2 2" xfId="16143" xr:uid="{00000000-0005-0000-0000-0000A4350000}"/>
    <cellStyle name="Percent 7 9 3 2 2 2" xfId="28037" xr:uid="{0D6425C2-7F12-4005-B099-B6C0A7453E7B}"/>
    <cellStyle name="Percent 7 9 3 2 2 3" xfId="22377" xr:uid="{3048E7E9-AB4B-405F-981C-5AC7FED6A8C9}"/>
    <cellStyle name="Percent 7 9 3 2 2 4" xfId="33417" xr:uid="{C50FE699-479F-44C4-9BFD-415C7F1A2406}"/>
    <cellStyle name="Percent 7 9 3 2 2 5" xfId="46702" xr:uid="{03EA4BB0-9660-41C1-853C-3A57ACC02595}"/>
    <cellStyle name="Percent 7 9 3 2 3" xfId="25204" xr:uid="{1EDC1C43-050E-4B28-B63F-2B5C00001EA0}"/>
    <cellStyle name="Percent 7 9 3 2 4" xfId="19544" xr:uid="{F50A267C-37C1-497F-A67C-B800DB06B162}"/>
    <cellStyle name="Percent 7 9 3 2 5" xfId="30865" xr:uid="{7583E582-A3F6-4DE5-8FD3-BFACB2F972FD}"/>
    <cellStyle name="Percent 7 9 3 2 6" xfId="46701" xr:uid="{D1B45E0F-A6A4-43D6-A401-D9C35562F904}"/>
    <cellStyle name="Percent 7 9 3 3" xfId="14879" xr:uid="{00000000-0005-0000-0000-0000A5350000}"/>
    <cellStyle name="Percent 7 9 3 3 2" xfId="26781" xr:uid="{C0A123AC-5C74-4946-9A5C-DB7AAE563A77}"/>
    <cellStyle name="Percent 7 9 3 3 3" xfId="21121" xr:uid="{BD98C2DA-66F2-4589-BE4D-EB06F9089898}"/>
    <cellStyle name="Percent 7 9 3 3 4" xfId="32161" xr:uid="{B6A11D56-B0AD-4F46-A363-CD3C240D98CD}"/>
    <cellStyle name="Percent 7 9 3 3 5" xfId="46703" xr:uid="{BA875180-D4A6-4E27-B6E3-EF8704E5517A}"/>
    <cellStyle name="Percent 7 9 3 4" xfId="11042" xr:uid="{00000000-0005-0000-0000-0000A6350000}"/>
    <cellStyle name="Percent 7 9 3 4 2" xfId="46704" xr:uid="{2E933735-0EE5-4E26-B4EC-2D8610035361}"/>
    <cellStyle name="Percent 7 9 3 5" xfId="23948" xr:uid="{B0A8D7A2-942E-4A55-97F0-D513AA13492A}"/>
    <cellStyle name="Percent 7 9 3 6" xfId="18288" xr:uid="{0BBCEDB8-096E-4757-B99F-67E7030E663E}"/>
    <cellStyle name="Percent 7 9 3 7" xfId="29609" xr:uid="{CBE88371-2D15-4C2E-80C4-A3812E84CE61}"/>
    <cellStyle name="Percent 7 9 3 8" xfId="46700" xr:uid="{22487526-D466-480C-B717-E50183A5092B}"/>
    <cellStyle name="Percent 7 9 4" xfId="6682" xr:uid="{00000000-0005-0000-0000-0000A7350000}"/>
    <cellStyle name="Percent 7 9 4 2" xfId="15115" xr:uid="{00000000-0005-0000-0000-0000A8350000}"/>
    <cellStyle name="Percent 7 9 4 2 2" xfId="27009" xr:uid="{3423732F-E791-48DC-9DFF-E45D72F48845}"/>
    <cellStyle name="Percent 7 9 4 2 3" xfId="21349" xr:uid="{B6C85C66-769C-4734-9EC6-25326D9CF787}"/>
    <cellStyle name="Percent 7 9 4 2 4" xfId="32389" xr:uid="{39BAF2A2-7347-4EF4-9C2B-FDCEA6ABCCE1}"/>
    <cellStyle name="Percent 7 9 4 2 5" xfId="46706" xr:uid="{5A1C5B7D-8AF5-4AA2-A34E-07FACCC0DCE6}"/>
    <cellStyle name="Percent 7 9 4 3" xfId="11043" xr:uid="{00000000-0005-0000-0000-0000A9350000}"/>
    <cellStyle name="Percent 7 9 4 3 2" xfId="46707" xr:uid="{4E67D6FA-1DC8-4A9C-9EE4-4CD78135B81F}"/>
    <cellStyle name="Percent 7 9 4 4" xfId="24176" xr:uid="{3DC66A29-FF09-453D-932E-81DE5FF0D5A1}"/>
    <cellStyle name="Percent 7 9 4 5" xfId="18516" xr:uid="{3949F273-5F12-4425-AA36-43AA23132898}"/>
    <cellStyle name="Percent 7 9 4 6" xfId="29837" xr:uid="{B390903C-B118-42E8-A0F8-4A0689CD815B}"/>
    <cellStyle name="Percent 7 9 4 7" xfId="46705" xr:uid="{0C4A2DBD-EC3E-4271-9D44-2821E6F18DA4}"/>
    <cellStyle name="Percent 7 9 5" xfId="11044" xr:uid="{00000000-0005-0000-0000-0000AA350000}"/>
    <cellStyle name="Percent 7 9 5 2" xfId="46708" xr:uid="{36F81CE2-BEB3-4F21-950C-A30CC86E15C3}"/>
    <cellStyle name="Percent 7 9 6" xfId="13882" xr:uid="{00000000-0005-0000-0000-0000AB350000}"/>
    <cellStyle name="Percent 7 9 6 2" xfId="25958" xr:uid="{4A30B98A-4E2C-4557-9208-986DBFF037C1}"/>
    <cellStyle name="Percent 7 9 6 3" xfId="20298" xr:uid="{18306C8B-C3F2-4AE4-86A8-AFDC7735A4D1}"/>
    <cellStyle name="Percent 7 9 6 4" xfId="31338" xr:uid="{85C53D81-1433-4E8F-A275-2BB4F474DE5B}"/>
    <cellStyle name="Percent 7 9 6 5" xfId="46709" xr:uid="{A1B76F9A-177F-4A21-8651-8BD522CCC2E9}"/>
    <cellStyle name="Percent 7 9 7" xfId="13515" xr:uid="{00000000-0005-0000-0000-0000AC350000}"/>
    <cellStyle name="Percent 7 9 7 2" xfId="46710" xr:uid="{11F89F45-99F7-491D-8780-E3797A7B3E40}"/>
    <cellStyle name="Percent 7 9 8" xfId="8995" xr:uid="{00000000-0005-0000-0000-0000AD350000}"/>
    <cellStyle name="Percent 7 9 8 2" xfId="46711" xr:uid="{EBD73FA4-C33C-42EC-8225-6D9FAB11D07E}"/>
    <cellStyle name="Percent 7 9 9" xfId="22614" xr:uid="{1D616C34-523D-46DF-8340-98E15E60DF5D}"/>
    <cellStyle name="Percent 8" xfId="2957" xr:uid="{00000000-0005-0000-0000-0000AE350000}"/>
    <cellStyle name="Percent 8 10" xfId="11045" xr:uid="{00000000-0005-0000-0000-0000AF350000}"/>
    <cellStyle name="Percent 8 10 2" xfId="46713" xr:uid="{3637F1B0-AD63-437A-91D8-E52FEC6E577D}"/>
    <cellStyle name="Percent 8 11" xfId="11046" xr:uid="{00000000-0005-0000-0000-0000B0350000}"/>
    <cellStyle name="Percent 8 11 2" xfId="46714" xr:uid="{8C83F5E3-FEA0-44C1-B1DA-4245F7609FB9}"/>
    <cellStyle name="Percent 8 12" xfId="11047" xr:uid="{00000000-0005-0000-0000-0000B1350000}"/>
    <cellStyle name="Percent 8 12 2" xfId="46715" xr:uid="{1644792F-69D0-4743-8D5E-7CF056AB22FF}"/>
    <cellStyle name="Percent 8 13" xfId="12308" xr:uid="{00000000-0005-0000-0000-0000B2350000}"/>
    <cellStyle name="Percent 8 13 2" xfId="46716" xr:uid="{FCD7F272-43E7-4174-8BAF-90484CFCEEE7}"/>
    <cellStyle name="Percent 8 14" xfId="12721" xr:uid="{00000000-0005-0000-0000-0000B3350000}"/>
    <cellStyle name="Percent 8 14 2" xfId="46717" xr:uid="{3225C32A-3F7E-4030-8B74-EA7EED5FBD3C}"/>
    <cellStyle name="Percent 8 15" xfId="8996" xr:uid="{00000000-0005-0000-0000-0000B4350000}"/>
    <cellStyle name="Percent 8 15 2" xfId="46718" xr:uid="{01159A5E-72E9-4B62-ACF5-3074EF5E1C15}"/>
    <cellStyle name="Percent 8 16" xfId="46712" xr:uid="{2692BA72-62B8-4980-934A-9E714D02DFD7}"/>
    <cellStyle name="Percent 8 2" xfId="4731" xr:uid="{00000000-0005-0000-0000-0000B5350000}"/>
    <cellStyle name="Percent 8 2 2" xfId="11048" xr:uid="{00000000-0005-0000-0000-0000B6350000}"/>
    <cellStyle name="Percent 8 2 2 2" xfId="46720" xr:uid="{6CDD9EC6-6BAD-4728-BAE9-2D7BB124E111}"/>
    <cellStyle name="Percent 8 2 3" xfId="11049" xr:uid="{00000000-0005-0000-0000-0000B7350000}"/>
    <cellStyle name="Percent 8 2 3 2" xfId="46721" xr:uid="{6EBEE501-53A5-41B7-BB8C-659A782AD044}"/>
    <cellStyle name="Percent 8 2 4" xfId="11050" xr:uid="{00000000-0005-0000-0000-0000B8350000}"/>
    <cellStyle name="Percent 8 2 4 2" xfId="46722" xr:uid="{1A97E740-2287-452A-A4B3-2A114DFCB20A}"/>
    <cellStyle name="Percent 8 2 5" xfId="11051" xr:uid="{00000000-0005-0000-0000-0000B9350000}"/>
    <cellStyle name="Percent 8 2 5 2" xfId="46723" xr:uid="{1776D250-B8F4-4B67-B189-D149F8F0FC48}"/>
    <cellStyle name="Percent 8 2 6" xfId="12309" xr:uid="{00000000-0005-0000-0000-0000BA350000}"/>
    <cellStyle name="Percent 8 2 6 2" xfId="46724" xr:uid="{D0EFED9A-D16A-44CA-A3A8-44A25D2D8CC7}"/>
    <cellStyle name="Percent 8 2 7" xfId="12719" xr:uid="{00000000-0005-0000-0000-0000BB350000}"/>
    <cellStyle name="Percent 8 2 7 2" xfId="46725" xr:uid="{B9CBEEC0-A740-4312-BAE9-B6B20315E6A4}"/>
    <cellStyle name="Percent 8 2 8" xfId="8997" xr:uid="{00000000-0005-0000-0000-0000BC350000}"/>
    <cellStyle name="Percent 8 2 8 2" xfId="46726" xr:uid="{30AA5FFE-FC92-4C2B-B84E-7221DEE15BE6}"/>
    <cellStyle name="Percent 8 2 9" xfId="46719" xr:uid="{65544E6D-2C3E-4B33-96FD-4FC3FED56426}"/>
    <cellStyle name="Percent 8 3" xfId="4732" xr:uid="{00000000-0005-0000-0000-0000BD350000}"/>
    <cellStyle name="Percent 8 3 2" xfId="11052" xr:uid="{00000000-0005-0000-0000-0000BE350000}"/>
    <cellStyle name="Percent 8 3 2 2" xfId="46728" xr:uid="{B599C5B0-CE83-4D67-9E78-470DCBFCBFBA}"/>
    <cellStyle name="Percent 8 3 3" xfId="11053" xr:uid="{00000000-0005-0000-0000-0000BF350000}"/>
    <cellStyle name="Percent 8 3 3 2" xfId="46729" xr:uid="{E00C1941-33B3-4A4E-A59A-134FB3D299E5}"/>
    <cellStyle name="Percent 8 3 4" xfId="11054" xr:uid="{00000000-0005-0000-0000-0000C0350000}"/>
    <cellStyle name="Percent 8 3 4 2" xfId="46730" xr:uid="{709912A4-A7AB-41FB-B8B6-FF298AC831AC}"/>
    <cellStyle name="Percent 8 3 5" xfId="11055" xr:uid="{00000000-0005-0000-0000-0000C1350000}"/>
    <cellStyle name="Percent 8 3 5 2" xfId="46731" xr:uid="{7B04B0E5-C6A9-4FF0-8F63-3B7717DEDFE3}"/>
    <cellStyle name="Percent 8 3 6" xfId="12310" xr:uid="{00000000-0005-0000-0000-0000C2350000}"/>
    <cellStyle name="Percent 8 3 6 2" xfId="46732" xr:uid="{8E22B28D-FAA6-4F5D-A6C8-12811A28F4ED}"/>
    <cellStyle name="Percent 8 3 7" xfId="13466" xr:uid="{00000000-0005-0000-0000-0000C3350000}"/>
    <cellStyle name="Percent 8 3 7 2" xfId="46733" xr:uid="{10A01329-57F6-46F4-96CB-28EECAF165A6}"/>
    <cellStyle name="Percent 8 3 8" xfId="8998" xr:uid="{00000000-0005-0000-0000-0000C4350000}"/>
    <cellStyle name="Percent 8 3 8 2" xfId="46734" xr:uid="{19340880-D59B-4C03-A1F8-2341F6840EBF}"/>
    <cellStyle name="Percent 8 3 9" xfId="46727" xr:uid="{AEEFBEB4-334C-4E18-BB50-F8BFF4A3DE77}"/>
    <cellStyle name="Percent 8 4" xfId="4733" xr:uid="{00000000-0005-0000-0000-0000C5350000}"/>
    <cellStyle name="Percent 8 4 2" xfId="11056" xr:uid="{00000000-0005-0000-0000-0000C6350000}"/>
    <cellStyle name="Percent 8 4 2 2" xfId="46736" xr:uid="{C6968D36-9D0B-475F-9E20-9F5DA9BFAF8D}"/>
    <cellStyle name="Percent 8 4 3" xfId="11057" xr:uid="{00000000-0005-0000-0000-0000C7350000}"/>
    <cellStyle name="Percent 8 4 3 2" xfId="46737" xr:uid="{B36D6279-E1F7-4708-A47F-A885B21C5678}"/>
    <cellStyle name="Percent 8 4 4" xfId="11058" xr:uid="{00000000-0005-0000-0000-0000C8350000}"/>
    <cellStyle name="Percent 8 4 4 2" xfId="46738" xr:uid="{8BB764FC-A438-408C-8972-60C6FAC9E5E1}"/>
    <cellStyle name="Percent 8 4 5" xfId="11059" xr:uid="{00000000-0005-0000-0000-0000C9350000}"/>
    <cellStyle name="Percent 8 4 5 2" xfId="46739" xr:uid="{70BCA1A3-34E0-4B8B-A86D-66C3D6E83D07}"/>
    <cellStyle name="Percent 8 4 6" xfId="12311" xr:uid="{00000000-0005-0000-0000-0000CA350000}"/>
    <cellStyle name="Percent 8 4 6 2" xfId="46740" xr:uid="{B6960A5F-1E3E-4489-9FEE-5B65D6F2E5AA}"/>
    <cellStyle name="Percent 8 4 7" xfId="16321" xr:uid="{00000000-0005-0000-0000-0000CB350000}"/>
    <cellStyle name="Percent 8 4 7 2" xfId="46741" xr:uid="{1D49FAE7-4BC3-4C30-B8A2-DC5CDA5D14BA}"/>
    <cellStyle name="Percent 8 4 8" xfId="8999" xr:uid="{00000000-0005-0000-0000-0000CC350000}"/>
    <cellStyle name="Percent 8 4 8 2" xfId="46742" xr:uid="{1591E3A1-2B07-4A57-81CD-815977DBD65B}"/>
    <cellStyle name="Percent 8 4 9" xfId="46735" xr:uid="{5256FB5A-28A0-495F-B7A2-DD6AA73792B4}"/>
    <cellStyle name="Percent 8 5" xfId="4734" xr:uid="{00000000-0005-0000-0000-0000CD350000}"/>
    <cellStyle name="Percent 8 5 2" xfId="11060" xr:uid="{00000000-0005-0000-0000-0000CE350000}"/>
    <cellStyle name="Percent 8 5 2 2" xfId="46744" xr:uid="{A2A64075-A7C1-462B-95FE-6D2F1D77C918}"/>
    <cellStyle name="Percent 8 5 3" xfId="11061" xr:uid="{00000000-0005-0000-0000-0000CF350000}"/>
    <cellStyle name="Percent 8 5 3 2" xfId="46745" xr:uid="{26C4825F-8240-448B-8A69-1EA4423B042D}"/>
    <cellStyle name="Percent 8 5 4" xfId="11062" xr:uid="{00000000-0005-0000-0000-0000D0350000}"/>
    <cellStyle name="Percent 8 5 4 2" xfId="46746" xr:uid="{5E32E948-A843-4FF8-A742-765ADAAE39AE}"/>
    <cellStyle name="Percent 8 5 5" xfId="11063" xr:uid="{00000000-0005-0000-0000-0000D1350000}"/>
    <cellStyle name="Percent 8 5 5 2" xfId="46747" xr:uid="{EB1D3177-D149-4042-9195-DC514A1A3E1C}"/>
    <cellStyle name="Percent 8 5 6" xfId="12312" xr:uid="{00000000-0005-0000-0000-0000D2350000}"/>
    <cellStyle name="Percent 8 5 6 2" xfId="46748" xr:uid="{2CD14B48-7950-400E-813A-921942CF0C4C}"/>
    <cellStyle name="Percent 8 5 7" xfId="12829" xr:uid="{00000000-0005-0000-0000-0000D3350000}"/>
    <cellStyle name="Percent 8 5 7 2" xfId="46749" xr:uid="{5BCE1443-8694-4096-902B-3A93D4886DBA}"/>
    <cellStyle name="Percent 8 5 8" xfId="9000" xr:uid="{00000000-0005-0000-0000-0000D4350000}"/>
    <cellStyle name="Percent 8 5 8 2" xfId="46750" xr:uid="{0621DA54-53CE-4758-AB88-99612D5B7E61}"/>
    <cellStyle name="Percent 8 5 9" xfId="46743" xr:uid="{C0E0B42D-C3B2-4130-8F1A-D079FD900240}"/>
    <cellStyle name="Percent 8 6" xfId="4735" xr:uid="{00000000-0005-0000-0000-0000D5350000}"/>
    <cellStyle name="Percent 8 6 2" xfId="11064" xr:uid="{00000000-0005-0000-0000-0000D6350000}"/>
    <cellStyle name="Percent 8 6 2 2" xfId="46752" xr:uid="{D52A43D1-2A54-457E-B722-A849A0A67FFB}"/>
    <cellStyle name="Percent 8 6 3" xfId="11065" xr:uid="{00000000-0005-0000-0000-0000D7350000}"/>
    <cellStyle name="Percent 8 6 3 2" xfId="46753" xr:uid="{A483DF15-25CD-4486-A2D0-708EE37AEFCF}"/>
    <cellStyle name="Percent 8 6 4" xfId="11066" xr:uid="{00000000-0005-0000-0000-0000D8350000}"/>
    <cellStyle name="Percent 8 6 4 2" xfId="46754" xr:uid="{DA14DFE4-91DF-4F3D-8778-6D138E7EE8AA}"/>
    <cellStyle name="Percent 8 6 5" xfId="11067" xr:uid="{00000000-0005-0000-0000-0000D9350000}"/>
    <cellStyle name="Percent 8 6 5 2" xfId="46755" xr:uid="{E6C9DA79-2167-43CE-91CC-0B778E14F226}"/>
    <cellStyle name="Percent 8 6 6" xfId="12313" xr:uid="{00000000-0005-0000-0000-0000DA350000}"/>
    <cellStyle name="Percent 8 6 6 2" xfId="46756" xr:uid="{B1E5BB2F-0470-484F-9028-2ABD9CBE4951}"/>
    <cellStyle name="Percent 8 6 7" xfId="12645" xr:uid="{00000000-0005-0000-0000-0000DB350000}"/>
    <cellStyle name="Percent 8 6 7 2" xfId="46757" xr:uid="{CFAE8BF7-FA8F-4536-ACEE-C98243919328}"/>
    <cellStyle name="Percent 8 6 8" xfId="9001" xr:uid="{00000000-0005-0000-0000-0000DC350000}"/>
    <cellStyle name="Percent 8 6 8 2" xfId="46758" xr:uid="{61455848-A266-438D-A1C6-A4F4F1EA4E8B}"/>
    <cellStyle name="Percent 8 6 9" xfId="46751" xr:uid="{DBE0C8D3-7C86-4EB6-9453-F17B1011B405}"/>
    <cellStyle name="Percent 8 7" xfId="4736" xr:uid="{00000000-0005-0000-0000-0000DD350000}"/>
    <cellStyle name="Percent 8 7 2" xfId="11068" xr:uid="{00000000-0005-0000-0000-0000DE350000}"/>
    <cellStyle name="Percent 8 7 2 2" xfId="46760" xr:uid="{206BD02B-4975-4EF7-9D2A-D0E144339A1C}"/>
    <cellStyle name="Percent 8 7 3" xfId="11069" xr:uid="{00000000-0005-0000-0000-0000DF350000}"/>
    <cellStyle name="Percent 8 7 3 2" xfId="46761" xr:uid="{B4271CBE-0523-43A9-9745-31E36E4950BE}"/>
    <cellStyle name="Percent 8 7 4" xfId="11070" xr:uid="{00000000-0005-0000-0000-0000E0350000}"/>
    <cellStyle name="Percent 8 7 4 2" xfId="46762" xr:uid="{1C0864E4-7EF3-4813-8DF3-E22EEE11FDBF}"/>
    <cellStyle name="Percent 8 7 5" xfId="11071" xr:uid="{00000000-0005-0000-0000-0000E1350000}"/>
    <cellStyle name="Percent 8 7 5 2" xfId="46763" xr:uid="{071A8280-470E-413D-B901-665E475F1529}"/>
    <cellStyle name="Percent 8 7 6" xfId="12314" xr:uid="{00000000-0005-0000-0000-0000E2350000}"/>
    <cellStyle name="Percent 8 7 6 2" xfId="46764" xr:uid="{EC5C71A1-39B6-47BF-93E3-62045F665DF2}"/>
    <cellStyle name="Percent 8 7 7" xfId="13844" xr:uid="{00000000-0005-0000-0000-0000E3350000}"/>
    <cellStyle name="Percent 8 7 7 2" xfId="46765" xr:uid="{4E81DB79-2118-4E9A-92D4-7396A75BD72E}"/>
    <cellStyle name="Percent 8 7 8" xfId="9002" xr:uid="{00000000-0005-0000-0000-0000E4350000}"/>
    <cellStyle name="Percent 8 7 8 2" xfId="46766" xr:uid="{A3EF29A5-CC01-4F05-ABBB-E34F3E7CF4B6}"/>
    <cellStyle name="Percent 8 7 9" xfId="46759" xr:uid="{E90AC53A-B923-414F-8083-BF6F99809E54}"/>
    <cellStyle name="Percent 8 8" xfId="4737" xr:uid="{00000000-0005-0000-0000-0000E5350000}"/>
    <cellStyle name="Percent 8 8 2" xfId="11072" xr:uid="{00000000-0005-0000-0000-0000E6350000}"/>
    <cellStyle name="Percent 8 8 2 2" xfId="46768" xr:uid="{7F5FF475-50BA-4991-AAB3-FB680B13E105}"/>
    <cellStyle name="Percent 8 8 3" xfId="11073" xr:uid="{00000000-0005-0000-0000-0000E7350000}"/>
    <cellStyle name="Percent 8 8 3 2" xfId="46769" xr:uid="{81ED791C-9A28-46F8-A45C-14E7777C4DB0}"/>
    <cellStyle name="Percent 8 8 4" xfId="11074" xr:uid="{00000000-0005-0000-0000-0000E8350000}"/>
    <cellStyle name="Percent 8 8 4 2" xfId="46770" xr:uid="{12CAC8F7-C387-4770-93C7-307775C93C30}"/>
    <cellStyle name="Percent 8 8 5" xfId="11075" xr:uid="{00000000-0005-0000-0000-0000E9350000}"/>
    <cellStyle name="Percent 8 8 5 2" xfId="46771" xr:uid="{57D415A7-047F-4D55-BDBF-B9260E6D0C88}"/>
    <cellStyle name="Percent 8 8 6" xfId="12315" xr:uid="{00000000-0005-0000-0000-0000EA350000}"/>
    <cellStyle name="Percent 8 8 6 2" xfId="46772" xr:uid="{B0DB298E-F3FB-4280-ACE8-068BD1A9007B}"/>
    <cellStyle name="Percent 8 8 7" xfId="16217" xr:uid="{00000000-0005-0000-0000-0000EB350000}"/>
    <cellStyle name="Percent 8 8 7 2" xfId="46773" xr:uid="{97A8E122-1A98-4AF8-8ED6-FAA2871B9417}"/>
    <cellStyle name="Percent 8 8 8" xfId="9003" xr:uid="{00000000-0005-0000-0000-0000EC350000}"/>
    <cellStyle name="Percent 8 8 8 2" xfId="46774" xr:uid="{5520D068-F651-4E07-B627-3B53580A946B}"/>
    <cellStyle name="Percent 8 8 9" xfId="46767" xr:uid="{EA5ACE31-BFE2-481D-A240-1C6FD6AA823F}"/>
    <cellStyle name="Percent 8 9" xfId="11076" xr:uid="{00000000-0005-0000-0000-0000ED350000}"/>
    <cellStyle name="Percent 8 9 2" xfId="46775" xr:uid="{779EC54F-2BFB-4C5E-8E2C-76EA13CCCB32}"/>
    <cellStyle name="Percent 9" xfId="2503" xr:uid="{00000000-0005-0000-0000-0000EE350000}"/>
    <cellStyle name="Percent 9 10" xfId="2958" xr:uid="{00000000-0005-0000-0000-0000EF350000}"/>
    <cellStyle name="Percent 9 10 10" xfId="46777" xr:uid="{6AEEFF49-A4F7-4C00-B7DC-93C7CD3301C3}"/>
    <cellStyle name="Percent 9 10 2" xfId="11077" xr:uid="{00000000-0005-0000-0000-0000F0350000}"/>
    <cellStyle name="Percent 9 10 2 2" xfId="46779" xr:uid="{6A25C486-104A-49E8-AA4D-500D1FCEEBE8}"/>
    <cellStyle name="Percent 9 10 2 3" xfId="46778" xr:uid="{84924534-CDE2-4808-9157-27629C887222}"/>
    <cellStyle name="Percent 9 10 3" xfId="11078" xr:uid="{00000000-0005-0000-0000-0000F1350000}"/>
    <cellStyle name="Percent 9 10 3 2" xfId="46780" xr:uid="{E9C1FAA5-A98F-4903-822A-B3044132C7CE}"/>
    <cellStyle name="Percent 9 10 4" xfId="11079" xr:uid="{00000000-0005-0000-0000-0000F2350000}"/>
    <cellStyle name="Percent 9 10 4 2" xfId="46781" xr:uid="{F01913F2-812D-4F93-9A3C-ADE3A0DDD77F}"/>
    <cellStyle name="Percent 9 10 5" xfId="11080" xr:uid="{00000000-0005-0000-0000-0000F3350000}"/>
    <cellStyle name="Percent 9 10 5 2" xfId="46782" xr:uid="{842538DD-E722-495A-B13B-7B1F0739FA63}"/>
    <cellStyle name="Percent 9 10 6" xfId="11081" xr:uid="{00000000-0005-0000-0000-0000F4350000}"/>
    <cellStyle name="Percent 9 10 6 2" xfId="46783" xr:uid="{2DC02C2B-AD72-4F82-9BEB-00B8DE773A8B}"/>
    <cellStyle name="Percent 9 10 7" xfId="13084" xr:uid="{00000000-0005-0000-0000-0000F5350000}"/>
    <cellStyle name="Percent 9 10 7 2" xfId="46784" xr:uid="{7C8589B7-4A2F-407C-A5E8-91EB9B515294}"/>
    <cellStyle name="Percent 9 10 8" xfId="13082" xr:uid="{00000000-0005-0000-0000-0000F6350000}"/>
    <cellStyle name="Percent 9 10 8 2" xfId="46785" xr:uid="{DAFA4067-8781-4A98-ACF1-535B9EFE71C4}"/>
    <cellStyle name="Percent 9 10 9" xfId="9005" xr:uid="{00000000-0005-0000-0000-0000F7350000}"/>
    <cellStyle name="Percent 9 10 9 2" xfId="46786" xr:uid="{9CB86574-07D9-4A55-8FA0-F8059AAA352F}"/>
    <cellStyle name="Percent 9 11" xfId="2959" xr:uid="{00000000-0005-0000-0000-0000F8350000}"/>
    <cellStyle name="Percent 9 11 10" xfId="46787" xr:uid="{33C0989C-34BC-4F31-8A71-62DA19291400}"/>
    <cellStyle name="Percent 9 11 2" xfId="11082" xr:uid="{00000000-0005-0000-0000-0000F9350000}"/>
    <cellStyle name="Percent 9 11 2 2" xfId="46789" xr:uid="{09CACC89-C0AF-46E8-AFB2-6B148FA09A67}"/>
    <cellStyle name="Percent 9 11 2 3" xfId="46788" xr:uid="{879312FE-8AFD-4896-AEE0-7DDEA9A535B3}"/>
    <cellStyle name="Percent 9 11 3" xfId="11083" xr:uid="{00000000-0005-0000-0000-0000FA350000}"/>
    <cellStyle name="Percent 9 11 3 2" xfId="46790" xr:uid="{2D27091E-5804-4CA6-8CD3-0A45E51E14D9}"/>
    <cellStyle name="Percent 9 11 4" xfId="11084" xr:uid="{00000000-0005-0000-0000-0000FB350000}"/>
    <cellStyle name="Percent 9 11 4 2" xfId="46791" xr:uid="{4FB3B575-9AA1-4009-A876-3674FD682AE8}"/>
    <cellStyle name="Percent 9 11 5" xfId="11085" xr:uid="{00000000-0005-0000-0000-0000FC350000}"/>
    <cellStyle name="Percent 9 11 5 2" xfId="46792" xr:uid="{F3297C7B-0781-4D1B-8F2D-ED46E68AB86D}"/>
    <cellStyle name="Percent 9 11 6" xfId="11086" xr:uid="{00000000-0005-0000-0000-0000FD350000}"/>
    <cellStyle name="Percent 9 11 6 2" xfId="46793" xr:uid="{CFFBC32B-E27D-48DC-8532-33599256E9D3}"/>
    <cellStyle name="Percent 9 11 7" xfId="13085" xr:uid="{00000000-0005-0000-0000-0000FE350000}"/>
    <cellStyle name="Percent 9 11 7 2" xfId="46794" xr:uid="{2D6EFC28-1B78-42DB-B2B7-7879705A6DBD}"/>
    <cellStyle name="Percent 9 11 8" xfId="12495" xr:uid="{00000000-0005-0000-0000-0000FF350000}"/>
    <cellStyle name="Percent 9 11 8 2" xfId="46795" xr:uid="{5C29E3B7-3ACD-4A47-B27B-BE36FE7632A6}"/>
    <cellStyle name="Percent 9 11 9" xfId="9006" xr:uid="{00000000-0005-0000-0000-000000360000}"/>
    <cellStyle name="Percent 9 11 9 2" xfId="46796" xr:uid="{2A5674BA-A5E0-44AA-9A64-43052045B3C1}"/>
    <cellStyle name="Percent 9 12" xfId="2960" xr:uid="{00000000-0005-0000-0000-000001360000}"/>
    <cellStyle name="Percent 9 12 10" xfId="46797" xr:uid="{234390CC-4E04-4F99-921D-D5EB5FA84FF6}"/>
    <cellStyle name="Percent 9 12 2" xfId="11087" xr:uid="{00000000-0005-0000-0000-000002360000}"/>
    <cellStyle name="Percent 9 12 2 2" xfId="46799" xr:uid="{F28CB18B-5BFD-4A48-850B-78949AF89B02}"/>
    <cellStyle name="Percent 9 12 2 3" xfId="46798" xr:uid="{2BE63460-9779-4EA6-AED8-3A2665DFC558}"/>
    <cellStyle name="Percent 9 12 3" xfId="11088" xr:uid="{00000000-0005-0000-0000-000003360000}"/>
    <cellStyle name="Percent 9 12 3 2" xfId="46800" xr:uid="{5BB1A090-4644-4D36-958F-EC9203A7F8BC}"/>
    <cellStyle name="Percent 9 12 4" xfId="11089" xr:uid="{00000000-0005-0000-0000-000004360000}"/>
    <cellStyle name="Percent 9 12 4 2" xfId="46801" xr:uid="{C810CAF9-8119-4093-A7FE-AC1BF5D94610}"/>
    <cellStyle name="Percent 9 12 5" xfId="11090" xr:uid="{00000000-0005-0000-0000-000005360000}"/>
    <cellStyle name="Percent 9 12 5 2" xfId="46802" xr:uid="{2E385245-78F7-4AE2-A28B-8D46232BB108}"/>
    <cellStyle name="Percent 9 12 6" xfId="11091" xr:uid="{00000000-0005-0000-0000-000006360000}"/>
    <cellStyle name="Percent 9 12 6 2" xfId="46803" xr:uid="{36A4E16E-4BB9-4364-B18D-148ADCFFE89F}"/>
    <cellStyle name="Percent 9 12 7" xfId="13086" xr:uid="{00000000-0005-0000-0000-000007360000}"/>
    <cellStyle name="Percent 9 12 7 2" xfId="46804" xr:uid="{DF3E18C5-5373-4D5E-BC15-404FE3F6EB1A}"/>
    <cellStyle name="Percent 9 12 8" xfId="12792" xr:uid="{00000000-0005-0000-0000-000008360000}"/>
    <cellStyle name="Percent 9 12 8 2" xfId="46805" xr:uid="{12C20863-8E8E-437E-BFF6-6A5C0E701B85}"/>
    <cellStyle name="Percent 9 12 9" xfId="9007" xr:uid="{00000000-0005-0000-0000-000009360000}"/>
    <cellStyle name="Percent 9 12 9 2" xfId="46806" xr:uid="{376FBB2E-403B-499A-8958-3EEABDC99A0A}"/>
    <cellStyle name="Percent 9 13" xfId="2961" xr:uid="{00000000-0005-0000-0000-00000A360000}"/>
    <cellStyle name="Percent 9 13 10" xfId="46807" xr:uid="{A3468E8E-D253-415F-9102-D9274010E5E2}"/>
    <cellStyle name="Percent 9 13 2" xfId="11092" xr:uid="{00000000-0005-0000-0000-00000B360000}"/>
    <cellStyle name="Percent 9 13 2 2" xfId="46809" xr:uid="{2C61274D-CFA0-4F33-8DB0-D10307D8AB71}"/>
    <cellStyle name="Percent 9 13 2 3" xfId="46808" xr:uid="{F5E6B8CE-D07E-4465-AEBC-00D61B5D9813}"/>
    <cellStyle name="Percent 9 13 3" xfId="11093" xr:uid="{00000000-0005-0000-0000-00000C360000}"/>
    <cellStyle name="Percent 9 13 3 2" xfId="46810" xr:uid="{4048FBF7-4845-4AFC-B824-7AF710500C0F}"/>
    <cellStyle name="Percent 9 13 4" xfId="11094" xr:uid="{00000000-0005-0000-0000-00000D360000}"/>
    <cellStyle name="Percent 9 13 4 2" xfId="46811" xr:uid="{73F77384-689D-407B-8C3D-09483B9301DA}"/>
    <cellStyle name="Percent 9 13 5" xfId="11095" xr:uid="{00000000-0005-0000-0000-00000E360000}"/>
    <cellStyle name="Percent 9 13 5 2" xfId="46812" xr:uid="{A36C824E-818A-47EE-927C-9C42D49F4909}"/>
    <cellStyle name="Percent 9 13 6" xfId="11096" xr:uid="{00000000-0005-0000-0000-00000F360000}"/>
    <cellStyle name="Percent 9 13 6 2" xfId="46813" xr:uid="{FB9071BD-5F5B-47E3-82CA-C8B6A715C50E}"/>
    <cellStyle name="Percent 9 13 7" xfId="13087" xr:uid="{00000000-0005-0000-0000-000010360000}"/>
    <cellStyle name="Percent 9 13 7 2" xfId="46814" xr:uid="{4118EBE7-1BD4-468E-B085-55A2CD3A9ED7}"/>
    <cellStyle name="Percent 9 13 8" xfId="12756" xr:uid="{00000000-0005-0000-0000-000011360000}"/>
    <cellStyle name="Percent 9 13 8 2" xfId="46815" xr:uid="{233D8E38-DFDA-47F5-B534-AB1ACA2E08D2}"/>
    <cellStyle name="Percent 9 13 9" xfId="9008" xr:uid="{00000000-0005-0000-0000-000012360000}"/>
    <cellStyle name="Percent 9 13 9 2" xfId="46816" xr:uid="{8A196E19-0BC9-4131-B262-A15F9F26DA9E}"/>
    <cellStyle name="Percent 9 14" xfId="2962" xr:uid="{00000000-0005-0000-0000-000013360000}"/>
    <cellStyle name="Percent 9 14 10" xfId="46817" xr:uid="{F928FBA2-05C9-45A3-99C6-06A6556E874B}"/>
    <cellStyle name="Percent 9 14 2" xfId="11097" xr:uid="{00000000-0005-0000-0000-000014360000}"/>
    <cellStyle name="Percent 9 14 2 2" xfId="46819" xr:uid="{986FCBCD-2332-44FE-82D2-414FAC4338D9}"/>
    <cellStyle name="Percent 9 14 2 3" xfId="46818" xr:uid="{017F2034-E92C-4413-982C-AFC8C013B044}"/>
    <cellStyle name="Percent 9 14 3" xfId="11098" xr:uid="{00000000-0005-0000-0000-000015360000}"/>
    <cellStyle name="Percent 9 14 3 2" xfId="46820" xr:uid="{DBB1CBF2-A32E-45C2-930E-9CBCC5FAFF57}"/>
    <cellStyle name="Percent 9 14 4" xfId="11099" xr:uid="{00000000-0005-0000-0000-000016360000}"/>
    <cellStyle name="Percent 9 14 4 2" xfId="46821" xr:uid="{705CAA56-4A05-4D4F-9357-B33BB06C9C8E}"/>
    <cellStyle name="Percent 9 14 5" xfId="11100" xr:uid="{00000000-0005-0000-0000-000017360000}"/>
    <cellStyle name="Percent 9 14 5 2" xfId="46822" xr:uid="{F5C7AAE8-A1A8-4205-96B9-67D7FF8DF3F8}"/>
    <cellStyle name="Percent 9 14 6" xfId="11101" xr:uid="{00000000-0005-0000-0000-000018360000}"/>
    <cellStyle name="Percent 9 14 6 2" xfId="46823" xr:uid="{3DFF7869-E767-41D7-B785-DC43FF66CA49}"/>
    <cellStyle name="Percent 9 14 7" xfId="13088" xr:uid="{00000000-0005-0000-0000-000019360000}"/>
    <cellStyle name="Percent 9 14 7 2" xfId="46824" xr:uid="{B070C294-40C3-4385-A78B-73B30D868406}"/>
    <cellStyle name="Percent 9 14 8" xfId="13795" xr:uid="{00000000-0005-0000-0000-00001A360000}"/>
    <cellStyle name="Percent 9 14 8 2" xfId="46825" xr:uid="{66178D4F-96F6-4868-B6E0-5C11CAE06322}"/>
    <cellStyle name="Percent 9 14 9" xfId="9009" xr:uid="{00000000-0005-0000-0000-00001B360000}"/>
    <cellStyle name="Percent 9 14 9 2" xfId="46826" xr:uid="{CA576032-6F65-4CAC-8911-F89292530652}"/>
    <cellStyle name="Percent 9 15" xfId="2963" xr:uid="{00000000-0005-0000-0000-00001C360000}"/>
    <cellStyle name="Percent 9 15 10" xfId="46827" xr:uid="{D1EE1629-096F-4381-97F4-4DD93A64AF11}"/>
    <cellStyle name="Percent 9 15 2" xfId="11102" xr:uid="{00000000-0005-0000-0000-00001D360000}"/>
    <cellStyle name="Percent 9 15 2 2" xfId="46829" xr:uid="{DDA1325C-E403-4555-ACA8-6B3731E1FFC1}"/>
    <cellStyle name="Percent 9 15 2 3" xfId="46828" xr:uid="{B88AC6D1-6B64-4914-A1DD-3189DEBD9FDC}"/>
    <cellStyle name="Percent 9 15 3" xfId="11103" xr:uid="{00000000-0005-0000-0000-00001E360000}"/>
    <cellStyle name="Percent 9 15 3 2" xfId="46830" xr:uid="{A0B61246-0097-4FC9-8679-370371C44C6F}"/>
    <cellStyle name="Percent 9 15 4" xfId="11104" xr:uid="{00000000-0005-0000-0000-00001F360000}"/>
    <cellStyle name="Percent 9 15 4 2" xfId="46831" xr:uid="{5A7F6C44-9DDA-4CCC-8344-BC4D100E0C32}"/>
    <cellStyle name="Percent 9 15 5" xfId="11105" xr:uid="{00000000-0005-0000-0000-000020360000}"/>
    <cellStyle name="Percent 9 15 5 2" xfId="46832" xr:uid="{1D1FC8E9-5F2D-4952-A725-C198A3DEB142}"/>
    <cellStyle name="Percent 9 15 6" xfId="11106" xr:uid="{00000000-0005-0000-0000-000021360000}"/>
    <cellStyle name="Percent 9 15 6 2" xfId="46833" xr:uid="{558A8B33-44A3-4766-9557-3799EF226E47}"/>
    <cellStyle name="Percent 9 15 7" xfId="13089" xr:uid="{00000000-0005-0000-0000-000022360000}"/>
    <cellStyle name="Percent 9 15 7 2" xfId="46834" xr:uid="{174D0F3C-7BAB-41BA-A1EC-DE313ADA0011}"/>
    <cellStyle name="Percent 9 15 8" xfId="12617" xr:uid="{00000000-0005-0000-0000-000023360000}"/>
    <cellStyle name="Percent 9 15 8 2" xfId="46835" xr:uid="{052EA558-EDFA-42BE-BEF7-E883B67F77F3}"/>
    <cellStyle name="Percent 9 15 9" xfId="9010" xr:uid="{00000000-0005-0000-0000-000024360000}"/>
    <cellStyle name="Percent 9 15 9 2" xfId="46836" xr:uid="{0342996D-1AEB-46D9-A7A2-4BC7917265B4}"/>
    <cellStyle name="Percent 9 16" xfId="2964" xr:uid="{00000000-0005-0000-0000-000025360000}"/>
    <cellStyle name="Percent 9 16 10" xfId="46837" xr:uid="{09D13F00-42A2-47F7-A564-5D0E9AC50B6A}"/>
    <cellStyle name="Percent 9 16 2" xfId="11107" xr:uid="{00000000-0005-0000-0000-000026360000}"/>
    <cellStyle name="Percent 9 16 2 2" xfId="46839" xr:uid="{F9C36A41-4616-4E8A-973D-730E6BFEBC03}"/>
    <cellStyle name="Percent 9 16 2 3" xfId="46838" xr:uid="{92646CED-DDCD-4A10-9457-791B08DD60E4}"/>
    <cellStyle name="Percent 9 16 3" xfId="11108" xr:uid="{00000000-0005-0000-0000-000027360000}"/>
    <cellStyle name="Percent 9 16 3 2" xfId="46840" xr:uid="{5CB5F321-B99C-446C-BB19-7913E5DD4775}"/>
    <cellStyle name="Percent 9 16 4" xfId="11109" xr:uid="{00000000-0005-0000-0000-000028360000}"/>
    <cellStyle name="Percent 9 16 4 2" xfId="46841" xr:uid="{E34E485E-9468-4566-80FD-50387F10A33C}"/>
    <cellStyle name="Percent 9 16 5" xfId="11110" xr:uid="{00000000-0005-0000-0000-000029360000}"/>
    <cellStyle name="Percent 9 16 5 2" xfId="46842" xr:uid="{48E7551A-45F6-4EC3-B4DF-512C586CDBD4}"/>
    <cellStyle name="Percent 9 16 6" xfId="11111" xr:uid="{00000000-0005-0000-0000-00002A360000}"/>
    <cellStyle name="Percent 9 16 6 2" xfId="46843" xr:uid="{7FCED69C-85CD-45A3-9A55-808C0BFD9446}"/>
    <cellStyle name="Percent 9 16 7" xfId="13090" xr:uid="{00000000-0005-0000-0000-00002B360000}"/>
    <cellStyle name="Percent 9 16 7 2" xfId="46844" xr:uid="{8815CB6C-4CDE-493E-80BB-7A34EAAF9D7E}"/>
    <cellStyle name="Percent 9 16 8" xfId="16298" xr:uid="{00000000-0005-0000-0000-00002C360000}"/>
    <cellStyle name="Percent 9 16 8 2" xfId="46845" xr:uid="{C7429184-5DC8-457A-8B0E-C25F9CA70B48}"/>
    <cellStyle name="Percent 9 16 9" xfId="9011" xr:uid="{00000000-0005-0000-0000-00002D360000}"/>
    <cellStyle name="Percent 9 16 9 2" xfId="46846" xr:uid="{25CEE529-A14C-4CC4-9DFC-A23F9C4EBB1F}"/>
    <cellStyle name="Percent 9 17" xfId="2965" xr:uid="{00000000-0005-0000-0000-00002E360000}"/>
    <cellStyle name="Percent 9 17 10" xfId="46847" xr:uid="{C88A6850-2DE7-4CAE-BF4B-AC5D924C29BC}"/>
    <cellStyle name="Percent 9 17 2" xfId="11112" xr:uid="{00000000-0005-0000-0000-00002F360000}"/>
    <cellStyle name="Percent 9 17 2 2" xfId="46849" xr:uid="{C76974DD-12A2-420B-9FF6-F7F18E7BAE4B}"/>
    <cellStyle name="Percent 9 17 2 3" xfId="46848" xr:uid="{975B3AFC-5674-4D79-B387-6DC10B03E7BF}"/>
    <cellStyle name="Percent 9 17 3" xfId="11113" xr:uid="{00000000-0005-0000-0000-000030360000}"/>
    <cellStyle name="Percent 9 17 3 2" xfId="46850" xr:uid="{0D95EDFA-CE8B-4956-B5FB-FF0BEDDB00E2}"/>
    <cellStyle name="Percent 9 17 4" xfId="11114" xr:uid="{00000000-0005-0000-0000-000031360000}"/>
    <cellStyle name="Percent 9 17 4 2" xfId="46851" xr:uid="{F903B97D-C98C-4E48-BEF4-2AC38C63C5B9}"/>
    <cellStyle name="Percent 9 17 5" xfId="11115" xr:uid="{00000000-0005-0000-0000-000032360000}"/>
    <cellStyle name="Percent 9 17 5 2" xfId="46852" xr:uid="{FBEE65E0-38EF-4A0B-B846-C4329A008BF3}"/>
    <cellStyle name="Percent 9 17 6" xfId="11116" xr:uid="{00000000-0005-0000-0000-000033360000}"/>
    <cellStyle name="Percent 9 17 6 2" xfId="46853" xr:uid="{C26C7D80-E9BA-461C-9427-75A80426165E}"/>
    <cellStyle name="Percent 9 17 7" xfId="13091" xr:uid="{00000000-0005-0000-0000-000034360000}"/>
    <cellStyle name="Percent 9 17 7 2" xfId="46854" xr:uid="{7C7A494B-9E8F-4427-8F04-B338DC0BE7D8}"/>
    <cellStyle name="Percent 9 17 8" xfId="16394" xr:uid="{00000000-0005-0000-0000-000035360000}"/>
    <cellStyle name="Percent 9 17 8 2" xfId="46855" xr:uid="{4245A4A0-F91D-491A-A8A8-266045388FA7}"/>
    <cellStyle name="Percent 9 17 9" xfId="9012" xr:uid="{00000000-0005-0000-0000-000036360000}"/>
    <cellStyle name="Percent 9 17 9 2" xfId="46856" xr:uid="{079442F3-0FEB-4965-BDFB-2F34E8B409A3}"/>
    <cellStyle name="Percent 9 18" xfId="2966" xr:uid="{00000000-0005-0000-0000-000037360000}"/>
    <cellStyle name="Percent 9 18 10" xfId="46857" xr:uid="{476DC107-6527-432C-8C07-F9CCD1BD8C28}"/>
    <cellStyle name="Percent 9 18 2" xfId="11117" xr:uid="{00000000-0005-0000-0000-000038360000}"/>
    <cellStyle name="Percent 9 18 2 2" xfId="46859" xr:uid="{8FFA9F7D-0696-4657-B7E5-566DFE19E452}"/>
    <cellStyle name="Percent 9 18 2 3" xfId="46858" xr:uid="{6CE0F86C-18F0-48FB-B96E-5995289535D3}"/>
    <cellStyle name="Percent 9 18 3" xfId="11118" xr:uid="{00000000-0005-0000-0000-000039360000}"/>
    <cellStyle name="Percent 9 18 3 2" xfId="46860" xr:uid="{0A3A1AB2-904F-4CFD-9801-A3F85AD1A1F3}"/>
    <cellStyle name="Percent 9 18 4" xfId="11119" xr:uid="{00000000-0005-0000-0000-00003A360000}"/>
    <cellStyle name="Percent 9 18 4 2" xfId="46861" xr:uid="{271D5E88-93FC-4C44-B101-BB2EBA6C44DE}"/>
    <cellStyle name="Percent 9 18 5" xfId="11120" xr:uid="{00000000-0005-0000-0000-00003B360000}"/>
    <cellStyle name="Percent 9 18 5 2" xfId="46862" xr:uid="{5D82F91C-C6BF-40D1-B4D2-C734C443501C}"/>
    <cellStyle name="Percent 9 18 6" xfId="11121" xr:uid="{00000000-0005-0000-0000-00003C360000}"/>
    <cellStyle name="Percent 9 18 6 2" xfId="46863" xr:uid="{0B0DB83F-23E2-4000-BFAA-CEDD9F0C1BB0}"/>
    <cellStyle name="Percent 9 18 7" xfId="13092" xr:uid="{00000000-0005-0000-0000-00003D360000}"/>
    <cellStyle name="Percent 9 18 7 2" xfId="46864" xr:uid="{186ADD40-2713-4D5A-ABEA-879BF658463C}"/>
    <cellStyle name="Percent 9 18 8" xfId="16613" xr:uid="{00000000-0005-0000-0000-00003E360000}"/>
    <cellStyle name="Percent 9 18 8 2" xfId="46865" xr:uid="{1427CDC8-D1CD-45C6-9A5C-795001C963D8}"/>
    <cellStyle name="Percent 9 18 9" xfId="9013" xr:uid="{00000000-0005-0000-0000-00003F360000}"/>
    <cellStyle name="Percent 9 18 9 2" xfId="46866" xr:uid="{8CF79263-E9BA-4C5F-AF18-A4E08C5CEED4}"/>
    <cellStyle name="Percent 9 19" xfId="2967" xr:uid="{00000000-0005-0000-0000-000040360000}"/>
    <cellStyle name="Percent 9 19 10" xfId="46867" xr:uid="{49B4F1C5-1E33-483D-8E71-65E7E91DEF06}"/>
    <cellStyle name="Percent 9 19 2" xfId="11122" xr:uid="{00000000-0005-0000-0000-000041360000}"/>
    <cellStyle name="Percent 9 19 2 2" xfId="46869" xr:uid="{E5F9BEF0-575C-4631-9D91-C535E1323482}"/>
    <cellStyle name="Percent 9 19 2 3" xfId="46868" xr:uid="{049A2788-BA1B-480E-9E82-34B9D54904A7}"/>
    <cellStyle name="Percent 9 19 3" xfId="11123" xr:uid="{00000000-0005-0000-0000-000042360000}"/>
    <cellStyle name="Percent 9 19 3 2" xfId="46870" xr:uid="{75093372-8987-4681-ACA2-8ADF24AC03B5}"/>
    <cellStyle name="Percent 9 19 4" xfId="11124" xr:uid="{00000000-0005-0000-0000-000043360000}"/>
    <cellStyle name="Percent 9 19 4 2" xfId="46871" xr:uid="{200340C9-42B7-41DF-80D9-68A759F5642B}"/>
    <cellStyle name="Percent 9 19 5" xfId="11125" xr:uid="{00000000-0005-0000-0000-000044360000}"/>
    <cellStyle name="Percent 9 19 5 2" xfId="46872" xr:uid="{259AED1E-8524-4C51-864F-F0244CECF6EE}"/>
    <cellStyle name="Percent 9 19 6" xfId="11126" xr:uid="{00000000-0005-0000-0000-000045360000}"/>
    <cellStyle name="Percent 9 19 6 2" xfId="46873" xr:uid="{C904EED6-7DFF-4F16-B84A-84477422EAA0}"/>
    <cellStyle name="Percent 9 19 7" xfId="13093" xr:uid="{00000000-0005-0000-0000-000046360000}"/>
    <cellStyle name="Percent 9 19 7 2" xfId="46874" xr:uid="{D9D57777-11D8-4B3C-9405-FE7AF1F04BD7}"/>
    <cellStyle name="Percent 9 19 8" xfId="16678" xr:uid="{00000000-0005-0000-0000-000047360000}"/>
    <cellStyle name="Percent 9 19 8 2" xfId="46875" xr:uid="{D5AEB8E2-23DF-4CF5-92C6-186FC9D0CA01}"/>
    <cellStyle name="Percent 9 19 9" xfId="9014" xr:uid="{00000000-0005-0000-0000-000048360000}"/>
    <cellStyle name="Percent 9 19 9 2" xfId="46876" xr:uid="{813AA107-D09A-4740-AA0E-E85D215BA52E}"/>
    <cellStyle name="Percent 9 2" xfId="2968" xr:uid="{00000000-0005-0000-0000-000049360000}"/>
    <cellStyle name="Percent 9 2 10" xfId="12832" xr:uid="{00000000-0005-0000-0000-00004A360000}"/>
    <cellStyle name="Percent 9 2 10 2" xfId="46878" xr:uid="{FDABFD37-C35A-4DE2-97DD-2F1F7B167CC6}"/>
    <cellStyle name="Percent 9 2 11" xfId="9015" xr:uid="{00000000-0005-0000-0000-00004B360000}"/>
    <cellStyle name="Percent 9 2 11 2" xfId="46879" xr:uid="{98AB0936-DEA9-40F1-A724-F8013D22FE3D}"/>
    <cellStyle name="Percent 9 2 12" xfId="46877" xr:uid="{8733575F-2EC6-49E4-90B9-AD24257143BD}"/>
    <cellStyle name="Percent 9 2 2" xfId="4739" xr:uid="{00000000-0005-0000-0000-00004C360000}"/>
    <cellStyle name="Percent 9 2 2 10" xfId="46880" xr:uid="{BDF2CA15-9BBB-4188-97E4-C196B3425ADE}"/>
    <cellStyle name="Percent 9 2 2 2" xfId="11127" xr:uid="{00000000-0005-0000-0000-00004D360000}"/>
    <cellStyle name="Percent 9 2 2 2 2" xfId="46881" xr:uid="{8CA25B05-5649-40AB-8BC3-63566A90A4DA}"/>
    <cellStyle name="Percent 9 2 2 3" xfId="11128" xr:uid="{00000000-0005-0000-0000-00004E360000}"/>
    <cellStyle name="Percent 9 2 2 3 2" xfId="46882" xr:uid="{97E8BB30-B04A-4C36-A9EA-CBF61D690F54}"/>
    <cellStyle name="Percent 9 2 2 4" xfId="11129" xr:uid="{00000000-0005-0000-0000-00004F360000}"/>
    <cellStyle name="Percent 9 2 2 4 2" xfId="46883" xr:uid="{7C53EA5A-3504-4195-9062-D74F07C707F4}"/>
    <cellStyle name="Percent 9 2 2 5" xfId="11130" xr:uid="{00000000-0005-0000-0000-000050360000}"/>
    <cellStyle name="Percent 9 2 2 5 2" xfId="46884" xr:uid="{0144C141-8898-4D0E-98A5-09EA65137897}"/>
    <cellStyle name="Percent 9 2 2 6" xfId="13859" xr:uid="{00000000-0005-0000-0000-000051360000}"/>
    <cellStyle name="Percent 9 2 2 6 2" xfId="46885" xr:uid="{4FFE9FDB-7FD2-4A8A-8CFF-A3EFF36D3244}"/>
    <cellStyle name="Percent 9 2 2 7" xfId="16565" xr:uid="{00000000-0005-0000-0000-000052360000}"/>
    <cellStyle name="Percent 9 2 2 7 2" xfId="46886" xr:uid="{40A98198-C597-48DE-A556-061D558CFF34}"/>
    <cellStyle name="Percent 9 2 2 8" xfId="9016" xr:uid="{00000000-0005-0000-0000-000053360000}"/>
    <cellStyle name="Percent 9 2 2 8 2" xfId="46887" xr:uid="{9A77E3AE-10D9-404E-90B5-997A8B62CA8C}"/>
    <cellStyle name="Percent 9 2 2 9" xfId="46888" xr:uid="{B1A2E1EF-2CFF-477F-BC02-D4B9CF815007}"/>
    <cellStyle name="Percent 9 2 3" xfId="6448" xr:uid="{00000000-0005-0000-0000-000054360000}"/>
    <cellStyle name="Percent 9 2 3 2" xfId="14881" xr:uid="{00000000-0005-0000-0000-000055360000}"/>
    <cellStyle name="Percent 9 2 3 2 2" xfId="46890" xr:uid="{2C9B136D-29F9-4C03-B675-CAAD93B422A1}"/>
    <cellStyle name="Percent 9 2 3 3" xfId="14332" xr:uid="{00000000-0005-0000-0000-000056360000}"/>
    <cellStyle name="Percent 9 2 3 3 2" xfId="46891" xr:uid="{08B9FBE0-B3B6-4BE8-A01F-502819B43E3A}"/>
    <cellStyle name="Percent 9 2 3 4" xfId="9017" xr:uid="{00000000-0005-0000-0000-000057360000}"/>
    <cellStyle name="Percent 9 2 3 4 2" xfId="46892" xr:uid="{EFF7B88A-F317-49AD-A278-8142A541A6F3}"/>
    <cellStyle name="Percent 9 2 3 5" xfId="46889" xr:uid="{B0E5CFEF-F487-4195-90A7-5520ACE24579}"/>
    <cellStyle name="Percent 9 2 4" xfId="11131" xr:uid="{00000000-0005-0000-0000-000058360000}"/>
    <cellStyle name="Percent 9 2 4 2" xfId="46893" xr:uid="{7170D546-AA64-4FCD-B58A-04A3CC3FCA6D}"/>
    <cellStyle name="Percent 9 2 5" xfId="11132" xr:uid="{00000000-0005-0000-0000-000059360000}"/>
    <cellStyle name="Percent 9 2 5 2" xfId="46894" xr:uid="{2A25A4CE-B979-4B9E-B453-F283AFC16515}"/>
    <cellStyle name="Percent 9 2 6" xfId="11133" xr:uid="{00000000-0005-0000-0000-00005A360000}"/>
    <cellStyle name="Percent 9 2 6 2" xfId="46895" xr:uid="{9607431C-B4B2-43C9-8CF4-D53ED751C209}"/>
    <cellStyle name="Percent 9 2 7" xfId="11134" xr:uid="{00000000-0005-0000-0000-00005B360000}"/>
    <cellStyle name="Percent 9 2 7 2" xfId="46896" xr:uid="{5FD883C9-8FC4-4AC3-80D1-64E23EFDCDA5}"/>
    <cellStyle name="Percent 9 2 8" xfId="12317" xr:uid="{00000000-0005-0000-0000-00005C360000}"/>
    <cellStyle name="Percent 9 2 8 2" xfId="46897" xr:uid="{8824CDB1-DA49-474C-B866-A7B7F210C3FD}"/>
    <cellStyle name="Percent 9 2 9" xfId="13094" xr:uid="{00000000-0005-0000-0000-00005D360000}"/>
    <cellStyle name="Percent 9 2 9 2" xfId="46898" xr:uid="{8720EEEF-7B92-42C2-8136-4858E20296B1}"/>
    <cellStyle name="Percent 9 20" xfId="2969" xr:uid="{00000000-0005-0000-0000-00005E360000}"/>
    <cellStyle name="Percent 9 20 10" xfId="46899" xr:uid="{6540126B-866C-4E45-A4E4-6140151F91D1}"/>
    <cellStyle name="Percent 9 20 2" xfId="11135" xr:uid="{00000000-0005-0000-0000-00005F360000}"/>
    <cellStyle name="Percent 9 20 2 2" xfId="46901" xr:uid="{4EDEB756-B1E8-46F5-9FF6-60C9199F80DA}"/>
    <cellStyle name="Percent 9 20 2 3" xfId="46900" xr:uid="{42E236D8-3CFF-4543-96CC-56E36DB52325}"/>
    <cellStyle name="Percent 9 20 3" xfId="11136" xr:uid="{00000000-0005-0000-0000-000060360000}"/>
    <cellStyle name="Percent 9 20 3 2" xfId="46902" xr:uid="{0A8D91D4-8DC0-43A6-8263-6969FBF18A14}"/>
    <cellStyle name="Percent 9 20 4" xfId="11137" xr:uid="{00000000-0005-0000-0000-000061360000}"/>
    <cellStyle name="Percent 9 20 4 2" xfId="46903" xr:uid="{8D5C775B-ACBA-4EC0-B181-F6DA4262E2B8}"/>
    <cellStyle name="Percent 9 20 5" xfId="11138" xr:uid="{00000000-0005-0000-0000-000062360000}"/>
    <cellStyle name="Percent 9 20 5 2" xfId="46904" xr:uid="{19A8CC5A-4EA8-4627-8B34-66FD21704331}"/>
    <cellStyle name="Percent 9 20 6" xfId="11139" xr:uid="{00000000-0005-0000-0000-000063360000}"/>
    <cellStyle name="Percent 9 20 6 2" xfId="46905" xr:uid="{C1AA8E7F-0C09-4298-8BEE-F2B96913D1AE}"/>
    <cellStyle name="Percent 9 20 7" xfId="13095" xr:uid="{00000000-0005-0000-0000-000064360000}"/>
    <cellStyle name="Percent 9 20 7 2" xfId="46906" xr:uid="{FCA5572F-7FE1-41E3-8A1C-2F7F743E6802}"/>
    <cellStyle name="Percent 9 20 8" xfId="14314" xr:uid="{00000000-0005-0000-0000-000065360000}"/>
    <cellStyle name="Percent 9 20 8 2" xfId="46907" xr:uid="{FD315EA7-563D-4BC9-98E9-D9EFE8C43BBA}"/>
    <cellStyle name="Percent 9 20 9" xfId="9018" xr:uid="{00000000-0005-0000-0000-000066360000}"/>
    <cellStyle name="Percent 9 20 9 2" xfId="46908" xr:uid="{78F43580-B5C0-487D-97B3-1682EDFEA80F}"/>
    <cellStyle name="Percent 9 21" xfId="4738" xr:uid="{00000000-0005-0000-0000-000067360000}"/>
    <cellStyle name="Percent 9 21 2" xfId="13858" xr:uid="{00000000-0005-0000-0000-000068360000}"/>
    <cellStyle name="Percent 9 21 2 2" xfId="46910" xr:uid="{95266794-EBE8-408D-8DB7-18068C904B5A}"/>
    <cellStyle name="Percent 9 21 3" xfId="13895" xr:uid="{00000000-0005-0000-0000-000069360000}"/>
    <cellStyle name="Percent 9 21 3 2" xfId="46911" xr:uid="{B12826C2-AEE2-4ED7-A0E7-3053ED94BD18}"/>
    <cellStyle name="Percent 9 21 4" xfId="9019" xr:uid="{00000000-0005-0000-0000-00006A360000}"/>
    <cellStyle name="Percent 9 21 4 2" xfId="46912" xr:uid="{97297314-502B-4223-8EBC-4886B339A24A}"/>
    <cellStyle name="Percent 9 21 5" xfId="46913" xr:uid="{E951F397-B51A-4FF1-BA50-DC4802E149A6}"/>
    <cellStyle name="Percent 9 21 6" xfId="46909" xr:uid="{163A8D3E-176D-4FED-8B95-FDBBF6764C8A}"/>
    <cellStyle name="Percent 9 22" xfId="6447" xr:uid="{00000000-0005-0000-0000-00006B360000}"/>
    <cellStyle name="Percent 9 22 2" xfId="14880" xr:uid="{00000000-0005-0000-0000-00006C360000}"/>
    <cellStyle name="Percent 9 22 2 2" xfId="46915" xr:uid="{D3849A82-5E43-41F2-B45D-12CAE7AF5A1A}"/>
    <cellStyle name="Percent 9 22 3" xfId="16199" xr:uid="{00000000-0005-0000-0000-00006D360000}"/>
    <cellStyle name="Percent 9 22 3 2" xfId="46916" xr:uid="{05817538-8BC8-483F-8716-65E7F2B7D90E}"/>
    <cellStyle name="Percent 9 22 4" xfId="9020" xr:uid="{00000000-0005-0000-0000-00006E360000}"/>
    <cellStyle name="Percent 9 22 4 2" xfId="46917" xr:uid="{BFB28E1C-0D9B-4ADD-BABC-3292A0576748}"/>
    <cellStyle name="Percent 9 22 5" xfId="46914" xr:uid="{33532654-2645-464A-B736-B4CE52BA7266}"/>
    <cellStyle name="Percent 9 23" xfId="11140" xr:uid="{00000000-0005-0000-0000-00006F360000}"/>
    <cellStyle name="Percent 9 23 2" xfId="46918" xr:uid="{066D6866-5C7A-48B2-9593-5823751A5D18}"/>
    <cellStyle name="Percent 9 24" xfId="11141" xr:uid="{00000000-0005-0000-0000-000070360000}"/>
    <cellStyle name="Percent 9 24 2" xfId="46919" xr:uid="{7C569679-F722-456C-901E-04DE2D0A1AD2}"/>
    <cellStyle name="Percent 9 25" xfId="12316" xr:uid="{00000000-0005-0000-0000-000071360000}"/>
    <cellStyle name="Percent 9 25 2" xfId="46920" xr:uid="{02DBFD91-6C21-4FEE-8CE4-C7AA877D8992}"/>
    <cellStyle name="Percent 9 26" xfId="12884" xr:uid="{00000000-0005-0000-0000-000072360000}"/>
    <cellStyle name="Percent 9 26 2" xfId="46921" xr:uid="{6829C1E8-901C-4D7A-B1A3-69E58E99048F}"/>
    <cellStyle name="Percent 9 27" xfId="13461" xr:uid="{00000000-0005-0000-0000-000073360000}"/>
    <cellStyle name="Percent 9 27 2" xfId="46922" xr:uid="{894C0DED-1FCD-420E-9673-9D6E9C2B612F}"/>
    <cellStyle name="Percent 9 28" xfId="9004" xr:uid="{00000000-0005-0000-0000-000074360000}"/>
    <cellStyle name="Percent 9 28 2" xfId="46923" xr:uid="{A73DF5F7-977F-4CE2-AFB7-0BBF86805D23}"/>
    <cellStyle name="Percent 9 29" xfId="46924" xr:uid="{995D2FFF-3FCE-407C-83BB-0716BC7DE817}"/>
    <cellStyle name="Percent 9 3" xfId="2970" xr:uid="{00000000-0005-0000-0000-000075360000}"/>
    <cellStyle name="Percent 9 3 10" xfId="16669" xr:uid="{00000000-0005-0000-0000-000076360000}"/>
    <cellStyle name="Percent 9 3 10 2" xfId="46926" xr:uid="{BEE6279A-06DE-41C8-998C-5BAD0A2D9783}"/>
    <cellStyle name="Percent 9 3 11" xfId="9021" xr:uid="{00000000-0005-0000-0000-000077360000}"/>
    <cellStyle name="Percent 9 3 11 2" xfId="46927" xr:uid="{49CCC6C3-27E9-4FFE-89C5-438D180D8F42}"/>
    <cellStyle name="Percent 9 3 12" xfId="46925" xr:uid="{9ABF37AC-64A3-4BC7-A22A-BB16EFFE7154}"/>
    <cellStyle name="Percent 9 3 2" xfId="4740" xr:uid="{00000000-0005-0000-0000-000078360000}"/>
    <cellStyle name="Percent 9 3 2 10" xfId="46928" xr:uid="{3A29D87D-C35C-4674-9395-D4FDC42D72D9}"/>
    <cellStyle name="Percent 9 3 2 2" xfId="11142" xr:uid="{00000000-0005-0000-0000-000079360000}"/>
    <cellStyle name="Percent 9 3 2 2 2" xfId="46929" xr:uid="{28A5CE53-456C-4311-B37E-BCF597BA359A}"/>
    <cellStyle name="Percent 9 3 2 3" xfId="11143" xr:uid="{00000000-0005-0000-0000-00007A360000}"/>
    <cellStyle name="Percent 9 3 2 3 2" xfId="46930" xr:uid="{22D2F7C7-ABF5-4497-BD0F-398C55201DEF}"/>
    <cellStyle name="Percent 9 3 2 4" xfId="11144" xr:uid="{00000000-0005-0000-0000-00007B360000}"/>
    <cellStyle name="Percent 9 3 2 4 2" xfId="46931" xr:uid="{E3C44C17-516E-44A5-835B-A37F44368121}"/>
    <cellStyle name="Percent 9 3 2 5" xfId="11145" xr:uid="{00000000-0005-0000-0000-00007C360000}"/>
    <cellStyle name="Percent 9 3 2 5 2" xfId="46932" xr:uid="{B6B8FC5C-9923-460A-B718-4D659A964547}"/>
    <cellStyle name="Percent 9 3 2 6" xfId="13860" xr:uid="{00000000-0005-0000-0000-00007D360000}"/>
    <cellStyle name="Percent 9 3 2 6 2" xfId="46933" xr:uid="{D6A0864A-F297-4468-B807-C94710CDE180}"/>
    <cellStyle name="Percent 9 3 2 7" xfId="12511" xr:uid="{00000000-0005-0000-0000-00007E360000}"/>
    <cellStyle name="Percent 9 3 2 7 2" xfId="46934" xr:uid="{18F21B68-D7C4-4ED3-ACC1-8DE3CA2569ED}"/>
    <cellStyle name="Percent 9 3 2 8" xfId="9022" xr:uid="{00000000-0005-0000-0000-00007F360000}"/>
    <cellStyle name="Percent 9 3 2 8 2" xfId="46935" xr:uid="{2CE0FF36-8B72-45DC-BE68-E0971AE7CDF2}"/>
    <cellStyle name="Percent 9 3 2 9" xfId="46936" xr:uid="{249CD77B-82E2-47FC-BCA1-7537F6AB1FFD}"/>
    <cellStyle name="Percent 9 3 3" xfId="6449" xr:uid="{00000000-0005-0000-0000-000080360000}"/>
    <cellStyle name="Percent 9 3 3 2" xfId="14882" xr:uid="{00000000-0005-0000-0000-000081360000}"/>
    <cellStyle name="Percent 9 3 3 2 2" xfId="46938" xr:uid="{B4343471-98FA-41E3-8491-4FDD48708BE2}"/>
    <cellStyle name="Percent 9 3 3 3" xfId="12589" xr:uid="{00000000-0005-0000-0000-000082360000}"/>
    <cellStyle name="Percent 9 3 3 3 2" xfId="46939" xr:uid="{10CEE939-12D3-4AF3-82F1-E3DDC7CFFA55}"/>
    <cellStyle name="Percent 9 3 3 4" xfId="9023" xr:uid="{00000000-0005-0000-0000-000083360000}"/>
    <cellStyle name="Percent 9 3 3 4 2" xfId="46940" xr:uid="{118606B6-9CB6-4622-B442-15BDAAD93ADC}"/>
    <cellStyle name="Percent 9 3 3 5" xfId="46937" xr:uid="{45C21424-6958-41F2-B57D-E0F00FF21BDC}"/>
    <cellStyle name="Percent 9 3 4" xfId="11146" xr:uid="{00000000-0005-0000-0000-000084360000}"/>
    <cellStyle name="Percent 9 3 4 2" xfId="46941" xr:uid="{1A6817D8-B2D9-47CA-9828-6E8FBAA38641}"/>
    <cellStyle name="Percent 9 3 5" xfId="11147" xr:uid="{00000000-0005-0000-0000-000085360000}"/>
    <cellStyle name="Percent 9 3 5 2" xfId="46942" xr:uid="{2FBF4BF3-8DF5-44C8-95DD-50A1FB922127}"/>
    <cellStyle name="Percent 9 3 6" xfId="11148" xr:uid="{00000000-0005-0000-0000-000086360000}"/>
    <cellStyle name="Percent 9 3 6 2" xfId="46943" xr:uid="{747493A2-BC35-4E6C-9199-9E34A9255DBF}"/>
    <cellStyle name="Percent 9 3 7" xfId="11149" xr:uid="{00000000-0005-0000-0000-000087360000}"/>
    <cellStyle name="Percent 9 3 7 2" xfId="46944" xr:uid="{EA9CDE95-350B-4C89-AC91-C0DE7FCDDD83}"/>
    <cellStyle name="Percent 9 3 8" xfId="12318" xr:uid="{00000000-0005-0000-0000-000088360000}"/>
    <cellStyle name="Percent 9 3 8 2" xfId="46945" xr:uid="{67B90C32-775C-4465-A82B-24AE6EBBD091}"/>
    <cellStyle name="Percent 9 3 9" xfId="13096" xr:uid="{00000000-0005-0000-0000-000089360000}"/>
    <cellStyle name="Percent 9 3 9 2" xfId="46946" xr:uid="{0B55A27B-96D4-4449-A5AA-647592446304}"/>
    <cellStyle name="Percent 9 30" xfId="46776" xr:uid="{ACB765F1-86F2-485D-9F70-B683B373C0CC}"/>
    <cellStyle name="Percent 9 4" xfId="2971" xr:uid="{00000000-0005-0000-0000-00008A360000}"/>
    <cellStyle name="Percent 9 4 10" xfId="13766" xr:uid="{00000000-0005-0000-0000-00008B360000}"/>
    <cellStyle name="Percent 9 4 10 2" xfId="46948" xr:uid="{50783186-FA2B-4411-ABAC-CBF220C91AE1}"/>
    <cellStyle name="Percent 9 4 11" xfId="9024" xr:uid="{00000000-0005-0000-0000-00008C360000}"/>
    <cellStyle name="Percent 9 4 11 2" xfId="46949" xr:uid="{1E8C5FD1-DD64-49B0-AA00-91B48A422F44}"/>
    <cellStyle name="Percent 9 4 12" xfId="46947" xr:uid="{D03DD75B-B89A-493D-B743-B5904CF9027F}"/>
    <cellStyle name="Percent 9 4 2" xfId="4741" xr:uid="{00000000-0005-0000-0000-00008D360000}"/>
    <cellStyle name="Percent 9 4 2 10" xfId="46950" xr:uid="{36DCC463-0060-44E5-B4D0-4D28F7B7C41A}"/>
    <cellStyle name="Percent 9 4 2 2" xfId="11150" xr:uid="{00000000-0005-0000-0000-00008E360000}"/>
    <cellStyle name="Percent 9 4 2 2 2" xfId="46951" xr:uid="{06528656-CB92-48A4-B1C7-D9C1FB8CE22C}"/>
    <cellStyle name="Percent 9 4 2 3" xfId="11151" xr:uid="{00000000-0005-0000-0000-00008F360000}"/>
    <cellStyle name="Percent 9 4 2 3 2" xfId="46952" xr:uid="{162DC8A0-0436-41C6-BA01-189A6CFB1694}"/>
    <cellStyle name="Percent 9 4 2 4" xfId="11152" xr:uid="{00000000-0005-0000-0000-000090360000}"/>
    <cellStyle name="Percent 9 4 2 4 2" xfId="46953" xr:uid="{886C7209-70EF-4907-B25A-EE3E30300777}"/>
    <cellStyle name="Percent 9 4 2 5" xfId="11153" xr:uid="{00000000-0005-0000-0000-000091360000}"/>
    <cellStyle name="Percent 9 4 2 5 2" xfId="46954" xr:uid="{BE6061FC-89CA-4C49-B1BF-7C62665C6D35}"/>
    <cellStyle name="Percent 9 4 2 6" xfId="13861" xr:uid="{00000000-0005-0000-0000-000092360000}"/>
    <cellStyle name="Percent 9 4 2 6 2" xfId="46955" xr:uid="{E45FE032-A5C5-4066-A9A0-28CE02D7C090}"/>
    <cellStyle name="Percent 9 4 2 7" xfId="16205" xr:uid="{00000000-0005-0000-0000-000093360000}"/>
    <cellStyle name="Percent 9 4 2 7 2" xfId="46956" xr:uid="{E69E3A00-5EFE-4E19-843B-D92A396A79A9}"/>
    <cellStyle name="Percent 9 4 2 8" xfId="9025" xr:uid="{00000000-0005-0000-0000-000094360000}"/>
    <cellStyle name="Percent 9 4 2 8 2" xfId="46957" xr:uid="{83808464-16D8-452D-81A8-1FEF33850EE0}"/>
    <cellStyle name="Percent 9 4 2 9" xfId="46958" xr:uid="{48BFFAAD-91E1-4C46-BD6F-F9D176240457}"/>
    <cellStyle name="Percent 9 4 3" xfId="6450" xr:uid="{00000000-0005-0000-0000-000095360000}"/>
    <cellStyle name="Percent 9 4 3 2" xfId="14883" xr:uid="{00000000-0005-0000-0000-000096360000}"/>
    <cellStyle name="Percent 9 4 3 2 2" xfId="46960" xr:uid="{D3466200-F7B9-4624-A169-FAFF53FAB18E}"/>
    <cellStyle name="Percent 9 4 3 3" xfId="16252" xr:uid="{00000000-0005-0000-0000-000097360000}"/>
    <cellStyle name="Percent 9 4 3 3 2" xfId="46961" xr:uid="{3A5C2BE8-2039-4B35-966C-41F2BE3A932B}"/>
    <cellStyle name="Percent 9 4 3 4" xfId="9026" xr:uid="{00000000-0005-0000-0000-000098360000}"/>
    <cellStyle name="Percent 9 4 3 4 2" xfId="46962" xr:uid="{64C44371-7697-4CEA-A599-95E5DE3559E2}"/>
    <cellStyle name="Percent 9 4 3 5" xfId="46959" xr:uid="{D4C6EB19-50A2-490E-88D4-269003C037D4}"/>
    <cellStyle name="Percent 9 4 4" xfId="11154" xr:uid="{00000000-0005-0000-0000-000099360000}"/>
    <cellStyle name="Percent 9 4 4 2" xfId="46963" xr:uid="{B933A56C-8791-4E1D-B911-7A4A7F90C840}"/>
    <cellStyle name="Percent 9 4 5" xfId="11155" xr:uid="{00000000-0005-0000-0000-00009A360000}"/>
    <cellStyle name="Percent 9 4 5 2" xfId="46964" xr:uid="{59DA61F6-C650-4963-95CF-C9E3BC8B0ECE}"/>
    <cellStyle name="Percent 9 4 6" xfId="11156" xr:uid="{00000000-0005-0000-0000-00009B360000}"/>
    <cellStyle name="Percent 9 4 6 2" xfId="46965" xr:uid="{45762EAD-B6AD-4B3B-84C3-FA34C1743DEE}"/>
    <cellStyle name="Percent 9 4 7" xfId="11157" xr:uid="{00000000-0005-0000-0000-00009C360000}"/>
    <cellStyle name="Percent 9 4 7 2" xfId="46966" xr:uid="{ED1A67F6-28F6-4FDA-940C-4F0613064F21}"/>
    <cellStyle name="Percent 9 4 8" xfId="12319" xr:uid="{00000000-0005-0000-0000-00009D360000}"/>
    <cellStyle name="Percent 9 4 8 2" xfId="46967" xr:uid="{571BE1FD-6C5F-4250-B571-668E1198EDF1}"/>
    <cellStyle name="Percent 9 4 9" xfId="13097" xr:uid="{00000000-0005-0000-0000-00009E360000}"/>
    <cellStyle name="Percent 9 4 9 2" xfId="46968" xr:uid="{0D22AB14-8FA5-4846-9822-D71C5594E7A3}"/>
    <cellStyle name="Percent 9 5" xfId="2972" xr:uid="{00000000-0005-0000-0000-00009F360000}"/>
    <cellStyle name="Percent 9 5 10" xfId="16524" xr:uid="{00000000-0005-0000-0000-0000A0360000}"/>
    <cellStyle name="Percent 9 5 10 2" xfId="46970" xr:uid="{F3715023-2FB7-4472-83B7-A064800EE04C}"/>
    <cellStyle name="Percent 9 5 11" xfId="9027" xr:uid="{00000000-0005-0000-0000-0000A1360000}"/>
    <cellStyle name="Percent 9 5 11 2" xfId="46971" xr:uid="{9265A220-DFEA-4C3B-B897-B7E13ADB904D}"/>
    <cellStyle name="Percent 9 5 12" xfId="46969" xr:uid="{2AC4E53E-70FF-4D87-ABB4-20BE4B762E23}"/>
    <cellStyle name="Percent 9 5 2" xfId="4742" xr:uid="{00000000-0005-0000-0000-0000A2360000}"/>
    <cellStyle name="Percent 9 5 2 10" xfId="46972" xr:uid="{C223A51C-BF5E-426C-9709-129BAE1F2287}"/>
    <cellStyle name="Percent 9 5 2 2" xfId="11158" xr:uid="{00000000-0005-0000-0000-0000A3360000}"/>
    <cellStyle name="Percent 9 5 2 2 2" xfId="46973" xr:uid="{00F8D617-4343-4782-A84E-BB3E39F520AA}"/>
    <cellStyle name="Percent 9 5 2 3" xfId="11159" xr:uid="{00000000-0005-0000-0000-0000A4360000}"/>
    <cellStyle name="Percent 9 5 2 3 2" xfId="46974" xr:uid="{EFC5E96E-E04A-4562-90E2-57B7B384702C}"/>
    <cellStyle name="Percent 9 5 2 4" xfId="11160" xr:uid="{00000000-0005-0000-0000-0000A5360000}"/>
    <cellStyle name="Percent 9 5 2 4 2" xfId="46975" xr:uid="{3B245ED9-8A25-420D-83D0-58476E97743A}"/>
    <cellStyle name="Percent 9 5 2 5" xfId="11161" xr:uid="{00000000-0005-0000-0000-0000A6360000}"/>
    <cellStyle name="Percent 9 5 2 5 2" xfId="46976" xr:uid="{47E47EAC-F268-4399-944A-724B060C5255}"/>
    <cellStyle name="Percent 9 5 2 6" xfId="13862" xr:uid="{00000000-0005-0000-0000-0000A7360000}"/>
    <cellStyle name="Percent 9 5 2 6 2" xfId="46977" xr:uid="{B81C6C04-C646-4E2A-9E2F-147C559A6F28}"/>
    <cellStyle name="Percent 9 5 2 7" xfId="16150" xr:uid="{00000000-0005-0000-0000-0000A8360000}"/>
    <cellStyle name="Percent 9 5 2 7 2" xfId="46978" xr:uid="{898D6DC5-F2F3-4BB4-9BBA-045D0FFD4ED5}"/>
    <cellStyle name="Percent 9 5 2 8" xfId="9028" xr:uid="{00000000-0005-0000-0000-0000A9360000}"/>
    <cellStyle name="Percent 9 5 2 8 2" xfId="46979" xr:uid="{D55C0D89-842D-4FB9-8BEA-C0D9003F9D8F}"/>
    <cellStyle name="Percent 9 5 2 9" xfId="46980" xr:uid="{F2A0F7D0-0C3C-4D05-9A2D-E19B6E1A70ED}"/>
    <cellStyle name="Percent 9 5 3" xfId="6451" xr:uid="{00000000-0005-0000-0000-0000AA360000}"/>
    <cellStyle name="Percent 9 5 3 2" xfId="14884" xr:uid="{00000000-0005-0000-0000-0000AB360000}"/>
    <cellStyle name="Percent 9 5 3 2 2" xfId="46982" xr:uid="{CF613995-A502-4760-BBDE-35D64485BE51}"/>
    <cellStyle name="Percent 9 5 3 3" xfId="12580" xr:uid="{00000000-0005-0000-0000-0000AC360000}"/>
    <cellStyle name="Percent 9 5 3 3 2" xfId="46983" xr:uid="{E8FDA227-B97C-40AA-837A-6DE48F8C0205}"/>
    <cellStyle name="Percent 9 5 3 4" xfId="9029" xr:uid="{00000000-0005-0000-0000-0000AD360000}"/>
    <cellStyle name="Percent 9 5 3 4 2" xfId="46984" xr:uid="{D41B1D0B-1FC6-4AFB-9F77-496D4A954D8A}"/>
    <cellStyle name="Percent 9 5 3 5" xfId="46981" xr:uid="{B63B1F24-9B63-4893-8573-54AFE52123C4}"/>
    <cellStyle name="Percent 9 5 4" xfId="11162" xr:uid="{00000000-0005-0000-0000-0000AE360000}"/>
    <cellStyle name="Percent 9 5 4 2" xfId="46985" xr:uid="{5DA880FA-EACE-4A8E-82DA-91A94A280AD3}"/>
    <cellStyle name="Percent 9 5 5" xfId="11163" xr:uid="{00000000-0005-0000-0000-0000AF360000}"/>
    <cellStyle name="Percent 9 5 5 2" xfId="46986" xr:uid="{363D16FC-D4B8-43B6-94E6-801CCBA82AC2}"/>
    <cellStyle name="Percent 9 5 6" xfId="11164" xr:uid="{00000000-0005-0000-0000-0000B0360000}"/>
    <cellStyle name="Percent 9 5 6 2" xfId="46987" xr:uid="{7003AD34-EEE4-4059-833E-4C051520F058}"/>
    <cellStyle name="Percent 9 5 7" xfId="11165" xr:uid="{00000000-0005-0000-0000-0000B1360000}"/>
    <cellStyle name="Percent 9 5 7 2" xfId="46988" xr:uid="{9A3A9FBA-50F7-4BD9-A469-8EB3D08167A2}"/>
    <cellStyle name="Percent 9 5 8" xfId="12320" xr:uid="{00000000-0005-0000-0000-0000B2360000}"/>
    <cellStyle name="Percent 9 5 8 2" xfId="46989" xr:uid="{2CF0D4B9-A82A-47DD-8B3A-966A276F664C}"/>
    <cellStyle name="Percent 9 5 9" xfId="13098" xr:uid="{00000000-0005-0000-0000-0000B3360000}"/>
    <cellStyle name="Percent 9 5 9 2" xfId="46990" xr:uid="{3AE8DFAC-A629-47AC-884C-0614A61808C2}"/>
    <cellStyle name="Percent 9 6" xfId="2973" xr:uid="{00000000-0005-0000-0000-0000B4360000}"/>
    <cellStyle name="Percent 9 6 10" xfId="13729" xr:uid="{00000000-0005-0000-0000-0000B5360000}"/>
    <cellStyle name="Percent 9 6 10 2" xfId="46992" xr:uid="{6A983685-B112-44D8-9588-0CDE86C8FA2C}"/>
    <cellStyle name="Percent 9 6 11" xfId="9030" xr:uid="{00000000-0005-0000-0000-0000B6360000}"/>
    <cellStyle name="Percent 9 6 11 2" xfId="46993" xr:uid="{943376DB-AF33-4082-AA48-CE6B454A1854}"/>
    <cellStyle name="Percent 9 6 12" xfId="46991" xr:uid="{B31BD4B0-9B30-4193-85CC-4E5D88ED0829}"/>
    <cellStyle name="Percent 9 6 2" xfId="4743" xr:uid="{00000000-0005-0000-0000-0000B7360000}"/>
    <cellStyle name="Percent 9 6 2 10" xfId="46994" xr:uid="{6BD0E01F-D3D5-4917-BAEE-4464BFDA7F8C}"/>
    <cellStyle name="Percent 9 6 2 2" xfId="11166" xr:uid="{00000000-0005-0000-0000-0000B8360000}"/>
    <cellStyle name="Percent 9 6 2 2 2" xfId="46995" xr:uid="{B6342738-6EE1-42C9-90B4-EC4DFF837B8C}"/>
    <cellStyle name="Percent 9 6 2 3" xfId="11167" xr:uid="{00000000-0005-0000-0000-0000B9360000}"/>
    <cellStyle name="Percent 9 6 2 3 2" xfId="46996" xr:uid="{93FEA12D-5B62-4CD1-8211-A721A7AD62B6}"/>
    <cellStyle name="Percent 9 6 2 4" xfId="11168" xr:uid="{00000000-0005-0000-0000-0000BA360000}"/>
    <cellStyle name="Percent 9 6 2 4 2" xfId="46997" xr:uid="{64CD290A-0A13-4734-B8CE-6F7FBC9BDF70}"/>
    <cellStyle name="Percent 9 6 2 5" xfId="11169" xr:uid="{00000000-0005-0000-0000-0000BB360000}"/>
    <cellStyle name="Percent 9 6 2 5 2" xfId="46998" xr:uid="{34627811-8CFB-46BB-9B83-B2AD0DE9AF82}"/>
    <cellStyle name="Percent 9 6 2 6" xfId="13863" xr:uid="{00000000-0005-0000-0000-0000BC360000}"/>
    <cellStyle name="Percent 9 6 2 6 2" xfId="46999" xr:uid="{25885FB1-5F6E-46C2-AAAB-9C8A95D25931}"/>
    <cellStyle name="Percent 9 6 2 7" xfId="16215" xr:uid="{00000000-0005-0000-0000-0000BD360000}"/>
    <cellStyle name="Percent 9 6 2 7 2" xfId="47000" xr:uid="{3DCB9572-F385-4E37-BC8F-BD9C3F16173E}"/>
    <cellStyle name="Percent 9 6 2 8" xfId="9031" xr:uid="{00000000-0005-0000-0000-0000BE360000}"/>
    <cellStyle name="Percent 9 6 2 8 2" xfId="47001" xr:uid="{01136A80-5108-4611-B52F-55E84E08C729}"/>
    <cellStyle name="Percent 9 6 2 9" xfId="47002" xr:uid="{EEF176BF-C218-43BF-ABC5-8DE553D79268}"/>
    <cellStyle name="Percent 9 6 3" xfId="6452" xr:uid="{00000000-0005-0000-0000-0000BF360000}"/>
    <cellStyle name="Percent 9 6 3 2" xfId="14885" xr:uid="{00000000-0005-0000-0000-0000C0360000}"/>
    <cellStyle name="Percent 9 6 3 2 2" xfId="47004" xr:uid="{BA171286-080D-41AB-B8FD-7D82043D3422}"/>
    <cellStyle name="Percent 9 6 3 3" xfId="16425" xr:uid="{00000000-0005-0000-0000-0000C1360000}"/>
    <cellStyle name="Percent 9 6 3 3 2" xfId="47005" xr:uid="{3AB06387-0674-4F1C-A8DA-47811FECC3A9}"/>
    <cellStyle name="Percent 9 6 3 4" xfId="9032" xr:uid="{00000000-0005-0000-0000-0000C2360000}"/>
    <cellStyle name="Percent 9 6 3 4 2" xfId="47006" xr:uid="{A5BD5A7C-E7D7-499A-B0A5-08492DA6F4BE}"/>
    <cellStyle name="Percent 9 6 3 5" xfId="47003" xr:uid="{C178116E-DB7D-4C4F-BA7E-027C270A1E66}"/>
    <cellStyle name="Percent 9 6 4" xfId="11170" xr:uid="{00000000-0005-0000-0000-0000C3360000}"/>
    <cellStyle name="Percent 9 6 4 2" xfId="47007" xr:uid="{42B5358C-59BE-4EF1-B7FC-4C98E91F504F}"/>
    <cellStyle name="Percent 9 6 5" xfId="11171" xr:uid="{00000000-0005-0000-0000-0000C4360000}"/>
    <cellStyle name="Percent 9 6 5 2" xfId="47008" xr:uid="{DB503802-B1BB-488A-A78D-E6528BAFF6F1}"/>
    <cellStyle name="Percent 9 6 6" xfId="11172" xr:uid="{00000000-0005-0000-0000-0000C5360000}"/>
    <cellStyle name="Percent 9 6 6 2" xfId="47009" xr:uid="{C1790304-16D8-4036-A49C-09D2DD7195DA}"/>
    <cellStyle name="Percent 9 6 7" xfId="11173" xr:uid="{00000000-0005-0000-0000-0000C6360000}"/>
    <cellStyle name="Percent 9 6 7 2" xfId="47010" xr:uid="{8BC58E5A-DFB5-41DB-A36E-C1ECC2CBD203}"/>
    <cellStyle name="Percent 9 6 8" xfId="12321" xr:uid="{00000000-0005-0000-0000-0000C7360000}"/>
    <cellStyle name="Percent 9 6 8 2" xfId="47011" xr:uid="{9E59B7B2-72C7-4D52-9CC6-82A198D0EDA0}"/>
    <cellStyle name="Percent 9 6 9" xfId="13099" xr:uid="{00000000-0005-0000-0000-0000C8360000}"/>
    <cellStyle name="Percent 9 6 9 2" xfId="47012" xr:uid="{5D4DBE64-0EEA-4A18-A289-5F612DBF4637}"/>
    <cellStyle name="Percent 9 7" xfId="2974" xr:uid="{00000000-0005-0000-0000-0000C9360000}"/>
    <cellStyle name="Percent 9 7 10" xfId="12322" xr:uid="{00000000-0005-0000-0000-0000CA360000}"/>
    <cellStyle name="Percent 9 7 10 2" xfId="47014" xr:uid="{A103E057-6E60-43C1-A100-29EB23466717}"/>
    <cellStyle name="Percent 9 7 11" xfId="13100" xr:uid="{00000000-0005-0000-0000-0000CB360000}"/>
    <cellStyle name="Percent 9 7 11 2" xfId="47015" xr:uid="{905C10B6-7E0A-4207-A1B2-6FDE9AEE66E4}"/>
    <cellStyle name="Percent 9 7 12" xfId="12535" xr:uid="{00000000-0005-0000-0000-0000CC360000}"/>
    <cellStyle name="Percent 9 7 12 2" xfId="47016" xr:uid="{ECA3623C-B622-4EF5-92B0-1DD959DE115B}"/>
    <cellStyle name="Percent 9 7 13" xfId="9033" xr:uid="{00000000-0005-0000-0000-0000CD360000}"/>
    <cellStyle name="Percent 9 7 13 2" xfId="47017" xr:uid="{F39F2F49-015B-4402-854D-7C0AE7D3E07B}"/>
    <cellStyle name="Percent 9 7 14" xfId="16725" xr:uid="{454DB066-FD61-4081-BA69-E7A31AC09C37}"/>
    <cellStyle name="Percent 9 7 14 2" xfId="33451" xr:uid="{296A949C-6F93-411F-A7C2-AFCEB39997E2}"/>
    <cellStyle name="Percent 9 7 14 3" xfId="47018" xr:uid="{9A3E152F-FAEA-4562-B2C2-506267D8E568}"/>
    <cellStyle name="Percent 9 7 15" xfId="47013" xr:uid="{35469102-A5C1-4086-8365-D67D06092365}"/>
    <cellStyle name="Percent 9 7 2" xfId="2975" xr:uid="{00000000-0005-0000-0000-0000CE360000}"/>
    <cellStyle name="Percent 9 7 2 10" xfId="47019" xr:uid="{9BB205B2-DF4F-49C0-8394-4252CAD4B61B}"/>
    <cellStyle name="Percent 9 7 2 2" xfId="11174" xr:uid="{00000000-0005-0000-0000-0000CF360000}"/>
    <cellStyle name="Percent 9 7 2 2 2" xfId="47021" xr:uid="{64EEE0B1-6476-4519-BFAD-E5B7012464AB}"/>
    <cellStyle name="Percent 9 7 2 2 3" xfId="47022" xr:uid="{6157621C-C86E-44CF-BD53-6FC76C642956}"/>
    <cellStyle name="Percent 9 7 2 2 4" xfId="47020" xr:uid="{7B519A10-867B-4D8E-BC0F-2884235D46FD}"/>
    <cellStyle name="Percent 9 7 2 2 5" xfId="49878" xr:uid="{E56646F9-B68C-4376-9817-2BF045906029}"/>
    <cellStyle name="Percent 9 7 2 3" xfId="11175" xr:uid="{00000000-0005-0000-0000-0000D0360000}"/>
    <cellStyle name="Percent 9 7 2 3 2" xfId="47024" xr:uid="{F3E1FD12-7F17-4EED-A66E-45F7DAF1E19B}"/>
    <cellStyle name="Percent 9 7 2 3 3" xfId="47023" xr:uid="{4411D4F8-190B-4413-87A3-A6820817B733}"/>
    <cellStyle name="Percent 9 7 2 4" xfId="11176" xr:uid="{00000000-0005-0000-0000-0000D1360000}"/>
    <cellStyle name="Percent 9 7 2 4 2" xfId="47025" xr:uid="{FF3CDE2E-A851-4D2C-B156-EAB087EAA0F7}"/>
    <cellStyle name="Percent 9 7 2 5" xfId="11177" xr:uid="{00000000-0005-0000-0000-0000D2360000}"/>
    <cellStyle name="Percent 9 7 2 5 2" xfId="47026" xr:uid="{5866E53F-FB4A-4E63-BCEF-2B3F9F91A3C7}"/>
    <cellStyle name="Percent 9 7 2 6" xfId="11178" xr:uid="{00000000-0005-0000-0000-0000D3360000}"/>
    <cellStyle name="Percent 9 7 2 6 2" xfId="47027" xr:uid="{BA0761F5-934E-4A3F-9781-2D9FD7C522EC}"/>
    <cellStyle name="Percent 9 7 2 7" xfId="13101" xr:uid="{00000000-0005-0000-0000-0000D4360000}"/>
    <cellStyle name="Percent 9 7 2 7 2" xfId="47028" xr:uid="{16835B06-59EB-405A-A040-CC3B63006558}"/>
    <cellStyle name="Percent 9 7 2 8" xfId="13905" xr:uid="{00000000-0005-0000-0000-0000D5360000}"/>
    <cellStyle name="Percent 9 7 2 8 2" xfId="47029" xr:uid="{4D7C4B2C-6AAB-4BCE-9DD6-28E3B2724A02}"/>
    <cellStyle name="Percent 9 7 2 9" xfId="9034" xr:uid="{00000000-0005-0000-0000-0000D6360000}"/>
    <cellStyle name="Percent 9 7 2 9 2" xfId="47030" xr:uid="{6BA81418-1CC2-49C4-AE61-3F143E622589}"/>
    <cellStyle name="Percent 9 7 3" xfId="2976" xr:uid="{00000000-0005-0000-0000-0000D7360000}"/>
    <cellStyle name="Percent 9 7 3 10" xfId="47031" xr:uid="{79B6C5AD-762D-4B98-BD24-DE0D4B48E190}"/>
    <cellStyle name="Percent 9 7 3 2" xfId="11179" xr:uid="{00000000-0005-0000-0000-0000D8360000}"/>
    <cellStyle name="Percent 9 7 3 2 2" xfId="47033" xr:uid="{105A026D-158A-4B1E-8781-512961DB9626}"/>
    <cellStyle name="Percent 9 7 3 2 3" xfId="47034" xr:uid="{CA76378C-A4C7-4724-9962-80738EA3E257}"/>
    <cellStyle name="Percent 9 7 3 2 4" xfId="47032" xr:uid="{42EDD09F-CEDD-4A2F-9C9D-6DD23FA0E417}"/>
    <cellStyle name="Percent 9 7 3 2 5" xfId="49879" xr:uid="{BE2D0621-D113-4D85-9DDE-2B35D6C0187B}"/>
    <cellStyle name="Percent 9 7 3 3" xfId="11180" xr:uid="{00000000-0005-0000-0000-0000D9360000}"/>
    <cellStyle name="Percent 9 7 3 3 2" xfId="47036" xr:uid="{7EC32B13-B39A-414E-8E28-B0EC0309D42C}"/>
    <cellStyle name="Percent 9 7 3 3 3" xfId="47035" xr:uid="{BF20F3C1-8F8D-4ED5-8BDB-D90C0054A73F}"/>
    <cellStyle name="Percent 9 7 3 4" xfId="11181" xr:uid="{00000000-0005-0000-0000-0000DA360000}"/>
    <cellStyle name="Percent 9 7 3 4 2" xfId="47037" xr:uid="{06E38B8F-D7BE-49D2-9930-911C50CEAE8B}"/>
    <cellStyle name="Percent 9 7 3 5" xfId="11182" xr:uid="{00000000-0005-0000-0000-0000DB360000}"/>
    <cellStyle name="Percent 9 7 3 5 2" xfId="47038" xr:uid="{F5324FD7-E6ED-43B2-BB7E-1AD05AA477B8}"/>
    <cellStyle name="Percent 9 7 3 6" xfId="11183" xr:uid="{00000000-0005-0000-0000-0000DC360000}"/>
    <cellStyle name="Percent 9 7 3 6 2" xfId="47039" xr:uid="{61C0E065-63FF-4350-BC5D-E5C3DDE641FC}"/>
    <cellStyle name="Percent 9 7 3 7" xfId="13102" xr:uid="{00000000-0005-0000-0000-0000DD360000}"/>
    <cellStyle name="Percent 9 7 3 7 2" xfId="47040" xr:uid="{2093F93C-357C-496B-8B86-73513DA29B9D}"/>
    <cellStyle name="Percent 9 7 3 8" xfId="12394" xr:uid="{00000000-0005-0000-0000-0000DE360000}"/>
    <cellStyle name="Percent 9 7 3 8 2" xfId="47041" xr:uid="{1589AC55-32A2-4E78-B9B1-0E2BED891999}"/>
    <cellStyle name="Percent 9 7 3 9" xfId="9035" xr:uid="{00000000-0005-0000-0000-0000DF360000}"/>
    <cellStyle name="Percent 9 7 3 9 2" xfId="47042" xr:uid="{D0372D70-21AD-48EA-BAB9-52A84DF05EAE}"/>
    <cellStyle name="Percent 9 7 4" xfId="4744" xr:uid="{00000000-0005-0000-0000-0000E0360000}"/>
    <cellStyle name="Percent 9 7 4 10" xfId="47043" xr:uid="{453514CE-46E8-4930-B401-AD94170C5D28}"/>
    <cellStyle name="Percent 9 7 4 11" xfId="49880" xr:uid="{9757DE1F-29CB-4BBE-8DC9-A025829CAC81}"/>
    <cellStyle name="Percent 9 7 4 2" xfId="11184" xr:uid="{00000000-0005-0000-0000-0000E1360000}"/>
    <cellStyle name="Percent 9 7 4 2 2" xfId="47045" xr:uid="{84E38658-B804-4CC4-8534-EDBE58A95AF2}"/>
    <cellStyle name="Percent 9 7 4 2 3" xfId="47046" xr:uid="{8BCCCA6D-EA20-49BA-8A90-0D3B9F174D7B}"/>
    <cellStyle name="Percent 9 7 4 2 4" xfId="47044" xr:uid="{915EB2B8-D30E-47C4-8D66-9831DDC69575}"/>
    <cellStyle name="Percent 9 7 4 2 5" xfId="49881" xr:uid="{3541957D-43C1-46D6-9F11-DBC3CF0D935A}"/>
    <cellStyle name="Percent 9 7 4 3" xfId="11185" xr:uid="{00000000-0005-0000-0000-0000E2360000}"/>
    <cellStyle name="Percent 9 7 4 3 2" xfId="47048" xr:uid="{48D1EACB-5B77-431B-AE57-B0FA15A9A98B}"/>
    <cellStyle name="Percent 9 7 4 3 3" xfId="47047" xr:uid="{00DBE18B-1DA7-4457-93DB-5BA882DDBD2A}"/>
    <cellStyle name="Percent 9 7 4 4" xfId="11186" xr:uid="{00000000-0005-0000-0000-0000E3360000}"/>
    <cellStyle name="Percent 9 7 4 4 2" xfId="47049" xr:uid="{75460557-1B82-4A95-8362-79F14AC9B198}"/>
    <cellStyle name="Percent 9 7 4 5" xfId="11187" xr:uid="{00000000-0005-0000-0000-0000E4360000}"/>
    <cellStyle name="Percent 9 7 4 5 2" xfId="47050" xr:uid="{B5DCAA69-3697-4634-9CFA-A949189C6CA3}"/>
    <cellStyle name="Percent 9 7 4 6" xfId="13864" xr:uid="{00000000-0005-0000-0000-0000E5360000}"/>
    <cellStyle name="Percent 9 7 4 6 2" xfId="47051" xr:uid="{832A9EF5-BF13-4E50-B73F-E325ECE64EC3}"/>
    <cellStyle name="Percent 9 7 4 7" xfId="16492" xr:uid="{00000000-0005-0000-0000-0000E6360000}"/>
    <cellStyle name="Percent 9 7 4 7 2" xfId="47052" xr:uid="{BDD96569-4CCE-4E86-81F9-5FCD0B553980}"/>
    <cellStyle name="Percent 9 7 4 8" xfId="9036" xr:uid="{00000000-0005-0000-0000-0000E7360000}"/>
    <cellStyle name="Percent 9 7 4 8 2" xfId="47053" xr:uid="{C70E632E-E347-4F0C-B9A5-8C6BEB83F998}"/>
    <cellStyle name="Percent 9 7 4 9" xfId="47054" xr:uid="{C0699170-FB2A-4633-9D9A-1BACBA81CDC1}"/>
    <cellStyle name="Percent 9 7 5" xfId="6453" xr:uid="{00000000-0005-0000-0000-0000E8360000}"/>
    <cellStyle name="Percent 9 7 5 2" xfId="14886" xr:uid="{00000000-0005-0000-0000-0000E9360000}"/>
    <cellStyle name="Percent 9 7 5 2 2" xfId="47056" xr:uid="{4ABC7870-BD7E-4491-B37E-E152B57AB0C9}"/>
    <cellStyle name="Percent 9 7 5 3" xfId="14364" xr:uid="{00000000-0005-0000-0000-0000EA360000}"/>
    <cellStyle name="Percent 9 7 5 3 2" xfId="47057" xr:uid="{7E819B09-35CE-4B5A-9A5F-B3906AEA48C2}"/>
    <cellStyle name="Percent 9 7 5 4" xfId="9037" xr:uid="{00000000-0005-0000-0000-0000EB360000}"/>
    <cellStyle name="Percent 9 7 5 4 2" xfId="47058" xr:uid="{9AE726D6-31A8-4DC2-AE98-2F59E35D1A07}"/>
    <cellStyle name="Percent 9 7 5 5" xfId="47055" xr:uid="{D3D22EA8-1395-4E74-AC79-699BA74772CD}"/>
    <cellStyle name="Percent 9 7 6" xfId="11188" xr:uid="{00000000-0005-0000-0000-0000EC360000}"/>
    <cellStyle name="Percent 9 7 6 2" xfId="47059" xr:uid="{1C106DC7-0A3D-454F-BA58-DB5C1105DFBB}"/>
    <cellStyle name="Percent 9 7 7" xfId="11189" xr:uid="{00000000-0005-0000-0000-0000ED360000}"/>
    <cellStyle name="Percent 9 7 7 2" xfId="47060" xr:uid="{88AEB71A-D10B-4EC3-95C3-6AB6E602FC90}"/>
    <cellStyle name="Percent 9 7 8" xfId="11190" xr:uid="{00000000-0005-0000-0000-0000EE360000}"/>
    <cellStyle name="Percent 9 7 8 2" xfId="47061" xr:uid="{AA2272CC-A6DB-4B3C-B2A4-CCA22488C621}"/>
    <cellStyle name="Percent 9 7 9" xfId="11191" xr:uid="{00000000-0005-0000-0000-0000EF360000}"/>
    <cellStyle name="Percent 9 7 9 2" xfId="47062" xr:uid="{261E44A0-7878-4708-82CB-E5281692F4E5}"/>
    <cellStyle name="Percent 9 8" xfId="2977" xr:uid="{00000000-0005-0000-0000-0000F0360000}"/>
    <cellStyle name="Percent 9 8 10" xfId="12619" xr:uid="{00000000-0005-0000-0000-0000F1360000}"/>
    <cellStyle name="Percent 9 8 10 2" xfId="47064" xr:uid="{AA8A2896-8C4C-4685-BE83-EF0FFDDC167A}"/>
    <cellStyle name="Percent 9 8 11" xfId="9038" xr:uid="{00000000-0005-0000-0000-0000F2360000}"/>
    <cellStyle name="Percent 9 8 11 2" xfId="47065" xr:uid="{0E229C99-B687-45A5-A26F-7129BED7268A}"/>
    <cellStyle name="Percent 9 8 12" xfId="47063" xr:uid="{BB0D3701-7AD7-4DD2-9DA7-986BB891A7E0}"/>
    <cellStyle name="Percent 9 8 2" xfId="4745" xr:uid="{00000000-0005-0000-0000-0000F3360000}"/>
    <cellStyle name="Percent 9 8 2 10" xfId="47066" xr:uid="{AE924CF5-A5CF-4CC6-9A24-DF3F7C420B86}"/>
    <cellStyle name="Percent 9 8 2 2" xfId="11192" xr:uid="{00000000-0005-0000-0000-0000F4360000}"/>
    <cellStyle name="Percent 9 8 2 2 2" xfId="47067" xr:uid="{F4A166B5-90B7-4467-9C4A-DA817E24F2C0}"/>
    <cellStyle name="Percent 9 8 2 3" xfId="11193" xr:uid="{00000000-0005-0000-0000-0000F5360000}"/>
    <cellStyle name="Percent 9 8 2 3 2" xfId="47068" xr:uid="{FF97E910-A8A1-46D7-AB8B-92AE87C0634A}"/>
    <cellStyle name="Percent 9 8 2 4" xfId="11194" xr:uid="{00000000-0005-0000-0000-0000F6360000}"/>
    <cellStyle name="Percent 9 8 2 4 2" xfId="47069" xr:uid="{64D78721-BDAE-426D-B683-F252B3F31215}"/>
    <cellStyle name="Percent 9 8 2 5" xfId="11195" xr:uid="{00000000-0005-0000-0000-0000F7360000}"/>
    <cellStyle name="Percent 9 8 2 5 2" xfId="47070" xr:uid="{0246FC75-B74F-4B12-B300-184B134388B0}"/>
    <cellStyle name="Percent 9 8 2 6" xfId="13865" xr:uid="{00000000-0005-0000-0000-0000F8360000}"/>
    <cellStyle name="Percent 9 8 2 6 2" xfId="47071" xr:uid="{214963C9-DA44-4F3A-8B62-DF8828370B3B}"/>
    <cellStyle name="Percent 9 8 2 7" xfId="13921" xr:uid="{00000000-0005-0000-0000-0000F9360000}"/>
    <cellStyle name="Percent 9 8 2 7 2" xfId="47072" xr:uid="{F974B331-C847-4A74-AEFA-A417C56E8BD4}"/>
    <cellStyle name="Percent 9 8 2 8" xfId="9039" xr:uid="{00000000-0005-0000-0000-0000FA360000}"/>
    <cellStyle name="Percent 9 8 2 8 2" xfId="47073" xr:uid="{8EDFF4F1-5F01-4F49-9ECB-84BF0AA35609}"/>
    <cellStyle name="Percent 9 8 2 9" xfId="47074" xr:uid="{5CEAAD2C-D462-476A-9DD2-FC790B0F49E2}"/>
    <cellStyle name="Percent 9 8 3" xfId="6454" xr:uid="{00000000-0005-0000-0000-0000FB360000}"/>
    <cellStyle name="Percent 9 8 3 2" xfId="14887" xr:uid="{00000000-0005-0000-0000-0000FC360000}"/>
    <cellStyle name="Percent 9 8 3 2 2" xfId="47076" xr:uid="{FBEB97C9-D308-4FEA-B92A-E0E79EFFF0EE}"/>
    <cellStyle name="Percent 9 8 3 3" xfId="12650" xr:uid="{00000000-0005-0000-0000-0000FD360000}"/>
    <cellStyle name="Percent 9 8 3 3 2" xfId="47077" xr:uid="{E4540022-8E1A-440D-99C3-C7226C676298}"/>
    <cellStyle name="Percent 9 8 3 4" xfId="9040" xr:uid="{00000000-0005-0000-0000-0000FE360000}"/>
    <cellStyle name="Percent 9 8 3 4 2" xfId="47078" xr:uid="{FA2B66F3-5797-49D0-BBF2-FC7D8B9CFBE2}"/>
    <cellStyle name="Percent 9 8 3 5" xfId="47075" xr:uid="{C5D9CCE9-FCBC-4B3D-8325-F8EA12717628}"/>
    <cellStyle name="Percent 9 8 4" xfId="11196" xr:uid="{00000000-0005-0000-0000-0000FF360000}"/>
    <cellStyle name="Percent 9 8 4 2" xfId="47079" xr:uid="{F5A8CA22-0E31-4DED-9018-5AC42A42F4EF}"/>
    <cellStyle name="Percent 9 8 5" xfId="11197" xr:uid="{00000000-0005-0000-0000-000000370000}"/>
    <cellStyle name="Percent 9 8 5 2" xfId="47080" xr:uid="{BD50E1F4-3DEE-449E-AAB4-DAD92A396840}"/>
    <cellStyle name="Percent 9 8 6" xfId="11198" xr:uid="{00000000-0005-0000-0000-000001370000}"/>
    <cellStyle name="Percent 9 8 6 2" xfId="47081" xr:uid="{FA31C45A-963C-4FFD-9BA5-0EAC6E7FBE59}"/>
    <cellStyle name="Percent 9 8 7" xfId="11199" xr:uid="{00000000-0005-0000-0000-000002370000}"/>
    <cellStyle name="Percent 9 8 7 2" xfId="47082" xr:uid="{12828240-6E80-486E-BDB4-04292DEAE495}"/>
    <cellStyle name="Percent 9 8 8" xfId="12323" xr:uid="{00000000-0005-0000-0000-000003370000}"/>
    <cellStyle name="Percent 9 8 8 2" xfId="47083" xr:uid="{16A6644E-0482-46C9-9E60-4B02D351CBB8}"/>
    <cellStyle name="Percent 9 8 9" xfId="13103" xr:uid="{00000000-0005-0000-0000-000004370000}"/>
    <cellStyle name="Percent 9 8 9 2" xfId="47084" xr:uid="{605FB1F9-9AF0-4313-8177-81B9959F8C40}"/>
    <cellStyle name="Percent 9 9" xfId="2978" xr:uid="{00000000-0005-0000-0000-000005370000}"/>
    <cellStyle name="Percent 9 9 10" xfId="47085" xr:uid="{5C2B863B-9C9D-4D4F-B514-C68A5D651929}"/>
    <cellStyle name="Percent 9 9 2" xfId="11200" xr:uid="{00000000-0005-0000-0000-000006370000}"/>
    <cellStyle name="Percent 9 9 2 2" xfId="47087" xr:uid="{E635D8B8-F724-4A76-8CF1-5990065A79A0}"/>
    <cellStyle name="Percent 9 9 2 3" xfId="47086" xr:uid="{2C87668D-0CAD-47D9-863A-563768FE03C5}"/>
    <cellStyle name="Percent 9 9 3" xfId="11201" xr:uid="{00000000-0005-0000-0000-000007370000}"/>
    <cellStyle name="Percent 9 9 3 2" xfId="47088" xr:uid="{2CDC5E01-1B55-42D4-B811-30B038CB0479}"/>
    <cellStyle name="Percent 9 9 4" xfId="11202" xr:uid="{00000000-0005-0000-0000-000008370000}"/>
    <cellStyle name="Percent 9 9 4 2" xfId="47089" xr:uid="{50EC8D91-894E-4E8D-B97A-6FAE866A0D73}"/>
    <cellStyle name="Percent 9 9 5" xfId="11203" xr:uid="{00000000-0005-0000-0000-000009370000}"/>
    <cellStyle name="Percent 9 9 5 2" xfId="47090" xr:uid="{BAF6A81A-C401-4322-9F94-D95E7DC3B6CE}"/>
    <cellStyle name="Percent 9 9 6" xfId="11204" xr:uid="{00000000-0005-0000-0000-00000A370000}"/>
    <cellStyle name="Percent 9 9 6 2" xfId="47091" xr:uid="{2333F8A9-09E9-44DD-919D-A6BD34FB4917}"/>
    <cellStyle name="Percent 9 9 7" xfId="13104" xr:uid="{00000000-0005-0000-0000-00000B370000}"/>
    <cellStyle name="Percent 9 9 7 2" xfId="47092" xr:uid="{1A5844F3-4EDD-4A08-8689-5AB0E40A506E}"/>
    <cellStyle name="Percent 9 9 8" xfId="12425" xr:uid="{00000000-0005-0000-0000-00000C370000}"/>
    <cellStyle name="Percent 9 9 8 2" xfId="47093" xr:uid="{5AB7E253-1B37-434C-847C-E5B96C85505D}"/>
    <cellStyle name="Percent 9 9 9" xfId="9041" xr:uid="{00000000-0005-0000-0000-00000D370000}"/>
    <cellStyle name="Percent 9 9 9 2" xfId="47094" xr:uid="{5762641A-6A43-4F5C-A6BC-CEA3B1BEBCF1}"/>
    <cellStyle name="Percentagem 2 2" xfId="2979" xr:uid="{00000000-0005-0000-0000-00000E370000}"/>
    <cellStyle name="Percentagem 2 2 10" xfId="47095" xr:uid="{897CF110-2CC6-43B4-A63D-1ABF807CC4E3}"/>
    <cellStyle name="Percentagem 2 2 2" xfId="11205" xr:uid="{00000000-0005-0000-0000-00000F370000}"/>
    <cellStyle name="Percentagem 2 2 2 2" xfId="47096" xr:uid="{7F4B94E4-66AB-4912-8160-CB7693FF410E}"/>
    <cellStyle name="Percentagem 2 2 3" xfId="11206" xr:uid="{00000000-0005-0000-0000-000010370000}"/>
    <cellStyle name="Percentagem 2 2 3 2" xfId="47097" xr:uid="{32038DFA-0D92-4DD0-8FC4-0AF34B82CEDC}"/>
    <cellStyle name="Percentagem 2 2 4" xfId="11207" xr:uid="{00000000-0005-0000-0000-000011370000}"/>
    <cellStyle name="Percentagem 2 2 4 2" xfId="47098" xr:uid="{053F1BA6-5A2F-4E52-9743-1A716F194455}"/>
    <cellStyle name="Percentagem 2 2 5" xfId="11208" xr:uid="{00000000-0005-0000-0000-000012370000}"/>
    <cellStyle name="Percentagem 2 2 5 2" xfId="47099" xr:uid="{E421881F-C6AF-4B74-A201-EA7F3972043C}"/>
    <cellStyle name="Percentagem 2 2 6" xfId="11209" xr:uid="{00000000-0005-0000-0000-000013370000}"/>
    <cellStyle name="Percentagem 2 2 6 2" xfId="47100" xr:uid="{9061C93E-A885-4843-9DF4-E8C3CECCA43A}"/>
    <cellStyle name="Percentagem 2 2 7" xfId="13105" xr:uid="{00000000-0005-0000-0000-000014370000}"/>
    <cellStyle name="Percentagem 2 2 7 2" xfId="47101" xr:uid="{0033EC04-A66C-4A30-8FD2-8A8C125F71B5}"/>
    <cellStyle name="Percentagem 2 2 8" xfId="16291" xr:uid="{00000000-0005-0000-0000-000015370000}"/>
    <cellStyle name="Percentagem 2 2 8 2" xfId="47102" xr:uid="{2C72D259-8449-4138-9E83-E00E7430E575}"/>
    <cellStyle name="Percentagem 2 2 9" xfId="9042" xr:uid="{00000000-0005-0000-0000-000016370000}"/>
    <cellStyle name="Percentagem 2 2 9 2" xfId="47103" xr:uid="{F86E475B-BFAD-445A-B293-A79E12C090A3}"/>
    <cellStyle name="Percentagem 2 3" xfId="2980" xr:uid="{00000000-0005-0000-0000-000017370000}"/>
    <cellStyle name="Percentagem 2 3 10" xfId="47104" xr:uid="{404CC234-6408-4AE8-98F4-62E7262F80DB}"/>
    <cellStyle name="Percentagem 2 3 2" xfId="11210" xr:uid="{00000000-0005-0000-0000-000018370000}"/>
    <cellStyle name="Percentagem 2 3 2 2" xfId="47105" xr:uid="{0CB3F8FF-EFE8-4A6A-8819-89837C1EE8D9}"/>
    <cellStyle name="Percentagem 2 3 3" xfId="11211" xr:uid="{00000000-0005-0000-0000-000019370000}"/>
    <cellStyle name="Percentagem 2 3 3 2" xfId="47106" xr:uid="{38482854-FBF0-4505-AAE9-9D40FA8EFD9E}"/>
    <cellStyle name="Percentagem 2 3 4" xfId="11212" xr:uid="{00000000-0005-0000-0000-00001A370000}"/>
    <cellStyle name="Percentagem 2 3 4 2" xfId="47107" xr:uid="{7B176DEF-BB89-4ECA-A5E1-F1EADA44856C}"/>
    <cellStyle name="Percentagem 2 3 5" xfId="11213" xr:uid="{00000000-0005-0000-0000-00001B370000}"/>
    <cellStyle name="Percentagem 2 3 5 2" xfId="47108" xr:uid="{9E954C7B-46E4-4C33-A5C7-B503C3AB9307}"/>
    <cellStyle name="Percentagem 2 3 6" xfId="11214" xr:uid="{00000000-0005-0000-0000-00001C370000}"/>
    <cellStyle name="Percentagem 2 3 6 2" xfId="47109" xr:uid="{1F31A7C0-32CF-4F5D-B462-39B8FE248094}"/>
    <cellStyle name="Percentagem 2 3 7" xfId="13106" xr:uid="{00000000-0005-0000-0000-00001D370000}"/>
    <cellStyle name="Percentagem 2 3 7 2" xfId="47110" xr:uid="{DF77EB2F-2F5D-4A38-9655-6E57B1107F87}"/>
    <cellStyle name="Percentagem 2 3 8" xfId="16402" xr:uid="{00000000-0005-0000-0000-00001E370000}"/>
    <cellStyle name="Percentagem 2 3 8 2" xfId="47111" xr:uid="{C32CC9E1-8343-4718-8D75-9D2BCCFE7607}"/>
    <cellStyle name="Percentagem 2 3 9" xfId="9043" xr:uid="{00000000-0005-0000-0000-00001F370000}"/>
    <cellStyle name="Percentagem 2 3 9 2" xfId="47112" xr:uid="{124FE3C6-3B50-4754-882B-31F7AAE87CC2}"/>
    <cellStyle name="Pilkku_Layo9704" xfId="245" xr:uid="{00000000-0005-0000-0000-000020370000}"/>
    <cellStyle name="Pyör. luku_Layo9704" xfId="246" xr:uid="{00000000-0005-0000-0000-000021370000}"/>
    <cellStyle name="Pyör. valuutta_Layo9704" xfId="247" xr:uid="{00000000-0005-0000-0000-000022370000}"/>
    <cellStyle name="RowLevel_1 2" xfId="47113" xr:uid="{75813915-B9A1-4A74-BEFB-02A308ADE856}"/>
    <cellStyle name="Schlecht" xfId="2981" xr:uid="{00000000-0005-0000-0000-000023370000}"/>
    <cellStyle name="Schlecht 10" xfId="47114" xr:uid="{AA859C5C-CD16-4D46-AE0A-99DA7A641858}"/>
    <cellStyle name="Schlecht 2" xfId="11215" xr:uid="{00000000-0005-0000-0000-000024370000}"/>
    <cellStyle name="Schlecht 2 2" xfId="47115" xr:uid="{5FD78EC5-525E-4A65-97AB-64D522829B1D}"/>
    <cellStyle name="Schlecht 3" xfId="11216" xr:uid="{00000000-0005-0000-0000-000025370000}"/>
    <cellStyle name="Schlecht 3 2" xfId="47116" xr:uid="{174E5B6D-07CD-435D-8BD2-4BB4B4856A74}"/>
    <cellStyle name="Schlecht 4" xfId="11217" xr:uid="{00000000-0005-0000-0000-000026370000}"/>
    <cellStyle name="Schlecht 4 2" xfId="47117" xr:uid="{2129CD9B-FAD7-42A4-BC57-2D8D0A65AFDF}"/>
    <cellStyle name="Schlecht 5" xfId="11218" xr:uid="{00000000-0005-0000-0000-000027370000}"/>
    <cellStyle name="Schlecht 5 2" xfId="47118" xr:uid="{767C8364-A45D-4C14-8BAE-1E09CE242761}"/>
    <cellStyle name="Schlecht 6" xfId="11219" xr:uid="{00000000-0005-0000-0000-000028370000}"/>
    <cellStyle name="Schlecht 6 2" xfId="47119" xr:uid="{D3FC4E36-03AF-4309-8685-5EBEEC170531}"/>
    <cellStyle name="Schlecht 7" xfId="13107" xr:uid="{00000000-0005-0000-0000-000029370000}"/>
    <cellStyle name="Schlecht 7 2" xfId="47120" xr:uid="{DA223D26-BE14-4915-B550-41209F81E40C}"/>
    <cellStyle name="Schlecht 8" xfId="13724" xr:uid="{00000000-0005-0000-0000-00002A370000}"/>
    <cellStyle name="Schlecht 8 2" xfId="47121" xr:uid="{183878E1-000D-408F-A355-0F22C1959D28}"/>
    <cellStyle name="Schlecht 9" xfId="9044" xr:uid="{00000000-0005-0000-0000-00002B370000}"/>
    <cellStyle name="Schlecht 9 2" xfId="47122" xr:uid="{183F4569-3DE2-41D3-B956-1ED0C0F18FB2}"/>
    <cellStyle name="Shade" xfId="2982" xr:uid="{00000000-0005-0000-0000-00002C370000}"/>
    <cellStyle name="Shade 10" xfId="47123" xr:uid="{950A3F35-362F-4F57-A07E-6E90E2C68DBC}"/>
    <cellStyle name="Shade 2" xfId="11220" xr:uid="{00000000-0005-0000-0000-00002D370000}"/>
    <cellStyle name="Shade 2 2" xfId="47125" xr:uid="{5ABB92FD-90D9-42DA-BE01-E29FB76C108D}"/>
    <cellStyle name="Shade 2 2 2" xfId="47126" xr:uid="{E8390A46-2439-404E-B6D1-D4ACD8BAEBF7}"/>
    <cellStyle name="Shade 2 2 2 2" xfId="47127" xr:uid="{63D323A8-5379-41E3-8133-DCEFF8E135C2}"/>
    <cellStyle name="Shade 2 2 3" xfId="47128" xr:uid="{A39A7DEB-E99F-4906-B514-28B3F97F5375}"/>
    <cellStyle name="Shade 2 3" xfId="47129" xr:uid="{6AC5A676-4ECC-4E9F-8382-397345FF5FD4}"/>
    <cellStyle name="Shade 2 3 2" xfId="47130" xr:uid="{0478D675-D69C-4FC8-A7EF-424D58B3C6D1}"/>
    <cellStyle name="Shade 2 3 2 2" xfId="47131" xr:uid="{F582213D-CB92-47F1-9DF8-B9308BBC3120}"/>
    <cellStyle name="Shade 2 3 3" xfId="47132" xr:uid="{A89520D8-4228-4FFD-A497-8644C5B54269}"/>
    <cellStyle name="Shade 2 3 3 2" xfId="47133" xr:uid="{D2A4DF30-FFA9-4AF0-8C8C-FCD9AEC1852C}"/>
    <cellStyle name="Shade 2 3 4" xfId="47134" xr:uid="{88240ED1-AE4E-4503-BA56-6D83866B68BE}"/>
    <cellStyle name="Shade 2 3 4 2" xfId="47135" xr:uid="{13541D69-F8D5-4D99-B33D-5EEF2DCF2E26}"/>
    <cellStyle name="Shade 2 4" xfId="47136" xr:uid="{485C12A5-0608-4D8B-83C2-76A4C97E4143}"/>
    <cellStyle name="Shade 2 5" xfId="47124" xr:uid="{1FAC129F-EF93-46C3-B9DE-B49E6FAF7F61}"/>
    <cellStyle name="Shade 3" xfId="11221" xr:uid="{00000000-0005-0000-0000-00002E370000}"/>
    <cellStyle name="Shade 3 2" xfId="47138" xr:uid="{F309CC7C-B57F-4087-850D-F8FB1181176B}"/>
    <cellStyle name="Shade 3 2 2" xfId="47139" xr:uid="{A8832780-EF15-473A-A3FB-CBAA7DE3E8C4}"/>
    <cellStyle name="Shade 3 3" xfId="47140" xr:uid="{84FFB398-11D8-4530-A729-DDAB506AE4C6}"/>
    <cellStyle name="Shade 3 4" xfId="47141" xr:uid="{B4A68FCD-EB13-43EF-A088-735BFEF1768C}"/>
    <cellStyle name="Shade 3 5" xfId="47137" xr:uid="{6A94925B-DC27-4CD4-BCFE-A37825641EA4}"/>
    <cellStyle name="Shade 4" xfId="11222" xr:uid="{00000000-0005-0000-0000-00002F370000}"/>
    <cellStyle name="Shade 4 2" xfId="47143" xr:uid="{B2BD0185-24EA-4DF5-ADE3-AD42D559A5F7}"/>
    <cellStyle name="Shade 4 2 2" xfId="47144" xr:uid="{A63D56E8-DFC4-4940-9B54-AB0C800EECA6}"/>
    <cellStyle name="Shade 4 2 3" xfId="47145" xr:uid="{5B59F6AC-DB71-41AF-A3BA-F15AAF7F5CFD}"/>
    <cellStyle name="Shade 4 3" xfId="47146" xr:uid="{6561A7BE-544C-4C21-B5C0-7E4827FB2101}"/>
    <cellStyle name="Shade 4 3 2" xfId="47147" xr:uid="{BE46C446-89BD-414D-B951-AB0114431F34}"/>
    <cellStyle name="Shade 4 4" xfId="47148" xr:uid="{2AAC9DDD-17F8-4064-B0F2-37F8533B8907}"/>
    <cellStyle name="Shade 4 4 2" xfId="47149" xr:uid="{8D4A2806-F5C8-4CB5-A358-0EFB39124AB1}"/>
    <cellStyle name="Shade 4 5" xfId="47150" xr:uid="{F67F536B-2B22-4C73-A630-3B38BC9477F7}"/>
    <cellStyle name="Shade 4 6" xfId="47142" xr:uid="{BB4C6EFE-3DA6-4472-B39E-AC47AAC374F8}"/>
    <cellStyle name="Shade 5" xfId="11223" xr:uid="{00000000-0005-0000-0000-000030370000}"/>
    <cellStyle name="Shade 5 2" xfId="47152" xr:uid="{084BF9A8-E02E-4EB0-A284-2F95CFCACA56}"/>
    <cellStyle name="Shade 5 3" xfId="47151" xr:uid="{3AF77E0A-2679-4A75-A99E-AC1608102439}"/>
    <cellStyle name="Shade 6" xfId="11224" xr:uid="{00000000-0005-0000-0000-000031370000}"/>
    <cellStyle name="Shade 6 2" xfId="47153" xr:uid="{B9AA96B6-1F2A-458A-9567-0DB09EF5E2A8}"/>
    <cellStyle name="Shade 7" xfId="13108" xr:uid="{00000000-0005-0000-0000-000032370000}"/>
    <cellStyle name="Shade 7 2" xfId="47154" xr:uid="{F373179C-F820-4C78-AE4F-16AB62489A49}"/>
    <cellStyle name="Shade 8" xfId="16541" xr:uid="{00000000-0005-0000-0000-000033370000}"/>
    <cellStyle name="Shade 8 2" xfId="47155" xr:uid="{32546B0A-DE72-46CF-BE85-D3E87F84C2EE}"/>
    <cellStyle name="Shade 9" xfId="9045" xr:uid="{00000000-0005-0000-0000-000034370000}"/>
    <cellStyle name="Shade 9 2" xfId="47156" xr:uid="{DFFA65D4-3C0C-419D-9970-5CEB5AC5F98B}"/>
    <cellStyle name="Shade_B_border2" xfId="47157" xr:uid="{C14A0107-6DC5-4110-95B1-1134EFBCDDCD}"/>
    <cellStyle name="source" xfId="273" xr:uid="{00000000-0005-0000-0000-000035370000}"/>
    <cellStyle name="source 10" xfId="47158" xr:uid="{777F8EDE-3CAA-4EBA-8530-978002B43C0B}"/>
    <cellStyle name="source 2" xfId="2983" xr:uid="{00000000-0005-0000-0000-000036370000}"/>
    <cellStyle name="source 2 2" xfId="13109" xr:uid="{00000000-0005-0000-0000-000037370000}"/>
    <cellStyle name="source 2 2 2" xfId="47160" xr:uid="{4BFCB5CA-0106-40EC-BFDD-E140F88EB041}"/>
    <cellStyle name="source 2 3" xfId="13872" xr:uid="{00000000-0005-0000-0000-000038370000}"/>
    <cellStyle name="source 2 3 2" xfId="47161" xr:uid="{7CBCB3C7-6D02-4372-8C4F-C4A2BA8783C6}"/>
    <cellStyle name="source 2 4" xfId="9047" xr:uid="{00000000-0005-0000-0000-000039370000}"/>
    <cellStyle name="source 2 4 2" xfId="47162" xr:uid="{F8FC7011-3427-4614-A6B4-1EB7048179D3}"/>
    <cellStyle name="source 2 5" xfId="47159" xr:uid="{6A66A081-45CA-4A95-B310-90F0B0A6790F}"/>
    <cellStyle name="source 3" xfId="11225" xr:uid="{00000000-0005-0000-0000-00003A370000}"/>
    <cellStyle name="source 3 2" xfId="47163" xr:uid="{8684A68D-FB38-4250-8AA4-3A2833873F65}"/>
    <cellStyle name="source 4" xfId="11226" xr:uid="{00000000-0005-0000-0000-00003B370000}"/>
    <cellStyle name="source 4 2" xfId="47164" xr:uid="{496A8A78-B404-4E4C-A5A3-4A3391EC45B8}"/>
    <cellStyle name="source 5" xfId="11227" xr:uid="{00000000-0005-0000-0000-00003C370000}"/>
    <cellStyle name="source 5 2" xfId="47165" xr:uid="{3E160634-EAC8-4966-9485-1937636FAFD4}"/>
    <cellStyle name="source 6" xfId="11228" xr:uid="{00000000-0005-0000-0000-00003D370000}"/>
    <cellStyle name="source 6 2" xfId="47166" xr:uid="{2A91484C-22DD-4595-90AA-00EDDA20926A}"/>
    <cellStyle name="source 7" xfId="12381" xr:uid="{00000000-0005-0000-0000-00003E370000}"/>
    <cellStyle name="source 7 2" xfId="47167" xr:uid="{299A3C36-4C36-4E1B-A056-8EFD9C54AE3B}"/>
    <cellStyle name="source 8" xfId="12420" xr:uid="{00000000-0005-0000-0000-00003F370000}"/>
    <cellStyle name="source 8 2" xfId="47168" xr:uid="{237B25C0-1975-4EF1-BF02-2F0D209B069D}"/>
    <cellStyle name="source 9" xfId="9046" xr:uid="{00000000-0005-0000-0000-000040370000}"/>
    <cellStyle name="source 9 2" xfId="47169" xr:uid="{BA8EDFE7-955D-4B09-B086-206205E45305}"/>
    <cellStyle name="Standaard_Blad1" xfId="2984" xr:uid="{00000000-0005-0000-0000-000041370000}"/>
    <cellStyle name="Standard 2" xfId="2985" xr:uid="{00000000-0005-0000-0000-000042370000}"/>
    <cellStyle name="Standard 2 2" xfId="11229" xr:uid="{00000000-0005-0000-0000-000043370000}"/>
    <cellStyle name="Standard 2 2 2" xfId="47172" xr:uid="{E2786EB2-D764-411E-BE5B-F82B4B9B0759}"/>
    <cellStyle name="Standard 2 2 3" xfId="47173" xr:uid="{544E2CC8-B036-4E91-B34F-875DBC7F2614}"/>
    <cellStyle name="Standard 2 2 4" xfId="47171" xr:uid="{05029BC5-2522-4778-96E1-2B8E455D895B}"/>
    <cellStyle name="Standard 2 3" xfId="11230" xr:uid="{00000000-0005-0000-0000-000044370000}"/>
    <cellStyle name="Standard 2 3 2" xfId="47175" xr:uid="{80B3828E-F0B1-4430-AFA0-00D06B02153B}"/>
    <cellStyle name="Standard 2 3 3" xfId="47174" xr:uid="{C5A1C2DC-038A-484D-9044-DD4DE6C7BD85}"/>
    <cellStyle name="Standard 2 4" xfId="11231" xr:uid="{00000000-0005-0000-0000-000045370000}"/>
    <cellStyle name="Standard 2 4 2" xfId="47176" xr:uid="{8B40D57E-1906-4EED-B2B1-B437EA91B18F}"/>
    <cellStyle name="Standard 2 5" xfId="11232" xr:uid="{00000000-0005-0000-0000-000046370000}"/>
    <cellStyle name="Standard 2 5 2" xfId="47177" xr:uid="{DDCCD621-2DAC-4A08-B736-2C2659F8D1C3}"/>
    <cellStyle name="Standard 2 6" xfId="13458" xr:uid="{00000000-0005-0000-0000-000047370000}"/>
    <cellStyle name="Standard 2 6 2" xfId="47178" xr:uid="{3D82740E-4DAA-4F35-94E4-2CDBF44AE295}"/>
    <cellStyle name="Standard 2 7" xfId="47170" xr:uid="{57A0F482-F328-4115-8669-584C023FDA8F}"/>
    <cellStyle name="Standard 3" xfId="2986" xr:uid="{00000000-0005-0000-0000-000048370000}"/>
    <cellStyle name="Standard 3 2" xfId="11233" xr:uid="{00000000-0005-0000-0000-000049370000}"/>
    <cellStyle name="Standard 3 2 2" xfId="47180" xr:uid="{D6236567-89F0-49F8-9B1A-0C44AE4B25F3}"/>
    <cellStyle name="Standard 3 3" xfId="11234" xr:uid="{00000000-0005-0000-0000-00004A370000}"/>
    <cellStyle name="Standard 3 3 2" xfId="47181" xr:uid="{79002F8E-A8B5-4F93-A86A-184A77EE805E}"/>
    <cellStyle name="Standard 3 4" xfId="11235" xr:uid="{00000000-0005-0000-0000-00004B370000}"/>
    <cellStyle name="Standard 3 4 2" xfId="47182" xr:uid="{84F2F702-EDAC-4C46-92D5-037AE97627C4}"/>
    <cellStyle name="Standard 3 5" xfId="11236" xr:uid="{00000000-0005-0000-0000-00004C370000}"/>
    <cellStyle name="Standard 3 5 2" xfId="47183" xr:uid="{B8278691-24C9-47AC-B94F-0A8D82B7B120}"/>
    <cellStyle name="Standard 3 6" xfId="13888" xr:uid="{00000000-0005-0000-0000-00004D370000}"/>
    <cellStyle name="Standard 3 6 2" xfId="47184" xr:uid="{6B7CAADA-D8A0-497A-BB50-7EC7EE8B6674}"/>
    <cellStyle name="Standard 3 7" xfId="47179" xr:uid="{9846DF1F-5606-4A71-8CC4-DC08A0267C39}"/>
    <cellStyle name="Standard_Sce_D_Extraction" xfId="2987" xr:uid="{00000000-0005-0000-0000-00004E370000}"/>
    <cellStyle name="Style 1" xfId="2988" xr:uid="{00000000-0005-0000-0000-00004F370000}"/>
    <cellStyle name="Style 1 10" xfId="47185" xr:uid="{E774778A-5BE3-47CC-AE19-E95E8F356EFA}"/>
    <cellStyle name="Style 1 2" xfId="11237" xr:uid="{00000000-0005-0000-0000-000050370000}"/>
    <cellStyle name="Style 1 2 2" xfId="47186" xr:uid="{689D3C7E-ADDF-41B4-B4EE-9D8562E68E9C}"/>
    <cellStyle name="Style 1 3" xfId="11238" xr:uid="{00000000-0005-0000-0000-000051370000}"/>
    <cellStyle name="Style 1 3 2" xfId="47187" xr:uid="{3C689193-F21D-4EA2-AA59-6774081621F9}"/>
    <cellStyle name="Style 1 4" xfId="11257" xr:uid="{00000000-0005-0000-0000-000052370000}"/>
    <cellStyle name="Style 1 4 2" xfId="47188" xr:uid="{158851CB-F676-4B17-A7BE-70CFDEEB3E99}"/>
    <cellStyle name="Style 1 5" xfId="11258" xr:uid="{00000000-0005-0000-0000-000053370000}"/>
    <cellStyle name="Style 1 5 2" xfId="47189" xr:uid="{673CD927-6A9C-4BDB-A879-A99CFE405932}"/>
    <cellStyle name="Style 1 6" xfId="11259" xr:uid="{00000000-0005-0000-0000-000054370000}"/>
    <cellStyle name="Style 1 6 2" xfId="47190" xr:uid="{AFC4C8DE-65D0-4BFD-A71D-C54920ACE2DB}"/>
    <cellStyle name="Style 1 7" xfId="13110" xr:uid="{00000000-0005-0000-0000-000055370000}"/>
    <cellStyle name="Style 1 7 2" xfId="47191" xr:uid="{D1754AC1-2634-494A-921F-151D6C8CF68C}"/>
    <cellStyle name="Style 1 8" xfId="16593" xr:uid="{00000000-0005-0000-0000-000056370000}"/>
    <cellStyle name="Style 1 8 2" xfId="47192" xr:uid="{9EF36329-84B7-48C9-9232-001BD7F96457}"/>
    <cellStyle name="Style 1 9" xfId="9048" xr:uid="{00000000-0005-0000-0000-000057370000}"/>
    <cellStyle name="Style 1 9 2" xfId="47193" xr:uid="{484B3B33-82B6-4448-B6D1-5D7411444E86}"/>
    <cellStyle name="Style 103" xfId="2989" xr:uid="{00000000-0005-0000-0000-000058370000}"/>
    <cellStyle name="Style 103 2" xfId="2990" xr:uid="{00000000-0005-0000-0000-000059370000}"/>
    <cellStyle name="Style 103 2 2" xfId="13112" xr:uid="{00000000-0005-0000-0000-00005A370000}"/>
    <cellStyle name="Style 103 2 2 2" xfId="47196" xr:uid="{7A92A905-9C6D-43C7-B23E-16A809121E2B}"/>
    <cellStyle name="Style 103 2 3" xfId="12644" xr:uid="{00000000-0005-0000-0000-00005B370000}"/>
    <cellStyle name="Style 103 2 3 2" xfId="47197" xr:uid="{DD87DF71-FE39-4470-9753-8CF808B067A1}"/>
    <cellStyle name="Style 103 2 4" xfId="9050" xr:uid="{00000000-0005-0000-0000-00005C370000}"/>
    <cellStyle name="Style 103 2 4 2" xfId="47198" xr:uid="{BEB75936-EC45-4502-9827-E6CCB7F65165}"/>
    <cellStyle name="Style 103 2 5" xfId="47195" xr:uid="{2BC566D1-D623-41C9-823F-2AA0987BCA6A}"/>
    <cellStyle name="Style 103 3" xfId="2991" xr:uid="{00000000-0005-0000-0000-00005D370000}"/>
    <cellStyle name="Style 103 3 2" xfId="13113" xr:uid="{00000000-0005-0000-0000-00005E370000}"/>
    <cellStyle name="Style 103 3 2 2" xfId="47200" xr:uid="{B878FEC8-4DB9-47A7-9844-25F6B0B1BAC0}"/>
    <cellStyle name="Style 103 3 3" xfId="13457" xr:uid="{00000000-0005-0000-0000-00005F370000}"/>
    <cellStyle name="Style 103 3 3 2" xfId="47201" xr:uid="{1231D98A-995C-4213-B53F-B129A072144C}"/>
    <cellStyle name="Style 103 3 4" xfId="9051" xr:uid="{00000000-0005-0000-0000-000060370000}"/>
    <cellStyle name="Style 103 3 4 2" xfId="47202" xr:uid="{ABBE545F-780A-425C-A493-6D628D9ECF4A}"/>
    <cellStyle name="Style 103 3 5" xfId="47199" xr:uid="{43EE3EC6-B043-4867-B695-809A01E0F681}"/>
    <cellStyle name="Style 103 4" xfId="13111" xr:uid="{00000000-0005-0000-0000-000061370000}"/>
    <cellStyle name="Style 103 4 2" xfId="47203" xr:uid="{4973ED6B-8FB8-4EF3-80A7-D2612C5D33A1}"/>
    <cellStyle name="Style 103 5" xfId="12504" xr:uid="{00000000-0005-0000-0000-000062370000}"/>
    <cellStyle name="Style 103 5 2" xfId="47204" xr:uid="{E6F23483-54A2-4804-B032-DCEA6BCBB6D4}"/>
    <cellStyle name="Style 103 6" xfId="9049" xr:uid="{00000000-0005-0000-0000-000063370000}"/>
    <cellStyle name="Style 103 6 2" xfId="47205" xr:uid="{6BD72CC0-B2F1-49AF-9536-0A97CB751714}"/>
    <cellStyle name="Style 103 7" xfId="47194" xr:uid="{E8FB4531-F86D-4F0C-8950-5EF917D31820}"/>
    <cellStyle name="Style 104" xfId="2992" xr:uid="{00000000-0005-0000-0000-000064370000}"/>
    <cellStyle name="Style 104 2" xfId="2993" xr:uid="{00000000-0005-0000-0000-000065370000}"/>
    <cellStyle name="Style 104 2 2" xfId="13115" xr:uid="{00000000-0005-0000-0000-000066370000}"/>
    <cellStyle name="Style 104 2 2 2" xfId="47208" xr:uid="{14C1DDA0-465D-461E-9D56-073983877163}"/>
    <cellStyle name="Style 104 2 3" xfId="13780" xr:uid="{00000000-0005-0000-0000-000067370000}"/>
    <cellStyle name="Style 104 2 3 2" xfId="47209" xr:uid="{0CA890DB-B4DA-4E27-8FDD-EFCF299815CB}"/>
    <cellStyle name="Style 104 2 4" xfId="9053" xr:uid="{00000000-0005-0000-0000-000068370000}"/>
    <cellStyle name="Style 104 2 4 2" xfId="47210" xr:uid="{F8A61F5D-2E8D-4761-96E0-E3B2092595AB}"/>
    <cellStyle name="Style 104 2 5" xfId="47207" xr:uid="{91F50176-4586-4F93-B387-82B811520873}"/>
    <cellStyle name="Style 104 3" xfId="2994" xr:uid="{00000000-0005-0000-0000-000069370000}"/>
    <cellStyle name="Style 104 3 2" xfId="13116" xr:uid="{00000000-0005-0000-0000-00006A370000}"/>
    <cellStyle name="Style 104 3 2 2" xfId="47212" xr:uid="{165FA860-A1E9-40A0-B8D7-913F56FF10A5}"/>
    <cellStyle name="Style 104 3 3" xfId="12727" xr:uid="{00000000-0005-0000-0000-00006B370000}"/>
    <cellStyle name="Style 104 3 3 2" xfId="47213" xr:uid="{323F132A-9D12-48FA-92DE-45D3E1EBF6C6}"/>
    <cellStyle name="Style 104 3 4" xfId="9054" xr:uid="{00000000-0005-0000-0000-00006C370000}"/>
    <cellStyle name="Style 104 3 4 2" xfId="47214" xr:uid="{CAA35771-53E1-44F4-BAD1-E008450305DF}"/>
    <cellStyle name="Style 104 3 5" xfId="47211" xr:uid="{BF4BA81A-105E-440C-B863-AA2EE5B102CB}"/>
    <cellStyle name="Style 104 4" xfId="13114" xr:uid="{00000000-0005-0000-0000-00006D370000}"/>
    <cellStyle name="Style 104 4 2" xfId="47215" xr:uid="{B346FC12-501A-4DA1-9EA6-52F3538F2A62}"/>
    <cellStyle name="Style 104 5" xfId="12627" xr:uid="{00000000-0005-0000-0000-00006E370000}"/>
    <cellStyle name="Style 104 5 2" xfId="47216" xr:uid="{FDA703B1-3FE2-4649-937B-0250D88581E1}"/>
    <cellStyle name="Style 104 6" xfId="9052" xr:uid="{00000000-0005-0000-0000-00006F370000}"/>
    <cellStyle name="Style 104 6 2" xfId="47217" xr:uid="{FFD8BD4F-6D37-444B-8B08-DD926705E50C}"/>
    <cellStyle name="Style 104 7" xfId="47206" xr:uid="{9FE8ADC7-9641-4023-B448-C71B3A4FB44E}"/>
    <cellStyle name="Style 105" xfId="2995" xr:uid="{00000000-0005-0000-0000-000070370000}"/>
    <cellStyle name="Style 105 2" xfId="2996" xr:uid="{00000000-0005-0000-0000-000071370000}"/>
    <cellStyle name="Style 105 2 2" xfId="13118" xr:uid="{00000000-0005-0000-0000-000072370000}"/>
    <cellStyle name="Style 105 2 2 2" xfId="47220" xr:uid="{CD93511C-7B0D-4BFC-A5C0-8187D90BBA31}"/>
    <cellStyle name="Style 105 2 3" xfId="16234" xr:uid="{00000000-0005-0000-0000-000073370000}"/>
    <cellStyle name="Style 105 2 3 2" xfId="47221" xr:uid="{1695F556-5E52-4A12-8DA8-7C9270DA9E83}"/>
    <cellStyle name="Style 105 2 4" xfId="9056" xr:uid="{00000000-0005-0000-0000-000074370000}"/>
    <cellStyle name="Style 105 2 4 2" xfId="47222" xr:uid="{F3A539E5-2F64-4CE0-9263-8FE471599FB8}"/>
    <cellStyle name="Style 105 2 5" xfId="47219" xr:uid="{121C26E1-7C8A-4A30-B2E1-190B06F86DE4}"/>
    <cellStyle name="Style 105 3" xfId="13117" xr:uid="{00000000-0005-0000-0000-000075370000}"/>
    <cellStyle name="Style 105 3 2" xfId="47223" xr:uid="{425F47F4-50F4-4D09-9552-BF13D909A5AC}"/>
    <cellStyle name="Style 105 4" xfId="13914" xr:uid="{00000000-0005-0000-0000-000076370000}"/>
    <cellStyle name="Style 105 4 2" xfId="47224" xr:uid="{58ECACB0-607E-46EE-81E7-AC01657F65DE}"/>
    <cellStyle name="Style 105 5" xfId="9055" xr:uid="{00000000-0005-0000-0000-000077370000}"/>
    <cellStyle name="Style 105 5 2" xfId="47225" xr:uid="{6F617606-12CB-49CC-ABDF-79A73B2376BB}"/>
    <cellStyle name="Style 105 6" xfId="47218" xr:uid="{3F7B2D07-33E5-481A-B535-532292819F8D}"/>
    <cellStyle name="Style 106" xfId="2997" xr:uid="{00000000-0005-0000-0000-000078370000}"/>
    <cellStyle name="Style 106 2" xfId="2998" xr:uid="{00000000-0005-0000-0000-000079370000}"/>
    <cellStyle name="Style 106 2 2" xfId="13120" xr:uid="{00000000-0005-0000-0000-00007A370000}"/>
    <cellStyle name="Style 106 2 2 2" xfId="47228" xr:uid="{8139B47B-6DC5-42DB-BF7A-C1727E1FF620}"/>
    <cellStyle name="Style 106 2 3" xfId="12714" xr:uid="{00000000-0005-0000-0000-00007B370000}"/>
    <cellStyle name="Style 106 2 3 2" xfId="47229" xr:uid="{40E5ADA4-3005-4623-B7B3-1E55D019D6C5}"/>
    <cellStyle name="Style 106 2 4" xfId="9058" xr:uid="{00000000-0005-0000-0000-00007C370000}"/>
    <cellStyle name="Style 106 2 4 2" xfId="47230" xr:uid="{95BD67A3-1A63-4903-B12B-E9D1C5F2046C}"/>
    <cellStyle name="Style 106 2 5" xfId="47227" xr:uid="{4CBEAA64-266B-4001-B88F-683AC115BDA3}"/>
    <cellStyle name="Style 106 3" xfId="13119" xr:uid="{00000000-0005-0000-0000-00007D370000}"/>
    <cellStyle name="Style 106 3 2" xfId="47231" xr:uid="{17777477-BCA4-49F7-AF25-6C94A05936F8}"/>
    <cellStyle name="Style 106 4" xfId="12514" xr:uid="{00000000-0005-0000-0000-00007E370000}"/>
    <cellStyle name="Style 106 4 2" xfId="47232" xr:uid="{904CEAFC-1091-4406-9741-BE2C376D69B4}"/>
    <cellStyle name="Style 106 5" xfId="9057" xr:uid="{00000000-0005-0000-0000-00007F370000}"/>
    <cellStyle name="Style 106 5 2" xfId="47233" xr:uid="{F0A7BE34-3392-42C3-B4F1-78E095005B6C}"/>
    <cellStyle name="Style 106 6" xfId="47226" xr:uid="{5A32E8FB-4867-40E9-A368-85ACEF398A59}"/>
    <cellStyle name="Style 107" xfId="2999" xr:uid="{00000000-0005-0000-0000-000080370000}"/>
    <cellStyle name="Style 107 2" xfId="3000" xr:uid="{00000000-0005-0000-0000-000081370000}"/>
    <cellStyle name="Style 107 2 2" xfId="13122" xr:uid="{00000000-0005-0000-0000-000082370000}"/>
    <cellStyle name="Style 107 2 2 2" xfId="47236" xr:uid="{44AC9CC5-E8DD-4525-A565-D7EB950CDE66}"/>
    <cellStyle name="Style 107 2 3" xfId="13800" xr:uid="{00000000-0005-0000-0000-000083370000}"/>
    <cellStyle name="Style 107 2 3 2" xfId="47237" xr:uid="{642BCE1E-BFE0-4454-9A2D-40EAD0392A59}"/>
    <cellStyle name="Style 107 2 4" xfId="9060" xr:uid="{00000000-0005-0000-0000-000084370000}"/>
    <cellStyle name="Style 107 2 4 2" xfId="47238" xr:uid="{8767F4AD-B51A-4511-9609-CE0A5DCF95FD}"/>
    <cellStyle name="Style 107 2 5" xfId="47235" xr:uid="{F0E5806B-0E0A-4C56-B4B5-39F3B61D114C}"/>
    <cellStyle name="Style 107 3" xfId="13121" xr:uid="{00000000-0005-0000-0000-000085370000}"/>
    <cellStyle name="Style 107 3 2" xfId="47239" xr:uid="{DFBFFADA-8936-4E7C-8B03-3BCE242A8361}"/>
    <cellStyle name="Style 107 4" xfId="13974" xr:uid="{00000000-0005-0000-0000-000086370000}"/>
    <cellStyle name="Style 107 4 2" xfId="47240" xr:uid="{B060E389-2391-4181-967F-B8FED4EBEEA6}"/>
    <cellStyle name="Style 107 5" xfId="9059" xr:uid="{00000000-0005-0000-0000-000087370000}"/>
    <cellStyle name="Style 107 5 2" xfId="47241" xr:uid="{61904CC8-B36C-4680-82EA-E551364BA0B8}"/>
    <cellStyle name="Style 107 6" xfId="47234" xr:uid="{FB73D93A-686E-417F-9709-6743E1CAD00A}"/>
    <cellStyle name="Style 108" xfId="3001" xr:uid="{00000000-0005-0000-0000-000088370000}"/>
    <cellStyle name="Style 108 2" xfId="3002" xr:uid="{00000000-0005-0000-0000-000089370000}"/>
    <cellStyle name="Style 108 2 2" xfId="13124" xr:uid="{00000000-0005-0000-0000-00008A370000}"/>
    <cellStyle name="Style 108 2 2 2" xfId="47244" xr:uid="{4A86820E-C47E-446C-B8AE-4A26A3762BC8}"/>
    <cellStyle name="Style 108 2 3" xfId="12822" xr:uid="{00000000-0005-0000-0000-00008B370000}"/>
    <cellStyle name="Style 108 2 3 2" xfId="47245" xr:uid="{C96228D7-A35B-4584-B9BA-D9C1AC95FF44}"/>
    <cellStyle name="Style 108 2 4" xfId="9062" xr:uid="{00000000-0005-0000-0000-00008C370000}"/>
    <cellStyle name="Style 108 2 4 2" xfId="47246" xr:uid="{A551CC6B-CAB0-42A2-829D-F3E0C7B47405}"/>
    <cellStyle name="Style 108 2 5" xfId="47243" xr:uid="{F9B3E585-B06E-4384-B964-D7790CFE7429}"/>
    <cellStyle name="Style 108 3" xfId="3003" xr:uid="{00000000-0005-0000-0000-00008D370000}"/>
    <cellStyle name="Style 108 3 2" xfId="13125" xr:uid="{00000000-0005-0000-0000-00008E370000}"/>
    <cellStyle name="Style 108 3 2 2" xfId="47248" xr:uid="{EAD04A3B-E66D-4AA8-B0E7-09272EA248A1}"/>
    <cellStyle name="Style 108 3 3" xfId="16299" xr:uid="{00000000-0005-0000-0000-00008F370000}"/>
    <cellStyle name="Style 108 3 3 2" xfId="47249" xr:uid="{FEFC387D-C8D6-48EE-A721-302CC54F54FF}"/>
    <cellStyle name="Style 108 3 4" xfId="9063" xr:uid="{00000000-0005-0000-0000-000090370000}"/>
    <cellStyle name="Style 108 3 4 2" xfId="47250" xr:uid="{C50A9AA7-C59A-40D2-8E2A-7325531C56BF}"/>
    <cellStyle name="Style 108 3 5" xfId="47247" xr:uid="{D21651B5-44E3-4896-81B8-CAFD64297D1E}"/>
    <cellStyle name="Style 108 4" xfId="13123" xr:uid="{00000000-0005-0000-0000-000091370000}"/>
    <cellStyle name="Style 108 4 2" xfId="47251" xr:uid="{D9E891C8-871C-4437-B712-974836FC9FBE}"/>
    <cellStyle name="Style 108 5" xfId="16585" xr:uid="{00000000-0005-0000-0000-000092370000}"/>
    <cellStyle name="Style 108 5 2" xfId="47252" xr:uid="{559BFF62-02D6-4B82-976A-7FBBE35E0CC8}"/>
    <cellStyle name="Style 108 6" xfId="9061" xr:uid="{00000000-0005-0000-0000-000093370000}"/>
    <cellStyle name="Style 108 6 2" xfId="47253" xr:uid="{93E5013F-7DD8-427E-B09A-EECDBCA0557E}"/>
    <cellStyle name="Style 108 7" xfId="47242" xr:uid="{5E6527DD-722B-49F2-A8AB-971C69450160}"/>
    <cellStyle name="Style 109" xfId="3004" xr:uid="{00000000-0005-0000-0000-000094370000}"/>
    <cellStyle name="Style 109 2" xfId="3005" xr:uid="{00000000-0005-0000-0000-000095370000}"/>
    <cellStyle name="Style 109 2 2" xfId="13127" xr:uid="{00000000-0005-0000-0000-000096370000}"/>
    <cellStyle name="Style 109 2 2 2" xfId="47256" xr:uid="{94B4DB2D-7E2E-4B67-A95C-399FA765E968}"/>
    <cellStyle name="Style 109 2 3" xfId="16156" xr:uid="{00000000-0005-0000-0000-000097370000}"/>
    <cellStyle name="Style 109 2 3 2" xfId="47257" xr:uid="{94B87E3A-7C45-4B74-8750-FE0B63D72EA7}"/>
    <cellStyle name="Style 109 2 4" xfId="9065" xr:uid="{00000000-0005-0000-0000-000098370000}"/>
    <cellStyle name="Style 109 2 4 2" xfId="47258" xr:uid="{A5FCF18E-6A98-4929-97DE-A1E739C8CDED}"/>
    <cellStyle name="Style 109 2 5" xfId="47255" xr:uid="{F2D0F9FF-31C4-4E0E-A551-07DB99B05702}"/>
    <cellStyle name="Style 109 3" xfId="13126" xr:uid="{00000000-0005-0000-0000-000099370000}"/>
    <cellStyle name="Style 109 3 2" xfId="47259" xr:uid="{C48AB888-49DC-4E0A-9891-568C334A0694}"/>
    <cellStyle name="Style 109 4" xfId="13817" xr:uid="{00000000-0005-0000-0000-00009A370000}"/>
    <cellStyle name="Style 109 4 2" xfId="47260" xr:uid="{565E4F10-B26F-4D63-9C32-3E0C3A28DCAD}"/>
    <cellStyle name="Style 109 5" xfId="9064" xr:uid="{00000000-0005-0000-0000-00009B370000}"/>
    <cellStyle name="Style 109 5 2" xfId="47261" xr:uid="{B91A928C-70F9-41FB-85ED-40DFD98DAD29}"/>
    <cellStyle name="Style 109 6" xfId="47254" xr:uid="{299BD361-B8AF-4564-88AE-C12B22C584FB}"/>
    <cellStyle name="Style 110" xfId="3006" xr:uid="{00000000-0005-0000-0000-00009C370000}"/>
    <cellStyle name="Style 110 2" xfId="3007" xr:uid="{00000000-0005-0000-0000-00009D370000}"/>
    <cellStyle name="Style 110 2 2" xfId="13129" xr:uid="{00000000-0005-0000-0000-00009E370000}"/>
    <cellStyle name="Style 110 2 2 2" xfId="47264" xr:uid="{9D23859B-D306-4BD5-9ACD-4379568A45E4}"/>
    <cellStyle name="Style 110 2 3" xfId="12562" xr:uid="{00000000-0005-0000-0000-00009F370000}"/>
    <cellStyle name="Style 110 2 3 2" xfId="47265" xr:uid="{BA849DBC-F014-40FA-ADAF-F30DD1065F55}"/>
    <cellStyle name="Style 110 2 4" xfId="9067" xr:uid="{00000000-0005-0000-0000-0000A0370000}"/>
    <cellStyle name="Style 110 2 4 2" xfId="47266" xr:uid="{98EE1F05-376F-4144-ACAE-1B33D3485439}"/>
    <cellStyle name="Style 110 2 5" xfId="47263" xr:uid="{593648FA-B9ED-45CD-9031-83BCCFE685F1}"/>
    <cellStyle name="Style 110 3" xfId="13128" xr:uid="{00000000-0005-0000-0000-0000A1370000}"/>
    <cellStyle name="Style 110 3 2" xfId="47267" xr:uid="{C9BD69AD-6A0F-4F66-BD0E-16448D81F790}"/>
    <cellStyle name="Style 110 4" xfId="16665" xr:uid="{00000000-0005-0000-0000-0000A2370000}"/>
    <cellStyle name="Style 110 4 2" xfId="47268" xr:uid="{30E9F04F-CEE8-4D8C-8183-BF076AE731C0}"/>
    <cellStyle name="Style 110 5" xfId="9066" xr:uid="{00000000-0005-0000-0000-0000A3370000}"/>
    <cellStyle name="Style 110 5 2" xfId="47269" xr:uid="{822C68F7-DA23-46E6-AD9D-B1E3C7676F2C}"/>
    <cellStyle name="Style 110 6" xfId="47262" xr:uid="{9BEBD86D-02EC-4B0C-B38E-782B73E01BE4}"/>
    <cellStyle name="Style 114" xfId="3008" xr:uid="{00000000-0005-0000-0000-0000A4370000}"/>
    <cellStyle name="Style 114 2" xfId="3009" xr:uid="{00000000-0005-0000-0000-0000A5370000}"/>
    <cellStyle name="Style 114 2 2" xfId="13131" xr:uid="{00000000-0005-0000-0000-0000A6370000}"/>
    <cellStyle name="Style 114 2 2 2" xfId="47272" xr:uid="{12062F69-56F9-4355-837F-DA16653BF400}"/>
    <cellStyle name="Style 114 2 3" xfId="13885" xr:uid="{00000000-0005-0000-0000-0000A7370000}"/>
    <cellStyle name="Style 114 2 3 2" xfId="47273" xr:uid="{E51016AA-D6CC-4F90-BEA1-D897672164CB}"/>
    <cellStyle name="Style 114 2 4" xfId="9069" xr:uid="{00000000-0005-0000-0000-0000A8370000}"/>
    <cellStyle name="Style 114 2 4 2" xfId="47274" xr:uid="{E9628FDB-4539-498F-AFC2-64CBCB91C254}"/>
    <cellStyle name="Style 114 2 5" xfId="47271" xr:uid="{91FB7A69-F435-44DD-BD2A-A02A92534ECD}"/>
    <cellStyle name="Style 114 3" xfId="3010" xr:uid="{00000000-0005-0000-0000-0000A9370000}"/>
    <cellStyle name="Style 114 3 2" xfId="13132" xr:uid="{00000000-0005-0000-0000-0000AA370000}"/>
    <cellStyle name="Style 114 3 2 2" xfId="47276" xr:uid="{8212D977-6E86-4634-9D3C-340FA8C8741B}"/>
    <cellStyle name="Style 114 3 3" xfId="13467" xr:uid="{00000000-0005-0000-0000-0000AB370000}"/>
    <cellStyle name="Style 114 3 3 2" xfId="47277" xr:uid="{65E3F3A3-B0C4-4629-949C-FA284DBC490A}"/>
    <cellStyle name="Style 114 3 4" xfId="9070" xr:uid="{00000000-0005-0000-0000-0000AC370000}"/>
    <cellStyle name="Style 114 3 4 2" xfId="47278" xr:uid="{1E4C24C6-5273-4AAF-A53B-4391AB79F161}"/>
    <cellStyle name="Style 114 3 5" xfId="47275" xr:uid="{B61A1C26-EE21-4BF0-B2B8-A578D8D569CE}"/>
    <cellStyle name="Style 114 4" xfId="13130" xr:uid="{00000000-0005-0000-0000-0000AD370000}"/>
    <cellStyle name="Style 114 4 2" xfId="47279" xr:uid="{28599BAD-152C-42CF-9244-754E9DBFD714}"/>
    <cellStyle name="Style 114 5" xfId="12643" xr:uid="{00000000-0005-0000-0000-0000AE370000}"/>
    <cellStyle name="Style 114 5 2" xfId="47280" xr:uid="{A66A6008-A733-44B0-A88F-0A7DC1C9252F}"/>
    <cellStyle name="Style 114 6" xfId="9068" xr:uid="{00000000-0005-0000-0000-0000AF370000}"/>
    <cellStyle name="Style 114 6 2" xfId="47281" xr:uid="{41478A38-AF85-4F79-AF89-D8CC11509870}"/>
    <cellStyle name="Style 114 7" xfId="47270" xr:uid="{4CB331AA-1858-41CB-958E-38DD8CC006F0}"/>
    <cellStyle name="Style 115" xfId="3011" xr:uid="{00000000-0005-0000-0000-0000B0370000}"/>
    <cellStyle name="Style 115 2" xfId="3012" xr:uid="{00000000-0005-0000-0000-0000B1370000}"/>
    <cellStyle name="Style 115 2 2" xfId="13134" xr:uid="{00000000-0005-0000-0000-0000B2370000}"/>
    <cellStyle name="Style 115 2 2 2" xfId="47284" xr:uid="{5A9CC4A2-0BA4-4A85-B344-F4CA7380BFBF}"/>
    <cellStyle name="Style 115 2 3" xfId="12492" xr:uid="{00000000-0005-0000-0000-0000B3370000}"/>
    <cellStyle name="Style 115 2 3 2" xfId="47285" xr:uid="{9297F8CE-E82A-4181-A975-0975DEBF48D8}"/>
    <cellStyle name="Style 115 2 4" xfId="9072" xr:uid="{00000000-0005-0000-0000-0000B4370000}"/>
    <cellStyle name="Style 115 2 4 2" xfId="47286" xr:uid="{354EB614-D370-4E21-8508-331E7ED28E86}"/>
    <cellStyle name="Style 115 2 5" xfId="47283" xr:uid="{CD691A8C-BE9A-4CAE-8B29-4D35AC3ED610}"/>
    <cellStyle name="Style 115 3" xfId="3013" xr:uid="{00000000-0005-0000-0000-0000B5370000}"/>
    <cellStyle name="Style 115 3 2" xfId="13135" xr:uid="{00000000-0005-0000-0000-0000B6370000}"/>
    <cellStyle name="Style 115 3 2 2" xfId="47288" xr:uid="{877D497A-4798-4C5E-88CF-E94C467071C0}"/>
    <cellStyle name="Style 115 3 3" xfId="13826" xr:uid="{00000000-0005-0000-0000-0000B7370000}"/>
    <cellStyle name="Style 115 3 3 2" xfId="47289" xr:uid="{7CE7AC3F-77E1-452B-B453-7D8F662A59C0}"/>
    <cellStyle name="Style 115 3 4" xfId="9073" xr:uid="{00000000-0005-0000-0000-0000B8370000}"/>
    <cellStyle name="Style 115 3 4 2" xfId="47290" xr:uid="{C3AFD8CD-BB0C-4EE9-BC84-FB4D3080AABC}"/>
    <cellStyle name="Style 115 3 5" xfId="47287" xr:uid="{D4D3338E-577F-4F05-AE8F-4222D0B2B51E}"/>
    <cellStyle name="Style 115 4" xfId="13133" xr:uid="{00000000-0005-0000-0000-0000B9370000}"/>
    <cellStyle name="Style 115 4 2" xfId="47291" xr:uid="{BB9AAB25-023A-469A-8DFD-BA24AC2BE35A}"/>
    <cellStyle name="Style 115 5" xfId="12544" xr:uid="{00000000-0005-0000-0000-0000BA370000}"/>
    <cellStyle name="Style 115 5 2" xfId="47292" xr:uid="{43C73C6E-3E67-49ED-9E38-4838A6231279}"/>
    <cellStyle name="Style 115 6" xfId="9071" xr:uid="{00000000-0005-0000-0000-0000BB370000}"/>
    <cellStyle name="Style 115 6 2" xfId="47293" xr:uid="{AE3F992C-79AE-43F3-A339-6A573FC8BDF5}"/>
    <cellStyle name="Style 115 7" xfId="47282" xr:uid="{975D8FA9-2E76-47D3-B7E9-C406E41AA012}"/>
    <cellStyle name="Style 116" xfId="3014" xr:uid="{00000000-0005-0000-0000-0000BC370000}"/>
    <cellStyle name="Style 116 2" xfId="3015" xr:uid="{00000000-0005-0000-0000-0000BD370000}"/>
    <cellStyle name="Style 116 2 2" xfId="13137" xr:uid="{00000000-0005-0000-0000-0000BE370000}"/>
    <cellStyle name="Style 116 2 2 2" xfId="47296" xr:uid="{9D32A5A5-C77D-4765-9480-BA9EC28DCFA5}"/>
    <cellStyle name="Style 116 2 3" xfId="16267" xr:uid="{00000000-0005-0000-0000-0000BF370000}"/>
    <cellStyle name="Style 116 2 3 2" xfId="47297" xr:uid="{5B54AA6B-84DA-474A-838F-DC74AD7ED6FE}"/>
    <cellStyle name="Style 116 2 4" xfId="9075" xr:uid="{00000000-0005-0000-0000-0000C0370000}"/>
    <cellStyle name="Style 116 2 4 2" xfId="47298" xr:uid="{96D67D96-0552-4FFD-A3E6-46D7D7C23A81}"/>
    <cellStyle name="Style 116 2 5" xfId="47295" xr:uid="{0F68F5D0-1184-427F-B772-4331DBAF6278}"/>
    <cellStyle name="Style 116 3" xfId="13136" xr:uid="{00000000-0005-0000-0000-0000C1370000}"/>
    <cellStyle name="Style 116 3 2" xfId="47299" xr:uid="{95C4B3E1-9B68-4E7C-8AA4-48B847220916}"/>
    <cellStyle name="Style 116 4" xfId="16411" xr:uid="{00000000-0005-0000-0000-0000C2370000}"/>
    <cellStyle name="Style 116 4 2" xfId="47300" xr:uid="{63A2CF03-A2CD-4895-A3C2-905038909B5A}"/>
    <cellStyle name="Style 116 5" xfId="9074" xr:uid="{00000000-0005-0000-0000-0000C3370000}"/>
    <cellStyle name="Style 116 5 2" xfId="47301" xr:uid="{DFF20C78-B96B-4B68-A4EA-C5F666C85911}"/>
    <cellStyle name="Style 116 6" xfId="47294" xr:uid="{0E70F10F-9948-4D9D-BE46-C6FEC3E30FC6}"/>
    <cellStyle name="Style 117" xfId="3016" xr:uid="{00000000-0005-0000-0000-0000C4370000}"/>
    <cellStyle name="Style 117 2" xfId="3017" xr:uid="{00000000-0005-0000-0000-0000C5370000}"/>
    <cellStyle name="Style 117 2 2" xfId="13139" xr:uid="{00000000-0005-0000-0000-0000C6370000}"/>
    <cellStyle name="Style 117 2 2 2" xfId="47304" xr:uid="{8651D9A6-D4A4-40BA-A5F6-84070093DCBF}"/>
    <cellStyle name="Style 117 2 3" xfId="12585" xr:uid="{00000000-0005-0000-0000-0000C7370000}"/>
    <cellStyle name="Style 117 2 3 2" xfId="47305" xr:uid="{140451A4-25A2-4CC4-B4F3-D0C49DD27D49}"/>
    <cellStyle name="Style 117 2 4" xfId="9077" xr:uid="{00000000-0005-0000-0000-0000C8370000}"/>
    <cellStyle name="Style 117 2 4 2" xfId="47306" xr:uid="{65D2CED4-FCFC-45A2-8C13-649781345547}"/>
    <cellStyle name="Style 117 2 5" xfId="47303" xr:uid="{3EAA3BCF-2624-4EE4-9713-3CFE9088F51E}"/>
    <cellStyle name="Style 117 3" xfId="13138" xr:uid="{00000000-0005-0000-0000-0000C9370000}"/>
    <cellStyle name="Style 117 3 2" xfId="47307" xr:uid="{3C3C0C09-047E-42F3-92DA-34CF401A89F5}"/>
    <cellStyle name="Style 117 4" xfId="12481" xr:uid="{00000000-0005-0000-0000-0000CA370000}"/>
    <cellStyle name="Style 117 4 2" xfId="47308" xr:uid="{2E4FDF5C-7F3A-479B-BFE1-94E9CC7F264A}"/>
    <cellStyle name="Style 117 5" xfId="9076" xr:uid="{00000000-0005-0000-0000-0000CB370000}"/>
    <cellStyle name="Style 117 5 2" xfId="47309" xr:uid="{D76D4C74-01CF-459D-AFE3-B24B0A7A2C43}"/>
    <cellStyle name="Style 117 6" xfId="47302" xr:uid="{7D86DD9F-E3DD-43EC-A16E-7F8E97575EA4}"/>
    <cellStyle name="Style 118" xfId="3018" xr:uid="{00000000-0005-0000-0000-0000CC370000}"/>
    <cellStyle name="Style 118 2" xfId="3019" xr:uid="{00000000-0005-0000-0000-0000CD370000}"/>
    <cellStyle name="Style 118 2 2" xfId="13141" xr:uid="{00000000-0005-0000-0000-0000CE370000}"/>
    <cellStyle name="Style 118 2 2 2" xfId="47312" xr:uid="{0F06908F-B01E-4C29-AE3B-42EEA9ED2B8B}"/>
    <cellStyle name="Style 118 2 3" xfId="16323" xr:uid="{00000000-0005-0000-0000-0000CF370000}"/>
    <cellStyle name="Style 118 2 3 2" xfId="47313" xr:uid="{25861CB0-89A4-48F3-8424-7CFFF4A5C7DD}"/>
    <cellStyle name="Style 118 2 4" xfId="9079" xr:uid="{00000000-0005-0000-0000-0000D0370000}"/>
    <cellStyle name="Style 118 2 4 2" xfId="47314" xr:uid="{5EE2F49D-C3E0-4554-9C74-B8F9CC6E4BB0}"/>
    <cellStyle name="Style 118 2 5" xfId="47311" xr:uid="{F021DCC1-A9B5-4ABE-83B5-E39E0B7FC43C}"/>
    <cellStyle name="Style 118 3" xfId="13140" xr:uid="{00000000-0005-0000-0000-0000D1370000}"/>
    <cellStyle name="Style 118 3 2" xfId="47315" xr:uid="{38484FF5-05CA-42B0-91BF-0A2CB4473F63}"/>
    <cellStyle name="Style 118 4" xfId="16360" xr:uid="{00000000-0005-0000-0000-0000D2370000}"/>
    <cellStyle name="Style 118 4 2" xfId="47316" xr:uid="{8E9B17BD-03DF-43E8-8035-744DC537FD6A}"/>
    <cellStyle name="Style 118 5" xfId="9078" xr:uid="{00000000-0005-0000-0000-0000D3370000}"/>
    <cellStyle name="Style 118 5 2" xfId="47317" xr:uid="{2B64E09D-69EB-4B33-A79B-D7B9021F368B}"/>
    <cellStyle name="Style 118 6" xfId="47310" xr:uid="{24ED4D23-C3DD-4AA0-B709-9C1573EAF340}"/>
    <cellStyle name="Style 119" xfId="3020" xr:uid="{00000000-0005-0000-0000-0000D4370000}"/>
    <cellStyle name="Style 119 2" xfId="3021" xr:uid="{00000000-0005-0000-0000-0000D5370000}"/>
    <cellStyle name="Style 119 2 2" xfId="13143" xr:uid="{00000000-0005-0000-0000-0000D6370000}"/>
    <cellStyle name="Style 119 2 2 2" xfId="47320" xr:uid="{63A2BE58-195F-4FF8-BEB7-591B4CA4EF13}"/>
    <cellStyle name="Style 119 2 3" xfId="13649" xr:uid="{00000000-0005-0000-0000-0000D7370000}"/>
    <cellStyle name="Style 119 2 3 2" xfId="47321" xr:uid="{DAFE626A-AB41-491A-9BC0-F824602696D7}"/>
    <cellStyle name="Style 119 2 4" xfId="9081" xr:uid="{00000000-0005-0000-0000-0000D8370000}"/>
    <cellStyle name="Style 119 2 4 2" xfId="47322" xr:uid="{6EA8D620-4BE3-4696-BA1F-6AD0D79D476D}"/>
    <cellStyle name="Style 119 2 5" xfId="47319" xr:uid="{7F8AC315-F5B6-461F-930F-F3BADA4D5495}"/>
    <cellStyle name="Style 119 3" xfId="3022" xr:uid="{00000000-0005-0000-0000-0000D9370000}"/>
    <cellStyle name="Style 119 3 2" xfId="13144" xr:uid="{00000000-0005-0000-0000-0000DA370000}"/>
    <cellStyle name="Style 119 3 2 2" xfId="47324" xr:uid="{16B6301D-74F7-4665-ABF9-CD74E3157223}"/>
    <cellStyle name="Style 119 3 3" xfId="13493" xr:uid="{00000000-0005-0000-0000-0000DB370000}"/>
    <cellStyle name="Style 119 3 3 2" xfId="47325" xr:uid="{C2196DDC-E429-4758-831D-0680E93A326A}"/>
    <cellStyle name="Style 119 3 4" xfId="9082" xr:uid="{00000000-0005-0000-0000-0000DC370000}"/>
    <cellStyle name="Style 119 3 4 2" xfId="47326" xr:uid="{673E22B2-031C-4879-8756-5B6E7D102657}"/>
    <cellStyle name="Style 119 3 5" xfId="47323" xr:uid="{02E928E4-6377-4EDE-978B-4DF62DB5E51A}"/>
    <cellStyle name="Style 119 4" xfId="13142" xr:uid="{00000000-0005-0000-0000-0000DD370000}"/>
    <cellStyle name="Style 119 4 2" xfId="47327" xr:uid="{A4DCD3A3-D6F6-418E-A890-817958EC4201}"/>
    <cellStyle name="Style 119 5" xfId="13901" xr:uid="{00000000-0005-0000-0000-0000DE370000}"/>
    <cellStyle name="Style 119 5 2" xfId="47328" xr:uid="{A51C8604-D835-4E5F-A7CC-DA2642945BFE}"/>
    <cellStyle name="Style 119 6" xfId="9080" xr:uid="{00000000-0005-0000-0000-0000DF370000}"/>
    <cellStyle name="Style 119 6 2" xfId="47329" xr:uid="{7F216807-62A6-4B5E-9587-146D0684B32E}"/>
    <cellStyle name="Style 119 7" xfId="47318" xr:uid="{E3EF383A-9D00-4237-92F4-957BF32AE535}"/>
    <cellStyle name="Style 120" xfId="3023" xr:uid="{00000000-0005-0000-0000-0000E0370000}"/>
    <cellStyle name="Style 120 2" xfId="3024" xr:uid="{00000000-0005-0000-0000-0000E1370000}"/>
    <cellStyle name="Style 120 2 2" xfId="13146" xr:uid="{00000000-0005-0000-0000-0000E2370000}"/>
    <cellStyle name="Style 120 2 2 2" xfId="47332" xr:uid="{8A8FE7F3-E822-4812-B782-57077999FBFD}"/>
    <cellStyle name="Style 120 2 3" xfId="12790" xr:uid="{00000000-0005-0000-0000-0000E3370000}"/>
    <cellStyle name="Style 120 2 3 2" xfId="47333" xr:uid="{7F08E142-8E3C-4CB4-8289-64EBE1C9CC29}"/>
    <cellStyle name="Style 120 2 4" xfId="9084" xr:uid="{00000000-0005-0000-0000-0000E4370000}"/>
    <cellStyle name="Style 120 2 4 2" xfId="47334" xr:uid="{AFA9AC43-E8ED-4E95-A20F-5CCE8E1394A8}"/>
    <cellStyle name="Style 120 2 5" xfId="47331" xr:uid="{F63FD055-1441-4017-B40C-4F81ACEAE068}"/>
    <cellStyle name="Style 120 3" xfId="13145" xr:uid="{00000000-0005-0000-0000-0000E5370000}"/>
    <cellStyle name="Style 120 3 2" xfId="47335" xr:uid="{ABD6F8A9-7F6D-4412-8192-24EF9824A835}"/>
    <cellStyle name="Style 120 4" xfId="12723" xr:uid="{00000000-0005-0000-0000-0000E6370000}"/>
    <cellStyle name="Style 120 4 2" xfId="47336" xr:uid="{F0A97419-7C47-4C1A-BA50-7E2B01D8BDC7}"/>
    <cellStyle name="Style 120 5" xfId="9083" xr:uid="{00000000-0005-0000-0000-0000E7370000}"/>
    <cellStyle name="Style 120 5 2" xfId="47337" xr:uid="{C603CFF1-0AD7-4A2C-90DB-58C3FAAF7EEB}"/>
    <cellStyle name="Style 120 6" xfId="47330" xr:uid="{2846B05C-7940-4FC9-8B20-B11982DFDD98}"/>
    <cellStyle name="Style 121" xfId="3025" xr:uid="{00000000-0005-0000-0000-0000E8370000}"/>
    <cellStyle name="Style 121 2" xfId="3026" xr:uid="{00000000-0005-0000-0000-0000E9370000}"/>
    <cellStyle name="Style 121 2 2" xfId="13148" xr:uid="{00000000-0005-0000-0000-0000EA370000}"/>
    <cellStyle name="Style 121 2 2 2" xfId="47340" xr:uid="{F05E4C79-48FE-4208-9C75-D66EA147956C}"/>
    <cellStyle name="Style 121 2 3" xfId="16635" xr:uid="{00000000-0005-0000-0000-0000EB370000}"/>
    <cellStyle name="Style 121 2 3 2" xfId="47341" xr:uid="{E8402406-A086-4769-B941-EC3D5A69D023}"/>
    <cellStyle name="Style 121 2 4" xfId="9086" xr:uid="{00000000-0005-0000-0000-0000EC370000}"/>
    <cellStyle name="Style 121 2 4 2" xfId="47342" xr:uid="{5CF42059-8E42-499D-AD0C-B8EEBD86E180}"/>
    <cellStyle name="Style 121 2 5" xfId="47339" xr:uid="{105897F9-D646-4F2B-AE56-ED16384DC1A6}"/>
    <cellStyle name="Style 121 3" xfId="13147" xr:uid="{00000000-0005-0000-0000-0000ED370000}"/>
    <cellStyle name="Style 121 3 2" xfId="47343" xr:uid="{07899493-CF8F-45A4-A315-386BE43577BB}"/>
    <cellStyle name="Style 121 4" xfId="12890" xr:uid="{00000000-0005-0000-0000-0000EE370000}"/>
    <cellStyle name="Style 121 4 2" xfId="47344" xr:uid="{65AD8947-4E42-423F-854A-7B2DC0AD387C}"/>
    <cellStyle name="Style 121 5" xfId="9085" xr:uid="{00000000-0005-0000-0000-0000EF370000}"/>
    <cellStyle name="Style 121 5 2" xfId="47345" xr:uid="{5D2E0B23-A615-4368-A94E-CD26B9880CBE}"/>
    <cellStyle name="Style 121 6" xfId="47338" xr:uid="{D194842E-3B58-45DF-B55B-EDD0020B6B7E}"/>
    <cellStyle name="Style 126" xfId="3027" xr:uid="{00000000-0005-0000-0000-0000F0370000}"/>
    <cellStyle name="Style 126 2" xfId="3028" xr:uid="{00000000-0005-0000-0000-0000F1370000}"/>
    <cellStyle name="Style 126 2 2" xfId="13150" xr:uid="{00000000-0005-0000-0000-0000F2370000}"/>
    <cellStyle name="Style 126 2 2 2" xfId="47348" xr:uid="{DA7FC246-525C-474C-9D4F-12C6C2286C82}"/>
    <cellStyle name="Style 126 2 3" xfId="12749" xr:uid="{00000000-0005-0000-0000-0000F3370000}"/>
    <cellStyle name="Style 126 2 3 2" xfId="47349" xr:uid="{CDCCC650-8908-4242-B938-3887739C26D1}"/>
    <cellStyle name="Style 126 2 4" xfId="9088" xr:uid="{00000000-0005-0000-0000-0000F4370000}"/>
    <cellStyle name="Style 126 2 4 2" xfId="47350" xr:uid="{0F15B3CC-3E29-4745-8ABE-05B7A9F282F3}"/>
    <cellStyle name="Style 126 2 5" xfId="47347" xr:uid="{7889F17E-5DBE-4AAD-BE06-B6F620AEBCE2}"/>
    <cellStyle name="Style 126 3" xfId="3029" xr:uid="{00000000-0005-0000-0000-0000F5370000}"/>
    <cellStyle name="Style 126 3 2" xfId="13151" xr:uid="{00000000-0005-0000-0000-0000F6370000}"/>
    <cellStyle name="Style 126 3 2 2" xfId="47352" xr:uid="{4C1B7392-7142-4C4A-AAC5-9C45C131AE94}"/>
    <cellStyle name="Style 126 3 3" xfId="12545" xr:uid="{00000000-0005-0000-0000-0000F7370000}"/>
    <cellStyle name="Style 126 3 3 2" xfId="47353" xr:uid="{B82C5503-6FDB-448D-888F-1E6FD3C7CBEB}"/>
    <cellStyle name="Style 126 3 4" xfId="9089" xr:uid="{00000000-0005-0000-0000-0000F8370000}"/>
    <cellStyle name="Style 126 3 4 2" xfId="47354" xr:uid="{E37A487D-80DD-4340-81D0-F2514850FC56}"/>
    <cellStyle name="Style 126 3 5" xfId="47351" xr:uid="{845BEFE9-421D-49BF-A0E7-2E6A467D0DAE}"/>
    <cellStyle name="Style 126 4" xfId="13149" xr:uid="{00000000-0005-0000-0000-0000F9370000}"/>
    <cellStyle name="Style 126 4 2" xfId="47355" xr:uid="{876B0511-1AF4-4F87-A423-D3A1C68F8FD2}"/>
    <cellStyle name="Style 126 5" xfId="16213" xr:uid="{00000000-0005-0000-0000-0000FA370000}"/>
    <cellStyle name="Style 126 5 2" xfId="47356" xr:uid="{DCB3610E-5929-4795-9222-FF2B8097EDB9}"/>
    <cellStyle name="Style 126 6" xfId="9087" xr:uid="{00000000-0005-0000-0000-0000FB370000}"/>
    <cellStyle name="Style 126 6 2" xfId="47357" xr:uid="{D7B99C8D-9D17-4848-9F55-AD5B6FDBFCBE}"/>
    <cellStyle name="Style 126 7" xfId="47346" xr:uid="{4C359E15-4862-4617-92CE-97C478AB20CC}"/>
    <cellStyle name="Style 127" xfId="3030" xr:uid="{00000000-0005-0000-0000-0000FC370000}"/>
    <cellStyle name="Style 127 2" xfId="3031" xr:uid="{00000000-0005-0000-0000-0000FD370000}"/>
    <cellStyle name="Style 127 2 2" xfId="13153" xr:uid="{00000000-0005-0000-0000-0000FE370000}"/>
    <cellStyle name="Style 127 2 2 2" xfId="47360" xr:uid="{37581B5E-AF92-4A04-9163-CBCA1BB6D2CF}"/>
    <cellStyle name="Style 127 2 3" xfId="16471" xr:uid="{00000000-0005-0000-0000-0000FF370000}"/>
    <cellStyle name="Style 127 2 3 2" xfId="47361" xr:uid="{0FC3D80D-8CA5-47BE-A9A7-A83885BD0E99}"/>
    <cellStyle name="Style 127 2 4" xfId="9091" xr:uid="{00000000-0005-0000-0000-000000380000}"/>
    <cellStyle name="Style 127 2 4 2" xfId="47362" xr:uid="{9C3DA191-43DD-4DFD-BF33-4BDD386CCE63}"/>
    <cellStyle name="Style 127 2 5" xfId="47359" xr:uid="{E3B4E8F6-AB28-461B-B627-B6239F0662A5}"/>
    <cellStyle name="Style 127 3" xfId="13152" xr:uid="{00000000-0005-0000-0000-000001380000}"/>
    <cellStyle name="Style 127 3 2" xfId="47363" xr:uid="{28DC1FB4-725A-4B5E-9179-E67C90E112F7}"/>
    <cellStyle name="Style 127 4" xfId="16246" xr:uid="{00000000-0005-0000-0000-000002380000}"/>
    <cellStyle name="Style 127 4 2" xfId="47364" xr:uid="{4BF009AF-901A-41A2-9340-1EB914AAF130}"/>
    <cellStyle name="Style 127 5" xfId="9090" xr:uid="{00000000-0005-0000-0000-000003380000}"/>
    <cellStyle name="Style 127 5 2" xfId="47365" xr:uid="{8C4346C9-303B-4675-97B2-30006549E2A4}"/>
    <cellStyle name="Style 127 6" xfId="47358" xr:uid="{E3AF0936-2411-4AE7-A052-A5AB1019EFB9}"/>
    <cellStyle name="Style 128" xfId="3032" xr:uid="{00000000-0005-0000-0000-000004380000}"/>
    <cellStyle name="Style 128 2" xfId="3033" xr:uid="{00000000-0005-0000-0000-000005380000}"/>
    <cellStyle name="Style 128 2 2" xfId="13155" xr:uid="{00000000-0005-0000-0000-000006380000}"/>
    <cellStyle name="Style 128 2 2 2" xfId="47368" xr:uid="{6B76C6D8-52B4-4C32-AB72-70E040EADC70}"/>
    <cellStyle name="Style 128 2 3" xfId="16460" xr:uid="{00000000-0005-0000-0000-000007380000}"/>
    <cellStyle name="Style 128 2 3 2" xfId="47369" xr:uid="{B91E3B1B-1BB8-4134-BE4D-09E1AAE724EF}"/>
    <cellStyle name="Style 128 2 4" xfId="9093" xr:uid="{00000000-0005-0000-0000-000008380000}"/>
    <cellStyle name="Style 128 2 4 2" xfId="47370" xr:uid="{8C082EDE-5AD2-4178-8CC1-9AEEADF6500D}"/>
    <cellStyle name="Style 128 2 5" xfId="47367" xr:uid="{D8D6B850-0E1B-45B4-AB3F-E47BC87BEB60}"/>
    <cellStyle name="Style 128 3" xfId="13154" xr:uid="{00000000-0005-0000-0000-000009380000}"/>
    <cellStyle name="Style 128 3 2" xfId="47371" xr:uid="{F4279448-9A6C-4BC5-8BAE-0777A8AE91F2}"/>
    <cellStyle name="Style 128 4" xfId="16458" xr:uid="{00000000-0005-0000-0000-00000A380000}"/>
    <cellStyle name="Style 128 4 2" xfId="47372" xr:uid="{C8C40711-4447-4F80-B1DB-92823BD6EDA7}"/>
    <cellStyle name="Style 128 5" xfId="9092" xr:uid="{00000000-0005-0000-0000-00000B380000}"/>
    <cellStyle name="Style 128 5 2" xfId="47373" xr:uid="{89D3D99D-0F5B-4854-80D8-608435B1BD93}"/>
    <cellStyle name="Style 128 6" xfId="47366" xr:uid="{231CA268-9B07-4BF8-8DD8-5F6F6E3FF993}"/>
    <cellStyle name="Style 129" xfId="3034" xr:uid="{00000000-0005-0000-0000-00000C380000}"/>
    <cellStyle name="Style 129 2" xfId="3035" xr:uid="{00000000-0005-0000-0000-00000D380000}"/>
    <cellStyle name="Style 129 2 2" xfId="13157" xr:uid="{00000000-0005-0000-0000-00000E380000}"/>
    <cellStyle name="Style 129 2 2 2" xfId="47376" xr:uid="{FBFB4AA6-7DED-455F-A851-E8FBA0B537D8}"/>
    <cellStyle name="Style 129 2 3" xfId="16264" xr:uid="{00000000-0005-0000-0000-00000F380000}"/>
    <cellStyle name="Style 129 2 3 2" xfId="47377" xr:uid="{CFD06A04-46F7-43F4-8BBF-E165E0FBB2B4}"/>
    <cellStyle name="Style 129 2 4" xfId="9095" xr:uid="{00000000-0005-0000-0000-000010380000}"/>
    <cellStyle name="Style 129 2 4 2" xfId="47378" xr:uid="{8A4C284D-F656-42BB-BCA9-C5B1753FD127}"/>
    <cellStyle name="Style 129 2 5" xfId="47375" xr:uid="{46A8100F-072E-4A86-8CFC-AE61E5BA9020}"/>
    <cellStyle name="Style 129 3" xfId="13156" xr:uid="{00000000-0005-0000-0000-000011380000}"/>
    <cellStyle name="Style 129 3 2" xfId="47379" xr:uid="{2973F3A0-5F2B-42B3-BF8F-FEFA9270630C}"/>
    <cellStyle name="Style 129 4" xfId="16531" xr:uid="{00000000-0005-0000-0000-000012380000}"/>
    <cellStyle name="Style 129 4 2" xfId="47380" xr:uid="{0136B6C6-96FA-4DF9-9E41-F567F9B2982A}"/>
    <cellStyle name="Style 129 5" xfId="9094" xr:uid="{00000000-0005-0000-0000-000013380000}"/>
    <cellStyle name="Style 129 5 2" xfId="47381" xr:uid="{C342BA1C-2985-4BCF-BC08-36CE0D1A35F9}"/>
    <cellStyle name="Style 129 6" xfId="47374" xr:uid="{868B1DA4-9928-4889-9D28-C440B1FCE9AF}"/>
    <cellStyle name="Style 130" xfId="3036" xr:uid="{00000000-0005-0000-0000-000014380000}"/>
    <cellStyle name="Style 130 2" xfId="3037" xr:uid="{00000000-0005-0000-0000-000015380000}"/>
    <cellStyle name="Style 130 2 2" xfId="13159" xr:uid="{00000000-0005-0000-0000-000016380000}"/>
    <cellStyle name="Style 130 2 2 2" xfId="47384" xr:uid="{3ED7A7C1-12D4-46A8-90D6-3FDE97D98E72}"/>
    <cellStyle name="Style 130 2 3" xfId="16595" xr:uid="{00000000-0005-0000-0000-000017380000}"/>
    <cellStyle name="Style 130 2 3 2" xfId="47385" xr:uid="{C2DFF99A-272A-40E7-8925-5C5CCDFC50B4}"/>
    <cellStyle name="Style 130 2 4" xfId="9097" xr:uid="{00000000-0005-0000-0000-000018380000}"/>
    <cellStyle name="Style 130 2 4 2" xfId="47386" xr:uid="{872871F7-99D4-4781-97B7-2D4884AA962F}"/>
    <cellStyle name="Style 130 2 5" xfId="47383" xr:uid="{36DD283F-1328-480E-8043-A2870BF75FEE}"/>
    <cellStyle name="Style 130 3" xfId="3038" xr:uid="{00000000-0005-0000-0000-000019380000}"/>
    <cellStyle name="Style 130 3 2" xfId="13160" xr:uid="{00000000-0005-0000-0000-00001A380000}"/>
    <cellStyle name="Style 130 3 2 2" xfId="47388" xr:uid="{C49171A2-EFF0-403B-ABC1-99D89411E866}"/>
    <cellStyle name="Style 130 3 3" xfId="13746" xr:uid="{00000000-0005-0000-0000-00001B380000}"/>
    <cellStyle name="Style 130 3 3 2" xfId="47389" xr:uid="{3B0EC3EF-0663-4B80-BDF6-05D931C35B5B}"/>
    <cellStyle name="Style 130 3 4" xfId="9098" xr:uid="{00000000-0005-0000-0000-00001C380000}"/>
    <cellStyle name="Style 130 3 4 2" xfId="47390" xr:uid="{A018A026-0A18-429A-AAAC-D686429EFF9F}"/>
    <cellStyle name="Style 130 3 5" xfId="47387" xr:uid="{39C3772E-A58B-49C3-9D20-39C3CD18D199}"/>
    <cellStyle name="Style 130 4" xfId="13158" xr:uid="{00000000-0005-0000-0000-00001D380000}"/>
    <cellStyle name="Style 130 4 2" xfId="47391" xr:uid="{517B6277-F35A-4CA0-8EB6-0B5CA542FF67}"/>
    <cellStyle name="Style 130 5" xfId="12510" xr:uid="{00000000-0005-0000-0000-00001E380000}"/>
    <cellStyle name="Style 130 5 2" xfId="47392" xr:uid="{62E46196-58FD-4C34-B60D-93910799FC8C}"/>
    <cellStyle name="Style 130 6" xfId="9096" xr:uid="{00000000-0005-0000-0000-00001F380000}"/>
    <cellStyle name="Style 130 6 2" xfId="47393" xr:uid="{A26B5786-E540-4E48-82B7-3F4E1F77970C}"/>
    <cellStyle name="Style 130 7" xfId="47382" xr:uid="{C67DD12E-2800-4C44-8AC2-B7D156B43E9A}"/>
    <cellStyle name="Style 131" xfId="3039" xr:uid="{00000000-0005-0000-0000-000020380000}"/>
    <cellStyle name="Style 131 2" xfId="3040" xr:uid="{00000000-0005-0000-0000-000021380000}"/>
    <cellStyle name="Style 131 2 2" xfId="13162" xr:uid="{00000000-0005-0000-0000-000022380000}"/>
    <cellStyle name="Style 131 2 2 2" xfId="47396" xr:uid="{22723FA2-5359-4CEB-84EB-3EFC24370493}"/>
    <cellStyle name="Style 131 2 3" xfId="16197" xr:uid="{00000000-0005-0000-0000-000023380000}"/>
    <cellStyle name="Style 131 2 3 2" xfId="47397" xr:uid="{6C4786B0-0008-47D4-957F-58AFC6928C58}"/>
    <cellStyle name="Style 131 2 4" xfId="9100" xr:uid="{00000000-0005-0000-0000-000024380000}"/>
    <cellStyle name="Style 131 2 4 2" xfId="47398" xr:uid="{F9131A77-1E6C-4A03-852F-A43CBBFC297B}"/>
    <cellStyle name="Style 131 2 5" xfId="47395" xr:uid="{7BCAF339-E714-4D78-B6C9-CF11CEDD8E7C}"/>
    <cellStyle name="Style 131 3" xfId="13161" xr:uid="{00000000-0005-0000-0000-000025380000}"/>
    <cellStyle name="Style 131 3 2" xfId="47399" xr:uid="{58585767-DBBE-44FC-94B6-4250097F086A}"/>
    <cellStyle name="Style 131 4" xfId="16502" xr:uid="{00000000-0005-0000-0000-000026380000}"/>
    <cellStyle name="Style 131 4 2" xfId="47400" xr:uid="{3E741BA2-4D80-4B87-B9A7-EB0F04B90B6C}"/>
    <cellStyle name="Style 131 5" xfId="9099" xr:uid="{00000000-0005-0000-0000-000027380000}"/>
    <cellStyle name="Style 131 5 2" xfId="47401" xr:uid="{F2BD75FA-2013-40DC-BD49-2BE65E3001CE}"/>
    <cellStyle name="Style 131 6" xfId="47394" xr:uid="{AA0E1639-8C99-45C8-A318-7A07DE7EA527}"/>
    <cellStyle name="Style 132" xfId="3041" xr:uid="{00000000-0005-0000-0000-000028380000}"/>
    <cellStyle name="Style 132 2" xfId="3042" xr:uid="{00000000-0005-0000-0000-000029380000}"/>
    <cellStyle name="Style 132 2 2" xfId="13164" xr:uid="{00000000-0005-0000-0000-00002A380000}"/>
    <cellStyle name="Style 132 2 2 2" xfId="47404" xr:uid="{32874D40-A1EA-4A56-AF46-9D26E43FBE6E}"/>
    <cellStyle name="Style 132 2 3" xfId="12621" xr:uid="{00000000-0005-0000-0000-00002B380000}"/>
    <cellStyle name="Style 132 2 3 2" xfId="47405" xr:uid="{A765F406-938A-4B49-89EE-E50643776F35}"/>
    <cellStyle name="Style 132 2 4" xfId="9102" xr:uid="{00000000-0005-0000-0000-00002C380000}"/>
    <cellStyle name="Style 132 2 4 2" xfId="47406" xr:uid="{BBC50667-FCD6-4247-9D79-7474325AF727}"/>
    <cellStyle name="Style 132 2 5" xfId="47403" xr:uid="{DEC8E285-F01D-4C76-9F61-0D54C5AC2674}"/>
    <cellStyle name="Style 132 3" xfId="13163" xr:uid="{00000000-0005-0000-0000-00002D380000}"/>
    <cellStyle name="Style 132 3 2" xfId="47407" xr:uid="{283402D7-81A8-4A3E-87F6-0DB4C4AE37CA}"/>
    <cellStyle name="Style 132 4" xfId="12565" xr:uid="{00000000-0005-0000-0000-00002E380000}"/>
    <cellStyle name="Style 132 4 2" xfId="47408" xr:uid="{D8A40CB1-2A0E-49A2-AB85-69109A1FDD13}"/>
    <cellStyle name="Style 132 5" xfId="9101" xr:uid="{00000000-0005-0000-0000-00002F380000}"/>
    <cellStyle name="Style 132 5 2" xfId="47409" xr:uid="{551118C6-838C-450B-8BD5-63C6AA2F85AA}"/>
    <cellStyle name="Style 132 6" xfId="47402" xr:uid="{8A5030B2-E131-4555-A088-D052EDD05967}"/>
    <cellStyle name="Style 137" xfId="3043" xr:uid="{00000000-0005-0000-0000-000030380000}"/>
    <cellStyle name="Style 137 2" xfId="3044" xr:uid="{00000000-0005-0000-0000-000031380000}"/>
    <cellStyle name="Style 137 2 2" xfId="13166" xr:uid="{00000000-0005-0000-0000-000032380000}"/>
    <cellStyle name="Style 137 2 2 2" xfId="47412" xr:uid="{C2D124FC-DFDD-4AE2-9721-0FE2CBB4C305}"/>
    <cellStyle name="Style 137 2 3" xfId="13835" xr:uid="{00000000-0005-0000-0000-000033380000}"/>
    <cellStyle name="Style 137 2 3 2" xfId="47413" xr:uid="{EF3DCC3D-DD4D-49FA-98B2-B82596041B0A}"/>
    <cellStyle name="Style 137 2 4" xfId="9104" xr:uid="{00000000-0005-0000-0000-000034380000}"/>
    <cellStyle name="Style 137 2 4 2" xfId="47414" xr:uid="{D8FA2B44-7D37-421C-9424-FBE8D59B0F9A}"/>
    <cellStyle name="Style 137 2 5" xfId="47411" xr:uid="{49473E47-1FAC-4D34-99A7-DAD0193D61F3}"/>
    <cellStyle name="Style 137 3" xfId="3045" xr:uid="{00000000-0005-0000-0000-000035380000}"/>
    <cellStyle name="Style 137 3 2" xfId="13167" xr:uid="{00000000-0005-0000-0000-000036380000}"/>
    <cellStyle name="Style 137 3 2 2" xfId="47416" xr:uid="{317893C7-5575-4BB0-B573-67B9E7734235}"/>
    <cellStyle name="Style 137 3 3" xfId="12539" xr:uid="{00000000-0005-0000-0000-000037380000}"/>
    <cellStyle name="Style 137 3 3 2" xfId="47417" xr:uid="{0CA5036C-AF37-4F8C-A819-FAA82F7F1E8A}"/>
    <cellStyle name="Style 137 3 4" xfId="9105" xr:uid="{00000000-0005-0000-0000-000038380000}"/>
    <cellStyle name="Style 137 3 4 2" xfId="47418" xr:uid="{E7B3D2CE-10E6-4AD4-9C16-11B8DD21A53B}"/>
    <cellStyle name="Style 137 3 5" xfId="47415" xr:uid="{1990032A-10AD-4947-B568-57C3A31C3B8F}"/>
    <cellStyle name="Style 137 4" xfId="13165" xr:uid="{00000000-0005-0000-0000-000039380000}"/>
    <cellStyle name="Style 137 4 2" xfId="47419" xr:uid="{BD45A362-B72B-4913-A990-8D6D866F7F36}"/>
    <cellStyle name="Style 137 5" xfId="13815" xr:uid="{00000000-0005-0000-0000-00003A380000}"/>
    <cellStyle name="Style 137 5 2" xfId="47420" xr:uid="{BA7F21C0-A6F3-4D4E-9373-7DE42ADB2AEB}"/>
    <cellStyle name="Style 137 6" xfId="9103" xr:uid="{00000000-0005-0000-0000-00003B380000}"/>
    <cellStyle name="Style 137 6 2" xfId="47421" xr:uid="{6F102E33-DD1E-409C-BB31-84D03A8EC373}"/>
    <cellStyle name="Style 137 7" xfId="47410" xr:uid="{D2FF233D-E3AD-4D7D-9447-16A080471DF3}"/>
    <cellStyle name="Style 138" xfId="3046" xr:uid="{00000000-0005-0000-0000-00003C380000}"/>
    <cellStyle name="Style 138 2" xfId="3047" xr:uid="{00000000-0005-0000-0000-00003D380000}"/>
    <cellStyle name="Style 138 2 2" xfId="13169" xr:uid="{00000000-0005-0000-0000-00003E380000}"/>
    <cellStyle name="Style 138 2 2 2" xfId="47424" xr:uid="{EB43C57D-1A0D-49BD-863B-E26AA512BEFD}"/>
    <cellStyle name="Style 138 2 3" xfId="16567" xr:uid="{00000000-0005-0000-0000-00003F380000}"/>
    <cellStyle name="Style 138 2 3 2" xfId="47425" xr:uid="{A161DF44-DD23-4115-9E4F-FE20224BD34D}"/>
    <cellStyle name="Style 138 2 4" xfId="9107" xr:uid="{00000000-0005-0000-0000-000040380000}"/>
    <cellStyle name="Style 138 2 4 2" xfId="47426" xr:uid="{379CED14-6A13-4C4C-81B1-A509E03462EF}"/>
    <cellStyle name="Style 138 2 5" xfId="47423" xr:uid="{D4DF6C60-F5DA-4274-8E54-579A7BC0F63F}"/>
    <cellStyle name="Style 138 3" xfId="13168" xr:uid="{00000000-0005-0000-0000-000041380000}"/>
    <cellStyle name="Style 138 3 2" xfId="47427" xr:uid="{506626DA-7220-476B-B6DC-5050079ED857}"/>
    <cellStyle name="Style 138 4" xfId="12835" xr:uid="{00000000-0005-0000-0000-000042380000}"/>
    <cellStyle name="Style 138 4 2" xfId="47428" xr:uid="{DF58E04D-0D18-4038-AB20-657B81A8F8F1}"/>
    <cellStyle name="Style 138 5" xfId="9106" xr:uid="{00000000-0005-0000-0000-000043380000}"/>
    <cellStyle name="Style 138 5 2" xfId="47429" xr:uid="{F80211EE-E3BB-4623-96BB-AE1192E1928F}"/>
    <cellStyle name="Style 138 6" xfId="47422" xr:uid="{8D267CEC-BDCD-40A5-AE27-24DDC2A8B052}"/>
    <cellStyle name="Style 139" xfId="3048" xr:uid="{00000000-0005-0000-0000-000044380000}"/>
    <cellStyle name="Style 139 2" xfId="3049" xr:uid="{00000000-0005-0000-0000-000045380000}"/>
    <cellStyle name="Style 139 2 2" xfId="13171" xr:uid="{00000000-0005-0000-0000-000046380000}"/>
    <cellStyle name="Style 139 2 2 2" xfId="47432" xr:uid="{8FA1DE9B-500A-478C-A063-E19BEBF7B1F3}"/>
    <cellStyle name="Style 139 2 3" xfId="12776" xr:uid="{00000000-0005-0000-0000-000047380000}"/>
    <cellStyle name="Style 139 2 3 2" xfId="47433" xr:uid="{C7563316-BB93-4B72-AAA2-EB5492CAD9F0}"/>
    <cellStyle name="Style 139 2 4" xfId="9109" xr:uid="{00000000-0005-0000-0000-000048380000}"/>
    <cellStyle name="Style 139 2 4 2" xfId="47434" xr:uid="{08AEF732-107E-4C04-83D1-E90A772459A3}"/>
    <cellStyle name="Style 139 2 5" xfId="47431" xr:uid="{1A1BE7A9-7794-44C3-8CE6-BA9936BDC83B}"/>
    <cellStyle name="Style 139 3" xfId="13170" xr:uid="{00000000-0005-0000-0000-000049380000}"/>
    <cellStyle name="Style 139 3 2" xfId="47435" xr:uid="{D3E1CE5B-F4F2-4E09-BC3D-20866522DC85}"/>
    <cellStyle name="Style 139 4" xfId="12593" xr:uid="{00000000-0005-0000-0000-00004A380000}"/>
    <cellStyle name="Style 139 4 2" xfId="47436" xr:uid="{27C19114-A8BF-4564-B860-0C33F0FADDB2}"/>
    <cellStyle name="Style 139 5" xfId="9108" xr:uid="{00000000-0005-0000-0000-00004B380000}"/>
    <cellStyle name="Style 139 5 2" xfId="47437" xr:uid="{515C188E-F41D-4809-8F3C-30E64A0C6F38}"/>
    <cellStyle name="Style 139 6" xfId="47430" xr:uid="{C6E990F2-FF6E-4D69-885C-F07508F3D132}"/>
    <cellStyle name="Style 140" xfId="3050" xr:uid="{00000000-0005-0000-0000-00004C380000}"/>
    <cellStyle name="Style 140 2" xfId="3051" xr:uid="{00000000-0005-0000-0000-00004D380000}"/>
    <cellStyle name="Style 140 2 2" xfId="13173" xr:uid="{00000000-0005-0000-0000-00004E380000}"/>
    <cellStyle name="Style 140 2 2 2" xfId="47440" xr:uid="{CA6BCBD6-D279-4BB0-9FAA-22FAC4E79FDE}"/>
    <cellStyle name="Style 140 2 3" xfId="13818" xr:uid="{00000000-0005-0000-0000-00004F380000}"/>
    <cellStyle name="Style 140 2 3 2" xfId="47441" xr:uid="{47BAF293-98A1-4A25-AF4C-D7FD6599E3E7}"/>
    <cellStyle name="Style 140 2 4" xfId="9111" xr:uid="{00000000-0005-0000-0000-000050380000}"/>
    <cellStyle name="Style 140 2 4 2" xfId="47442" xr:uid="{2142420D-036B-40DD-8041-58B3B294F3C6}"/>
    <cellStyle name="Style 140 2 5" xfId="47439" xr:uid="{3E88F8D8-B0DB-4F6C-B1AA-A45B23D23AFB}"/>
    <cellStyle name="Style 140 3" xfId="13172" xr:uid="{00000000-0005-0000-0000-000051380000}"/>
    <cellStyle name="Style 140 3 2" xfId="47443" xr:uid="{1632168E-080F-4002-A5DC-4E4CF678F513}"/>
    <cellStyle name="Style 140 4" xfId="13831" xr:uid="{00000000-0005-0000-0000-000052380000}"/>
    <cellStyle name="Style 140 4 2" xfId="47444" xr:uid="{CC975895-D071-47A4-9652-0A16494B1130}"/>
    <cellStyle name="Style 140 5" xfId="9110" xr:uid="{00000000-0005-0000-0000-000053380000}"/>
    <cellStyle name="Style 140 5 2" xfId="47445" xr:uid="{EDE5A431-ADD6-49CC-9F29-98F579276087}"/>
    <cellStyle name="Style 140 6" xfId="47438" xr:uid="{AFDE75A6-B79D-4466-ABFB-8A60B4F7CE18}"/>
    <cellStyle name="Style 141" xfId="3052" xr:uid="{00000000-0005-0000-0000-000054380000}"/>
    <cellStyle name="Style 141 2" xfId="3053" xr:uid="{00000000-0005-0000-0000-000055380000}"/>
    <cellStyle name="Style 141 2 2" xfId="13175" xr:uid="{00000000-0005-0000-0000-000056380000}"/>
    <cellStyle name="Style 141 2 2 2" xfId="47448" xr:uid="{D9541884-668B-4BE5-9BF2-8787A1A0786B}"/>
    <cellStyle name="Style 141 2 3" xfId="16265" xr:uid="{00000000-0005-0000-0000-000057380000}"/>
    <cellStyle name="Style 141 2 3 2" xfId="47449" xr:uid="{CB758D93-1723-4EB5-9639-FFCE50FB7062}"/>
    <cellStyle name="Style 141 2 4" xfId="9113" xr:uid="{00000000-0005-0000-0000-000058380000}"/>
    <cellStyle name="Style 141 2 4 2" xfId="47450" xr:uid="{9AA5F84A-CBB5-4802-B279-08F178670B9F}"/>
    <cellStyle name="Style 141 2 5" xfId="47447" xr:uid="{C639804A-F6F2-45A1-BF5F-E9829223F03B}"/>
    <cellStyle name="Style 141 3" xfId="3054" xr:uid="{00000000-0005-0000-0000-000059380000}"/>
    <cellStyle name="Style 141 3 2" xfId="13176" xr:uid="{00000000-0005-0000-0000-00005A380000}"/>
    <cellStyle name="Style 141 3 2 2" xfId="47452" xr:uid="{92CF2E50-54B3-435F-B260-6B561331F530}"/>
    <cellStyle name="Style 141 3 3" xfId="14411" xr:uid="{00000000-0005-0000-0000-00005B380000}"/>
    <cellStyle name="Style 141 3 3 2" xfId="47453" xr:uid="{D6CA59FA-87B3-4A0F-B801-61B3B12BF363}"/>
    <cellStyle name="Style 141 3 4" xfId="9114" xr:uid="{00000000-0005-0000-0000-00005C380000}"/>
    <cellStyle name="Style 141 3 4 2" xfId="47454" xr:uid="{2BD6B63A-2BB4-4D54-9154-B30EBD8CAE22}"/>
    <cellStyle name="Style 141 3 5" xfId="47451" xr:uid="{4CC0815D-5F91-4714-830B-4CF9DD05D424}"/>
    <cellStyle name="Style 141 4" xfId="13174" xr:uid="{00000000-0005-0000-0000-00005D380000}"/>
    <cellStyle name="Style 141 4 2" xfId="47455" xr:uid="{4B84834D-BB1B-4B46-812A-129D1CA7565B}"/>
    <cellStyle name="Style 141 5" xfId="16173" xr:uid="{00000000-0005-0000-0000-00005E380000}"/>
    <cellStyle name="Style 141 5 2" xfId="47456" xr:uid="{CFC1E5E9-7811-437F-893A-D93CABF7BA74}"/>
    <cellStyle name="Style 141 6" xfId="9112" xr:uid="{00000000-0005-0000-0000-00005F380000}"/>
    <cellStyle name="Style 141 6 2" xfId="47457" xr:uid="{2E7A2E2B-0711-4FD6-908B-25410EEB9DB5}"/>
    <cellStyle name="Style 141 7" xfId="47446" xr:uid="{82BFCA96-438E-481D-BE7C-9787B9B34386}"/>
    <cellStyle name="Style 142" xfId="3055" xr:uid="{00000000-0005-0000-0000-000060380000}"/>
    <cellStyle name="Style 142 2" xfId="3056" xr:uid="{00000000-0005-0000-0000-000061380000}"/>
    <cellStyle name="Style 142 2 2" xfId="13178" xr:uid="{00000000-0005-0000-0000-000062380000}"/>
    <cellStyle name="Style 142 2 2 2" xfId="47460" xr:uid="{0937ABB5-FECD-40D9-BEC9-70459418A307}"/>
    <cellStyle name="Style 142 2 3" xfId="16176" xr:uid="{00000000-0005-0000-0000-000063380000}"/>
    <cellStyle name="Style 142 2 3 2" xfId="47461" xr:uid="{C70F932D-8405-47E3-AC60-145440B70999}"/>
    <cellStyle name="Style 142 2 4" xfId="9116" xr:uid="{00000000-0005-0000-0000-000064380000}"/>
    <cellStyle name="Style 142 2 4 2" xfId="47462" xr:uid="{85816730-9678-4053-B460-5FC3F16CE824}"/>
    <cellStyle name="Style 142 2 5" xfId="47459" xr:uid="{72F7B175-301F-4A09-8870-10664E0B7986}"/>
    <cellStyle name="Style 142 3" xfId="13177" xr:uid="{00000000-0005-0000-0000-000065380000}"/>
    <cellStyle name="Style 142 3 2" xfId="47463" xr:uid="{F00EFBA2-7F9D-427E-8600-6958B91D41AC}"/>
    <cellStyle name="Style 142 4" xfId="16496" xr:uid="{00000000-0005-0000-0000-000066380000}"/>
    <cellStyle name="Style 142 4 2" xfId="47464" xr:uid="{D94186FF-745D-403C-A87D-309C2B5F8E18}"/>
    <cellStyle name="Style 142 5" xfId="9115" xr:uid="{00000000-0005-0000-0000-000067380000}"/>
    <cellStyle name="Style 142 5 2" xfId="47465" xr:uid="{BF29556D-C25E-4A00-BD3F-D420EFF54A4F}"/>
    <cellStyle name="Style 142 6" xfId="47458" xr:uid="{452D784A-BB93-40C1-B80F-BB6D55448806}"/>
    <cellStyle name="Style 143" xfId="3057" xr:uid="{00000000-0005-0000-0000-000068380000}"/>
    <cellStyle name="Style 143 2" xfId="3058" xr:uid="{00000000-0005-0000-0000-000069380000}"/>
    <cellStyle name="Style 143 2 2" xfId="13180" xr:uid="{00000000-0005-0000-0000-00006A380000}"/>
    <cellStyle name="Style 143 2 2 2" xfId="47468" xr:uid="{79042871-3DEE-49A7-95CF-5F089BFC773E}"/>
    <cellStyle name="Style 143 2 3" xfId="14409" xr:uid="{00000000-0005-0000-0000-00006B380000}"/>
    <cellStyle name="Style 143 2 3 2" xfId="47469" xr:uid="{04F22374-F1DF-41C0-915B-7973EA22F843}"/>
    <cellStyle name="Style 143 2 4" xfId="9118" xr:uid="{00000000-0005-0000-0000-00006C380000}"/>
    <cellStyle name="Style 143 2 4 2" xfId="47470" xr:uid="{2D1FDF04-79B3-4ED1-AE37-B87097B1B787}"/>
    <cellStyle name="Style 143 2 5" xfId="47467" xr:uid="{2BC58CCC-4F24-49C7-B744-87886D42C559}"/>
    <cellStyle name="Style 143 3" xfId="13179" xr:uid="{00000000-0005-0000-0000-00006D380000}"/>
    <cellStyle name="Style 143 3 2" xfId="47471" xr:uid="{BA203013-446D-4B5F-8B1E-C6F59DB2065C}"/>
    <cellStyle name="Style 143 4" xfId="14367" xr:uid="{00000000-0005-0000-0000-00006E380000}"/>
    <cellStyle name="Style 143 4 2" xfId="47472" xr:uid="{33514411-4EDF-4250-B2CF-33FCAFB357B1}"/>
    <cellStyle name="Style 143 5" xfId="9117" xr:uid="{00000000-0005-0000-0000-00006F380000}"/>
    <cellStyle name="Style 143 5 2" xfId="47473" xr:uid="{997140CF-2FFF-421C-B06D-E1AA9154E024}"/>
    <cellStyle name="Style 143 6" xfId="47466" xr:uid="{B48FE7F7-913E-45AE-A061-C3E028DF53D7}"/>
    <cellStyle name="Style 148" xfId="3059" xr:uid="{00000000-0005-0000-0000-000070380000}"/>
    <cellStyle name="Style 148 2" xfId="3060" xr:uid="{00000000-0005-0000-0000-000071380000}"/>
    <cellStyle name="Style 148 2 2" xfId="13182" xr:uid="{00000000-0005-0000-0000-000072380000}"/>
    <cellStyle name="Style 148 2 2 2" xfId="47476" xr:uid="{9E73C1D9-321B-40F8-986D-88D70597EEBD}"/>
    <cellStyle name="Style 148 2 3" xfId="12503" xr:uid="{00000000-0005-0000-0000-000073380000}"/>
    <cellStyle name="Style 148 2 3 2" xfId="47477" xr:uid="{F6A5807D-66D7-4BD9-AAB7-21F752B3FC23}"/>
    <cellStyle name="Style 148 2 4" xfId="9120" xr:uid="{00000000-0005-0000-0000-000074380000}"/>
    <cellStyle name="Style 148 2 4 2" xfId="47478" xr:uid="{D6F8641C-3F02-45DF-9FF4-288EEDC9C4C8}"/>
    <cellStyle name="Style 148 2 5" xfId="47475" xr:uid="{99AECE75-B69D-40B3-8019-55ED47F4CE15}"/>
    <cellStyle name="Style 148 3" xfId="3061" xr:uid="{00000000-0005-0000-0000-000075380000}"/>
    <cellStyle name="Style 148 3 2" xfId="13183" xr:uid="{00000000-0005-0000-0000-000076380000}"/>
    <cellStyle name="Style 148 3 2 2" xfId="47480" xr:uid="{FF35EF8B-B8AB-4D6A-AF7B-D6E95D5BF758}"/>
    <cellStyle name="Style 148 3 3" xfId="12454" xr:uid="{00000000-0005-0000-0000-000077380000}"/>
    <cellStyle name="Style 148 3 3 2" xfId="47481" xr:uid="{CA89D691-CDA6-4484-8644-DF996080A0A5}"/>
    <cellStyle name="Style 148 3 4" xfId="9121" xr:uid="{00000000-0005-0000-0000-000078380000}"/>
    <cellStyle name="Style 148 3 4 2" xfId="47482" xr:uid="{6A936C23-557F-4C23-A07E-2C90B503618F}"/>
    <cellStyle name="Style 148 3 5" xfId="47479" xr:uid="{D77A1DA1-1992-4BD8-BF70-3397E694CB51}"/>
    <cellStyle name="Style 148 4" xfId="13181" xr:uid="{00000000-0005-0000-0000-000079380000}"/>
    <cellStyle name="Style 148 4 2" xfId="47483" xr:uid="{ECE1F5E6-BC32-429F-BC15-511355296BE3}"/>
    <cellStyle name="Style 148 5" xfId="13870" xr:uid="{00000000-0005-0000-0000-00007A380000}"/>
    <cellStyle name="Style 148 5 2" xfId="47484" xr:uid="{DAEF1B87-9566-4150-BC8C-30819BAAD6EC}"/>
    <cellStyle name="Style 148 6" xfId="9119" xr:uid="{00000000-0005-0000-0000-00007B380000}"/>
    <cellStyle name="Style 148 6 2" xfId="47485" xr:uid="{1AE03443-8D51-48AD-A253-3A4E3BD189CA}"/>
    <cellStyle name="Style 148 7" xfId="47474" xr:uid="{F0B44595-B032-414F-B088-3F9B4CCA9665}"/>
    <cellStyle name="Style 149" xfId="3062" xr:uid="{00000000-0005-0000-0000-00007C380000}"/>
    <cellStyle name="Style 149 2" xfId="3063" xr:uid="{00000000-0005-0000-0000-00007D380000}"/>
    <cellStyle name="Style 149 2 2" xfId="13185" xr:uid="{00000000-0005-0000-0000-00007E380000}"/>
    <cellStyle name="Style 149 2 2 2" xfId="47488" xr:uid="{8CC1E21E-33AB-40F2-8310-7EC824F35F1D}"/>
    <cellStyle name="Style 149 2 3" xfId="12669" xr:uid="{00000000-0005-0000-0000-00007F380000}"/>
    <cellStyle name="Style 149 2 3 2" xfId="47489" xr:uid="{D6F64044-9E0C-45B2-BBD9-4E4DF9FFDA78}"/>
    <cellStyle name="Style 149 2 4" xfId="9123" xr:uid="{00000000-0005-0000-0000-000080380000}"/>
    <cellStyle name="Style 149 2 4 2" xfId="47490" xr:uid="{061550BC-77B4-41D1-8566-9CB8369C5651}"/>
    <cellStyle name="Style 149 2 5" xfId="47487" xr:uid="{A69F7519-5FF3-4A7B-ABBC-57CD731C3DB8}"/>
    <cellStyle name="Style 149 3" xfId="13184" xr:uid="{00000000-0005-0000-0000-000081380000}"/>
    <cellStyle name="Style 149 3 2" xfId="47491" xr:uid="{7C862141-0C3C-40E9-9F0B-34524E7486A9}"/>
    <cellStyle name="Style 149 4" xfId="16551" xr:uid="{00000000-0005-0000-0000-000082380000}"/>
    <cellStyle name="Style 149 4 2" xfId="47492" xr:uid="{D4A2966A-420E-4489-BF3A-F94FA078B3A8}"/>
    <cellStyle name="Style 149 5" xfId="9122" xr:uid="{00000000-0005-0000-0000-000083380000}"/>
    <cellStyle name="Style 149 5 2" xfId="47493" xr:uid="{60E7B079-5495-4AF4-8C93-FFB07D31C641}"/>
    <cellStyle name="Style 149 6" xfId="47486" xr:uid="{122F8329-4970-423B-8366-E56772700930}"/>
    <cellStyle name="Style 150" xfId="3064" xr:uid="{00000000-0005-0000-0000-000084380000}"/>
    <cellStyle name="Style 150 2" xfId="3065" xr:uid="{00000000-0005-0000-0000-000085380000}"/>
    <cellStyle name="Style 150 2 2" xfId="13187" xr:uid="{00000000-0005-0000-0000-000086380000}"/>
    <cellStyle name="Style 150 2 2 2" xfId="47496" xr:uid="{E28E9E44-3FC9-46E7-B986-BCD20836E115}"/>
    <cellStyle name="Style 150 2 3" xfId="16338" xr:uid="{00000000-0005-0000-0000-000087380000}"/>
    <cellStyle name="Style 150 2 3 2" xfId="47497" xr:uid="{3D951718-FC31-4E2C-81B3-DF02EE92E8A3}"/>
    <cellStyle name="Style 150 2 4" xfId="9125" xr:uid="{00000000-0005-0000-0000-000088380000}"/>
    <cellStyle name="Style 150 2 4 2" xfId="47498" xr:uid="{52833F98-0146-42DD-8428-F343F4E2BE5C}"/>
    <cellStyle name="Style 150 2 5" xfId="47495" xr:uid="{012A9630-265C-4B5C-9FE9-369C8C1C0361}"/>
    <cellStyle name="Style 150 3" xfId="13186" xr:uid="{00000000-0005-0000-0000-000089380000}"/>
    <cellStyle name="Style 150 3 2" xfId="47499" xr:uid="{04288CED-0F2A-4F24-B121-0983CD3FF522}"/>
    <cellStyle name="Style 150 4" xfId="14354" xr:uid="{00000000-0005-0000-0000-00008A380000}"/>
    <cellStyle name="Style 150 4 2" xfId="47500" xr:uid="{D1C5C2AB-0530-4199-96A2-39C7761DAE62}"/>
    <cellStyle name="Style 150 5" xfId="9124" xr:uid="{00000000-0005-0000-0000-00008B380000}"/>
    <cellStyle name="Style 150 5 2" xfId="47501" xr:uid="{8CD5A2B6-955E-4BAA-B295-E56F60F3CF62}"/>
    <cellStyle name="Style 150 6" xfId="47494" xr:uid="{FBE7C62F-2E62-46B8-B150-72FFDE3AA1C0}"/>
    <cellStyle name="Style 151" xfId="3066" xr:uid="{00000000-0005-0000-0000-00008C380000}"/>
    <cellStyle name="Style 151 2" xfId="3067" xr:uid="{00000000-0005-0000-0000-00008D380000}"/>
    <cellStyle name="Style 151 2 2" xfId="13189" xr:uid="{00000000-0005-0000-0000-00008E380000}"/>
    <cellStyle name="Style 151 2 2 2" xfId="47504" xr:uid="{ADA36455-914E-4C0A-9D49-7486A1E9E307}"/>
    <cellStyle name="Style 151 2 3" xfId="16161" xr:uid="{00000000-0005-0000-0000-00008F380000}"/>
    <cellStyle name="Style 151 2 3 2" xfId="47505" xr:uid="{B6D2059D-118D-4B61-B415-E35EA74D8B16}"/>
    <cellStyle name="Style 151 2 4" xfId="9127" xr:uid="{00000000-0005-0000-0000-000090380000}"/>
    <cellStyle name="Style 151 2 4 2" xfId="47506" xr:uid="{B9AA9C71-F027-434B-A380-844E8E192431}"/>
    <cellStyle name="Style 151 2 5" xfId="47503" xr:uid="{E43F0147-F494-496A-8597-975145B9D718}"/>
    <cellStyle name="Style 151 3" xfId="13188" xr:uid="{00000000-0005-0000-0000-000091380000}"/>
    <cellStyle name="Style 151 3 2" xfId="47507" xr:uid="{209D1BAA-03A1-46D1-9AAF-337F987D49F4}"/>
    <cellStyle name="Style 151 4" xfId="13509" xr:uid="{00000000-0005-0000-0000-000092380000}"/>
    <cellStyle name="Style 151 4 2" xfId="47508" xr:uid="{6A67BF81-4554-4152-8CD6-9F5FA01FF9D0}"/>
    <cellStyle name="Style 151 5" xfId="9126" xr:uid="{00000000-0005-0000-0000-000093380000}"/>
    <cellStyle name="Style 151 5 2" xfId="47509" xr:uid="{EC450AA6-A612-4A0A-96AE-D6500D091369}"/>
    <cellStyle name="Style 151 6" xfId="47502" xr:uid="{C21A21EF-15BE-4AA0-B706-0D8946B75428}"/>
    <cellStyle name="Style 152" xfId="3068" xr:uid="{00000000-0005-0000-0000-000094380000}"/>
    <cellStyle name="Style 152 2" xfId="3069" xr:uid="{00000000-0005-0000-0000-000095380000}"/>
    <cellStyle name="Style 152 2 2" xfId="13191" xr:uid="{00000000-0005-0000-0000-000096380000}"/>
    <cellStyle name="Style 152 2 2 2" xfId="47512" xr:uid="{35DEBF28-1D61-417D-B84D-5298B19D075D}"/>
    <cellStyle name="Style 152 2 3" xfId="16256" xr:uid="{00000000-0005-0000-0000-000097380000}"/>
    <cellStyle name="Style 152 2 3 2" xfId="47513" xr:uid="{022FF309-0C57-4E3C-852F-92ADC89942D5}"/>
    <cellStyle name="Style 152 2 4" xfId="9129" xr:uid="{00000000-0005-0000-0000-000098380000}"/>
    <cellStyle name="Style 152 2 4 2" xfId="47514" xr:uid="{0D3D22A4-6A5E-421A-B4F9-7064DB15166F}"/>
    <cellStyle name="Style 152 2 5" xfId="47511" xr:uid="{22261C6D-7455-4249-8836-CCE982EA4775}"/>
    <cellStyle name="Style 152 3" xfId="3070" xr:uid="{00000000-0005-0000-0000-000099380000}"/>
    <cellStyle name="Style 152 3 2" xfId="13192" xr:uid="{00000000-0005-0000-0000-00009A380000}"/>
    <cellStyle name="Style 152 3 2 2" xfId="47516" xr:uid="{FEA9842E-17FF-4230-BFFC-486754DCEA3E}"/>
    <cellStyle name="Style 152 3 3" xfId="16575" xr:uid="{00000000-0005-0000-0000-00009B380000}"/>
    <cellStyle name="Style 152 3 3 2" xfId="47517" xr:uid="{405D375E-AFFA-4D47-B5F9-B6E18E99ABD9}"/>
    <cellStyle name="Style 152 3 4" xfId="9130" xr:uid="{00000000-0005-0000-0000-00009C380000}"/>
    <cellStyle name="Style 152 3 4 2" xfId="47518" xr:uid="{C29BA85B-D4EC-4C06-98EC-85171A28EF17}"/>
    <cellStyle name="Style 152 3 5" xfId="47515" xr:uid="{F20E0003-6C68-4E71-BAA2-B0F2DC0644BF}"/>
    <cellStyle name="Style 152 4" xfId="13190" xr:uid="{00000000-0005-0000-0000-00009D380000}"/>
    <cellStyle name="Style 152 4 2" xfId="47519" xr:uid="{41452A74-97CE-4DD6-98C8-C14430DDB7B3}"/>
    <cellStyle name="Style 152 5" xfId="12418" xr:uid="{00000000-0005-0000-0000-00009E380000}"/>
    <cellStyle name="Style 152 5 2" xfId="47520" xr:uid="{2C97379B-CD00-4554-97E2-288901A8C422}"/>
    <cellStyle name="Style 152 6" xfId="9128" xr:uid="{00000000-0005-0000-0000-00009F380000}"/>
    <cellStyle name="Style 152 6 2" xfId="47521" xr:uid="{C1D31D7A-DF74-4EF0-A89C-6C85A29FC2C3}"/>
    <cellStyle name="Style 152 7" xfId="47510" xr:uid="{DBB4A90F-3C9C-41D8-95E5-D671EFECA3DE}"/>
    <cellStyle name="Style 153" xfId="3071" xr:uid="{00000000-0005-0000-0000-0000A0380000}"/>
    <cellStyle name="Style 153 2" xfId="3072" xr:uid="{00000000-0005-0000-0000-0000A1380000}"/>
    <cellStyle name="Style 153 2 2" xfId="13194" xr:uid="{00000000-0005-0000-0000-0000A2380000}"/>
    <cellStyle name="Style 153 2 2 2" xfId="47524" xr:uid="{4AD09D16-8FFA-4316-9A63-16BBA40ECFAC}"/>
    <cellStyle name="Style 153 2 3" xfId="16544" xr:uid="{00000000-0005-0000-0000-0000A3380000}"/>
    <cellStyle name="Style 153 2 3 2" xfId="47525" xr:uid="{84FF2D03-B068-4AE7-91AD-0F62EE265487}"/>
    <cellStyle name="Style 153 2 4" xfId="9132" xr:uid="{00000000-0005-0000-0000-0000A4380000}"/>
    <cellStyle name="Style 153 2 4 2" xfId="47526" xr:uid="{D44F5411-7732-43EF-A823-BB0CD671B959}"/>
    <cellStyle name="Style 153 2 5" xfId="47523" xr:uid="{487C45D2-BF0C-42C5-86EB-9BAB5EFD26C9}"/>
    <cellStyle name="Style 153 3" xfId="13193" xr:uid="{00000000-0005-0000-0000-0000A5380000}"/>
    <cellStyle name="Style 153 3 2" xfId="47527" xr:uid="{1EA803C7-DC83-49E1-B1FB-D4DB09FD4B49}"/>
    <cellStyle name="Style 153 4" xfId="12610" xr:uid="{00000000-0005-0000-0000-0000A6380000}"/>
    <cellStyle name="Style 153 4 2" xfId="47528" xr:uid="{28887E7E-91D3-49B7-BD9F-AFC2DFA3AFFE}"/>
    <cellStyle name="Style 153 5" xfId="9131" xr:uid="{00000000-0005-0000-0000-0000A7380000}"/>
    <cellStyle name="Style 153 5 2" xfId="47529" xr:uid="{784D0A24-56B9-4111-B8B4-3DB84B601748}"/>
    <cellStyle name="Style 153 6" xfId="47522" xr:uid="{AC50052D-42AF-4D01-BA93-FF00A58D24B4}"/>
    <cellStyle name="Style 154" xfId="3073" xr:uid="{00000000-0005-0000-0000-0000A8380000}"/>
    <cellStyle name="Style 154 2" xfId="3074" xr:uid="{00000000-0005-0000-0000-0000A9380000}"/>
    <cellStyle name="Style 154 2 2" xfId="13196" xr:uid="{00000000-0005-0000-0000-0000AA380000}"/>
    <cellStyle name="Style 154 2 2 2" xfId="47532" xr:uid="{4C320CD8-469C-4077-A1D5-D783B979CE52}"/>
    <cellStyle name="Style 154 2 3" xfId="13485" xr:uid="{00000000-0005-0000-0000-0000AB380000}"/>
    <cellStyle name="Style 154 2 3 2" xfId="47533" xr:uid="{65499914-6EF1-413D-B421-8CCFB90C9638}"/>
    <cellStyle name="Style 154 2 4" xfId="9134" xr:uid="{00000000-0005-0000-0000-0000AC380000}"/>
    <cellStyle name="Style 154 2 4 2" xfId="47534" xr:uid="{12CA383B-C834-458F-96DC-FAEE20E96E37}"/>
    <cellStyle name="Style 154 2 5" xfId="47531" xr:uid="{B278923B-A237-48F9-8970-00C08543A725}"/>
    <cellStyle name="Style 154 3" xfId="13195" xr:uid="{00000000-0005-0000-0000-0000AD380000}"/>
    <cellStyle name="Style 154 3 2" xfId="47535" xr:uid="{5501F9B8-E75A-48FA-9B1B-35A509A30406}"/>
    <cellStyle name="Style 154 4" xfId="16371" xr:uid="{00000000-0005-0000-0000-0000AE380000}"/>
    <cellStyle name="Style 154 4 2" xfId="47536" xr:uid="{CDB9770F-E3DB-4863-A52B-632A5C9D4D3B}"/>
    <cellStyle name="Style 154 5" xfId="9133" xr:uid="{00000000-0005-0000-0000-0000AF380000}"/>
    <cellStyle name="Style 154 5 2" xfId="47537" xr:uid="{C8A8A318-A4A0-4397-B85F-8AE844B166A5}"/>
    <cellStyle name="Style 154 6" xfId="47530" xr:uid="{72DB92DA-FA32-4639-BD8F-E09DAE0E12E9}"/>
    <cellStyle name="Style 159" xfId="3075" xr:uid="{00000000-0005-0000-0000-0000B0380000}"/>
    <cellStyle name="Style 159 2" xfId="3076" xr:uid="{00000000-0005-0000-0000-0000B1380000}"/>
    <cellStyle name="Style 159 2 2" xfId="13198" xr:uid="{00000000-0005-0000-0000-0000B2380000}"/>
    <cellStyle name="Style 159 2 2 2" xfId="47540" xr:uid="{60B469BA-7124-49CA-A697-C37EED6025BF}"/>
    <cellStyle name="Style 159 2 3" xfId="16345" xr:uid="{00000000-0005-0000-0000-0000B3380000}"/>
    <cellStyle name="Style 159 2 3 2" xfId="47541" xr:uid="{EDFAEFB9-8898-4EE8-8368-CEB7BA06177A}"/>
    <cellStyle name="Style 159 2 4" xfId="9136" xr:uid="{00000000-0005-0000-0000-0000B4380000}"/>
    <cellStyle name="Style 159 2 4 2" xfId="47542" xr:uid="{BEB151A7-D087-4DC4-AD1B-361FE65F3B4A}"/>
    <cellStyle name="Style 159 2 5" xfId="47539" xr:uid="{CA50B798-B0C9-45EA-A575-FFDBB9B54CA2}"/>
    <cellStyle name="Style 159 3" xfId="3077" xr:uid="{00000000-0005-0000-0000-0000B5380000}"/>
    <cellStyle name="Style 159 3 2" xfId="13199" xr:uid="{00000000-0005-0000-0000-0000B6380000}"/>
    <cellStyle name="Style 159 3 2 2" xfId="47544" xr:uid="{BF29BE41-9F12-4695-9135-398522D22E2D}"/>
    <cellStyle name="Style 159 3 3" xfId="12892" xr:uid="{00000000-0005-0000-0000-0000B7380000}"/>
    <cellStyle name="Style 159 3 3 2" xfId="47545" xr:uid="{044534DE-D800-4A87-B850-23AE4009926D}"/>
    <cellStyle name="Style 159 3 4" xfId="9137" xr:uid="{00000000-0005-0000-0000-0000B8380000}"/>
    <cellStyle name="Style 159 3 4 2" xfId="47546" xr:uid="{16C96BB2-3B26-4235-92CF-A064E57FD99E}"/>
    <cellStyle name="Style 159 3 5" xfId="47543" xr:uid="{0673DBF5-4855-4D89-818E-1DB485E24FE0}"/>
    <cellStyle name="Style 159 4" xfId="13197" xr:uid="{00000000-0005-0000-0000-0000B9380000}"/>
    <cellStyle name="Style 159 4 2" xfId="47547" xr:uid="{89844B09-0D37-4E17-9FE8-C7D2F6F6164D}"/>
    <cellStyle name="Style 159 5" xfId="13505" xr:uid="{00000000-0005-0000-0000-0000BA380000}"/>
    <cellStyle name="Style 159 5 2" xfId="47548" xr:uid="{8E783156-CDE6-4C05-8F4E-BF0535DC1BA5}"/>
    <cellStyle name="Style 159 6" xfId="9135" xr:uid="{00000000-0005-0000-0000-0000BB380000}"/>
    <cellStyle name="Style 159 6 2" xfId="47549" xr:uid="{705361DD-2EA7-4017-9C0D-24B23328FDFC}"/>
    <cellStyle name="Style 159 7" xfId="47538" xr:uid="{BC46BC23-7BBD-461B-8410-C1974203F8E9}"/>
    <cellStyle name="Style 160" xfId="3078" xr:uid="{00000000-0005-0000-0000-0000BC380000}"/>
    <cellStyle name="Style 160 2" xfId="3079" xr:uid="{00000000-0005-0000-0000-0000BD380000}"/>
    <cellStyle name="Style 160 2 2" xfId="13201" xr:uid="{00000000-0005-0000-0000-0000BE380000}"/>
    <cellStyle name="Style 160 2 2 2" xfId="47552" xr:uid="{23749277-589E-4CB2-926A-56657A5EA9E6}"/>
    <cellStyle name="Style 160 2 3" xfId="13060" xr:uid="{00000000-0005-0000-0000-0000BF380000}"/>
    <cellStyle name="Style 160 2 3 2" xfId="47553" xr:uid="{34F7B0D3-422C-43A5-BD39-EB155C06B08C}"/>
    <cellStyle name="Style 160 2 4" xfId="9139" xr:uid="{00000000-0005-0000-0000-0000C0380000}"/>
    <cellStyle name="Style 160 2 4 2" xfId="47554" xr:uid="{C0EA9784-EB98-4644-8F19-BA4DB6E0E1D6}"/>
    <cellStyle name="Style 160 2 5" xfId="47551" xr:uid="{67AA56C8-CEDB-4D71-BF7E-DF170FAAECA3}"/>
    <cellStyle name="Style 160 3" xfId="13200" xr:uid="{00000000-0005-0000-0000-0000C1380000}"/>
    <cellStyle name="Style 160 3 2" xfId="47555" xr:uid="{01F51A0D-4594-47F4-BE4C-6CE30FFB72AE}"/>
    <cellStyle name="Style 160 4" xfId="13750" xr:uid="{00000000-0005-0000-0000-0000C2380000}"/>
    <cellStyle name="Style 160 4 2" xfId="47556" xr:uid="{139FCEA6-07FE-486E-BCFA-826A82C4AF08}"/>
    <cellStyle name="Style 160 5" xfId="9138" xr:uid="{00000000-0005-0000-0000-0000C3380000}"/>
    <cellStyle name="Style 160 5 2" xfId="47557" xr:uid="{FA9A1CBF-BF9F-4FDD-AF0D-F8271693C177}"/>
    <cellStyle name="Style 160 6" xfId="47550" xr:uid="{3C9F61F6-1EC0-48C6-A3D5-5DF8F47F212B}"/>
    <cellStyle name="Style 161" xfId="3080" xr:uid="{00000000-0005-0000-0000-0000C4380000}"/>
    <cellStyle name="Style 161 2" xfId="3081" xr:uid="{00000000-0005-0000-0000-0000C5380000}"/>
    <cellStyle name="Style 161 2 2" xfId="13203" xr:uid="{00000000-0005-0000-0000-0000C6380000}"/>
    <cellStyle name="Style 161 2 2 2" xfId="47560" xr:uid="{274F7542-A46D-4F06-8DB7-B14A038FA598}"/>
    <cellStyle name="Style 161 2 3" xfId="16556" xr:uid="{00000000-0005-0000-0000-0000C7380000}"/>
    <cellStyle name="Style 161 2 3 2" xfId="47561" xr:uid="{0F48CC45-77B0-4AD8-8E8E-293B3856DD27}"/>
    <cellStyle name="Style 161 2 4" xfId="9141" xr:uid="{00000000-0005-0000-0000-0000C8380000}"/>
    <cellStyle name="Style 161 2 4 2" xfId="47562" xr:uid="{251D5B31-31C5-4856-AF99-D7F6B49251A2}"/>
    <cellStyle name="Style 161 2 5" xfId="47559" xr:uid="{CC73A7C1-2F06-47F3-B565-1AA73F85BBE1}"/>
    <cellStyle name="Style 161 3" xfId="13202" xr:uid="{00000000-0005-0000-0000-0000C9380000}"/>
    <cellStyle name="Style 161 3 2" xfId="47563" xr:uid="{978B401F-26D0-4F2D-9DA3-45E47F1D5BB7}"/>
    <cellStyle name="Style 161 4" xfId="13760" xr:uid="{00000000-0005-0000-0000-0000CA380000}"/>
    <cellStyle name="Style 161 4 2" xfId="47564" xr:uid="{A8EC2F45-E67B-4FEB-ACD9-83CE87145E20}"/>
    <cellStyle name="Style 161 5" xfId="9140" xr:uid="{00000000-0005-0000-0000-0000CB380000}"/>
    <cellStyle name="Style 161 5 2" xfId="47565" xr:uid="{BA8D28BB-B209-434F-ADA1-F834687CD787}"/>
    <cellStyle name="Style 161 6" xfId="47558" xr:uid="{0E3D39BA-F4A0-49DE-8B71-8D5033CBDF4B}"/>
    <cellStyle name="Style 162" xfId="3082" xr:uid="{00000000-0005-0000-0000-0000CC380000}"/>
    <cellStyle name="Style 162 2" xfId="3083" xr:uid="{00000000-0005-0000-0000-0000CD380000}"/>
    <cellStyle name="Style 162 2 2" xfId="13205" xr:uid="{00000000-0005-0000-0000-0000CE380000}"/>
    <cellStyle name="Style 162 2 2 2" xfId="47568" xr:uid="{8BC170DA-2285-41F1-86D0-581D8511AA1A}"/>
    <cellStyle name="Style 162 2 3" xfId="12867" xr:uid="{00000000-0005-0000-0000-0000CF380000}"/>
    <cellStyle name="Style 162 2 3 2" xfId="47569" xr:uid="{E75A12BE-2FDF-4251-8565-6F483BA07EBD}"/>
    <cellStyle name="Style 162 2 4" xfId="9143" xr:uid="{00000000-0005-0000-0000-0000D0380000}"/>
    <cellStyle name="Style 162 2 4 2" xfId="47570" xr:uid="{0F2ED4DD-C809-41D2-904C-71C8A6EF6FB9}"/>
    <cellStyle name="Style 162 2 5" xfId="47567" xr:uid="{4728108D-51EE-4CBA-B600-974CBED243BA}"/>
    <cellStyle name="Style 162 3" xfId="13204" xr:uid="{00000000-0005-0000-0000-0000D1380000}"/>
    <cellStyle name="Style 162 3 2" xfId="47571" xr:uid="{130A112F-7F8F-4F01-852D-DF33B892D030}"/>
    <cellStyle name="Style 162 4" xfId="16564" xr:uid="{00000000-0005-0000-0000-0000D2380000}"/>
    <cellStyle name="Style 162 4 2" xfId="47572" xr:uid="{5C75462F-95D8-4FA2-A85C-AC9E544CA918}"/>
    <cellStyle name="Style 162 5" xfId="9142" xr:uid="{00000000-0005-0000-0000-0000D3380000}"/>
    <cellStyle name="Style 162 5 2" xfId="47573" xr:uid="{B1CC2CF1-9D02-417A-A5ED-F8C7041467E9}"/>
    <cellStyle name="Style 162 6" xfId="47566" xr:uid="{D4B465E4-056B-4733-BC87-D0C08F6A2835}"/>
    <cellStyle name="Style 163" xfId="3084" xr:uid="{00000000-0005-0000-0000-0000D4380000}"/>
    <cellStyle name="Style 163 2" xfId="3085" xr:uid="{00000000-0005-0000-0000-0000D5380000}"/>
    <cellStyle name="Style 163 2 2" xfId="13207" xr:uid="{00000000-0005-0000-0000-0000D6380000}"/>
    <cellStyle name="Style 163 2 2 2" xfId="47576" xr:uid="{AF1C938E-3D8D-48C8-8136-79581377663C}"/>
    <cellStyle name="Style 163 2 3" xfId="12429" xr:uid="{00000000-0005-0000-0000-0000D7380000}"/>
    <cellStyle name="Style 163 2 3 2" xfId="47577" xr:uid="{BCE293F8-BECD-4993-A747-D8FA8001F936}"/>
    <cellStyle name="Style 163 2 4" xfId="9145" xr:uid="{00000000-0005-0000-0000-0000D8380000}"/>
    <cellStyle name="Style 163 2 4 2" xfId="47578" xr:uid="{C939BE46-52FB-4E24-98E7-DF7CF9550DBA}"/>
    <cellStyle name="Style 163 2 5" xfId="47575" xr:uid="{71C956AB-2C92-40CF-901B-7E4719D323DA}"/>
    <cellStyle name="Style 163 3" xfId="3086" xr:uid="{00000000-0005-0000-0000-0000D9380000}"/>
    <cellStyle name="Style 163 3 2" xfId="13208" xr:uid="{00000000-0005-0000-0000-0000DA380000}"/>
    <cellStyle name="Style 163 3 2 2" xfId="47580" xr:uid="{01F810A3-432C-40D8-B0B1-DDD2BEDBEE17}"/>
    <cellStyle name="Style 163 3 3" xfId="13911" xr:uid="{00000000-0005-0000-0000-0000DB380000}"/>
    <cellStyle name="Style 163 3 3 2" xfId="47581" xr:uid="{69B3380C-EF15-460C-AEAD-EC2F9A7EB80C}"/>
    <cellStyle name="Style 163 3 4" xfId="9146" xr:uid="{00000000-0005-0000-0000-0000DC380000}"/>
    <cellStyle name="Style 163 3 4 2" xfId="47582" xr:uid="{B43BE9B2-E9A4-46C0-AE5F-D81D72E39990}"/>
    <cellStyle name="Style 163 3 5" xfId="47579" xr:uid="{94B0C07A-36B5-47FD-BEEB-6FF47E7558E6}"/>
    <cellStyle name="Style 163 4" xfId="13206" xr:uid="{00000000-0005-0000-0000-0000DD380000}"/>
    <cellStyle name="Style 163 4 2" xfId="47583" xr:uid="{768A6ABA-2103-4E23-A5FF-6DD2BD0AB9DD}"/>
    <cellStyle name="Style 163 5" xfId="13812" xr:uid="{00000000-0005-0000-0000-0000DE380000}"/>
    <cellStyle name="Style 163 5 2" xfId="47584" xr:uid="{9EF16259-E4EB-46BA-8232-8C518D7997E9}"/>
    <cellStyle name="Style 163 6" xfId="9144" xr:uid="{00000000-0005-0000-0000-0000DF380000}"/>
    <cellStyle name="Style 163 6 2" xfId="47585" xr:uid="{71ED8FF6-A6C8-4A9D-90EC-0A3700290557}"/>
    <cellStyle name="Style 163 7" xfId="47574" xr:uid="{3BADEB30-4D72-4F96-B195-5ABFB12B498A}"/>
    <cellStyle name="Style 164" xfId="3087" xr:uid="{00000000-0005-0000-0000-0000E0380000}"/>
    <cellStyle name="Style 164 2" xfId="3088" xr:uid="{00000000-0005-0000-0000-0000E1380000}"/>
    <cellStyle name="Style 164 2 2" xfId="13210" xr:uid="{00000000-0005-0000-0000-0000E2380000}"/>
    <cellStyle name="Style 164 2 2 2" xfId="47588" xr:uid="{A09C7ED4-B24C-4CCD-9169-3AC7FDC194CF}"/>
    <cellStyle name="Style 164 2 3" xfId="12646" xr:uid="{00000000-0005-0000-0000-0000E3380000}"/>
    <cellStyle name="Style 164 2 3 2" xfId="47589" xr:uid="{54E7431A-D1B2-474A-B2BB-3FFC91E0C12B}"/>
    <cellStyle name="Style 164 2 4" xfId="9148" xr:uid="{00000000-0005-0000-0000-0000E4380000}"/>
    <cellStyle name="Style 164 2 4 2" xfId="47590" xr:uid="{694BEC72-8BCC-4741-A78F-7CC7071D1FAB}"/>
    <cellStyle name="Style 164 2 5" xfId="47587" xr:uid="{BED80BF0-5AA2-4018-9797-DFDC8F21ADB9}"/>
    <cellStyle name="Style 164 3" xfId="13209" xr:uid="{00000000-0005-0000-0000-0000E5380000}"/>
    <cellStyle name="Style 164 3 2" xfId="47591" xr:uid="{F8059371-F356-4FED-B9A8-F0C3D89FD90E}"/>
    <cellStyle name="Style 164 4" xfId="16440" xr:uid="{00000000-0005-0000-0000-0000E6380000}"/>
    <cellStyle name="Style 164 4 2" xfId="47592" xr:uid="{8BE517DC-CEFF-4EF8-951B-0218710D6523}"/>
    <cellStyle name="Style 164 5" xfId="9147" xr:uid="{00000000-0005-0000-0000-0000E7380000}"/>
    <cellStyle name="Style 164 5 2" xfId="47593" xr:uid="{0C07705A-A072-4FEB-9627-BB4FE8BE7BFE}"/>
    <cellStyle name="Style 164 6" xfId="47586" xr:uid="{EE8AEEC3-6A01-4E78-A3C3-DBA566ADED39}"/>
    <cellStyle name="Style 165" xfId="3089" xr:uid="{00000000-0005-0000-0000-0000E8380000}"/>
    <cellStyle name="Style 165 2" xfId="3090" xr:uid="{00000000-0005-0000-0000-0000E9380000}"/>
    <cellStyle name="Style 165 2 2" xfId="13212" xr:uid="{00000000-0005-0000-0000-0000EA380000}"/>
    <cellStyle name="Style 165 2 2 2" xfId="47596" xr:uid="{553CC661-CDBD-4144-8902-13F5FB827A31}"/>
    <cellStyle name="Style 165 2 3" xfId="13775" xr:uid="{00000000-0005-0000-0000-0000EB380000}"/>
    <cellStyle name="Style 165 2 3 2" xfId="47597" xr:uid="{E6EAFA3F-6A76-4EA0-AB61-B3205E462309}"/>
    <cellStyle name="Style 165 2 4" xfId="9150" xr:uid="{00000000-0005-0000-0000-0000EC380000}"/>
    <cellStyle name="Style 165 2 4 2" xfId="47598" xr:uid="{F25E4102-8DBA-47D0-9AD3-58B07C3C7B64}"/>
    <cellStyle name="Style 165 2 5" xfId="47595" xr:uid="{24306997-5AB9-43D0-9342-968B535FD267}"/>
    <cellStyle name="Style 165 3" xfId="13211" xr:uid="{00000000-0005-0000-0000-0000ED380000}"/>
    <cellStyle name="Style 165 3 2" xfId="47599" xr:uid="{1A8DA96F-5EFB-4374-8593-66CE2A3A9EAB}"/>
    <cellStyle name="Style 165 4" xfId="12546" xr:uid="{00000000-0005-0000-0000-0000EE380000}"/>
    <cellStyle name="Style 165 4 2" xfId="47600" xr:uid="{D31A7D91-4753-4EE9-A823-6E0A3336ACD2}"/>
    <cellStyle name="Style 165 5" xfId="9149" xr:uid="{00000000-0005-0000-0000-0000EF380000}"/>
    <cellStyle name="Style 165 5 2" xfId="47601" xr:uid="{B910011F-815C-46D4-A297-FCF5E8DBC86B}"/>
    <cellStyle name="Style 165 6" xfId="47594" xr:uid="{8D3483B7-C0B3-485B-9584-0A65344F7B7D}"/>
    <cellStyle name="Style 21" xfId="248" xr:uid="{00000000-0005-0000-0000-0000F0380000}"/>
    <cellStyle name="Style 21 10" xfId="9151" xr:uid="{00000000-0005-0000-0000-0000F1380000}"/>
    <cellStyle name="Style 21 10 2" xfId="47603" xr:uid="{10422A46-5F67-4F4B-9882-F3A9CE301D0B}"/>
    <cellStyle name="Style 21 11" xfId="47602" xr:uid="{507E5337-5789-4116-B2FB-672CE9C187C1}"/>
    <cellStyle name="Style 21 2" xfId="249" xr:uid="{00000000-0005-0000-0000-0000F2380000}"/>
    <cellStyle name="Style 21 2 10" xfId="47604" xr:uid="{4F605743-5F29-49C8-A30E-BF3409326C8A}"/>
    <cellStyle name="Style 21 2 2" xfId="3093" xr:uid="{00000000-0005-0000-0000-0000F3380000}"/>
    <cellStyle name="Style 21 2 2 2" xfId="12326" xr:uid="{00000000-0005-0000-0000-0000F4380000}"/>
    <cellStyle name="Style 21 2 2 2 2" xfId="47606" xr:uid="{0537700A-AC3C-4456-99C7-D575A40736DD}"/>
    <cellStyle name="Style 21 2 2 3" xfId="16577" xr:uid="{00000000-0005-0000-0000-0000F5380000}"/>
    <cellStyle name="Style 21 2 2 3 2" xfId="47607" xr:uid="{903BADA0-7DD4-4BBD-9216-97E7ACC467EE}"/>
    <cellStyle name="Style 21 2 2 4" xfId="9153" xr:uid="{00000000-0005-0000-0000-0000F6380000}"/>
    <cellStyle name="Style 21 2 2 4 2" xfId="47608" xr:uid="{5A6101D4-1DB1-422D-987D-CE3EF19C91D3}"/>
    <cellStyle name="Style 21 2 2 5" xfId="47605" xr:uid="{90A48C6D-04B6-460E-B903-BDC8E12A03CF}"/>
    <cellStyle name="Style 21 2 3" xfId="3092" xr:uid="{00000000-0005-0000-0000-0000F7380000}"/>
    <cellStyle name="Style 21 2 3 2" xfId="13214" xr:uid="{00000000-0005-0000-0000-0000F8380000}"/>
    <cellStyle name="Style 21 2 3 2 2" xfId="47610" xr:uid="{360BFBA9-A074-458F-BBB5-A907D2594BE5}"/>
    <cellStyle name="Style 21 2 3 3" xfId="12570" xr:uid="{00000000-0005-0000-0000-0000F9380000}"/>
    <cellStyle name="Style 21 2 3 3 2" xfId="47611" xr:uid="{62935018-363A-4192-B12D-98332E07D0F2}"/>
    <cellStyle name="Style 21 2 3 4" xfId="9154" xr:uid="{00000000-0005-0000-0000-0000FA380000}"/>
    <cellStyle name="Style 21 2 3 4 2" xfId="47612" xr:uid="{37D984A2-5033-4962-B715-C74DD1A2A570}"/>
    <cellStyle name="Style 21 2 3 5" xfId="47609" xr:uid="{4F224EA9-4A6C-4F8A-816D-8423E4CD28F4}"/>
    <cellStyle name="Style 21 2 4" xfId="11260" xr:uid="{00000000-0005-0000-0000-0000FB380000}"/>
    <cellStyle name="Style 21 2 4 2" xfId="47613" xr:uid="{C7EB117E-B606-42F7-8A91-AE9C5197F574}"/>
    <cellStyle name="Style 21 2 5" xfId="11261" xr:uid="{00000000-0005-0000-0000-0000FC380000}"/>
    <cellStyle name="Style 21 2 5 2" xfId="47614" xr:uid="{52A742BB-94CA-4FB9-8100-C17D3293B5DA}"/>
    <cellStyle name="Style 21 2 6" xfId="11262" xr:uid="{00000000-0005-0000-0000-0000FD380000}"/>
    <cellStyle name="Style 21 2 6 2" xfId="47615" xr:uid="{FD5911C9-C723-45B1-ACCE-70A553B1243E}"/>
    <cellStyle name="Style 21 2 7" xfId="12325" xr:uid="{00000000-0005-0000-0000-0000FE380000}"/>
    <cellStyle name="Style 21 2 7 2" xfId="47616" xr:uid="{FF224A90-A591-435C-B554-AC5773B9D997}"/>
    <cellStyle name="Style 21 2 8" xfId="13824" xr:uid="{00000000-0005-0000-0000-0000FF380000}"/>
    <cellStyle name="Style 21 2 8 2" xfId="47617" xr:uid="{49004011-7215-4202-B351-5478BF06EB1D}"/>
    <cellStyle name="Style 21 2 9" xfId="9152" xr:uid="{00000000-0005-0000-0000-000000390000}"/>
    <cellStyle name="Style 21 2 9 2" xfId="47618" xr:uid="{2ACC27ED-937E-4FAE-BAB6-EA57AB4C0C75}"/>
    <cellStyle name="Style 21 3" xfId="3094" xr:uid="{00000000-0005-0000-0000-000001390000}"/>
    <cellStyle name="Style 21 3 2" xfId="4746" xr:uid="{00000000-0005-0000-0000-000002390000}"/>
    <cellStyle name="Style 21 3 2 2" xfId="13866" xr:uid="{00000000-0005-0000-0000-000003390000}"/>
    <cellStyle name="Style 21 3 2 2 2" xfId="47621" xr:uid="{1559382D-55FB-4824-96D2-E77310CFA7FE}"/>
    <cellStyle name="Style 21 3 2 3" xfId="16499" xr:uid="{00000000-0005-0000-0000-000004390000}"/>
    <cellStyle name="Style 21 3 2 3 2" xfId="47622" xr:uid="{33C388BF-D798-4027-BF8F-6C2579F88785}"/>
    <cellStyle name="Style 21 3 2 4" xfId="9156" xr:uid="{00000000-0005-0000-0000-000005390000}"/>
    <cellStyle name="Style 21 3 2 4 2" xfId="47623" xr:uid="{7D7718A7-7722-425A-A676-E5DC8BAFA0CA}"/>
    <cellStyle name="Style 21 3 2 5" xfId="47620" xr:uid="{E927565B-0DDC-407C-9AB4-C99446994722}"/>
    <cellStyle name="Style 21 3 3" xfId="9157" xr:uid="{00000000-0005-0000-0000-000006390000}"/>
    <cellStyle name="Style 21 3 3 2" xfId="12648" xr:uid="{00000000-0005-0000-0000-000007390000}"/>
    <cellStyle name="Style 21 3 3 2 2" xfId="47625" xr:uid="{E6E4A399-761C-43B1-902F-712BC0B9E7B1}"/>
    <cellStyle name="Style 21 3 3 3" xfId="47624" xr:uid="{EB6D0DDC-A5C6-4211-98C5-715814A01411}"/>
    <cellStyle name="Style 21 3 4" xfId="12327" xr:uid="{00000000-0005-0000-0000-000008390000}"/>
    <cellStyle name="Style 21 3 4 2" xfId="47626" xr:uid="{3DEBCC5B-0F9C-49FA-A6E3-2A27199D82E1}"/>
    <cellStyle name="Style 21 3 5" xfId="13215" xr:uid="{00000000-0005-0000-0000-000009390000}"/>
    <cellStyle name="Style 21 3 5 2" xfId="47627" xr:uid="{F82EEF43-E436-46A9-AA48-3404CFA99658}"/>
    <cellStyle name="Style 21 3 6" xfId="16212" xr:uid="{00000000-0005-0000-0000-00000A390000}"/>
    <cellStyle name="Style 21 3 6 2" xfId="47628" xr:uid="{A03BD36D-32CC-4B5A-93B6-8F83EC36B6F1}"/>
    <cellStyle name="Style 21 3 7" xfId="9155" xr:uid="{00000000-0005-0000-0000-00000B390000}"/>
    <cellStyle name="Style 21 3 7 2" xfId="47629" xr:uid="{423E4448-45EA-4204-9B1A-A3994579E7D6}"/>
    <cellStyle name="Style 21 3 8" xfId="47619" xr:uid="{04B90A38-013A-4F75-B72F-3B867C30D33F}"/>
    <cellStyle name="Style 21 4" xfId="3095" xr:uid="{00000000-0005-0000-0000-00000C390000}"/>
    <cellStyle name="Style 21 4 2" xfId="13216" xr:uid="{00000000-0005-0000-0000-00000D390000}"/>
    <cellStyle name="Style 21 4 2 2" xfId="47631" xr:uid="{4A129B7B-4509-4714-A19D-4EA547D266DF}"/>
    <cellStyle name="Style 21 4 3" xfId="16281" xr:uid="{00000000-0005-0000-0000-00000E390000}"/>
    <cellStyle name="Style 21 4 3 2" xfId="47632" xr:uid="{0E0D239F-DFA9-4C02-AA00-C19BCBA52663}"/>
    <cellStyle name="Style 21 4 4" xfId="9158" xr:uid="{00000000-0005-0000-0000-00000F390000}"/>
    <cellStyle name="Style 21 4 4 2" xfId="47633" xr:uid="{D009799C-040C-4B21-AFB1-B884EF82F8FC}"/>
    <cellStyle name="Style 21 4 5" xfId="47630" xr:uid="{0C56090C-3422-4C70-AA92-33E5DE40E57D}"/>
    <cellStyle name="Style 21 5" xfId="3091" xr:uid="{00000000-0005-0000-0000-000010390000}"/>
    <cellStyle name="Style 21 5 2" xfId="13213" xr:uid="{00000000-0005-0000-0000-000011390000}"/>
    <cellStyle name="Style 21 5 2 2" xfId="47635" xr:uid="{4DBFB1E4-C579-41E4-8AAA-869EBEC41105}"/>
    <cellStyle name="Style 21 5 3" xfId="13771" xr:uid="{00000000-0005-0000-0000-000012390000}"/>
    <cellStyle name="Style 21 5 3 2" xfId="47636" xr:uid="{922993F1-E61E-4891-BA49-5C45B2AF4207}"/>
    <cellStyle name="Style 21 5 4" xfId="9159" xr:uid="{00000000-0005-0000-0000-000013390000}"/>
    <cellStyle name="Style 21 5 4 2" xfId="47637" xr:uid="{4F8EAA4D-F8D5-4653-8DB9-7BCAD10323AA}"/>
    <cellStyle name="Style 21 5 5" xfId="47634" xr:uid="{169BDFC8-F30B-4862-B659-3160330FBC22}"/>
    <cellStyle name="Style 21 6" xfId="11263" xr:uid="{00000000-0005-0000-0000-000014390000}"/>
    <cellStyle name="Style 21 6 2" xfId="47638" xr:uid="{62FA85C4-AD2B-4451-99CB-813BD788F1C3}"/>
    <cellStyle name="Style 21 7" xfId="11264" xr:uid="{00000000-0005-0000-0000-000015390000}"/>
    <cellStyle name="Style 21 7 2" xfId="47639" xr:uid="{873D790B-B227-4C64-8CCB-1775F873AA3C}"/>
    <cellStyle name="Style 21 8" xfId="12324" xr:uid="{00000000-0005-0000-0000-000016390000}"/>
    <cellStyle name="Style 21 8 2" xfId="47640" xr:uid="{6A6FFA22-7EEA-4EE6-9EB4-B4140E87824D}"/>
    <cellStyle name="Style 21 9" xfId="13783" xr:uid="{00000000-0005-0000-0000-000017390000}"/>
    <cellStyle name="Style 21 9 2" xfId="47641" xr:uid="{F7601192-2C9C-4FE4-B1B3-CD2CA38A96E1}"/>
    <cellStyle name="Style 22" xfId="250" xr:uid="{00000000-0005-0000-0000-000018390000}"/>
    <cellStyle name="Style 22 10" xfId="47642" xr:uid="{24335566-D2E3-4376-B6BC-6A3295B0E5FC}"/>
    <cellStyle name="Style 22 2" xfId="3097" xr:uid="{00000000-0005-0000-0000-000019390000}"/>
    <cellStyle name="Style 22 2 2" xfId="13218" xr:uid="{00000000-0005-0000-0000-00001A390000}"/>
    <cellStyle name="Style 22 2 2 2" xfId="47644" xr:uid="{3021E6A4-6DC6-4539-B632-45F6B1ACF2F8}"/>
    <cellStyle name="Style 22 2 3" xfId="12390" xr:uid="{00000000-0005-0000-0000-00001B390000}"/>
    <cellStyle name="Style 22 2 3 2" xfId="47645" xr:uid="{C57B638E-4271-4CE4-A78A-BC78F70574C9}"/>
    <cellStyle name="Style 22 2 4" xfId="9161" xr:uid="{00000000-0005-0000-0000-00001C390000}"/>
    <cellStyle name="Style 22 2 4 2" xfId="47646" xr:uid="{07B796CE-CAC4-4E1B-9226-60BB5E58369C}"/>
    <cellStyle name="Style 22 2 5" xfId="47643" xr:uid="{21C0BE39-BBD8-45F1-A5B7-EE09CDFF91C5}"/>
    <cellStyle name="Style 22 3" xfId="3096" xr:uid="{00000000-0005-0000-0000-00001D390000}"/>
    <cellStyle name="Style 22 3 2" xfId="13217" xr:uid="{00000000-0005-0000-0000-00001E390000}"/>
    <cellStyle name="Style 22 3 2 2" xfId="47648" xr:uid="{3F7231F8-C444-4956-A4D5-4378216B7CAD}"/>
    <cellStyle name="Style 22 3 3" xfId="12673" xr:uid="{00000000-0005-0000-0000-00001F390000}"/>
    <cellStyle name="Style 22 3 3 2" xfId="47649" xr:uid="{1B23DA37-31C1-4A19-8B29-1089C3426DED}"/>
    <cellStyle name="Style 22 3 4" xfId="9162" xr:uid="{00000000-0005-0000-0000-000020390000}"/>
    <cellStyle name="Style 22 3 4 2" xfId="47650" xr:uid="{475B2432-ED71-443C-AFA8-2F9D3BE3427E}"/>
    <cellStyle name="Style 22 3 5" xfId="47647" xr:uid="{FC9F3911-D583-4BE6-B4AA-CE0C57B7BD0B}"/>
    <cellStyle name="Style 22 4" xfId="11265" xr:uid="{00000000-0005-0000-0000-000021390000}"/>
    <cellStyle name="Style 22 4 2" xfId="47651" xr:uid="{1BB7A7DB-F2A3-4D0A-9049-69511D1119B2}"/>
    <cellStyle name="Style 22 5" xfId="11266" xr:uid="{00000000-0005-0000-0000-000022390000}"/>
    <cellStyle name="Style 22 5 2" xfId="47652" xr:uid="{02C7822C-9FE3-4001-BDEE-2A436A4C325A}"/>
    <cellStyle name="Style 22 6" xfId="11267" xr:uid="{00000000-0005-0000-0000-000023390000}"/>
    <cellStyle name="Style 22 6 2" xfId="47653" xr:uid="{3530D0B3-9C36-4127-979F-664709E8B055}"/>
    <cellStyle name="Style 22 7" xfId="12328" xr:uid="{00000000-0005-0000-0000-000024390000}"/>
    <cellStyle name="Style 22 7 2" xfId="47654" xr:uid="{CFD70B08-55CD-49DD-93B9-20B69A1D737C}"/>
    <cellStyle name="Style 22 8" xfId="16418" xr:uid="{00000000-0005-0000-0000-000025390000}"/>
    <cellStyle name="Style 22 8 2" xfId="47655" xr:uid="{2E65195B-E5EA-44B2-902F-8FC53E746AB3}"/>
    <cellStyle name="Style 22 9" xfId="9160" xr:uid="{00000000-0005-0000-0000-000026390000}"/>
    <cellStyle name="Style 22 9 2" xfId="47656" xr:uid="{E2DED003-B99F-447F-9A59-0CE83C830FEA}"/>
    <cellStyle name="Style 23" xfId="251" xr:uid="{00000000-0005-0000-0000-000027390000}"/>
    <cellStyle name="Style 23 10" xfId="47657" xr:uid="{AF0C43A0-A4EF-47F9-9EB4-FB217B5A185F}"/>
    <cellStyle name="Style 23 2" xfId="3099" xr:uid="{00000000-0005-0000-0000-000028390000}"/>
    <cellStyle name="Style 23 2 2" xfId="13220" xr:uid="{00000000-0005-0000-0000-000029390000}"/>
    <cellStyle name="Style 23 2 2 2" xfId="47659" xr:uid="{8C19E808-2F24-4E29-B6BC-8FCD04C04F1C}"/>
    <cellStyle name="Style 23 2 3" xfId="16331" xr:uid="{00000000-0005-0000-0000-00002A390000}"/>
    <cellStyle name="Style 23 2 3 2" xfId="47660" xr:uid="{068BA149-98B2-4590-B4D6-61F3C8A58E7D}"/>
    <cellStyle name="Style 23 2 4" xfId="9164" xr:uid="{00000000-0005-0000-0000-00002B390000}"/>
    <cellStyle name="Style 23 2 4 2" xfId="47661" xr:uid="{3C12BACF-22BB-4431-93C4-BB10AB5F0D3B}"/>
    <cellStyle name="Style 23 2 5" xfId="47658" xr:uid="{2A00D188-6004-4401-88CD-DF68659DF342}"/>
    <cellStyle name="Style 23 3" xfId="3098" xr:uid="{00000000-0005-0000-0000-00002C390000}"/>
    <cellStyle name="Style 23 3 2" xfId="13219" xr:uid="{00000000-0005-0000-0000-00002D390000}"/>
    <cellStyle name="Style 23 3 2 2" xfId="47663" xr:uid="{1CFD5B93-09EF-4C54-ACC3-62F2DF582BC0}"/>
    <cellStyle name="Style 23 3 3" xfId="12877" xr:uid="{00000000-0005-0000-0000-00002E390000}"/>
    <cellStyle name="Style 23 3 3 2" xfId="47664" xr:uid="{DC533FF2-734A-4460-9AFC-1AC0581169C3}"/>
    <cellStyle name="Style 23 3 4" xfId="9165" xr:uid="{00000000-0005-0000-0000-00002F390000}"/>
    <cellStyle name="Style 23 3 4 2" xfId="47665" xr:uid="{83E1F16D-953E-4DA4-8A3A-11C929B61EDA}"/>
    <cellStyle name="Style 23 3 5" xfId="47662" xr:uid="{1EF21067-7A67-4C54-B239-74B964D51687}"/>
    <cellStyle name="Style 23 4" xfId="11268" xr:uid="{00000000-0005-0000-0000-000030390000}"/>
    <cellStyle name="Style 23 4 2" xfId="47666" xr:uid="{74EB0D53-FC30-48EF-A885-92AE1212E194}"/>
    <cellStyle name="Style 23 5" xfId="11269" xr:uid="{00000000-0005-0000-0000-000031390000}"/>
    <cellStyle name="Style 23 5 2" xfId="47667" xr:uid="{42AEBCCB-5400-486A-A1EC-9A3DB005CA05}"/>
    <cellStyle name="Style 23 6" xfId="11270" xr:uid="{00000000-0005-0000-0000-000032390000}"/>
    <cellStyle name="Style 23 6 2" xfId="47668" xr:uid="{DAD27A3D-7649-4DBE-AF42-D150B7CADA84}"/>
    <cellStyle name="Style 23 7" xfId="12329" xr:uid="{00000000-0005-0000-0000-000033390000}"/>
    <cellStyle name="Style 23 7 2" xfId="47669" xr:uid="{454BF16B-4EC6-4DAA-8D27-332E3058F38E}"/>
    <cellStyle name="Style 23 8" xfId="12611" xr:uid="{00000000-0005-0000-0000-000034390000}"/>
    <cellStyle name="Style 23 8 2" xfId="47670" xr:uid="{29A47394-8AE9-4478-B42D-D589C8F66759}"/>
    <cellStyle name="Style 23 9" xfId="9163" xr:uid="{00000000-0005-0000-0000-000035390000}"/>
    <cellStyle name="Style 23 9 2" xfId="47671" xr:uid="{A5C82BB4-8D1A-4D1D-BAD3-333E34A8B7E6}"/>
    <cellStyle name="Style 24" xfId="252" xr:uid="{00000000-0005-0000-0000-000036390000}"/>
    <cellStyle name="Style 24 10" xfId="47672" xr:uid="{2E46F9B1-EBE4-40E1-9A08-1CF1ADDCF22A}"/>
    <cellStyle name="Style 24 2" xfId="3101" xr:uid="{00000000-0005-0000-0000-000037390000}"/>
    <cellStyle name="Style 24 2 2" xfId="13222" xr:uid="{00000000-0005-0000-0000-000038390000}"/>
    <cellStyle name="Style 24 2 2 2" xfId="47674" xr:uid="{05BF7644-82C0-4F7B-945C-65552B26AB14}"/>
    <cellStyle name="Style 24 2 3" xfId="13908" xr:uid="{00000000-0005-0000-0000-000039390000}"/>
    <cellStyle name="Style 24 2 3 2" xfId="47675" xr:uid="{B18CEFE1-809C-4B28-ADB1-1DA2EA7443D3}"/>
    <cellStyle name="Style 24 2 4" xfId="9167" xr:uid="{00000000-0005-0000-0000-00003A390000}"/>
    <cellStyle name="Style 24 2 4 2" xfId="47676" xr:uid="{9EAAE141-3BD5-4319-BA65-644241A864D5}"/>
    <cellStyle name="Style 24 2 5" xfId="47673" xr:uid="{E24CD3BA-6091-47E6-A062-925C7C15D850}"/>
    <cellStyle name="Style 24 3" xfId="3100" xr:uid="{00000000-0005-0000-0000-00003B390000}"/>
    <cellStyle name="Style 24 3 2" xfId="13221" xr:uid="{00000000-0005-0000-0000-00003C390000}"/>
    <cellStyle name="Style 24 3 2 2" xfId="47678" xr:uid="{5D92C1FD-4C52-41C6-B121-EB4EE3BEEFF3}"/>
    <cellStyle name="Style 24 3 3" xfId="16397" xr:uid="{00000000-0005-0000-0000-00003D390000}"/>
    <cellStyle name="Style 24 3 3 2" xfId="47679" xr:uid="{34C510B5-9006-4A83-A85A-4DF413C8B870}"/>
    <cellStyle name="Style 24 3 4" xfId="9168" xr:uid="{00000000-0005-0000-0000-00003E390000}"/>
    <cellStyle name="Style 24 3 4 2" xfId="47680" xr:uid="{E150B03A-F69B-4BFC-9E92-0F0BC28970D3}"/>
    <cellStyle name="Style 24 3 5" xfId="47677" xr:uid="{A0F51A36-4AA0-47E9-B0DD-9D2CD008A213}"/>
    <cellStyle name="Style 24 4" xfId="11271" xr:uid="{00000000-0005-0000-0000-00003F390000}"/>
    <cellStyle name="Style 24 4 2" xfId="47681" xr:uid="{E5677FE8-80FE-4539-8B6E-CB41F168B788}"/>
    <cellStyle name="Style 24 5" xfId="11272" xr:uid="{00000000-0005-0000-0000-000040390000}"/>
    <cellStyle name="Style 24 5 2" xfId="47682" xr:uid="{52393A52-98E0-494B-9592-2EED9406FB2F}"/>
    <cellStyle name="Style 24 6" xfId="11273" xr:uid="{00000000-0005-0000-0000-000041390000}"/>
    <cellStyle name="Style 24 6 2" xfId="47683" xr:uid="{28923499-390B-4CC0-BB54-91F568A44942}"/>
    <cellStyle name="Style 24 7" xfId="12330" xr:uid="{00000000-0005-0000-0000-000042390000}"/>
    <cellStyle name="Style 24 7 2" xfId="47684" xr:uid="{AC8232FB-E617-4748-990B-9423E6623763}"/>
    <cellStyle name="Style 24 8" xfId="14328" xr:uid="{00000000-0005-0000-0000-000043390000}"/>
    <cellStyle name="Style 24 8 2" xfId="47685" xr:uid="{A28AA585-0EA8-488D-9B26-2714E3AEC7D6}"/>
    <cellStyle name="Style 24 9" xfId="9166" xr:uid="{00000000-0005-0000-0000-000044390000}"/>
    <cellStyle name="Style 24 9 2" xfId="47686" xr:uid="{9A19A9BD-78EF-49BF-A229-E60B6510E947}"/>
    <cellStyle name="Style 25" xfId="253" xr:uid="{00000000-0005-0000-0000-000045390000}"/>
    <cellStyle name="Style 25 10" xfId="9169" xr:uid="{00000000-0005-0000-0000-000046390000}"/>
    <cellStyle name="Style 25 10 2" xfId="47688" xr:uid="{EFBDCE9E-E88F-45F1-81AC-70B418B74D3E}"/>
    <cellStyle name="Style 25 11" xfId="47687" xr:uid="{A216C899-9BEA-4363-97CA-8F5829825723}"/>
    <cellStyle name="Style 25 2" xfId="254" xr:uid="{00000000-0005-0000-0000-000047390000}"/>
    <cellStyle name="Style 25 2 10" xfId="47689" xr:uid="{58F46B13-D45E-4929-8291-818DBED40EFC}"/>
    <cellStyle name="Style 25 2 2" xfId="4747" xr:uid="{00000000-0005-0000-0000-000048390000}"/>
    <cellStyle name="Style 25 2 2 2" xfId="12333" xr:uid="{00000000-0005-0000-0000-000049390000}"/>
    <cellStyle name="Style 25 2 2 2 2" xfId="47691" xr:uid="{06C41CA1-C3FF-456D-94E9-990270E16DF0}"/>
    <cellStyle name="Style 25 2 2 3" xfId="16221" xr:uid="{00000000-0005-0000-0000-00004A390000}"/>
    <cellStyle name="Style 25 2 2 3 2" xfId="47692" xr:uid="{DA5BA364-E748-4C8A-A1D4-AB23E50AEA80}"/>
    <cellStyle name="Style 25 2 2 4" xfId="9171" xr:uid="{00000000-0005-0000-0000-00004B390000}"/>
    <cellStyle name="Style 25 2 2 4 2" xfId="47693" xr:uid="{E44A005B-2908-410C-89C3-81FE71987318}"/>
    <cellStyle name="Style 25 2 2 5" xfId="47690" xr:uid="{13E17AD2-F801-49F2-A392-1533A38A2664}"/>
    <cellStyle name="Style 25 2 3" xfId="11274" xr:uid="{00000000-0005-0000-0000-00004C390000}"/>
    <cellStyle name="Style 25 2 3 2" xfId="47694" xr:uid="{7409E1BD-21E2-4EE8-9499-20D62F8E44CA}"/>
    <cellStyle name="Style 25 2 4" xfId="11275" xr:uid="{00000000-0005-0000-0000-00004D390000}"/>
    <cellStyle name="Style 25 2 4 2" xfId="47695" xr:uid="{96F9D874-0E6F-45E9-8E49-D48FB23CAEE9}"/>
    <cellStyle name="Style 25 2 5" xfId="11276" xr:uid="{00000000-0005-0000-0000-00004E390000}"/>
    <cellStyle name="Style 25 2 5 2" xfId="47696" xr:uid="{ABB28C8C-DBEC-49FB-8A27-861CE82AA017}"/>
    <cellStyle name="Style 25 2 6" xfId="11277" xr:uid="{00000000-0005-0000-0000-00004F390000}"/>
    <cellStyle name="Style 25 2 6 2" xfId="47697" xr:uid="{AFE5FBD6-FC9F-471F-92A4-1CA68F0E6AD7}"/>
    <cellStyle name="Style 25 2 7" xfId="12332" xr:uid="{00000000-0005-0000-0000-000050390000}"/>
    <cellStyle name="Style 25 2 7 2" xfId="47698" xr:uid="{18175E7F-1DA3-4439-8A2B-9D68A25F4C3E}"/>
    <cellStyle name="Style 25 2 8" xfId="12758" xr:uid="{00000000-0005-0000-0000-000051390000}"/>
    <cellStyle name="Style 25 2 8 2" xfId="47699" xr:uid="{E058135B-C502-4387-8A58-D9EEA3E2ADC5}"/>
    <cellStyle name="Style 25 2 9" xfId="9170" xr:uid="{00000000-0005-0000-0000-000052390000}"/>
    <cellStyle name="Style 25 2 9 2" xfId="47700" xr:uid="{D6432C96-B415-4966-A7D4-3D8AC53C62D1}"/>
    <cellStyle name="Style 25 3" xfId="3103" xr:uid="{00000000-0005-0000-0000-000053390000}"/>
    <cellStyle name="Style 25 3 2" xfId="4748" xr:uid="{00000000-0005-0000-0000-000054390000}"/>
    <cellStyle name="Style 25 3 2 2" xfId="13867" xr:uid="{00000000-0005-0000-0000-000055390000}"/>
    <cellStyle name="Style 25 3 2 2 2" xfId="47703" xr:uid="{43EB0B3E-3E45-42F6-AD50-2244A90E707C}"/>
    <cellStyle name="Style 25 3 2 3" xfId="12575" xr:uid="{00000000-0005-0000-0000-000056390000}"/>
    <cellStyle name="Style 25 3 2 3 2" xfId="47704" xr:uid="{4D63FB32-11B0-4A83-BFFC-1846FF7275F1}"/>
    <cellStyle name="Style 25 3 2 4" xfId="9173" xr:uid="{00000000-0005-0000-0000-000057390000}"/>
    <cellStyle name="Style 25 3 2 4 2" xfId="47705" xr:uid="{77663E44-B165-444D-B301-8CF54CC2DF5C}"/>
    <cellStyle name="Style 25 3 2 5" xfId="47702" xr:uid="{A9893CAB-74B4-4A2A-87FB-AC4360EE407F}"/>
    <cellStyle name="Style 25 3 3" xfId="9174" xr:uid="{00000000-0005-0000-0000-000058390000}"/>
    <cellStyle name="Style 25 3 3 2" xfId="16380" xr:uid="{00000000-0005-0000-0000-000059390000}"/>
    <cellStyle name="Style 25 3 3 2 2" xfId="47707" xr:uid="{3CC69C4D-2E8D-455A-8386-330C0299051C}"/>
    <cellStyle name="Style 25 3 3 3" xfId="47706" xr:uid="{D66CB7F8-46DB-442A-9E1B-4008638D0044}"/>
    <cellStyle name="Style 25 3 4" xfId="12334" xr:uid="{00000000-0005-0000-0000-00005A390000}"/>
    <cellStyle name="Style 25 3 4 2" xfId="47708" xr:uid="{441DC1A1-2145-41CA-AEC9-11E632F6A768}"/>
    <cellStyle name="Style 25 3 5" xfId="13224" xr:uid="{00000000-0005-0000-0000-00005B390000}"/>
    <cellStyle name="Style 25 3 5 2" xfId="47709" xr:uid="{4E0AFA01-0D1E-4A57-8BF5-C9B5BA6AE60B}"/>
    <cellStyle name="Style 25 3 6" xfId="16520" xr:uid="{00000000-0005-0000-0000-00005C390000}"/>
    <cellStyle name="Style 25 3 6 2" xfId="47710" xr:uid="{0E3CCA58-7BA1-422A-A801-F1226B69C8D5}"/>
    <cellStyle name="Style 25 3 7" xfId="9172" xr:uid="{00000000-0005-0000-0000-00005D390000}"/>
    <cellStyle name="Style 25 3 7 2" xfId="47711" xr:uid="{1EBCE7E7-7750-4AAB-8B91-300CB92283C6}"/>
    <cellStyle name="Style 25 3 8" xfId="47701" xr:uid="{1AA6C177-E2F5-495C-B53F-864813A85202}"/>
    <cellStyle name="Style 25 4" xfId="3102" xr:uid="{00000000-0005-0000-0000-00005E390000}"/>
    <cellStyle name="Style 25 4 2" xfId="13223" xr:uid="{00000000-0005-0000-0000-00005F390000}"/>
    <cellStyle name="Style 25 4 2 2" xfId="47713" xr:uid="{E216FFD9-B4ED-4118-8479-02D8BB51D0EB}"/>
    <cellStyle name="Style 25 4 3" xfId="16332" xr:uid="{00000000-0005-0000-0000-000060390000}"/>
    <cellStyle name="Style 25 4 3 2" xfId="47714" xr:uid="{7BF991B4-4503-4D5D-A969-05A020AB3AE4}"/>
    <cellStyle name="Style 25 4 4" xfId="9175" xr:uid="{00000000-0005-0000-0000-000061390000}"/>
    <cellStyle name="Style 25 4 4 2" xfId="47715" xr:uid="{D0140CAE-34EF-4C52-9888-B74510BA7A7D}"/>
    <cellStyle name="Style 25 4 5" xfId="47712" xr:uid="{364ACBFA-D63E-40BE-8785-53F573F20589}"/>
    <cellStyle name="Style 25 5" xfId="11278" xr:uid="{00000000-0005-0000-0000-000062390000}"/>
    <cellStyle name="Style 25 5 2" xfId="47716" xr:uid="{FAB7B7F3-6C90-4A7D-A33E-9E5E8656B1E7}"/>
    <cellStyle name="Style 25 6" xfId="11279" xr:uid="{00000000-0005-0000-0000-000063390000}"/>
    <cellStyle name="Style 25 6 2" xfId="47717" xr:uid="{26E3EAE7-3896-4A38-BBC1-91A777370A79}"/>
    <cellStyle name="Style 25 7" xfId="11280" xr:uid="{00000000-0005-0000-0000-000064390000}"/>
    <cellStyle name="Style 25 7 2" xfId="47718" xr:uid="{05032D63-B00F-4F85-843C-3DBBB2A4F558}"/>
    <cellStyle name="Style 25 8" xfId="12331" xr:uid="{00000000-0005-0000-0000-000065390000}"/>
    <cellStyle name="Style 25 8 2" xfId="47719" xr:uid="{465CBD4F-2CE1-46F8-B346-F46EFA1206AE}"/>
    <cellStyle name="Style 25 9" xfId="16647" xr:uid="{00000000-0005-0000-0000-000066390000}"/>
    <cellStyle name="Style 25 9 2" xfId="47720" xr:uid="{879B9922-7E1A-451B-A4DD-0B7A95F29273}"/>
    <cellStyle name="Style 26" xfId="255" xr:uid="{00000000-0005-0000-0000-000067390000}"/>
    <cellStyle name="Style 26 10" xfId="47721" xr:uid="{945AC0C8-72F1-4610-8009-2BED302BF2BB}"/>
    <cellStyle name="Style 26 2" xfId="3105" xr:uid="{00000000-0005-0000-0000-000068390000}"/>
    <cellStyle name="Style 26 2 2" xfId="13226" xr:uid="{00000000-0005-0000-0000-000069390000}"/>
    <cellStyle name="Style 26 2 2 2" xfId="47723" xr:uid="{1B1A6234-41F2-4CCA-8919-1C1C775793F5}"/>
    <cellStyle name="Style 26 2 3" xfId="12717" xr:uid="{00000000-0005-0000-0000-00006A390000}"/>
    <cellStyle name="Style 26 2 3 2" xfId="47724" xr:uid="{EE581936-D6B8-4509-AB90-848E63D0E84C}"/>
    <cellStyle name="Style 26 2 4" xfId="9177" xr:uid="{00000000-0005-0000-0000-00006B390000}"/>
    <cellStyle name="Style 26 2 4 2" xfId="47725" xr:uid="{CD3C393A-39BF-48C1-8B5A-508501770DFC}"/>
    <cellStyle name="Style 26 2 5" xfId="47722" xr:uid="{5480DA1A-F2B0-437C-80A7-A3CC27C39DD5}"/>
    <cellStyle name="Style 26 3" xfId="3104" xr:uid="{00000000-0005-0000-0000-00006C390000}"/>
    <cellStyle name="Style 26 3 2" xfId="13225" xr:uid="{00000000-0005-0000-0000-00006D390000}"/>
    <cellStyle name="Style 26 3 2 2" xfId="47727" xr:uid="{23058415-50CC-47C4-BEFC-0BC385DEC02F}"/>
    <cellStyle name="Style 26 3 3" xfId="13897" xr:uid="{00000000-0005-0000-0000-00006E390000}"/>
    <cellStyle name="Style 26 3 3 2" xfId="47728" xr:uid="{D72C18A8-767F-45E4-9AC6-4603A7195B33}"/>
    <cellStyle name="Style 26 3 4" xfId="9178" xr:uid="{00000000-0005-0000-0000-00006F390000}"/>
    <cellStyle name="Style 26 3 4 2" xfId="47729" xr:uid="{DFC435BB-65C7-4303-8A1C-8F357EC64824}"/>
    <cellStyle name="Style 26 3 5" xfId="47726" xr:uid="{24EC5652-430B-4544-9E25-39EE29DC5955}"/>
    <cellStyle name="Style 26 4" xfId="11281" xr:uid="{00000000-0005-0000-0000-000070390000}"/>
    <cellStyle name="Style 26 4 2" xfId="47730" xr:uid="{9B343886-C865-4F47-BA6B-C1ADB0E1AF07}"/>
    <cellStyle name="Style 26 5" xfId="11282" xr:uid="{00000000-0005-0000-0000-000071390000}"/>
    <cellStyle name="Style 26 5 2" xfId="47731" xr:uid="{C139FB03-7FD2-4ECA-A2AD-587D6761A263}"/>
    <cellStyle name="Style 26 6" xfId="11283" xr:uid="{00000000-0005-0000-0000-000072390000}"/>
    <cellStyle name="Style 26 6 2" xfId="47732" xr:uid="{BFDA635C-EC35-4C4A-8BBB-29B276999582}"/>
    <cellStyle name="Style 26 7" xfId="12335" xr:uid="{00000000-0005-0000-0000-000073390000}"/>
    <cellStyle name="Style 26 7 2" xfId="47733" xr:uid="{568627E4-D61D-43BC-861B-6118D6C98875}"/>
    <cellStyle name="Style 26 8" xfId="12522" xr:uid="{00000000-0005-0000-0000-000074390000}"/>
    <cellStyle name="Style 26 8 2" xfId="47734" xr:uid="{0D08D73C-8FBB-4EDA-8B19-F43F278A533A}"/>
    <cellStyle name="Style 26 9" xfId="9176" xr:uid="{00000000-0005-0000-0000-000075390000}"/>
    <cellStyle name="Style 26 9 2" xfId="47735" xr:uid="{75791ACF-3017-4F0E-A54E-E44C2D60EE4C}"/>
    <cellStyle name="Style 27" xfId="3106" xr:uid="{00000000-0005-0000-0000-000076390000}"/>
    <cellStyle name="Style 27 2" xfId="3107" xr:uid="{00000000-0005-0000-0000-000077390000}"/>
    <cellStyle name="Style 27 2 2" xfId="13228" xr:uid="{00000000-0005-0000-0000-000078390000}"/>
    <cellStyle name="Style 27 2 2 2" xfId="47738" xr:uid="{D9597180-D80B-4A54-A758-C500C6106925}"/>
    <cellStyle name="Style 27 2 3" xfId="16178" xr:uid="{00000000-0005-0000-0000-000079390000}"/>
    <cellStyle name="Style 27 2 3 2" xfId="47739" xr:uid="{B035BE35-C233-4038-AD0D-F4BE76E22449}"/>
    <cellStyle name="Style 27 2 4" xfId="9180" xr:uid="{00000000-0005-0000-0000-00007A390000}"/>
    <cellStyle name="Style 27 2 4 2" xfId="47740" xr:uid="{DA690842-BF75-46AF-AAAF-36D636A235F3}"/>
    <cellStyle name="Style 27 2 5" xfId="47737" xr:uid="{B21E02CD-DA88-43E1-AE94-19469E89B997}"/>
    <cellStyle name="Style 27 3" xfId="13227" xr:uid="{00000000-0005-0000-0000-00007B390000}"/>
    <cellStyle name="Style 27 3 2" xfId="47741" xr:uid="{61D9454D-6621-4A10-94ED-1CC5AECC8926}"/>
    <cellStyle name="Style 27 4" xfId="12795" xr:uid="{00000000-0005-0000-0000-00007C390000}"/>
    <cellStyle name="Style 27 4 2" xfId="47742" xr:uid="{1740A06F-D579-4E8C-8298-4E33FE6A0CBF}"/>
    <cellStyle name="Style 27 5" xfId="9179" xr:uid="{00000000-0005-0000-0000-00007D390000}"/>
    <cellStyle name="Style 27 5 2" xfId="47743" xr:uid="{51AF61B4-DEA6-44D6-A12B-8B9DDF02A303}"/>
    <cellStyle name="Style 27 6" xfId="47736" xr:uid="{DE8A1CBB-4B34-4569-87C8-3EDBC8EE8973}"/>
    <cellStyle name="Style 35" xfId="3108" xr:uid="{00000000-0005-0000-0000-00007E390000}"/>
    <cellStyle name="Style 35 2" xfId="3109" xr:uid="{00000000-0005-0000-0000-00007F390000}"/>
    <cellStyle name="Style 35 2 2" xfId="13230" xr:uid="{00000000-0005-0000-0000-000080390000}"/>
    <cellStyle name="Style 35 2 2 2" xfId="47746" xr:uid="{5526F875-881F-424E-8C95-00C082B67BF8}"/>
    <cellStyle name="Style 35 2 3" xfId="16325" xr:uid="{00000000-0005-0000-0000-000081390000}"/>
    <cellStyle name="Style 35 2 3 2" xfId="47747" xr:uid="{4DCA312F-2609-4133-969A-32CA9B40E888}"/>
    <cellStyle name="Style 35 2 4" xfId="9182" xr:uid="{00000000-0005-0000-0000-000082390000}"/>
    <cellStyle name="Style 35 2 4 2" xfId="47748" xr:uid="{2010E027-7EEE-4AB2-BA95-ECBC54F31DC5}"/>
    <cellStyle name="Style 35 2 5" xfId="47745" xr:uid="{C5613A45-023E-45A9-8444-993B1A1D7627}"/>
    <cellStyle name="Style 35 3" xfId="3110" xr:uid="{00000000-0005-0000-0000-000083390000}"/>
    <cellStyle name="Style 35 3 2" xfId="13231" xr:uid="{00000000-0005-0000-0000-000084390000}"/>
    <cellStyle name="Style 35 3 2 2" xfId="47750" xr:uid="{D6C65C99-03A6-48BE-9241-E67D71852E01}"/>
    <cellStyle name="Style 35 3 3" xfId="16605" xr:uid="{00000000-0005-0000-0000-000085390000}"/>
    <cellStyle name="Style 35 3 3 2" xfId="47751" xr:uid="{88DCBC35-FB9F-427D-8410-7C638A3CBF72}"/>
    <cellStyle name="Style 35 3 4" xfId="9183" xr:uid="{00000000-0005-0000-0000-000086390000}"/>
    <cellStyle name="Style 35 3 4 2" xfId="47752" xr:uid="{F2D31D3E-016B-40BF-AC84-B6E057A8F704}"/>
    <cellStyle name="Style 35 3 5" xfId="47749" xr:uid="{63A298B3-379F-4A41-B6C2-E665DB8E4086}"/>
    <cellStyle name="Style 35 4" xfId="13229" xr:uid="{00000000-0005-0000-0000-000087390000}"/>
    <cellStyle name="Style 35 4 2" xfId="47753" xr:uid="{C90750B3-30AA-4417-BB68-8AA8680BC816}"/>
    <cellStyle name="Style 35 5" xfId="16617" xr:uid="{00000000-0005-0000-0000-000088390000}"/>
    <cellStyle name="Style 35 5 2" xfId="47754" xr:uid="{E57CFD4F-B2E5-49CD-8CB3-8C6913CB1545}"/>
    <cellStyle name="Style 35 6" xfId="9181" xr:uid="{00000000-0005-0000-0000-000089390000}"/>
    <cellStyle name="Style 35 6 2" xfId="47755" xr:uid="{5A8A3493-1EAE-4BD7-B0FC-F6ECAA2C3E13}"/>
    <cellStyle name="Style 35 7" xfId="47744" xr:uid="{61F9CE85-7DFD-4728-BBA9-CC9B345B6A03}"/>
    <cellStyle name="Style 36" xfId="3111" xr:uid="{00000000-0005-0000-0000-00008A390000}"/>
    <cellStyle name="Style 36 2" xfId="3112" xr:uid="{00000000-0005-0000-0000-00008B390000}"/>
    <cellStyle name="Style 36 2 2" xfId="13233" xr:uid="{00000000-0005-0000-0000-00008C390000}"/>
    <cellStyle name="Style 36 2 2 2" xfId="47758" xr:uid="{8DEA5C3F-E2FB-426B-ADE6-773AD1CD86BB}"/>
    <cellStyle name="Style 36 2 3" xfId="12500" xr:uid="{00000000-0005-0000-0000-00008D390000}"/>
    <cellStyle name="Style 36 2 3 2" xfId="47759" xr:uid="{36B67BA2-D8CA-4E08-B520-CA8804A9B60F}"/>
    <cellStyle name="Style 36 2 4" xfId="9185" xr:uid="{00000000-0005-0000-0000-00008E390000}"/>
    <cellStyle name="Style 36 2 4 2" xfId="47760" xr:uid="{6CEE6227-29EC-4246-93C9-07550906375F}"/>
    <cellStyle name="Style 36 2 5" xfId="47757" xr:uid="{5D13B7F3-1012-42FD-A090-3F2AAC048A3D}"/>
    <cellStyle name="Style 36 3" xfId="13232" xr:uid="{00000000-0005-0000-0000-00008F390000}"/>
    <cellStyle name="Style 36 3 2" xfId="47761" xr:uid="{A4D44C5A-8D21-4B79-96F7-7858CFB55E20}"/>
    <cellStyle name="Style 36 4" xfId="12600" xr:uid="{00000000-0005-0000-0000-000090390000}"/>
    <cellStyle name="Style 36 4 2" xfId="47762" xr:uid="{527A5E7B-971F-4269-997A-43F91C0F929C}"/>
    <cellStyle name="Style 36 5" xfId="9184" xr:uid="{00000000-0005-0000-0000-000091390000}"/>
    <cellStyle name="Style 36 5 2" xfId="47763" xr:uid="{2089D560-0118-4C92-AD7D-CED4C37F3EF5}"/>
    <cellStyle name="Style 36 6" xfId="47756" xr:uid="{61053416-C0BC-43A9-ABD0-097CDF840164}"/>
    <cellStyle name="Style 37" xfId="3113" xr:uid="{00000000-0005-0000-0000-000092390000}"/>
    <cellStyle name="Style 37 2" xfId="3114" xr:uid="{00000000-0005-0000-0000-000093390000}"/>
    <cellStyle name="Style 37 2 2" xfId="13235" xr:uid="{00000000-0005-0000-0000-000094390000}"/>
    <cellStyle name="Style 37 2 2 2" xfId="47766" xr:uid="{431189F1-E147-4FF7-817C-838CD55184D8}"/>
    <cellStyle name="Style 37 2 3" xfId="12463" xr:uid="{00000000-0005-0000-0000-000095390000}"/>
    <cellStyle name="Style 37 2 3 2" xfId="47767" xr:uid="{48E82BDA-E565-4239-9C9E-B4C1CCEDA2F6}"/>
    <cellStyle name="Style 37 2 4" xfId="9187" xr:uid="{00000000-0005-0000-0000-000096390000}"/>
    <cellStyle name="Style 37 2 4 2" xfId="47768" xr:uid="{5CB7E66B-EA7A-443A-906E-12B569C4E717}"/>
    <cellStyle name="Style 37 2 5" xfId="47765" xr:uid="{E3CD3948-EB5A-4D4E-94EC-5BEDC4DCC904}"/>
    <cellStyle name="Style 37 3" xfId="13234" xr:uid="{00000000-0005-0000-0000-000097390000}"/>
    <cellStyle name="Style 37 3 2" xfId="47769" xr:uid="{E12A887A-AB5C-4EEC-9711-63C03DA41A00}"/>
    <cellStyle name="Style 37 4" xfId="14336" xr:uid="{00000000-0005-0000-0000-000098390000}"/>
    <cellStyle name="Style 37 4 2" xfId="47770" xr:uid="{BD2351B3-4617-4B07-8673-08848A7B83D4}"/>
    <cellStyle name="Style 37 5" xfId="9186" xr:uid="{00000000-0005-0000-0000-000099390000}"/>
    <cellStyle name="Style 37 5 2" xfId="47771" xr:uid="{D1D4CC1A-95A6-4EEB-9E08-7035B26464D3}"/>
    <cellStyle name="Style 37 6" xfId="47764" xr:uid="{62E2C4B6-F6A2-43DA-AE6E-04A22E1EBF9D}"/>
    <cellStyle name="Style 38" xfId="3115" xr:uid="{00000000-0005-0000-0000-00009A390000}"/>
    <cellStyle name="Style 38 2" xfId="3116" xr:uid="{00000000-0005-0000-0000-00009B390000}"/>
    <cellStyle name="Style 38 2 2" xfId="13237" xr:uid="{00000000-0005-0000-0000-00009C390000}"/>
    <cellStyle name="Style 38 2 2 2" xfId="47774" xr:uid="{40E0D385-B89E-419B-8BD2-8B75ED6AD1B5}"/>
    <cellStyle name="Style 38 2 3" xfId="16439" xr:uid="{00000000-0005-0000-0000-00009D390000}"/>
    <cellStyle name="Style 38 2 3 2" xfId="47775" xr:uid="{D79089BA-9927-42B6-8003-0A056B1BE0F5}"/>
    <cellStyle name="Style 38 2 4" xfId="9189" xr:uid="{00000000-0005-0000-0000-00009E390000}"/>
    <cellStyle name="Style 38 2 4 2" xfId="47776" xr:uid="{EEF12659-2D18-4ED6-812C-6B75D43E5A8F}"/>
    <cellStyle name="Style 38 2 5" xfId="47773" xr:uid="{776CC416-E133-4082-9C16-61DCFB03EB5F}"/>
    <cellStyle name="Style 38 3" xfId="13236" xr:uid="{00000000-0005-0000-0000-00009F390000}"/>
    <cellStyle name="Style 38 3 2" xfId="47777" xr:uid="{D7C414D3-F92E-4C0E-95E2-2EAF929022FF}"/>
    <cellStyle name="Style 38 4" xfId="13768" xr:uid="{00000000-0005-0000-0000-0000A0390000}"/>
    <cellStyle name="Style 38 4 2" xfId="47778" xr:uid="{46949E97-327B-4315-91A8-BC54375C2750}"/>
    <cellStyle name="Style 38 5" xfId="9188" xr:uid="{00000000-0005-0000-0000-0000A1390000}"/>
    <cellStyle name="Style 38 5 2" xfId="47779" xr:uid="{2A2C2EFD-7C55-4941-AA91-E2952C662B1A}"/>
    <cellStyle name="Style 38 6" xfId="47772" xr:uid="{6A6388C0-1377-4E76-BF78-39D55C194854}"/>
    <cellStyle name="Style 39" xfId="3117" xr:uid="{00000000-0005-0000-0000-0000A2390000}"/>
    <cellStyle name="Style 39 2" xfId="3118" xr:uid="{00000000-0005-0000-0000-0000A3390000}"/>
    <cellStyle name="Style 39 2 2" xfId="13239" xr:uid="{00000000-0005-0000-0000-0000A4390000}"/>
    <cellStyle name="Style 39 2 2 2" xfId="47782" xr:uid="{7C087EB1-0182-405A-BF9E-D4777A319D10}"/>
    <cellStyle name="Style 39 2 3" xfId="16455" xr:uid="{00000000-0005-0000-0000-0000A5390000}"/>
    <cellStyle name="Style 39 2 3 2" xfId="47783" xr:uid="{95E39518-5CC9-43E5-AA10-1E0F311DC951}"/>
    <cellStyle name="Style 39 2 4" xfId="9191" xr:uid="{00000000-0005-0000-0000-0000A6390000}"/>
    <cellStyle name="Style 39 2 4 2" xfId="47784" xr:uid="{F8DFE399-30E4-4EFF-9601-833831229D94}"/>
    <cellStyle name="Style 39 2 5" xfId="47781" xr:uid="{6BB28C27-AA8B-4E0C-A6CB-96EA1F2264FF}"/>
    <cellStyle name="Style 39 3" xfId="3119" xr:uid="{00000000-0005-0000-0000-0000A7390000}"/>
    <cellStyle name="Style 39 3 2" xfId="13240" xr:uid="{00000000-0005-0000-0000-0000A8390000}"/>
    <cellStyle name="Style 39 3 2 2" xfId="47786" xr:uid="{1DF2A1E7-20C8-479E-A61B-50C6EA4B472F}"/>
    <cellStyle name="Style 39 3 3" xfId="12768" xr:uid="{00000000-0005-0000-0000-0000A9390000}"/>
    <cellStyle name="Style 39 3 3 2" xfId="47787" xr:uid="{B2D8F186-E55A-40D3-93A1-70A4FD2E0FAB}"/>
    <cellStyle name="Style 39 3 4" xfId="9192" xr:uid="{00000000-0005-0000-0000-0000AA390000}"/>
    <cellStyle name="Style 39 3 4 2" xfId="47788" xr:uid="{69CB2EB4-5D91-4676-8F69-9A2052682939}"/>
    <cellStyle name="Style 39 3 5" xfId="47785" xr:uid="{68653691-CBFD-4016-BCC5-7A71E3C453B4}"/>
    <cellStyle name="Style 39 4" xfId="13238" xr:uid="{00000000-0005-0000-0000-0000AB390000}"/>
    <cellStyle name="Style 39 4 2" xfId="47789" xr:uid="{EE086043-3093-49AB-9516-17F59229E9BF}"/>
    <cellStyle name="Style 39 5" xfId="16657" xr:uid="{00000000-0005-0000-0000-0000AC390000}"/>
    <cellStyle name="Style 39 5 2" xfId="47790" xr:uid="{96944B46-626F-4AA1-80BA-E7E324ED6FB5}"/>
    <cellStyle name="Style 39 6" xfId="9190" xr:uid="{00000000-0005-0000-0000-0000AD390000}"/>
    <cellStyle name="Style 39 6 2" xfId="47791" xr:uid="{4D7CC54D-B286-4EA3-961A-E4D64C1773C2}"/>
    <cellStyle name="Style 39 7" xfId="47780" xr:uid="{9A5793C8-A35A-400F-9CD9-532578812D3F}"/>
    <cellStyle name="Style 40" xfId="3120" xr:uid="{00000000-0005-0000-0000-0000AE390000}"/>
    <cellStyle name="Style 40 2" xfId="3121" xr:uid="{00000000-0005-0000-0000-0000AF390000}"/>
    <cellStyle name="Style 40 2 2" xfId="13242" xr:uid="{00000000-0005-0000-0000-0000B0390000}"/>
    <cellStyle name="Style 40 2 2 2" xfId="47794" xr:uid="{4247B74F-0869-4AA9-8139-D8C55CD19E00}"/>
    <cellStyle name="Style 40 2 3" xfId="16261" xr:uid="{00000000-0005-0000-0000-0000B1390000}"/>
    <cellStyle name="Style 40 2 3 2" xfId="47795" xr:uid="{389D8184-6C68-4AA1-AD84-8CFDAAA9F4B1}"/>
    <cellStyle name="Style 40 2 4" xfId="9194" xr:uid="{00000000-0005-0000-0000-0000B2390000}"/>
    <cellStyle name="Style 40 2 4 2" xfId="47796" xr:uid="{5622E105-DED3-4D9C-B725-3E71D385588C}"/>
    <cellStyle name="Style 40 2 5" xfId="47793" xr:uid="{C5D18428-B426-48C5-9232-C11596A5F82C}"/>
    <cellStyle name="Style 40 3" xfId="13241" xr:uid="{00000000-0005-0000-0000-0000B3390000}"/>
    <cellStyle name="Style 40 3 2" xfId="47797" xr:uid="{7A236A98-19BA-4F1C-A8D1-6B1B7626556B}"/>
    <cellStyle name="Style 40 4" xfId="16522" xr:uid="{00000000-0005-0000-0000-0000B4390000}"/>
    <cellStyle name="Style 40 4 2" xfId="47798" xr:uid="{92B82D74-B569-4D5D-A4D7-E47DE4528E4D}"/>
    <cellStyle name="Style 40 5" xfId="9193" xr:uid="{00000000-0005-0000-0000-0000B5390000}"/>
    <cellStyle name="Style 40 5 2" xfId="47799" xr:uid="{34E2436B-0913-47F4-844D-6BD1C74A3B4F}"/>
    <cellStyle name="Style 40 6" xfId="47792" xr:uid="{A97C869E-DC45-4722-9F06-DDDC209ED3A0}"/>
    <cellStyle name="Style 41" xfId="3122" xr:uid="{00000000-0005-0000-0000-0000B6390000}"/>
    <cellStyle name="Style 41 2" xfId="3123" xr:uid="{00000000-0005-0000-0000-0000B7390000}"/>
    <cellStyle name="Style 41 2 2" xfId="13244" xr:uid="{00000000-0005-0000-0000-0000B8390000}"/>
    <cellStyle name="Style 41 2 2 2" xfId="47802" xr:uid="{C2B1E790-D4AA-404C-A488-0B0BBB3D6910}"/>
    <cellStyle name="Style 41 2 3" xfId="12788" xr:uid="{00000000-0005-0000-0000-0000B9390000}"/>
    <cellStyle name="Style 41 2 3 2" xfId="47803" xr:uid="{339B3894-E5D8-40FA-B068-1DB5C4BBB253}"/>
    <cellStyle name="Style 41 2 4" xfId="9196" xr:uid="{00000000-0005-0000-0000-0000BA390000}"/>
    <cellStyle name="Style 41 2 4 2" xfId="47804" xr:uid="{4ED81A9C-D1AC-4F19-938A-94D252938809}"/>
    <cellStyle name="Style 41 2 5" xfId="47801" xr:uid="{01183FBE-D6B4-4E92-82FE-AB775618F3C6}"/>
    <cellStyle name="Style 41 3" xfId="13243" xr:uid="{00000000-0005-0000-0000-0000BB390000}"/>
    <cellStyle name="Style 41 3 2" xfId="47805" xr:uid="{DB4EFCE7-9962-4168-BCBE-6D3BA76C8937}"/>
    <cellStyle name="Style 41 4" xfId="16230" xr:uid="{00000000-0005-0000-0000-0000BC390000}"/>
    <cellStyle name="Style 41 4 2" xfId="47806" xr:uid="{F9874D3B-A9AB-4567-A0D7-9620022377B0}"/>
    <cellStyle name="Style 41 5" xfId="9195" xr:uid="{00000000-0005-0000-0000-0000BD390000}"/>
    <cellStyle name="Style 41 5 2" xfId="47807" xr:uid="{01DB3764-E650-4677-8000-A8EDEF54FF6D}"/>
    <cellStyle name="Style 41 6" xfId="47800" xr:uid="{BA231103-42DF-418F-BC2B-D6FDEA555BE8}"/>
    <cellStyle name="Style 46" xfId="3124" xr:uid="{00000000-0005-0000-0000-0000BE390000}"/>
    <cellStyle name="Style 46 2" xfId="3125" xr:uid="{00000000-0005-0000-0000-0000BF390000}"/>
    <cellStyle name="Style 46 2 2" xfId="13246" xr:uid="{00000000-0005-0000-0000-0000C0390000}"/>
    <cellStyle name="Style 46 2 2 2" xfId="47810" xr:uid="{F85FD6D3-FA5E-4C13-8F19-FA9FFFE1A821}"/>
    <cellStyle name="Style 46 2 3" xfId="12916" xr:uid="{00000000-0005-0000-0000-0000C1390000}"/>
    <cellStyle name="Style 46 2 3 2" xfId="47811" xr:uid="{04B343D6-9557-4BF6-B9D6-D86395A999BF}"/>
    <cellStyle name="Style 46 2 4" xfId="9198" xr:uid="{00000000-0005-0000-0000-0000C2390000}"/>
    <cellStyle name="Style 46 2 4 2" xfId="47812" xr:uid="{CAECEAE2-8F1E-460F-8305-42D227142FCE}"/>
    <cellStyle name="Style 46 2 5" xfId="47809" xr:uid="{D3AB80D6-4F0D-47BB-9570-70325ABF53F5}"/>
    <cellStyle name="Style 46 3" xfId="3126" xr:uid="{00000000-0005-0000-0000-0000C3390000}"/>
    <cellStyle name="Style 46 3 2" xfId="13247" xr:uid="{00000000-0005-0000-0000-0000C4390000}"/>
    <cellStyle name="Style 46 3 2 2" xfId="47814" xr:uid="{A98C1691-6D7C-4BB1-A4AC-C18ECA90D1C9}"/>
    <cellStyle name="Style 46 3 3" xfId="12547" xr:uid="{00000000-0005-0000-0000-0000C5390000}"/>
    <cellStyle name="Style 46 3 3 2" xfId="47815" xr:uid="{FC6F7D4A-BEF2-4020-9738-43B3EC9EA3C8}"/>
    <cellStyle name="Style 46 3 4" xfId="9199" xr:uid="{00000000-0005-0000-0000-0000C6390000}"/>
    <cellStyle name="Style 46 3 4 2" xfId="47816" xr:uid="{964117F2-7767-4BC8-8576-F81DC41F8414}"/>
    <cellStyle name="Style 46 3 5" xfId="47813" xr:uid="{51D170E8-9C11-4541-ADFC-979C94E6ECB8}"/>
    <cellStyle name="Style 46 4" xfId="13245" xr:uid="{00000000-0005-0000-0000-0000C7390000}"/>
    <cellStyle name="Style 46 4 2" xfId="47817" xr:uid="{77900E0A-D57A-4281-858C-9B56AABEF333}"/>
    <cellStyle name="Style 46 5" xfId="16177" xr:uid="{00000000-0005-0000-0000-0000C8390000}"/>
    <cellStyle name="Style 46 5 2" xfId="47818" xr:uid="{95C7C337-68A3-4BD6-BDF0-AE6246B3DEC3}"/>
    <cellStyle name="Style 46 6" xfId="9197" xr:uid="{00000000-0005-0000-0000-0000C9390000}"/>
    <cellStyle name="Style 46 6 2" xfId="47819" xr:uid="{778200CB-B0A7-4826-BEAD-29C40183313E}"/>
    <cellStyle name="Style 46 7" xfId="47808" xr:uid="{870A2CB6-0117-49B8-AD9E-406563CDD447}"/>
    <cellStyle name="Style 47" xfId="3127" xr:uid="{00000000-0005-0000-0000-0000CA390000}"/>
    <cellStyle name="Style 47 2" xfId="3128" xr:uid="{00000000-0005-0000-0000-0000CB390000}"/>
    <cellStyle name="Style 47 2 2" xfId="13249" xr:uid="{00000000-0005-0000-0000-0000CC390000}"/>
    <cellStyle name="Style 47 2 2 2" xfId="47822" xr:uid="{67A8E72D-19FC-4F7C-8772-6B14B87C03EC}"/>
    <cellStyle name="Style 47 2 3" xfId="13486" xr:uid="{00000000-0005-0000-0000-0000CD390000}"/>
    <cellStyle name="Style 47 2 3 2" xfId="47823" xr:uid="{D0038C82-AAF3-4DD5-8A65-A797C41F7AD4}"/>
    <cellStyle name="Style 47 2 4" xfId="9201" xr:uid="{00000000-0005-0000-0000-0000CE390000}"/>
    <cellStyle name="Style 47 2 4 2" xfId="47824" xr:uid="{0E4CB52C-6F0F-45D9-AD63-6882F17AAF0E}"/>
    <cellStyle name="Style 47 2 5" xfId="47821" xr:uid="{37967F4C-78F9-40F1-9C6D-12918D32CF2E}"/>
    <cellStyle name="Style 47 3" xfId="13248" xr:uid="{00000000-0005-0000-0000-0000CF390000}"/>
    <cellStyle name="Style 47 3 2" xfId="47825" xr:uid="{EB2277FB-666C-470A-84A5-EC9FBAF9A456}"/>
    <cellStyle name="Style 47 4" xfId="16148" xr:uid="{00000000-0005-0000-0000-0000D0390000}"/>
    <cellStyle name="Style 47 4 2" xfId="47826" xr:uid="{5D654348-144D-425A-918C-0DDB1439D0EC}"/>
    <cellStyle name="Style 47 5" xfId="9200" xr:uid="{00000000-0005-0000-0000-0000D1390000}"/>
    <cellStyle name="Style 47 5 2" xfId="47827" xr:uid="{32AEFA6E-E2E6-493D-B0C8-217C8A8DF3FD}"/>
    <cellStyle name="Style 47 6" xfId="47820" xr:uid="{0CEF0690-0307-435D-A342-32E6A28463B4}"/>
    <cellStyle name="Style 48" xfId="3129" xr:uid="{00000000-0005-0000-0000-0000D2390000}"/>
    <cellStyle name="Style 48 2" xfId="3130" xr:uid="{00000000-0005-0000-0000-0000D3390000}"/>
    <cellStyle name="Style 48 2 2" xfId="13251" xr:uid="{00000000-0005-0000-0000-0000D4390000}"/>
    <cellStyle name="Style 48 2 2 2" xfId="47830" xr:uid="{469609BA-005A-47EC-B5A0-6AF2079DF8CE}"/>
    <cellStyle name="Style 48 2 3" xfId="12765" xr:uid="{00000000-0005-0000-0000-0000D5390000}"/>
    <cellStyle name="Style 48 2 3 2" xfId="47831" xr:uid="{36C60B51-BBFB-4984-9FA1-FCA94BA9F989}"/>
    <cellStyle name="Style 48 2 4" xfId="9203" xr:uid="{00000000-0005-0000-0000-0000D6390000}"/>
    <cellStyle name="Style 48 2 4 2" xfId="47832" xr:uid="{38A8C957-8D53-468B-A266-6476F2ED1E55}"/>
    <cellStyle name="Style 48 2 5" xfId="47829" xr:uid="{605B339E-FD6D-4CE4-90D6-B2334B7751E3}"/>
    <cellStyle name="Style 48 3" xfId="13250" xr:uid="{00000000-0005-0000-0000-0000D7390000}"/>
    <cellStyle name="Style 48 3 2" xfId="47833" xr:uid="{887AEDAB-2534-4C09-B34E-9FD74A021D5C}"/>
    <cellStyle name="Style 48 4" xfId="16428" xr:uid="{00000000-0005-0000-0000-0000D8390000}"/>
    <cellStyle name="Style 48 4 2" xfId="47834" xr:uid="{41FB1DD4-FEA5-4B6A-A4CF-C8BC50FC1951}"/>
    <cellStyle name="Style 48 5" xfId="9202" xr:uid="{00000000-0005-0000-0000-0000D9390000}"/>
    <cellStyle name="Style 48 5 2" xfId="47835" xr:uid="{75C05DA1-9303-4A9C-B33B-F67A5DB3E6BE}"/>
    <cellStyle name="Style 48 6" xfId="47828" xr:uid="{9C07ADC1-5094-42C7-8BFE-C96109AE198D}"/>
    <cellStyle name="Style 49" xfId="3131" xr:uid="{00000000-0005-0000-0000-0000DA390000}"/>
    <cellStyle name="Style 49 2" xfId="3132" xr:uid="{00000000-0005-0000-0000-0000DB390000}"/>
    <cellStyle name="Style 49 2 2" xfId="13253" xr:uid="{00000000-0005-0000-0000-0000DC390000}"/>
    <cellStyle name="Style 49 2 2 2" xfId="47838" xr:uid="{BCA273B8-66E2-41B6-9B8B-EFDE665690CD}"/>
    <cellStyle name="Style 49 2 3" xfId="16308" xr:uid="{00000000-0005-0000-0000-0000DD390000}"/>
    <cellStyle name="Style 49 2 3 2" xfId="47839" xr:uid="{5B4311E1-DD58-45CE-9BBC-966BA6988AEC}"/>
    <cellStyle name="Style 49 2 4" xfId="9205" xr:uid="{00000000-0005-0000-0000-0000DE390000}"/>
    <cellStyle name="Style 49 2 4 2" xfId="47840" xr:uid="{295E5E29-8889-4DAB-830C-77AC46833ADD}"/>
    <cellStyle name="Style 49 2 5" xfId="47837" xr:uid="{8319D2E3-FE56-47C8-A4A7-35B4D1DC7DCB}"/>
    <cellStyle name="Style 49 3" xfId="13252" xr:uid="{00000000-0005-0000-0000-0000DF390000}"/>
    <cellStyle name="Style 49 3 2" xfId="47841" xr:uid="{63F91633-CA08-48EE-8896-886D064E1010}"/>
    <cellStyle name="Style 49 4" xfId="12891" xr:uid="{00000000-0005-0000-0000-0000E0390000}"/>
    <cellStyle name="Style 49 4 2" xfId="47842" xr:uid="{771F401C-F6E0-419C-99D2-40792328E5CC}"/>
    <cellStyle name="Style 49 5" xfId="9204" xr:uid="{00000000-0005-0000-0000-0000E1390000}"/>
    <cellStyle name="Style 49 5 2" xfId="47843" xr:uid="{EA6CE54A-00C3-46BA-B5EF-7AA90CC67552}"/>
    <cellStyle name="Style 49 6" xfId="47836" xr:uid="{A946B18A-C7AA-4EAD-96AD-3BD25E48D2B8}"/>
    <cellStyle name="Style 50" xfId="3133" xr:uid="{00000000-0005-0000-0000-0000E2390000}"/>
    <cellStyle name="Style 50 2" xfId="3134" xr:uid="{00000000-0005-0000-0000-0000E3390000}"/>
    <cellStyle name="Style 50 2 2" xfId="13255" xr:uid="{00000000-0005-0000-0000-0000E4390000}"/>
    <cellStyle name="Style 50 2 2 2" xfId="47846" xr:uid="{A2D43169-A229-44F9-81A1-C49AFAF3E97E}"/>
    <cellStyle name="Style 50 2 3" xfId="16353" xr:uid="{00000000-0005-0000-0000-0000E5390000}"/>
    <cellStyle name="Style 50 2 3 2" xfId="47847" xr:uid="{F22E8D9F-DDE2-4489-9BB0-E82E80D7F9EB}"/>
    <cellStyle name="Style 50 2 4" xfId="9207" xr:uid="{00000000-0005-0000-0000-0000E6390000}"/>
    <cellStyle name="Style 50 2 4 2" xfId="47848" xr:uid="{6F02D8C7-7761-4B45-9525-B0D4AAC364F5}"/>
    <cellStyle name="Style 50 2 5" xfId="47845" xr:uid="{4C8EA3A6-AB60-4006-A8C2-44FC4DDD0B7D}"/>
    <cellStyle name="Style 50 3" xfId="3135" xr:uid="{00000000-0005-0000-0000-0000E7390000}"/>
    <cellStyle name="Style 50 3 2" xfId="13256" xr:uid="{00000000-0005-0000-0000-0000E8390000}"/>
    <cellStyle name="Style 50 3 2 2" xfId="47850" xr:uid="{72C0D717-6B68-428D-82B2-EC21FB0106C3}"/>
    <cellStyle name="Style 50 3 3" xfId="16366" xr:uid="{00000000-0005-0000-0000-0000E9390000}"/>
    <cellStyle name="Style 50 3 3 2" xfId="47851" xr:uid="{2DDF0E47-FC63-4392-B65D-4059F3D3D8CD}"/>
    <cellStyle name="Style 50 3 4" xfId="9208" xr:uid="{00000000-0005-0000-0000-0000EA390000}"/>
    <cellStyle name="Style 50 3 4 2" xfId="47852" xr:uid="{68EF36E0-2641-4123-BB09-65C7CE2FB290}"/>
    <cellStyle name="Style 50 3 5" xfId="47849" xr:uid="{ABE3CE16-7101-475F-AC27-903DEDF3E19F}"/>
    <cellStyle name="Style 50 4" xfId="13254" xr:uid="{00000000-0005-0000-0000-0000EB390000}"/>
    <cellStyle name="Style 50 4 2" xfId="47853" xr:uid="{2EEB6819-D99A-4D5C-B9DB-BF39C7F474FE}"/>
    <cellStyle name="Style 50 5" xfId="13848" xr:uid="{00000000-0005-0000-0000-0000EC390000}"/>
    <cellStyle name="Style 50 5 2" xfId="47854" xr:uid="{240EC374-7D9F-445A-8909-AE6D0105F156}"/>
    <cellStyle name="Style 50 6" xfId="9206" xr:uid="{00000000-0005-0000-0000-0000ED390000}"/>
    <cellStyle name="Style 50 6 2" xfId="47855" xr:uid="{728F4A2A-9F77-4D17-9493-D81414F16E9B}"/>
    <cellStyle name="Style 50 7" xfId="47844" xr:uid="{5D190785-DF1A-4F87-8FBD-D59BF088BEF8}"/>
    <cellStyle name="Style 51" xfId="3136" xr:uid="{00000000-0005-0000-0000-0000EE390000}"/>
    <cellStyle name="Style 51 2" xfId="3137" xr:uid="{00000000-0005-0000-0000-0000EF390000}"/>
    <cellStyle name="Style 51 2 2" xfId="13258" xr:uid="{00000000-0005-0000-0000-0000F0390000}"/>
    <cellStyle name="Style 51 2 2 2" xfId="47858" xr:uid="{0BCFE12E-5CC8-4DD2-BED9-BC7AC42A7C00}"/>
    <cellStyle name="Style 51 2 3" xfId="12924" xr:uid="{00000000-0005-0000-0000-0000F1390000}"/>
    <cellStyle name="Style 51 2 3 2" xfId="47859" xr:uid="{92CCF586-261E-4A55-9481-B80E79B73CB6}"/>
    <cellStyle name="Style 51 2 4" xfId="9210" xr:uid="{00000000-0005-0000-0000-0000F2390000}"/>
    <cellStyle name="Style 51 2 4 2" xfId="47860" xr:uid="{F1B9B054-A326-438D-85A8-D11F03AC4C95}"/>
    <cellStyle name="Style 51 2 5" xfId="47857" xr:uid="{F9AD0578-D5E7-4DC5-A8F3-372CBEFC9736}"/>
    <cellStyle name="Style 51 3" xfId="13257" xr:uid="{00000000-0005-0000-0000-0000F3390000}"/>
    <cellStyle name="Style 51 3 2" xfId="47861" xr:uid="{3455E5D8-37C1-42B6-9760-FB186686A978}"/>
    <cellStyle name="Style 51 4" xfId="12578" xr:uid="{00000000-0005-0000-0000-0000F4390000}"/>
    <cellStyle name="Style 51 4 2" xfId="47862" xr:uid="{254B29E7-3D4D-4069-B3F7-6BC067FD26E3}"/>
    <cellStyle name="Style 51 5" xfId="9209" xr:uid="{00000000-0005-0000-0000-0000F5390000}"/>
    <cellStyle name="Style 51 5 2" xfId="47863" xr:uid="{A3C73135-06B0-4E29-8229-C778B993CC30}"/>
    <cellStyle name="Style 51 6" xfId="47856" xr:uid="{CA099840-986D-4794-8B89-6FE560236FD1}"/>
    <cellStyle name="Style 52" xfId="3138" xr:uid="{00000000-0005-0000-0000-0000F6390000}"/>
    <cellStyle name="Style 52 2" xfId="3139" xr:uid="{00000000-0005-0000-0000-0000F7390000}"/>
    <cellStyle name="Style 52 2 2" xfId="13260" xr:uid="{00000000-0005-0000-0000-0000F8390000}"/>
    <cellStyle name="Style 52 2 2 2" xfId="47866" xr:uid="{47AEDBCD-8611-4C3D-8C3A-63C6008C0F28}"/>
    <cellStyle name="Style 52 2 3" xfId="16214" xr:uid="{00000000-0005-0000-0000-0000F9390000}"/>
    <cellStyle name="Style 52 2 3 2" xfId="47867" xr:uid="{31759FB6-A1DF-413A-B723-0A31963680EE}"/>
    <cellStyle name="Style 52 2 4" xfId="9212" xr:uid="{00000000-0005-0000-0000-0000FA390000}"/>
    <cellStyle name="Style 52 2 4 2" xfId="47868" xr:uid="{C1375B39-BCCC-4AD7-9152-120B305B534A}"/>
    <cellStyle name="Style 52 2 5" xfId="47865" xr:uid="{50389C15-7313-4FFB-99F8-27803284BD66}"/>
    <cellStyle name="Style 52 3" xfId="13259" xr:uid="{00000000-0005-0000-0000-0000FB390000}"/>
    <cellStyle name="Style 52 3 2" xfId="47869" xr:uid="{2E3BCC8D-3003-4BB7-84EC-310FA697CF4B}"/>
    <cellStyle name="Style 52 4" xfId="13742" xr:uid="{00000000-0005-0000-0000-0000FC390000}"/>
    <cellStyle name="Style 52 4 2" xfId="47870" xr:uid="{D08DA8D0-92B3-4294-A553-BA3350853D7A}"/>
    <cellStyle name="Style 52 5" xfId="9211" xr:uid="{00000000-0005-0000-0000-0000FD390000}"/>
    <cellStyle name="Style 52 5 2" xfId="47871" xr:uid="{D4BFE41C-FB5C-4EAA-8B0E-E318C5CEB57C}"/>
    <cellStyle name="Style 52 6" xfId="47864" xr:uid="{F693967F-6165-4FED-AF33-C6B1A845EA1D}"/>
    <cellStyle name="Style 58" xfId="3140" xr:uid="{00000000-0005-0000-0000-0000FE390000}"/>
    <cellStyle name="Style 58 2" xfId="3141" xr:uid="{00000000-0005-0000-0000-0000FF390000}"/>
    <cellStyle name="Style 58 2 2" xfId="13262" xr:uid="{00000000-0005-0000-0000-0000003A0000}"/>
    <cellStyle name="Style 58 2 2 2" xfId="47874" xr:uid="{835B7F3D-B661-4D4C-B811-30D7FEE6E2B1}"/>
    <cellStyle name="Style 58 2 3" xfId="16232" xr:uid="{00000000-0005-0000-0000-0000013A0000}"/>
    <cellStyle name="Style 58 2 3 2" xfId="47875" xr:uid="{96C6F593-7247-4A8D-9618-1804C3391381}"/>
    <cellStyle name="Style 58 2 4" xfId="9214" xr:uid="{00000000-0005-0000-0000-0000023A0000}"/>
    <cellStyle name="Style 58 2 4 2" xfId="47876" xr:uid="{C76C528F-7B05-40A8-AC7B-72DB54E20619}"/>
    <cellStyle name="Style 58 2 5" xfId="47873" xr:uid="{5EE7D88F-C81A-4BC4-B95E-BA7A9F61E59B}"/>
    <cellStyle name="Style 58 3" xfId="3142" xr:uid="{00000000-0005-0000-0000-0000033A0000}"/>
    <cellStyle name="Style 58 3 2" xfId="13263" xr:uid="{00000000-0005-0000-0000-0000043A0000}"/>
    <cellStyle name="Style 58 3 2 2" xfId="47878" xr:uid="{AEBAB940-700B-4907-9868-FE9216CB702A}"/>
    <cellStyle name="Style 58 3 3" xfId="16154" xr:uid="{00000000-0005-0000-0000-0000053A0000}"/>
    <cellStyle name="Style 58 3 3 2" xfId="47879" xr:uid="{26FEE2FB-A7E5-4814-A30C-31C1BA0ED6B3}"/>
    <cellStyle name="Style 58 3 4" xfId="9215" xr:uid="{00000000-0005-0000-0000-0000063A0000}"/>
    <cellStyle name="Style 58 3 4 2" xfId="47880" xr:uid="{2C070394-CCFF-4525-B3D4-EBFC5B0DB7A3}"/>
    <cellStyle name="Style 58 3 5" xfId="47877" xr:uid="{A6C0B96B-3160-4A83-83A6-9FB131AAEFA3}"/>
    <cellStyle name="Style 58 4" xfId="13261" xr:uid="{00000000-0005-0000-0000-0000073A0000}"/>
    <cellStyle name="Style 58 4 2" xfId="47881" xr:uid="{ACA12AB3-FF87-421D-B2D6-4EF6B507D72A}"/>
    <cellStyle name="Style 58 5" xfId="12889" xr:uid="{00000000-0005-0000-0000-0000083A0000}"/>
    <cellStyle name="Style 58 5 2" xfId="47882" xr:uid="{E8EB1F58-410B-457C-981F-9C1694D803D4}"/>
    <cellStyle name="Style 58 6" xfId="9213" xr:uid="{00000000-0005-0000-0000-0000093A0000}"/>
    <cellStyle name="Style 58 6 2" xfId="47883" xr:uid="{381C963D-82E0-4784-AFE1-36F6A1E16DCB}"/>
    <cellStyle name="Style 58 7" xfId="47872" xr:uid="{25632767-3BC4-45D0-829A-C566FF3676E4}"/>
    <cellStyle name="Style 59" xfId="3143" xr:uid="{00000000-0005-0000-0000-00000A3A0000}"/>
    <cellStyle name="Style 59 2" xfId="3144" xr:uid="{00000000-0005-0000-0000-00000B3A0000}"/>
    <cellStyle name="Style 59 2 2" xfId="13265" xr:uid="{00000000-0005-0000-0000-00000C3A0000}"/>
    <cellStyle name="Style 59 2 2 2" xfId="47886" xr:uid="{D4C26AC3-662E-4882-9B8A-4B47969062D0}"/>
    <cellStyle name="Style 59 2 3" xfId="16406" xr:uid="{00000000-0005-0000-0000-00000D3A0000}"/>
    <cellStyle name="Style 59 2 3 2" xfId="47887" xr:uid="{5F572ED2-D61C-48E2-A2BC-964BC67BD7CC}"/>
    <cellStyle name="Style 59 2 4" xfId="9217" xr:uid="{00000000-0005-0000-0000-00000E3A0000}"/>
    <cellStyle name="Style 59 2 4 2" xfId="47888" xr:uid="{817CE253-1BBE-444E-ACB9-D6C93DE3D5B9}"/>
    <cellStyle name="Style 59 2 5" xfId="47885" xr:uid="{1031A83C-E4E3-4BC8-9833-A6C02A233F94}"/>
    <cellStyle name="Style 59 3" xfId="13264" xr:uid="{00000000-0005-0000-0000-00000F3A0000}"/>
    <cellStyle name="Style 59 3 2" xfId="47889" xr:uid="{7A0A8F9A-080C-4DEB-8251-A4950E9163B1}"/>
    <cellStyle name="Style 59 4" xfId="16468" xr:uid="{00000000-0005-0000-0000-0000103A0000}"/>
    <cellStyle name="Style 59 4 2" xfId="47890" xr:uid="{6047E73C-23C5-4A39-A71E-526ED80D83A1}"/>
    <cellStyle name="Style 59 5" xfId="9216" xr:uid="{00000000-0005-0000-0000-0000113A0000}"/>
    <cellStyle name="Style 59 5 2" xfId="47891" xr:uid="{8F5112ED-0380-44F0-9665-ED24E445D5E1}"/>
    <cellStyle name="Style 59 6" xfId="47884" xr:uid="{F5A11388-271C-4920-AF76-56A11BE59D3F}"/>
    <cellStyle name="Style 60" xfId="3145" xr:uid="{00000000-0005-0000-0000-0000123A0000}"/>
    <cellStyle name="Style 60 2" xfId="3146" xr:uid="{00000000-0005-0000-0000-0000133A0000}"/>
    <cellStyle name="Style 60 2 2" xfId="13267" xr:uid="{00000000-0005-0000-0000-0000143A0000}"/>
    <cellStyle name="Style 60 2 2 2" xfId="47894" xr:uid="{F51588B3-8AFD-49D7-893F-B3F68AAC5010}"/>
    <cellStyle name="Style 60 2 3" xfId="12725" xr:uid="{00000000-0005-0000-0000-0000153A0000}"/>
    <cellStyle name="Style 60 2 3 2" xfId="47895" xr:uid="{32C0306B-E351-4B4A-AFC3-31C99437644B}"/>
    <cellStyle name="Style 60 2 4" xfId="9219" xr:uid="{00000000-0005-0000-0000-0000163A0000}"/>
    <cellStyle name="Style 60 2 4 2" xfId="47896" xr:uid="{76F5D473-8A82-4F85-A660-F91551FBA2EE}"/>
    <cellStyle name="Style 60 2 5" xfId="47893" xr:uid="{0886CE6F-CC39-429B-9C99-FFD351C4E300}"/>
    <cellStyle name="Style 60 3" xfId="13266" xr:uid="{00000000-0005-0000-0000-0000173A0000}"/>
    <cellStyle name="Style 60 3 2" xfId="47897" xr:uid="{F27A1BC1-CF65-4B02-ADC3-8797AEE733FA}"/>
    <cellStyle name="Style 60 4" xfId="16615" xr:uid="{00000000-0005-0000-0000-0000183A0000}"/>
    <cellStyle name="Style 60 4 2" xfId="47898" xr:uid="{6E08EDF3-D5B9-449E-B511-4534AD4A1E10}"/>
    <cellStyle name="Style 60 5" xfId="9218" xr:uid="{00000000-0005-0000-0000-0000193A0000}"/>
    <cellStyle name="Style 60 5 2" xfId="47899" xr:uid="{0DCAD161-8472-40AE-9920-8C3F46482832}"/>
    <cellStyle name="Style 60 6" xfId="47892" xr:uid="{4B7A4DB9-441A-416B-A7BA-B7E2CAF00A78}"/>
    <cellStyle name="Style 61" xfId="3147" xr:uid="{00000000-0005-0000-0000-00001A3A0000}"/>
    <cellStyle name="Style 61 2" xfId="3148" xr:uid="{00000000-0005-0000-0000-00001B3A0000}"/>
    <cellStyle name="Style 61 2 2" xfId="13269" xr:uid="{00000000-0005-0000-0000-00001C3A0000}"/>
    <cellStyle name="Style 61 2 2 2" xfId="47902" xr:uid="{F736083F-7C23-4DCA-A68B-D6D461361F10}"/>
    <cellStyle name="Style 61 2 3" xfId="16555" xr:uid="{00000000-0005-0000-0000-00001D3A0000}"/>
    <cellStyle name="Style 61 2 3 2" xfId="47903" xr:uid="{E8374002-EDB1-4475-BE26-38E87090D7F4}"/>
    <cellStyle name="Style 61 2 4" xfId="9221" xr:uid="{00000000-0005-0000-0000-00001E3A0000}"/>
    <cellStyle name="Style 61 2 4 2" xfId="47904" xr:uid="{8472F742-3429-40EC-816F-3BD97133C92F}"/>
    <cellStyle name="Style 61 2 5" xfId="47901" xr:uid="{B987F9E0-29B4-41CE-8490-FCF5C4005A28}"/>
    <cellStyle name="Style 61 3" xfId="13268" xr:uid="{00000000-0005-0000-0000-00001F3A0000}"/>
    <cellStyle name="Style 61 3 2" xfId="47905" xr:uid="{DC2261CF-73F6-43E2-9D30-69D3398F8C9E}"/>
    <cellStyle name="Style 61 4" xfId="16528" xr:uid="{00000000-0005-0000-0000-0000203A0000}"/>
    <cellStyle name="Style 61 4 2" xfId="47906" xr:uid="{8B412959-0E08-4E24-B72A-4599EA379D1B}"/>
    <cellStyle name="Style 61 5" xfId="9220" xr:uid="{00000000-0005-0000-0000-0000213A0000}"/>
    <cellStyle name="Style 61 5 2" xfId="47907" xr:uid="{0D6F241A-71B7-4B0E-915C-6CE97C24B9A6}"/>
    <cellStyle name="Style 61 6" xfId="47900" xr:uid="{6D1EAD45-F04A-41B6-84DE-2AA9262D5CD5}"/>
    <cellStyle name="Style 62" xfId="3149" xr:uid="{00000000-0005-0000-0000-0000223A0000}"/>
    <cellStyle name="Style 62 2" xfId="3150" xr:uid="{00000000-0005-0000-0000-0000233A0000}"/>
    <cellStyle name="Style 62 2 2" xfId="13271" xr:uid="{00000000-0005-0000-0000-0000243A0000}"/>
    <cellStyle name="Style 62 2 2 2" xfId="47910" xr:uid="{490F856C-6A9A-47ED-8C34-FE04CC01FD94}"/>
    <cellStyle name="Style 62 2 3" xfId="16384" xr:uid="{00000000-0005-0000-0000-0000253A0000}"/>
    <cellStyle name="Style 62 2 3 2" xfId="47911" xr:uid="{75441EF7-9C9B-4CF5-AB02-500670D8795B}"/>
    <cellStyle name="Style 62 2 4" xfId="9223" xr:uid="{00000000-0005-0000-0000-0000263A0000}"/>
    <cellStyle name="Style 62 2 4 2" xfId="47912" xr:uid="{EABB3027-688F-4EF7-B11B-A339F20C4124}"/>
    <cellStyle name="Style 62 2 5" xfId="47909" xr:uid="{4C69B09E-4C98-4D5F-94E9-46BD5E0693B3}"/>
    <cellStyle name="Style 62 3" xfId="3151" xr:uid="{00000000-0005-0000-0000-0000273A0000}"/>
    <cellStyle name="Style 62 3 2" xfId="13272" xr:uid="{00000000-0005-0000-0000-0000283A0000}"/>
    <cellStyle name="Style 62 3 2 2" xfId="47914" xr:uid="{A5C70022-7C56-406C-9A30-410CFC179019}"/>
    <cellStyle name="Style 62 3 3" xfId="14403" xr:uid="{00000000-0005-0000-0000-0000293A0000}"/>
    <cellStyle name="Style 62 3 3 2" xfId="47915" xr:uid="{DB8E05F0-88B2-4F2C-96D2-6B6B71F9699A}"/>
    <cellStyle name="Style 62 3 4" xfId="9224" xr:uid="{00000000-0005-0000-0000-00002A3A0000}"/>
    <cellStyle name="Style 62 3 4 2" xfId="47916" xr:uid="{36B23A44-41F8-4608-9754-BB5E618364BB}"/>
    <cellStyle name="Style 62 3 5" xfId="47913" xr:uid="{D2CEBE62-1DFC-4A95-8021-FEBC4A8A95C0}"/>
    <cellStyle name="Style 62 4" xfId="13270" xr:uid="{00000000-0005-0000-0000-00002B3A0000}"/>
    <cellStyle name="Style 62 4 2" xfId="47917" xr:uid="{70D7BDD8-321D-4FF3-8776-9062DFFD6945}"/>
    <cellStyle name="Style 62 5" xfId="16656" xr:uid="{00000000-0005-0000-0000-00002C3A0000}"/>
    <cellStyle name="Style 62 5 2" xfId="47918" xr:uid="{7C7085BD-4EF0-4FE7-B75A-8A8DB9748E04}"/>
    <cellStyle name="Style 62 6" xfId="9222" xr:uid="{00000000-0005-0000-0000-00002D3A0000}"/>
    <cellStyle name="Style 62 6 2" xfId="47919" xr:uid="{AAB13E64-BA46-4C59-BB29-DA4645A5D241}"/>
    <cellStyle name="Style 62 7" xfId="47908" xr:uid="{39A154FA-2180-4D15-9068-388E8FA24958}"/>
    <cellStyle name="Style 63" xfId="3152" xr:uid="{00000000-0005-0000-0000-00002E3A0000}"/>
    <cellStyle name="Style 63 2" xfId="3153" xr:uid="{00000000-0005-0000-0000-00002F3A0000}"/>
    <cellStyle name="Style 63 2 2" xfId="13274" xr:uid="{00000000-0005-0000-0000-0000303A0000}"/>
    <cellStyle name="Style 63 2 2 2" xfId="47922" xr:uid="{47E88B1E-BFB0-4B00-9C05-F56C12AB3BCF}"/>
    <cellStyle name="Style 63 2 3" xfId="13773" xr:uid="{00000000-0005-0000-0000-0000313A0000}"/>
    <cellStyle name="Style 63 2 3 2" xfId="47923" xr:uid="{954E3AB0-CCC1-4CAB-B910-BE08DC6ECCDD}"/>
    <cellStyle name="Style 63 2 4" xfId="9226" xr:uid="{00000000-0005-0000-0000-0000323A0000}"/>
    <cellStyle name="Style 63 2 4 2" xfId="47924" xr:uid="{0AB4319B-394D-4495-9D7D-62908C8E83D0}"/>
    <cellStyle name="Style 63 2 5" xfId="47921" xr:uid="{EE9272DC-2E45-4839-8F81-06A6BB2DF4B9}"/>
    <cellStyle name="Style 63 3" xfId="13273" xr:uid="{00000000-0005-0000-0000-0000333A0000}"/>
    <cellStyle name="Style 63 3 2" xfId="47925" xr:uid="{B3551B4B-14C8-4522-8412-30401EF7EE43}"/>
    <cellStyle name="Style 63 4" xfId="12541" xr:uid="{00000000-0005-0000-0000-0000343A0000}"/>
    <cellStyle name="Style 63 4 2" xfId="47926" xr:uid="{0551FE35-B08B-4691-9BCA-0D91994EC9CA}"/>
    <cellStyle name="Style 63 5" xfId="9225" xr:uid="{00000000-0005-0000-0000-0000353A0000}"/>
    <cellStyle name="Style 63 5 2" xfId="47927" xr:uid="{DC2DECA0-B26C-4184-B8C6-07F7D3A350CA}"/>
    <cellStyle name="Style 63 6" xfId="47920" xr:uid="{D6F5BC0C-4E72-4E71-966C-1A50DDE5E899}"/>
    <cellStyle name="Style 64" xfId="3154" xr:uid="{00000000-0005-0000-0000-0000363A0000}"/>
    <cellStyle name="Style 64 2" xfId="3155" xr:uid="{00000000-0005-0000-0000-0000373A0000}"/>
    <cellStyle name="Style 64 2 2" xfId="13276" xr:uid="{00000000-0005-0000-0000-0000383A0000}"/>
    <cellStyle name="Style 64 2 2 2" xfId="47930" xr:uid="{F3D34FD8-F7CF-4604-AA94-3D123D65B064}"/>
    <cellStyle name="Style 64 2 3" xfId="12773" xr:uid="{00000000-0005-0000-0000-0000393A0000}"/>
    <cellStyle name="Style 64 2 3 2" xfId="47931" xr:uid="{74C1E155-C4A0-4F39-8372-DF54909FD1C8}"/>
    <cellStyle name="Style 64 2 4" xfId="9228" xr:uid="{00000000-0005-0000-0000-00003A3A0000}"/>
    <cellStyle name="Style 64 2 4 2" xfId="47932" xr:uid="{57058924-1CAE-4829-A650-EBB53F9D0768}"/>
    <cellStyle name="Style 64 2 5" xfId="47929" xr:uid="{C0808F67-9E99-41E4-B4D6-0395814FF714}"/>
    <cellStyle name="Style 64 3" xfId="13275" xr:uid="{00000000-0005-0000-0000-00003B3A0000}"/>
    <cellStyle name="Style 64 3 2" xfId="47933" xr:uid="{6FC9FFCE-4F4D-4919-A777-CE323BF39D76}"/>
    <cellStyle name="Style 64 4" xfId="13730" xr:uid="{00000000-0005-0000-0000-00003C3A0000}"/>
    <cellStyle name="Style 64 4 2" xfId="47934" xr:uid="{D8E43F60-B424-46E5-8383-0D32CF8B0961}"/>
    <cellStyle name="Style 64 5" xfId="9227" xr:uid="{00000000-0005-0000-0000-00003D3A0000}"/>
    <cellStyle name="Style 64 5 2" xfId="47935" xr:uid="{CF550964-F73E-4553-A06D-82868577C6AA}"/>
    <cellStyle name="Style 64 6" xfId="47928" xr:uid="{E1DC6327-7AE2-4AEC-9A0E-3DD32503631B}"/>
    <cellStyle name="Style 69" xfId="3156" xr:uid="{00000000-0005-0000-0000-00003E3A0000}"/>
    <cellStyle name="Style 69 2" xfId="3157" xr:uid="{00000000-0005-0000-0000-00003F3A0000}"/>
    <cellStyle name="Style 69 2 2" xfId="13278" xr:uid="{00000000-0005-0000-0000-0000403A0000}"/>
    <cellStyle name="Style 69 2 2 2" xfId="47938" xr:uid="{8800148A-3339-4F3D-9F70-E5BBE68DCD40}"/>
    <cellStyle name="Style 69 2 3" xfId="12536" xr:uid="{00000000-0005-0000-0000-0000413A0000}"/>
    <cellStyle name="Style 69 2 3 2" xfId="47939" xr:uid="{B809BE08-66FD-4080-92E7-95C343F963F0}"/>
    <cellStyle name="Style 69 2 4" xfId="9230" xr:uid="{00000000-0005-0000-0000-0000423A0000}"/>
    <cellStyle name="Style 69 2 4 2" xfId="47940" xr:uid="{3DC1C584-2272-4283-B5CF-860DE9D659E1}"/>
    <cellStyle name="Style 69 2 5" xfId="47937" xr:uid="{1DE381E8-F971-47F6-9905-C3EB0906F05C}"/>
    <cellStyle name="Style 69 3" xfId="3158" xr:uid="{00000000-0005-0000-0000-0000433A0000}"/>
    <cellStyle name="Style 69 3 2" xfId="13279" xr:uid="{00000000-0005-0000-0000-0000443A0000}"/>
    <cellStyle name="Style 69 3 2 2" xfId="47942" xr:uid="{2E606F41-B9B1-40BE-AECA-DFD7B4B5EE38}"/>
    <cellStyle name="Style 69 3 3" xfId="16588" xr:uid="{00000000-0005-0000-0000-0000453A0000}"/>
    <cellStyle name="Style 69 3 3 2" xfId="47943" xr:uid="{B4963A04-E53F-4244-84DB-8678B9D024CA}"/>
    <cellStyle name="Style 69 3 4" xfId="9231" xr:uid="{00000000-0005-0000-0000-0000463A0000}"/>
    <cellStyle name="Style 69 3 4 2" xfId="47944" xr:uid="{B36D93B0-C3AB-499B-A264-8F1177ED3FD3}"/>
    <cellStyle name="Style 69 3 5" xfId="47941" xr:uid="{72200AA3-9735-4E29-909D-41DCCAF92BDC}"/>
    <cellStyle name="Style 69 4" xfId="13277" xr:uid="{00000000-0005-0000-0000-0000473A0000}"/>
    <cellStyle name="Style 69 4 2" xfId="47945" xr:uid="{921BC713-C3FD-4B69-9A93-3877A29AF498}"/>
    <cellStyle name="Style 69 5" xfId="16181" xr:uid="{00000000-0005-0000-0000-0000483A0000}"/>
    <cellStyle name="Style 69 5 2" xfId="47946" xr:uid="{D0626FF9-893B-4A79-B02F-481273DC7579}"/>
    <cellStyle name="Style 69 6" xfId="9229" xr:uid="{00000000-0005-0000-0000-0000493A0000}"/>
    <cellStyle name="Style 69 6 2" xfId="47947" xr:uid="{7DD126B6-779A-484F-9597-9C04BA79D9B9}"/>
    <cellStyle name="Style 69 7" xfId="47936" xr:uid="{003FC140-1EBC-4318-BF2C-E31E332635F4}"/>
    <cellStyle name="Style 70" xfId="3159" xr:uid="{00000000-0005-0000-0000-00004A3A0000}"/>
    <cellStyle name="Style 70 2" xfId="3160" xr:uid="{00000000-0005-0000-0000-00004B3A0000}"/>
    <cellStyle name="Style 70 2 2" xfId="13281" xr:uid="{00000000-0005-0000-0000-00004C3A0000}"/>
    <cellStyle name="Style 70 2 2 2" xfId="47950" xr:uid="{27B5F665-4862-4318-9C79-14B3D9101EB8}"/>
    <cellStyle name="Style 70 2 3" xfId="12861" xr:uid="{00000000-0005-0000-0000-00004D3A0000}"/>
    <cellStyle name="Style 70 2 3 2" xfId="47951" xr:uid="{8CE87D36-BE11-4DDC-93FA-E2314B1EBD0E}"/>
    <cellStyle name="Style 70 2 4" xfId="9233" xr:uid="{00000000-0005-0000-0000-00004E3A0000}"/>
    <cellStyle name="Style 70 2 4 2" xfId="47952" xr:uid="{CD7097D0-DA19-4A16-BA83-C20ACBEEB79C}"/>
    <cellStyle name="Style 70 2 5" xfId="47949" xr:uid="{D906DF3B-02CC-4533-8016-8696014ACDFD}"/>
    <cellStyle name="Style 70 3" xfId="13280" xr:uid="{00000000-0005-0000-0000-00004F3A0000}"/>
    <cellStyle name="Style 70 3 2" xfId="47953" xr:uid="{0791B8CA-207E-4CFD-9125-2383E74429A4}"/>
    <cellStyle name="Style 70 4" xfId="12493" xr:uid="{00000000-0005-0000-0000-0000503A0000}"/>
    <cellStyle name="Style 70 4 2" xfId="47954" xr:uid="{35A71F72-48BF-44D8-A149-B7561DDE73BC}"/>
    <cellStyle name="Style 70 5" xfId="9232" xr:uid="{00000000-0005-0000-0000-0000513A0000}"/>
    <cellStyle name="Style 70 5 2" xfId="47955" xr:uid="{85CA77E4-92AB-46FB-9601-DB66F8F635B3}"/>
    <cellStyle name="Style 70 6" xfId="47948" xr:uid="{B12E8892-4315-4267-9C3A-76A60A903B55}"/>
    <cellStyle name="Style 71" xfId="3161" xr:uid="{00000000-0005-0000-0000-0000523A0000}"/>
    <cellStyle name="Style 71 2" xfId="3162" xr:uid="{00000000-0005-0000-0000-0000533A0000}"/>
    <cellStyle name="Style 71 2 2" xfId="13283" xr:uid="{00000000-0005-0000-0000-0000543A0000}"/>
    <cellStyle name="Style 71 2 2 2" xfId="47958" xr:uid="{A767517C-FDD9-4D7D-82BC-8128588B9F33}"/>
    <cellStyle name="Style 71 2 3" xfId="13473" xr:uid="{00000000-0005-0000-0000-0000553A0000}"/>
    <cellStyle name="Style 71 2 3 2" xfId="47959" xr:uid="{C3FF5F66-FD0F-480F-9317-C59BD1A47A77}"/>
    <cellStyle name="Style 71 2 4" xfId="9235" xr:uid="{00000000-0005-0000-0000-0000563A0000}"/>
    <cellStyle name="Style 71 2 4 2" xfId="47960" xr:uid="{C6A1D225-988A-42B3-9450-2A478DEE3D9A}"/>
    <cellStyle name="Style 71 2 5" xfId="47957" xr:uid="{01A3EA43-7979-44AE-8F13-CC86D55D8536}"/>
    <cellStyle name="Style 71 3" xfId="13282" xr:uid="{00000000-0005-0000-0000-0000573A0000}"/>
    <cellStyle name="Style 71 3 2" xfId="47961" xr:uid="{DD842D41-D18C-4CA8-B3A7-6DF6D16B626C}"/>
    <cellStyle name="Style 71 4" xfId="12521" xr:uid="{00000000-0005-0000-0000-0000583A0000}"/>
    <cellStyle name="Style 71 4 2" xfId="47962" xr:uid="{82D3DAAB-AB91-4E33-9D06-4EF3B102AAA4}"/>
    <cellStyle name="Style 71 5" xfId="9234" xr:uid="{00000000-0005-0000-0000-0000593A0000}"/>
    <cellStyle name="Style 71 5 2" xfId="47963" xr:uid="{7FE6C0BA-0DE6-4E3F-9521-0C73CC0FC87B}"/>
    <cellStyle name="Style 71 6" xfId="47956" xr:uid="{B3B144C3-0671-4C59-A65B-52EB68F98A37}"/>
    <cellStyle name="Style 72" xfId="3163" xr:uid="{00000000-0005-0000-0000-00005A3A0000}"/>
    <cellStyle name="Style 72 2" xfId="3164" xr:uid="{00000000-0005-0000-0000-00005B3A0000}"/>
    <cellStyle name="Style 72 2 2" xfId="13285" xr:uid="{00000000-0005-0000-0000-00005C3A0000}"/>
    <cellStyle name="Style 72 2 2 2" xfId="47966" xr:uid="{5F4CF300-D368-4DDC-887E-4655F8D95184}"/>
    <cellStyle name="Style 72 2 3" xfId="14402" xr:uid="{00000000-0005-0000-0000-00005D3A0000}"/>
    <cellStyle name="Style 72 2 3 2" xfId="47967" xr:uid="{FAD6CC66-6FEC-484A-A3F6-A7CF8AA32052}"/>
    <cellStyle name="Style 72 2 4" xfId="9237" xr:uid="{00000000-0005-0000-0000-00005E3A0000}"/>
    <cellStyle name="Style 72 2 4 2" xfId="47968" xr:uid="{AA94DCB6-5BD7-45DA-890F-E77797453498}"/>
    <cellStyle name="Style 72 2 5" xfId="47965" xr:uid="{D28AC4D9-DD1F-4739-92FD-3723DE26230D}"/>
    <cellStyle name="Style 72 3" xfId="13284" xr:uid="{00000000-0005-0000-0000-00005F3A0000}"/>
    <cellStyle name="Style 72 3 2" xfId="47969" xr:uid="{2EDC3C3F-7F33-4619-B8D2-D6CCA95AE7FE}"/>
    <cellStyle name="Style 72 4" xfId="16673" xr:uid="{00000000-0005-0000-0000-0000603A0000}"/>
    <cellStyle name="Style 72 4 2" xfId="47970" xr:uid="{B6872809-E286-4140-9F32-BC01EB05E3E4}"/>
    <cellStyle name="Style 72 5" xfId="9236" xr:uid="{00000000-0005-0000-0000-0000613A0000}"/>
    <cellStyle name="Style 72 5 2" xfId="47971" xr:uid="{B7A7D3CB-AEE1-4291-AB4A-34172007414E}"/>
    <cellStyle name="Style 72 6" xfId="47964" xr:uid="{0F065ED8-8148-4E12-96EF-B5AA768A2AB2}"/>
    <cellStyle name="Style 73" xfId="3165" xr:uid="{00000000-0005-0000-0000-0000623A0000}"/>
    <cellStyle name="Style 73 2" xfId="3166" xr:uid="{00000000-0005-0000-0000-0000633A0000}"/>
    <cellStyle name="Style 73 2 2" xfId="13287" xr:uid="{00000000-0005-0000-0000-0000643A0000}"/>
    <cellStyle name="Style 73 2 2 2" xfId="47974" xr:uid="{3B57BAA7-75D2-4F41-947B-647F53930C9A}"/>
    <cellStyle name="Style 73 2 3" xfId="16688" xr:uid="{00000000-0005-0000-0000-0000653A0000}"/>
    <cellStyle name="Style 73 2 3 2" xfId="47975" xr:uid="{F0F0EDE5-2EA9-4F9F-B418-B5D96A2A349C}"/>
    <cellStyle name="Style 73 2 4" xfId="9239" xr:uid="{00000000-0005-0000-0000-0000663A0000}"/>
    <cellStyle name="Style 73 2 4 2" xfId="47976" xr:uid="{EF715330-3381-4587-87AA-46555FD98BBC}"/>
    <cellStyle name="Style 73 2 5" xfId="47973" xr:uid="{0ADA56D8-D851-4057-8EB7-5B05749551C8}"/>
    <cellStyle name="Style 73 3" xfId="3167" xr:uid="{00000000-0005-0000-0000-0000673A0000}"/>
    <cellStyle name="Style 73 3 2" xfId="13288" xr:uid="{00000000-0005-0000-0000-0000683A0000}"/>
    <cellStyle name="Style 73 3 2 2" xfId="47978" xr:uid="{7111DEAF-268B-4BB4-B98E-E2B962460CF7}"/>
    <cellStyle name="Style 73 3 3" xfId="12738" xr:uid="{00000000-0005-0000-0000-0000693A0000}"/>
    <cellStyle name="Style 73 3 3 2" xfId="47979" xr:uid="{931E6DEB-98AB-4A81-B921-3A8665AFFE8F}"/>
    <cellStyle name="Style 73 3 4" xfId="9240" xr:uid="{00000000-0005-0000-0000-00006A3A0000}"/>
    <cellStyle name="Style 73 3 4 2" xfId="47980" xr:uid="{53DAF980-EF74-4CF6-BD1D-796678547D68}"/>
    <cellStyle name="Style 73 3 5" xfId="47977" xr:uid="{7C3FA747-2AFE-4C9B-827E-CA8B26819C5A}"/>
    <cellStyle name="Style 73 4" xfId="13286" xr:uid="{00000000-0005-0000-0000-00006B3A0000}"/>
    <cellStyle name="Style 73 4 2" xfId="47981" xr:uid="{3BA4D471-70B4-4AF9-91BA-49E81A10AEDB}"/>
    <cellStyle name="Style 73 5" xfId="12386" xr:uid="{00000000-0005-0000-0000-00006C3A0000}"/>
    <cellStyle name="Style 73 5 2" xfId="47982" xr:uid="{581033FB-4E72-44A8-959C-A761C95EBFB9}"/>
    <cellStyle name="Style 73 6" xfId="9238" xr:uid="{00000000-0005-0000-0000-00006D3A0000}"/>
    <cellStyle name="Style 73 6 2" xfId="47983" xr:uid="{61629D04-D53F-4CCC-87F2-7003E8C4B45B}"/>
    <cellStyle name="Style 73 7" xfId="47972" xr:uid="{D49CAB62-D2BF-4DF1-AFAA-240E60837BE4}"/>
    <cellStyle name="Style 74" xfId="3168" xr:uid="{00000000-0005-0000-0000-00006E3A0000}"/>
    <cellStyle name="Style 74 2" xfId="3169" xr:uid="{00000000-0005-0000-0000-00006F3A0000}"/>
    <cellStyle name="Style 74 2 2" xfId="13290" xr:uid="{00000000-0005-0000-0000-0000703A0000}"/>
    <cellStyle name="Style 74 2 2 2" xfId="47986" xr:uid="{270B9AAF-2C93-4BFB-B5B7-38AF5D9488A9}"/>
    <cellStyle name="Style 74 2 3" xfId="14316" xr:uid="{00000000-0005-0000-0000-0000713A0000}"/>
    <cellStyle name="Style 74 2 3 2" xfId="47987" xr:uid="{2A0965E5-2813-450C-8893-715DA798081D}"/>
    <cellStyle name="Style 74 2 4" xfId="9242" xr:uid="{00000000-0005-0000-0000-0000723A0000}"/>
    <cellStyle name="Style 74 2 4 2" xfId="47988" xr:uid="{E388F901-F99F-4785-A5E3-E2BF0762C44A}"/>
    <cellStyle name="Style 74 2 5" xfId="47985" xr:uid="{F10B15F7-4D43-4900-AE43-204294D3F671}"/>
    <cellStyle name="Style 74 3" xfId="13289" xr:uid="{00000000-0005-0000-0000-0000733A0000}"/>
    <cellStyle name="Style 74 3 2" xfId="47989" xr:uid="{F4FE4B69-5281-4700-BCDC-153BCCAF37DE}"/>
    <cellStyle name="Style 74 4" xfId="12518" xr:uid="{00000000-0005-0000-0000-0000743A0000}"/>
    <cellStyle name="Style 74 4 2" xfId="47990" xr:uid="{0CF4FBD4-4857-4836-B64D-C11DBBBBDFA8}"/>
    <cellStyle name="Style 74 5" xfId="9241" xr:uid="{00000000-0005-0000-0000-0000753A0000}"/>
    <cellStyle name="Style 74 5 2" xfId="47991" xr:uid="{4B01E14A-8EBF-4FA1-910E-9EC7D9B8DB6A}"/>
    <cellStyle name="Style 74 6" xfId="47984" xr:uid="{333D4750-2613-40F6-B67F-9B9696B7711A}"/>
    <cellStyle name="Style 75" xfId="3170" xr:uid="{00000000-0005-0000-0000-0000763A0000}"/>
    <cellStyle name="Style 75 2" xfId="3171" xr:uid="{00000000-0005-0000-0000-0000773A0000}"/>
    <cellStyle name="Style 75 2 2" xfId="13292" xr:uid="{00000000-0005-0000-0000-0000783A0000}"/>
    <cellStyle name="Style 75 2 2 2" xfId="47994" xr:uid="{9E57AEA2-6C45-4CC0-BDB9-2D3183D649BE}"/>
    <cellStyle name="Style 75 2 3" xfId="16453" xr:uid="{00000000-0005-0000-0000-0000793A0000}"/>
    <cellStyle name="Style 75 2 3 2" xfId="47995" xr:uid="{481A3CF9-C0FE-4D33-939A-24B08C635BC3}"/>
    <cellStyle name="Style 75 2 4" xfId="9244" xr:uid="{00000000-0005-0000-0000-00007A3A0000}"/>
    <cellStyle name="Style 75 2 4 2" xfId="47996" xr:uid="{67EA6604-DDC3-4EA0-9258-FC48D2DC4B0A}"/>
    <cellStyle name="Style 75 2 5" xfId="47993" xr:uid="{0D9CEBC5-DA5C-406D-B37C-C8AC06B88948}"/>
    <cellStyle name="Style 75 3" xfId="13291" xr:uid="{00000000-0005-0000-0000-00007B3A0000}"/>
    <cellStyle name="Style 75 3 2" xfId="47997" xr:uid="{0B093E04-CEBC-499E-9CC5-C645040052CB}"/>
    <cellStyle name="Style 75 4" xfId="12568" xr:uid="{00000000-0005-0000-0000-00007C3A0000}"/>
    <cellStyle name="Style 75 4 2" xfId="47998" xr:uid="{6097D7E3-BA75-487A-BEEE-9EE9DB21C6D5}"/>
    <cellStyle name="Style 75 5" xfId="9243" xr:uid="{00000000-0005-0000-0000-00007D3A0000}"/>
    <cellStyle name="Style 75 5 2" xfId="47999" xr:uid="{5824F028-AD59-4F99-95F0-67602DFC6018}"/>
    <cellStyle name="Style 75 6" xfId="47992" xr:uid="{19BED8A6-B7F5-45FB-9A23-0F1FA40DA03E}"/>
    <cellStyle name="Style 80" xfId="3172" xr:uid="{00000000-0005-0000-0000-00007E3A0000}"/>
    <cellStyle name="Style 80 2" xfId="3173" xr:uid="{00000000-0005-0000-0000-00007F3A0000}"/>
    <cellStyle name="Style 80 2 2" xfId="13294" xr:uid="{00000000-0005-0000-0000-0000803A0000}"/>
    <cellStyle name="Style 80 2 2 2" xfId="48002" xr:uid="{D5E294DB-7332-49A2-8629-668C53AC3251}"/>
    <cellStyle name="Style 80 2 3" xfId="14369" xr:uid="{00000000-0005-0000-0000-0000813A0000}"/>
    <cellStyle name="Style 80 2 3 2" xfId="48003" xr:uid="{093F0B86-5ED4-4EA1-8660-9ABA4450CFBB}"/>
    <cellStyle name="Style 80 2 4" xfId="9246" xr:uid="{00000000-0005-0000-0000-0000823A0000}"/>
    <cellStyle name="Style 80 2 4 2" xfId="48004" xr:uid="{52CD4D49-C039-40CA-8F98-0A9173260F74}"/>
    <cellStyle name="Style 80 2 5" xfId="48001" xr:uid="{032B3F33-7332-4605-B585-A1AA73406CE0}"/>
    <cellStyle name="Style 80 3" xfId="3174" xr:uid="{00000000-0005-0000-0000-0000833A0000}"/>
    <cellStyle name="Style 80 3 2" xfId="13295" xr:uid="{00000000-0005-0000-0000-0000843A0000}"/>
    <cellStyle name="Style 80 3 2 2" xfId="48006" xr:uid="{AFFE63A5-2C3F-43A2-BB7F-707A826FF8CE}"/>
    <cellStyle name="Style 80 3 3" xfId="16574" xr:uid="{00000000-0005-0000-0000-0000853A0000}"/>
    <cellStyle name="Style 80 3 3 2" xfId="48007" xr:uid="{04BD10BA-EA63-4C12-9507-669775DD0B7D}"/>
    <cellStyle name="Style 80 3 4" xfId="9247" xr:uid="{00000000-0005-0000-0000-0000863A0000}"/>
    <cellStyle name="Style 80 3 4 2" xfId="48008" xr:uid="{E2863AF4-8FDE-4344-99A2-6B3F8AB5B7F9}"/>
    <cellStyle name="Style 80 3 5" xfId="48005" xr:uid="{D9161096-3BF3-4987-9A71-53541BED426C}"/>
    <cellStyle name="Style 80 4" xfId="13293" xr:uid="{00000000-0005-0000-0000-0000873A0000}"/>
    <cellStyle name="Style 80 4 2" xfId="48009" xr:uid="{F957F375-DDE6-48C3-8A6E-402197080F39}"/>
    <cellStyle name="Style 80 5" xfId="13805" xr:uid="{00000000-0005-0000-0000-0000883A0000}"/>
    <cellStyle name="Style 80 5 2" xfId="48010" xr:uid="{9BD4EA6B-B790-43B9-96EA-B74FE60EC29A}"/>
    <cellStyle name="Style 80 6" xfId="9245" xr:uid="{00000000-0005-0000-0000-0000893A0000}"/>
    <cellStyle name="Style 80 6 2" xfId="48011" xr:uid="{0FD0FDED-BEEF-48D4-BA4E-A1E17A9093A0}"/>
    <cellStyle name="Style 80 7" xfId="48000" xr:uid="{6A824108-426B-4494-A18D-2B14458DEB3D}"/>
    <cellStyle name="Style 81" xfId="3175" xr:uid="{00000000-0005-0000-0000-00008A3A0000}"/>
    <cellStyle name="Style 81 2" xfId="3176" xr:uid="{00000000-0005-0000-0000-00008B3A0000}"/>
    <cellStyle name="Style 81 2 2" xfId="13297" xr:uid="{00000000-0005-0000-0000-00008C3A0000}"/>
    <cellStyle name="Style 81 2 2 2" xfId="48014" xr:uid="{4476E8BD-092B-47E4-8769-281084CD23C8}"/>
    <cellStyle name="Style 81 2 3" xfId="16376" xr:uid="{00000000-0005-0000-0000-00008D3A0000}"/>
    <cellStyle name="Style 81 2 3 2" xfId="48015" xr:uid="{42139E1F-B7DB-4C63-BD4E-575D17B09C7F}"/>
    <cellStyle name="Style 81 2 4" xfId="9249" xr:uid="{00000000-0005-0000-0000-00008E3A0000}"/>
    <cellStyle name="Style 81 2 4 2" xfId="48016" xr:uid="{8DBECC70-FCDA-4E34-995B-9B2A1732E647}"/>
    <cellStyle name="Style 81 2 5" xfId="48013" xr:uid="{E8E728DE-5F42-417F-8D87-A6A2F2F0A326}"/>
    <cellStyle name="Style 81 3" xfId="3177" xr:uid="{00000000-0005-0000-0000-00008F3A0000}"/>
    <cellStyle name="Style 81 3 2" xfId="13298" xr:uid="{00000000-0005-0000-0000-0000903A0000}"/>
    <cellStyle name="Style 81 3 2 2" xfId="48018" xr:uid="{57A27D47-029B-4059-919C-A4712D074DD1}"/>
    <cellStyle name="Style 81 3 3" xfId="12467" xr:uid="{00000000-0005-0000-0000-0000913A0000}"/>
    <cellStyle name="Style 81 3 3 2" xfId="48019" xr:uid="{6EC37E60-DD89-426F-93F2-0D48211CE3EF}"/>
    <cellStyle name="Style 81 3 4" xfId="9250" xr:uid="{00000000-0005-0000-0000-0000923A0000}"/>
    <cellStyle name="Style 81 3 4 2" xfId="48020" xr:uid="{51219626-C19B-4552-AAD8-27FE9C8402B1}"/>
    <cellStyle name="Style 81 3 5" xfId="48017" xr:uid="{72B64C42-F288-4355-AC03-403A5072779E}"/>
    <cellStyle name="Style 81 4" xfId="13296" xr:uid="{00000000-0005-0000-0000-0000933A0000}"/>
    <cellStyle name="Style 81 4 2" xfId="48021" xr:uid="{07D658D7-400B-4311-BECC-BAF6203DEC4E}"/>
    <cellStyle name="Style 81 5" xfId="12836" xr:uid="{00000000-0005-0000-0000-0000943A0000}"/>
    <cellStyle name="Style 81 5 2" xfId="48022" xr:uid="{35CAF628-31E3-4314-AD83-280331988A46}"/>
    <cellStyle name="Style 81 6" xfId="9248" xr:uid="{00000000-0005-0000-0000-0000953A0000}"/>
    <cellStyle name="Style 81 6 2" xfId="48023" xr:uid="{72ECC439-CEAF-49AD-89F1-88078AFB7A79}"/>
    <cellStyle name="Style 81 7" xfId="48012" xr:uid="{5A8CCC7B-EE4A-471D-BD95-08E0982C0253}"/>
    <cellStyle name="Style 82" xfId="3178" xr:uid="{00000000-0005-0000-0000-0000963A0000}"/>
    <cellStyle name="Style 82 2" xfId="3179" xr:uid="{00000000-0005-0000-0000-0000973A0000}"/>
    <cellStyle name="Style 82 2 2" xfId="13300" xr:uid="{00000000-0005-0000-0000-0000983A0000}"/>
    <cellStyle name="Style 82 2 2 2" xfId="48026" xr:uid="{BC19DFCA-BBCD-47D9-9E54-3079D960F418}"/>
    <cellStyle name="Style 82 2 3" xfId="16451" xr:uid="{00000000-0005-0000-0000-0000993A0000}"/>
    <cellStyle name="Style 82 2 3 2" xfId="48027" xr:uid="{C8E33576-89A3-4EA9-A204-F40BC2A874CE}"/>
    <cellStyle name="Style 82 2 4" xfId="9252" xr:uid="{00000000-0005-0000-0000-00009A3A0000}"/>
    <cellStyle name="Style 82 2 4 2" xfId="48028" xr:uid="{E9DF3CE9-CE5F-441C-8603-869B8C364B14}"/>
    <cellStyle name="Style 82 2 5" xfId="48025" xr:uid="{C5E1B3E8-FB47-49E3-A2CD-D4AE05F9C264}"/>
    <cellStyle name="Style 82 3" xfId="13299" xr:uid="{00000000-0005-0000-0000-00009B3A0000}"/>
    <cellStyle name="Style 82 3 2" xfId="48029" xr:uid="{956F3A93-96BD-482C-AD3E-F8251F5AF062}"/>
    <cellStyle name="Style 82 4" xfId="16334" xr:uid="{00000000-0005-0000-0000-00009C3A0000}"/>
    <cellStyle name="Style 82 4 2" xfId="48030" xr:uid="{A472E41D-6FF5-4B95-A4DD-8BFD3E84C8DF}"/>
    <cellStyle name="Style 82 5" xfId="9251" xr:uid="{00000000-0005-0000-0000-00009D3A0000}"/>
    <cellStyle name="Style 82 5 2" xfId="48031" xr:uid="{3DF06233-319D-4248-8A4A-A212C8BCBA1C}"/>
    <cellStyle name="Style 82 6" xfId="48024" xr:uid="{BE8F9871-7C9C-4FA0-938D-345D761A673F}"/>
    <cellStyle name="Style 83" xfId="3180" xr:uid="{00000000-0005-0000-0000-00009E3A0000}"/>
    <cellStyle name="Style 83 2" xfId="3181" xr:uid="{00000000-0005-0000-0000-00009F3A0000}"/>
    <cellStyle name="Style 83 2 2" xfId="13302" xr:uid="{00000000-0005-0000-0000-0000A03A0000}"/>
    <cellStyle name="Style 83 2 2 2" xfId="48034" xr:uid="{46CB2380-5E59-46D2-9AEF-FD73BCE2AE55}"/>
    <cellStyle name="Style 83 2 3" xfId="16641" xr:uid="{00000000-0005-0000-0000-0000A13A0000}"/>
    <cellStyle name="Style 83 2 3 2" xfId="48035" xr:uid="{1163AAE5-5022-4804-81BF-086AF00ACB0D}"/>
    <cellStyle name="Style 83 2 4" xfId="9254" xr:uid="{00000000-0005-0000-0000-0000A23A0000}"/>
    <cellStyle name="Style 83 2 4 2" xfId="48036" xr:uid="{320180C1-22CC-4953-81DE-BBC0F7281C8E}"/>
    <cellStyle name="Style 83 2 5" xfId="48033" xr:uid="{45B265BB-8708-4FFC-A2B7-70239AB519E3}"/>
    <cellStyle name="Style 83 3" xfId="13301" xr:uid="{00000000-0005-0000-0000-0000A33A0000}"/>
    <cellStyle name="Style 83 3 2" xfId="48037" xr:uid="{990802BC-38B3-4239-A2F6-2D88C2541601}"/>
    <cellStyle name="Style 83 4" xfId="12879" xr:uid="{00000000-0005-0000-0000-0000A43A0000}"/>
    <cellStyle name="Style 83 4 2" xfId="48038" xr:uid="{21D0B3B1-3292-42D4-A17E-68262BEF6017}"/>
    <cellStyle name="Style 83 5" xfId="9253" xr:uid="{00000000-0005-0000-0000-0000A53A0000}"/>
    <cellStyle name="Style 83 5 2" xfId="48039" xr:uid="{42F9897D-BEBB-4DE2-9315-63D4E287C1FE}"/>
    <cellStyle name="Style 83 6" xfId="48032" xr:uid="{BC5A2B1C-E100-4D4F-820B-450E4D1E90F1}"/>
    <cellStyle name="Style 84" xfId="3182" xr:uid="{00000000-0005-0000-0000-0000A63A0000}"/>
    <cellStyle name="Style 84 2" xfId="3183" xr:uid="{00000000-0005-0000-0000-0000A73A0000}"/>
    <cellStyle name="Style 84 2 2" xfId="13304" xr:uid="{00000000-0005-0000-0000-0000A83A0000}"/>
    <cellStyle name="Style 84 2 2 2" xfId="48042" xr:uid="{7C903F54-CF05-4DFB-8B09-618B86835010}"/>
    <cellStyle name="Style 84 2 3" xfId="16651" xr:uid="{00000000-0005-0000-0000-0000A93A0000}"/>
    <cellStyle name="Style 84 2 3 2" xfId="48043" xr:uid="{0C87E057-7875-4986-AC3B-E4019F3022E1}"/>
    <cellStyle name="Style 84 2 4" xfId="9256" xr:uid="{00000000-0005-0000-0000-0000AA3A0000}"/>
    <cellStyle name="Style 84 2 4 2" xfId="48044" xr:uid="{2632927D-14F7-4D5E-94D8-2D89F3EE5923}"/>
    <cellStyle name="Style 84 2 5" xfId="48041" xr:uid="{2F5746BB-9627-450C-924A-2C033C6BBA91}"/>
    <cellStyle name="Style 84 3" xfId="13303" xr:uid="{00000000-0005-0000-0000-0000AB3A0000}"/>
    <cellStyle name="Style 84 3 2" xfId="48045" xr:uid="{EBA30A6D-1AF2-4026-9DE3-CEEA0E6C65B4}"/>
    <cellStyle name="Style 84 4" xfId="16340" xr:uid="{00000000-0005-0000-0000-0000AC3A0000}"/>
    <cellStyle name="Style 84 4 2" xfId="48046" xr:uid="{654973CC-853A-491D-AC89-8CF83FFB3B9F}"/>
    <cellStyle name="Style 84 5" xfId="9255" xr:uid="{00000000-0005-0000-0000-0000AD3A0000}"/>
    <cellStyle name="Style 84 5 2" xfId="48047" xr:uid="{56662E90-5E8D-4BE2-B7AE-97CD68BEAFE9}"/>
    <cellStyle name="Style 84 6" xfId="48040" xr:uid="{D5A0B213-27D1-4C0C-A2FE-3BACE56BE142}"/>
    <cellStyle name="Style 85" xfId="3184" xr:uid="{00000000-0005-0000-0000-0000AE3A0000}"/>
    <cellStyle name="Style 85 2" xfId="3185" xr:uid="{00000000-0005-0000-0000-0000AF3A0000}"/>
    <cellStyle name="Style 85 2 2" xfId="13306" xr:uid="{00000000-0005-0000-0000-0000B03A0000}"/>
    <cellStyle name="Style 85 2 2 2" xfId="48050" xr:uid="{5775434B-3FFF-4D97-AC56-12FE803DDA9E}"/>
    <cellStyle name="Style 85 2 3" xfId="13725" xr:uid="{00000000-0005-0000-0000-0000B13A0000}"/>
    <cellStyle name="Style 85 2 3 2" xfId="48051" xr:uid="{2275463C-538C-49E4-87AF-D00427EF3444}"/>
    <cellStyle name="Style 85 2 4" xfId="9258" xr:uid="{00000000-0005-0000-0000-0000B23A0000}"/>
    <cellStyle name="Style 85 2 4 2" xfId="48052" xr:uid="{0FE8F8F4-98FB-42F3-9950-261875EC2FF9}"/>
    <cellStyle name="Style 85 2 5" xfId="48049" xr:uid="{FECF63A5-BC91-4893-9DE5-1954E4CBCA4E}"/>
    <cellStyle name="Style 85 3" xfId="3186" xr:uid="{00000000-0005-0000-0000-0000B33A0000}"/>
    <cellStyle name="Style 85 3 2" xfId="13307" xr:uid="{00000000-0005-0000-0000-0000B43A0000}"/>
    <cellStyle name="Style 85 3 2 2" xfId="48054" xr:uid="{1FDB4A67-D0BB-4FAC-BF41-7409E4F15BE6}"/>
    <cellStyle name="Style 85 3 3" xfId="12520" xr:uid="{00000000-0005-0000-0000-0000B53A0000}"/>
    <cellStyle name="Style 85 3 3 2" xfId="48055" xr:uid="{6ED9B752-1CDB-4B46-B0C1-7F7146BAE595}"/>
    <cellStyle name="Style 85 3 4" xfId="9259" xr:uid="{00000000-0005-0000-0000-0000B63A0000}"/>
    <cellStyle name="Style 85 3 4 2" xfId="48056" xr:uid="{ABD14433-F9C2-45BE-AF8A-EE3DE9ABF7DA}"/>
    <cellStyle name="Style 85 3 5" xfId="48053" xr:uid="{C496C5CC-2451-45E4-A9FA-C2017D3A277B}"/>
    <cellStyle name="Style 85 4" xfId="13305" xr:uid="{00000000-0005-0000-0000-0000B73A0000}"/>
    <cellStyle name="Style 85 4 2" xfId="48057" xr:uid="{502F27C7-9A6D-4CEB-A753-DC41C02056F0}"/>
    <cellStyle name="Style 85 5" xfId="16533" xr:uid="{00000000-0005-0000-0000-0000B83A0000}"/>
    <cellStyle name="Style 85 5 2" xfId="48058" xr:uid="{B9288870-0F42-4C6A-A735-B4FDC14693D3}"/>
    <cellStyle name="Style 85 6" xfId="9257" xr:uid="{00000000-0005-0000-0000-0000B93A0000}"/>
    <cellStyle name="Style 85 6 2" xfId="48059" xr:uid="{1D81345A-91AB-4BF6-B903-718F08961A2F}"/>
    <cellStyle name="Style 85 7" xfId="48048" xr:uid="{011D2E4A-F1E4-4E4D-BB91-C27349B79641}"/>
    <cellStyle name="Style 86" xfId="3187" xr:uid="{00000000-0005-0000-0000-0000BA3A0000}"/>
    <cellStyle name="Style 86 2" xfId="3188" xr:uid="{00000000-0005-0000-0000-0000BB3A0000}"/>
    <cellStyle name="Style 86 2 2" xfId="13309" xr:uid="{00000000-0005-0000-0000-0000BC3A0000}"/>
    <cellStyle name="Style 86 2 2 2" xfId="48062" xr:uid="{06457FEB-28B5-477E-89F4-B5E5C343819E}"/>
    <cellStyle name="Style 86 2 3" xfId="16404" xr:uid="{00000000-0005-0000-0000-0000BD3A0000}"/>
    <cellStyle name="Style 86 2 3 2" xfId="48063" xr:uid="{AA6F21D4-DBBC-4081-8D74-6EA5378A8BCE}"/>
    <cellStyle name="Style 86 2 4" xfId="9261" xr:uid="{00000000-0005-0000-0000-0000BE3A0000}"/>
    <cellStyle name="Style 86 2 4 2" xfId="48064" xr:uid="{68D2C04A-B263-4B28-867A-7D882BD12F4D}"/>
    <cellStyle name="Style 86 2 5" xfId="48061" xr:uid="{3CFA8996-75C2-41A5-8A00-1C2B22C0FEFE}"/>
    <cellStyle name="Style 86 3" xfId="13308" xr:uid="{00000000-0005-0000-0000-0000BF3A0000}"/>
    <cellStyle name="Style 86 3 2" xfId="48065" xr:uid="{08AB4B7A-1989-45C9-A60E-C38F72C36715}"/>
    <cellStyle name="Style 86 4" xfId="12571" xr:uid="{00000000-0005-0000-0000-0000C03A0000}"/>
    <cellStyle name="Style 86 4 2" xfId="48066" xr:uid="{EB6E6E1B-3D8D-4AF7-9B02-EDBCD83BF76B}"/>
    <cellStyle name="Style 86 5" xfId="9260" xr:uid="{00000000-0005-0000-0000-0000C13A0000}"/>
    <cellStyle name="Style 86 5 2" xfId="48067" xr:uid="{0E86E4E0-EE63-4797-8252-134C414288B4}"/>
    <cellStyle name="Style 86 6" xfId="48060" xr:uid="{E19D0C9B-08B5-4D06-A4C6-7028E883E6CB}"/>
    <cellStyle name="Style 87" xfId="3189" xr:uid="{00000000-0005-0000-0000-0000C23A0000}"/>
    <cellStyle name="Style 87 2" xfId="3190" xr:uid="{00000000-0005-0000-0000-0000C33A0000}"/>
    <cellStyle name="Style 87 2 2" xfId="13311" xr:uid="{00000000-0005-0000-0000-0000C43A0000}"/>
    <cellStyle name="Style 87 2 2 2" xfId="48070" xr:uid="{117C3FF5-ADCD-43E9-A237-C8750A34332E}"/>
    <cellStyle name="Style 87 2 3" xfId="12590" xr:uid="{00000000-0005-0000-0000-0000C53A0000}"/>
    <cellStyle name="Style 87 2 3 2" xfId="48071" xr:uid="{2E627B9B-3691-480A-8BB5-C8C0F37AD4B7}"/>
    <cellStyle name="Style 87 2 4" xfId="9263" xr:uid="{00000000-0005-0000-0000-0000C63A0000}"/>
    <cellStyle name="Style 87 2 4 2" xfId="48072" xr:uid="{F4B19C37-49B9-4A98-AA5F-C43C03BF5F27}"/>
    <cellStyle name="Style 87 2 5" xfId="48069" xr:uid="{3F41D329-D050-4AAA-8CB9-BDD1111633B3}"/>
    <cellStyle name="Style 87 3" xfId="13310" xr:uid="{00000000-0005-0000-0000-0000C73A0000}"/>
    <cellStyle name="Style 87 3 2" xfId="48073" xr:uid="{0D3D17D7-D59D-43E4-BF00-BB1219CCA749}"/>
    <cellStyle name="Style 87 4" xfId="13491" xr:uid="{00000000-0005-0000-0000-0000C83A0000}"/>
    <cellStyle name="Style 87 4 2" xfId="48074" xr:uid="{74C8DD3C-9A5E-456F-A661-1F78BB19EC84}"/>
    <cellStyle name="Style 87 5" xfId="9262" xr:uid="{00000000-0005-0000-0000-0000C93A0000}"/>
    <cellStyle name="Style 87 5 2" xfId="48075" xr:uid="{27B4850F-1859-49B6-817B-9242FB26FB69}"/>
    <cellStyle name="Style 87 6" xfId="48068" xr:uid="{14CC7CF1-F40D-4075-B98C-3F12064A3FC0}"/>
    <cellStyle name="Style 93" xfId="3191" xr:uid="{00000000-0005-0000-0000-0000CA3A0000}"/>
    <cellStyle name="Style 93 2" xfId="3192" xr:uid="{00000000-0005-0000-0000-0000CB3A0000}"/>
    <cellStyle name="Style 93 2 2" xfId="13313" xr:uid="{00000000-0005-0000-0000-0000CC3A0000}"/>
    <cellStyle name="Style 93 2 2 2" xfId="48078" xr:uid="{0682AE35-2D00-4D8B-82F3-C7F340C0801E}"/>
    <cellStyle name="Style 93 2 3" xfId="13762" xr:uid="{00000000-0005-0000-0000-0000CD3A0000}"/>
    <cellStyle name="Style 93 2 3 2" xfId="48079" xr:uid="{2F480233-EF9A-482A-B89B-EFC8C4E2D533}"/>
    <cellStyle name="Style 93 2 4" xfId="9265" xr:uid="{00000000-0005-0000-0000-0000CE3A0000}"/>
    <cellStyle name="Style 93 2 4 2" xfId="48080" xr:uid="{8CF6B3F5-7636-448D-BCA8-6B4FC540756E}"/>
    <cellStyle name="Style 93 2 5" xfId="48077" xr:uid="{FDFF6A15-1581-49DD-84E2-066D6ECD6BE0}"/>
    <cellStyle name="Style 93 3" xfId="3193" xr:uid="{00000000-0005-0000-0000-0000CF3A0000}"/>
    <cellStyle name="Style 93 3 2" xfId="13314" xr:uid="{00000000-0005-0000-0000-0000D03A0000}"/>
    <cellStyle name="Style 93 3 2 2" xfId="48082" xr:uid="{1E8EBBA5-48BB-4C71-8EA2-18855C85FE2F}"/>
    <cellStyle name="Style 93 3 3" xfId="16614" xr:uid="{00000000-0005-0000-0000-0000D13A0000}"/>
    <cellStyle name="Style 93 3 3 2" xfId="48083" xr:uid="{2DE640EE-951B-4744-AB10-E2581B0D69B3}"/>
    <cellStyle name="Style 93 3 4" xfId="9266" xr:uid="{00000000-0005-0000-0000-0000D23A0000}"/>
    <cellStyle name="Style 93 3 4 2" xfId="48084" xr:uid="{3141D54F-7EB7-406C-B316-EE644715E3D1}"/>
    <cellStyle name="Style 93 3 5" xfId="48081" xr:uid="{DBCD3894-4C5A-4214-A831-202FBBD9BED8}"/>
    <cellStyle name="Style 93 4" xfId="13312" xr:uid="{00000000-0005-0000-0000-0000D33A0000}"/>
    <cellStyle name="Style 93 4 2" xfId="48085" xr:uid="{44E1D31F-4F34-4327-AB87-0E2081B9A851}"/>
    <cellStyle name="Style 93 5" xfId="16189" xr:uid="{00000000-0005-0000-0000-0000D43A0000}"/>
    <cellStyle name="Style 93 5 2" xfId="48086" xr:uid="{81508627-30F8-4D1F-8781-C6201276D070}"/>
    <cellStyle name="Style 93 6" xfId="9264" xr:uid="{00000000-0005-0000-0000-0000D53A0000}"/>
    <cellStyle name="Style 93 6 2" xfId="48087" xr:uid="{D87B468B-D3E4-477E-9BDE-2A76C9A43122}"/>
    <cellStyle name="Style 93 7" xfId="48076" xr:uid="{4248CC08-FC8E-4D1D-BD74-C02BBCD9886D}"/>
    <cellStyle name="Style 94" xfId="3194" xr:uid="{00000000-0005-0000-0000-0000D63A0000}"/>
    <cellStyle name="Style 94 2" xfId="3195" xr:uid="{00000000-0005-0000-0000-0000D73A0000}"/>
    <cellStyle name="Style 94 2 2" xfId="13316" xr:uid="{00000000-0005-0000-0000-0000D83A0000}"/>
    <cellStyle name="Style 94 2 2 2" xfId="48090" xr:uid="{2ED86081-F2A0-49AC-AAB7-20E705C85290}"/>
    <cellStyle name="Style 94 2 3" xfId="12509" xr:uid="{00000000-0005-0000-0000-0000D93A0000}"/>
    <cellStyle name="Style 94 2 3 2" xfId="48091" xr:uid="{FE50662D-85BD-41B4-81E7-40258065B5A9}"/>
    <cellStyle name="Style 94 2 4" xfId="9268" xr:uid="{00000000-0005-0000-0000-0000DA3A0000}"/>
    <cellStyle name="Style 94 2 4 2" xfId="48092" xr:uid="{DCB1D360-C84A-4BAC-A2BA-BFAFEC000974}"/>
    <cellStyle name="Style 94 2 5" xfId="48089" xr:uid="{A9DAF3FE-5845-4BE7-A5CD-2D4A8BAB98A3}"/>
    <cellStyle name="Style 94 3" xfId="13315" xr:uid="{00000000-0005-0000-0000-0000DB3A0000}"/>
    <cellStyle name="Style 94 3 2" xfId="48093" xr:uid="{A57C874D-FE23-41A4-AE7D-45F8D77E6500}"/>
    <cellStyle name="Style 94 4" xfId="13891" xr:uid="{00000000-0005-0000-0000-0000DC3A0000}"/>
    <cellStyle name="Style 94 4 2" xfId="48094" xr:uid="{B744D0B5-618E-4F2A-AB53-B6642D8A60A8}"/>
    <cellStyle name="Style 94 5" xfId="9267" xr:uid="{00000000-0005-0000-0000-0000DD3A0000}"/>
    <cellStyle name="Style 94 5 2" xfId="48095" xr:uid="{6FA6967A-C7E7-473B-9B96-F123B1AED326}"/>
    <cellStyle name="Style 94 6" xfId="48088" xr:uid="{F643BCD5-30C0-4837-9455-C9BA738EE412}"/>
    <cellStyle name="Style 95" xfId="3196" xr:uid="{00000000-0005-0000-0000-0000DE3A0000}"/>
    <cellStyle name="Style 95 2" xfId="3197" xr:uid="{00000000-0005-0000-0000-0000DF3A0000}"/>
    <cellStyle name="Style 95 2 2" xfId="13318" xr:uid="{00000000-0005-0000-0000-0000E03A0000}"/>
    <cellStyle name="Style 95 2 2 2" xfId="48098" xr:uid="{804B5355-CD34-4B6E-8974-D489C3A106BA}"/>
    <cellStyle name="Style 95 2 3" xfId="12759" xr:uid="{00000000-0005-0000-0000-0000E13A0000}"/>
    <cellStyle name="Style 95 2 3 2" xfId="48099" xr:uid="{F61CF8DB-3E5F-4539-BB21-CA482949E0FD}"/>
    <cellStyle name="Style 95 2 4" xfId="9270" xr:uid="{00000000-0005-0000-0000-0000E23A0000}"/>
    <cellStyle name="Style 95 2 4 2" xfId="48100" xr:uid="{E2D5D820-1AB1-49EC-93BD-2F0BEBE16F21}"/>
    <cellStyle name="Style 95 2 5" xfId="48097" xr:uid="{F2DD5616-C27B-4FC3-98A6-2D052033607B}"/>
    <cellStyle name="Style 95 3" xfId="13317" xr:uid="{00000000-0005-0000-0000-0000E33A0000}"/>
    <cellStyle name="Style 95 3 2" xfId="48101" xr:uid="{035736BA-345F-46C5-9203-FA52BDF85DBC}"/>
    <cellStyle name="Style 95 4" xfId="16658" xr:uid="{00000000-0005-0000-0000-0000E43A0000}"/>
    <cellStyle name="Style 95 4 2" xfId="48102" xr:uid="{476B02EA-E050-4996-B29D-889EA520F2A0}"/>
    <cellStyle name="Style 95 5" xfId="9269" xr:uid="{00000000-0005-0000-0000-0000E53A0000}"/>
    <cellStyle name="Style 95 5 2" xfId="48103" xr:uid="{DF8D9115-26B1-43AB-B862-6B4BD7BF174E}"/>
    <cellStyle name="Style 95 6" xfId="48096" xr:uid="{7195C975-1269-45D2-804A-6B7BE0B2C1DE}"/>
    <cellStyle name="Style 96" xfId="3198" xr:uid="{00000000-0005-0000-0000-0000E63A0000}"/>
    <cellStyle name="Style 96 2" xfId="3199" xr:uid="{00000000-0005-0000-0000-0000E73A0000}"/>
    <cellStyle name="Style 96 2 2" xfId="13320" xr:uid="{00000000-0005-0000-0000-0000E83A0000}"/>
    <cellStyle name="Style 96 2 2 2" xfId="48106" xr:uid="{1519EF08-4CBD-4F15-B486-C4DA9982F8FC}"/>
    <cellStyle name="Style 96 2 3" xfId="16392" xr:uid="{00000000-0005-0000-0000-0000E93A0000}"/>
    <cellStyle name="Style 96 2 3 2" xfId="48107" xr:uid="{93E7A63F-4DA0-4476-A906-2E046B66F7B4}"/>
    <cellStyle name="Style 96 2 4" xfId="9272" xr:uid="{00000000-0005-0000-0000-0000EA3A0000}"/>
    <cellStyle name="Style 96 2 4 2" xfId="48108" xr:uid="{1AD7FAAD-B607-4B79-9CDB-66B8BD35B655}"/>
    <cellStyle name="Style 96 2 5" xfId="48105" xr:uid="{D2963712-FD72-4AB2-87D1-BDA749D52339}"/>
    <cellStyle name="Style 96 3" xfId="13319" xr:uid="{00000000-0005-0000-0000-0000EB3A0000}"/>
    <cellStyle name="Style 96 3 2" xfId="48109" xr:uid="{6B80E0F4-D266-4534-8225-0D84A2601548}"/>
    <cellStyle name="Style 96 4" xfId="16590" xr:uid="{00000000-0005-0000-0000-0000EC3A0000}"/>
    <cellStyle name="Style 96 4 2" xfId="48110" xr:uid="{701FB984-C38B-4233-B0D3-DD281A74B312}"/>
    <cellStyle name="Style 96 5" xfId="9271" xr:uid="{00000000-0005-0000-0000-0000ED3A0000}"/>
    <cellStyle name="Style 96 5 2" xfId="48111" xr:uid="{1359E980-578A-468C-860A-E73448A86A41}"/>
    <cellStyle name="Style 96 6" xfId="48104" xr:uid="{8CD46962-2B6A-4D36-8890-82EC1101FEC9}"/>
    <cellStyle name="Style 97" xfId="3200" xr:uid="{00000000-0005-0000-0000-0000EE3A0000}"/>
    <cellStyle name="Style 97 2" xfId="3201" xr:uid="{00000000-0005-0000-0000-0000EF3A0000}"/>
    <cellStyle name="Style 97 2 2" xfId="13322" xr:uid="{00000000-0005-0000-0000-0000F03A0000}"/>
    <cellStyle name="Style 97 2 2 2" xfId="48114" xr:uid="{248B8D7B-537D-4A05-8B59-0FEE52632180}"/>
    <cellStyle name="Style 97 2 3" xfId="12864" xr:uid="{00000000-0005-0000-0000-0000F13A0000}"/>
    <cellStyle name="Style 97 2 3 2" xfId="48115" xr:uid="{56DF0E57-09E0-44D3-87E3-D51B5579D933}"/>
    <cellStyle name="Style 97 2 4" xfId="9274" xr:uid="{00000000-0005-0000-0000-0000F23A0000}"/>
    <cellStyle name="Style 97 2 4 2" xfId="48116" xr:uid="{372659B3-1E5D-41D7-81A3-EF3CCFA421F1}"/>
    <cellStyle name="Style 97 2 5" xfId="48113" xr:uid="{B2922523-F0C4-4DC8-B1B8-8B5D946F5086}"/>
    <cellStyle name="Style 97 3" xfId="3202" xr:uid="{00000000-0005-0000-0000-0000F33A0000}"/>
    <cellStyle name="Style 97 3 2" xfId="13323" xr:uid="{00000000-0005-0000-0000-0000F43A0000}"/>
    <cellStyle name="Style 97 3 2 2" xfId="48118" xr:uid="{B2B2CAAE-B182-433E-82CD-AFD07C941CCD}"/>
    <cellStyle name="Style 97 3 3" xfId="12849" xr:uid="{00000000-0005-0000-0000-0000F53A0000}"/>
    <cellStyle name="Style 97 3 3 2" xfId="48119" xr:uid="{E45943F8-1346-471C-9E8B-490DD75EF707}"/>
    <cellStyle name="Style 97 3 4" xfId="9275" xr:uid="{00000000-0005-0000-0000-0000F63A0000}"/>
    <cellStyle name="Style 97 3 4 2" xfId="48120" xr:uid="{44EB60FE-2C56-4E95-88A0-BA578E0149C4}"/>
    <cellStyle name="Style 97 3 5" xfId="48117" xr:uid="{7C34D8D2-531C-4524-AB2F-5D6F3506EAA0}"/>
    <cellStyle name="Style 97 4" xfId="13321" xr:uid="{00000000-0005-0000-0000-0000F73A0000}"/>
    <cellStyle name="Style 97 4 2" xfId="48121" xr:uid="{3CC2E256-6280-4786-8DC5-3C6BE8EBCD12}"/>
    <cellStyle name="Style 97 5" xfId="16426" xr:uid="{00000000-0005-0000-0000-0000F83A0000}"/>
    <cellStyle name="Style 97 5 2" xfId="48122" xr:uid="{C0B38914-4C07-4A01-8B83-5AB3058E2168}"/>
    <cellStyle name="Style 97 6" xfId="9273" xr:uid="{00000000-0005-0000-0000-0000F93A0000}"/>
    <cellStyle name="Style 97 6 2" xfId="48123" xr:uid="{387304FF-CC11-4D21-A4EB-001A5B4F3F2E}"/>
    <cellStyle name="Style 97 7" xfId="48112" xr:uid="{A8EC3A23-D3CA-4498-961D-D408A83C7908}"/>
    <cellStyle name="Style 98" xfId="3203" xr:uid="{00000000-0005-0000-0000-0000FA3A0000}"/>
    <cellStyle name="Style 98 2" xfId="3204" xr:uid="{00000000-0005-0000-0000-0000FB3A0000}"/>
    <cellStyle name="Style 98 2 2" xfId="13325" xr:uid="{00000000-0005-0000-0000-0000FC3A0000}"/>
    <cellStyle name="Style 98 2 2 2" xfId="48126" xr:uid="{B8A79006-65DC-4157-B723-97BE0787D117}"/>
    <cellStyle name="Style 98 2 3" xfId="12662" xr:uid="{00000000-0005-0000-0000-0000FD3A0000}"/>
    <cellStyle name="Style 98 2 3 2" xfId="48127" xr:uid="{E593E5C9-5E3B-4F3D-8391-48ED68AB399B}"/>
    <cellStyle name="Style 98 2 4" xfId="9277" xr:uid="{00000000-0005-0000-0000-0000FE3A0000}"/>
    <cellStyle name="Style 98 2 4 2" xfId="48128" xr:uid="{595323D3-9E6E-4268-80A1-BCE07A1DE821}"/>
    <cellStyle name="Style 98 2 5" xfId="48125" xr:uid="{B67165D2-3D4C-4F8D-B33B-3FE7E5E9EBFB}"/>
    <cellStyle name="Style 98 3" xfId="13324" xr:uid="{00000000-0005-0000-0000-0000FF3A0000}"/>
    <cellStyle name="Style 98 3 2" xfId="48129" xr:uid="{13D2BC74-082B-4B4D-8B5D-37B2C6342DDA}"/>
    <cellStyle name="Style 98 4" xfId="14317" xr:uid="{00000000-0005-0000-0000-0000003B0000}"/>
    <cellStyle name="Style 98 4 2" xfId="48130" xr:uid="{5E0D1BD6-CFA7-44AE-A655-4708A9FA5E64}"/>
    <cellStyle name="Style 98 5" xfId="9276" xr:uid="{00000000-0005-0000-0000-0000013B0000}"/>
    <cellStyle name="Style 98 5 2" xfId="48131" xr:uid="{58806CAA-962C-4B6A-9CC7-36DC537A6E71}"/>
    <cellStyle name="Style 98 6" xfId="48124" xr:uid="{61D1B12E-5249-4BF8-8ACC-F5AE7E3116BA}"/>
    <cellStyle name="Style 99" xfId="3205" xr:uid="{00000000-0005-0000-0000-0000023B0000}"/>
    <cellStyle name="Style 99 2" xfId="3206" xr:uid="{00000000-0005-0000-0000-0000033B0000}"/>
    <cellStyle name="Style 99 2 2" xfId="13327" xr:uid="{00000000-0005-0000-0000-0000043B0000}"/>
    <cellStyle name="Style 99 2 2 2" xfId="48134" xr:uid="{AA1C42FE-39B0-43DA-9810-1F84BFA13462}"/>
    <cellStyle name="Style 99 2 3" xfId="13652" xr:uid="{00000000-0005-0000-0000-0000053B0000}"/>
    <cellStyle name="Style 99 2 3 2" xfId="48135" xr:uid="{0E132728-BDA0-4BA0-9511-9933E78D0B56}"/>
    <cellStyle name="Style 99 2 4" xfId="9279" xr:uid="{00000000-0005-0000-0000-0000063B0000}"/>
    <cellStyle name="Style 99 2 4 2" xfId="48136" xr:uid="{0FFC9111-835D-4BA8-8EA9-D07BEA070C6C}"/>
    <cellStyle name="Style 99 2 5" xfId="48133" xr:uid="{335CC4EB-DC6D-46BE-A95B-E73321F726E5}"/>
    <cellStyle name="Style 99 3" xfId="13326" xr:uid="{00000000-0005-0000-0000-0000073B0000}"/>
    <cellStyle name="Style 99 3 2" xfId="48137" xr:uid="{70733E2D-81A3-4365-B33F-A7ACC8252620}"/>
    <cellStyle name="Style 99 4" xfId="13512" xr:uid="{00000000-0005-0000-0000-0000083B0000}"/>
    <cellStyle name="Style 99 4 2" xfId="48138" xr:uid="{4B710DA2-8BD9-49CD-803B-6509A2AFF706}"/>
    <cellStyle name="Style 99 5" xfId="9278" xr:uid="{00000000-0005-0000-0000-0000093B0000}"/>
    <cellStyle name="Style 99 5 2" xfId="48139" xr:uid="{53CF4ABC-3026-4AD5-9836-9A6524DF5246}"/>
    <cellStyle name="Style 99 6" xfId="48132" xr:uid="{7C34B24E-66A2-4395-A3D8-7028C0363BB6}"/>
    <cellStyle name="tableau | cellule | normal | decimal 1" xfId="274" xr:uid="{00000000-0005-0000-0000-00000A3B0000}"/>
    <cellStyle name="tableau | cellule | normal | decimal 1 10" xfId="48140" xr:uid="{6890FC02-35B2-4EA3-A36D-8AD6F6191828}"/>
    <cellStyle name="tableau | cellule | normal | decimal 1 2" xfId="11284" xr:uid="{00000000-0005-0000-0000-00000B3B0000}"/>
    <cellStyle name="tableau | cellule | normal | decimal 1 2 2" xfId="48141" xr:uid="{1022DC38-B897-431A-86FC-17B595D92D53}"/>
    <cellStyle name="tableau | cellule | normal | decimal 1 3" xfId="11285" xr:uid="{00000000-0005-0000-0000-00000C3B0000}"/>
    <cellStyle name="tableau | cellule | normal | decimal 1 3 2" xfId="48142" xr:uid="{1A05C51A-17BD-432B-B191-CC2DF1140F64}"/>
    <cellStyle name="tableau | cellule | normal | decimal 1 4" xfId="11286" xr:uid="{00000000-0005-0000-0000-00000D3B0000}"/>
    <cellStyle name="tableau | cellule | normal | decimal 1 4 2" xfId="48143" xr:uid="{7FF33A0D-D782-468C-AAD2-82B5619301DB}"/>
    <cellStyle name="tableau | cellule | normal | decimal 1 5" xfId="11287" xr:uid="{00000000-0005-0000-0000-00000E3B0000}"/>
    <cellStyle name="tableau | cellule | normal | decimal 1 5 2" xfId="48144" xr:uid="{913AF96A-B167-4F00-BD8F-E8F03D0DD8D3}"/>
    <cellStyle name="tableau | cellule | normal | decimal 1 6" xfId="11288" xr:uid="{00000000-0005-0000-0000-00000F3B0000}"/>
    <cellStyle name="tableau | cellule | normal | decimal 1 6 2" xfId="48145" xr:uid="{10EE2836-1C8E-4878-8263-F66227510952}"/>
    <cellStyle name="tableau | cellule | normal | decimal 1 7" xfId="12380" xr:uid="{00000000-0005-0000-0000-0000103B0000}"/>
    <cellStyle name="tableau | cellule | normal | decimal 1 7 2" xfId="48146" xr:uid="{C54BE6B0-077A-4451-9FB5-BB2408CC994E}"/>
    <cellStyle name="tableau | cellule | normal | decimal 1 8" xfId="16645" xr:uid="{00000000-0005-0000-0000-0000113B0000}"/>
    <cellStyle name="tableau | cellule | normal | decimal 1 8 2" xfId="48147" xr:uid="{F78009D8-B9C0-4F95-8AC5-C443EAB4ECB3}"/>
    <cellStyle name="tableau | cellule | normal | decimal 1 9" xfId="9280" xr:uid="{00000000-0005-0000-0000-0000123B0000}"/>
    <cellStyle name="tableau | cellule | normal | decimal 1 9 2" xfId="48148" xr:uid="{BDB9E9A4-3CD7-4FA2-A6C9-028A288F5A11}"/>
    <cellStyle name="tableau | cellule | normal | pourcentage | decimal 1" xfId="275" xr:uid="{00000000-0005-0000-0000-0000133B0000}"/>
    <cellStyle name="tableau | cellule | normal | pourcentage | decimal 1 10" xfId="48149" xr:uid="{C5EA147F-EFAE-495F-BF48-2E3A5A4FD10D}"/>
    <cellStyle name="tableau | cellule | normal | pourcentage | decimal 1 2" xfId="11289" xr:uid="{00000000-0005-0000-0000-0000143B0000}"/>
    <cellStyle name="tableau | cellule | normal | pourcentage | decimal 1 2 2" xfId="48150" xr:uid="{06326A84-E7BA-48C3-871E-A98181EE8515}"/>
    <cellStyle name="tableau | cellule | normal | pourcentage | decimal 1 3" xfId="11290" xr:uid="{00000000-0005-0000-0000-0000153B0000}"/>
    <cellStyle name="tableau | cellule | normal | pourcentage | decimal 1 3 2" xfId="48151" xr:uid="{1BF106A9-BB8B-41A7-8298-A16F35135E18}"/>
    <cellStyle name="tableau | cellule | normal | pourcentage | decimal 1 4" xfId="11291" xr:uid="{00000000-0005-0000-0000-0000163B0000}"/>
    <cellStyle name="tableau | cellule | normal | pourcentage | decimal 1 4 2" xfId="48152" xr:uid="{432CB425-DAFB-4D17-AC53-F949C3A7DA3F}"/>
    <cellStyle name="tableau | cellule | normal | pourcentage | decimal 1 5" xfId="11292" xr:uid="{00000000-0005-0000-0000-0000173B0000}"/>
    <cellStyle name="tableau | cellule | normal | pourcentage | decimal 1 5 2" xfId="48153" xr:uid="{7DD58CF0-E77A-4F0F-AC6D-265ACC9E628D}"/>
    <cellStyle name="tableau | cellule | normal | pourcentage | decimal 1 6" xfId="11293" xr:uid="{00000000-0005-0000-0000-0000183B0000}"/>
    <cellStyle name="tableau | cellule | normal | pourcentage | decimal 1 6 2" xfId="48154" xr:uid="{0D5C8DB3-9F05-4638-904B-B9C67CA66106}"/>
    <cellStyle name="tableau | cellule | normal | pourcentage | decimal 1 7" xfId="12379" xr:uid="{00000000-0005-0000-0000-0000193B0000}"/>
    <cellStyle name="tableau | cellule | normal | pourcentage | decimal 1 7 2" xfId="48155" xr:uid="{60B38ED6-D97C-4C4D-87B0-8C04634EB2F6}"/>
    <cellStyle name="tableau | cellule | normal | pourcentage | decimal 1 8" xfId="12483" xr:uid="{00000000-0005-0000-0000-00001A3B0000}"/>
    <cellStyle name="tableau | cellule | normal | pourcentage | decimal 1 8 2" xfId="48156" xr:uid="{BC8B178F-E275-4A7C-AA2D-971A8736DDFE}"/>
    <cellStyle name="tableau | cellule | normal | pourcentage | decimal 1 9" xfId="9281" xr:uid="{00000000-0005-0000-0000-00001B3B0000}"/>
    <cellStyle name="tableau | cellule | normal | pourcentage | decimal 1 9 2" xfId="48157" xr:uid="{CC6B1903-D379-4D55-AF2E-192732CED397}"/>
    <cellStyle name="tableau | cellule | total | decimal 1" xfId="276" xr:uid="{00000000-0005-0000-0000-00001C3B0000}"/>
    <cellStyle name="tableau | cellule | total | decimal 1 10" xfId="48158" xr:uid="{33D291E0-B18A-48BE-8C53-84F991FFAC39}"/>
    <cellStyle name="tableau | cellule | total | decimal 1 2" xfId="11294" xr:uid="{00000000-0005-0000-0000-00001D3B0000}"/>
    <cellStyle name="tableau | cellule | total | decimal 1 2 2" xfId="48159" xr:uid="{B83E4D8E-7184-4A7A-AAB6-12D535526EBF}"/>
    <cellStyle name="tableau | cellule | total | decimal 1 3" xfId="11295" xr:uid="{00000000-0005-0000-0000-00001E3B0000}"/>
    <cellStyle name="tableau | cellule | total | decimal 1 3 2" xfId="48160" xr:uid="{31012632-52E7-4BE0-99B0-B31E38D03EBD}"/>
    <cellStyle name="tableau | cellule | total | decimal 1 4" xfId="11296" xr:uid="{00000000-0005-0000-0000-00001F3B0000}"/>
    <cellStyle name="tableau | cellule | total | decimal 1 4 2" xfId="48161" xr:uid="{4DE66263-FBC2-4D1D-91B7-3C708757B062}"/>
    <cellStyle name="tableau | cellule | total | decimal 1 5" xfId="11297" xr:uid="{00000000-0005-0000-0000-0000203B0000}"/>
    <cellStyle name="tableau | cellule | total | decimal 1 5 2" xfId="48162" xr:uid="{0CB8ADC8-BDD7-4D4C-8FDF-994AF9436B64}"/>
    <cellStyle name="tableau | cellule | total | decimal 1 6" xfId="11298" xr:uid="{00000000-0005-0000-0000-0000213B0000}"/>
    <cellStyle name="tableau | cellule | total | decimal 1 6 2" xfId="48163" xr:uid="{5B922733-557D-4FC0-91AE-2E9F370CEB9A}"/>
    <cellStyle name="tableau | cellule | total | decimal 1 7" xfId="12378" xr:uid="{00000000-0005-0000-0000-0000223B0000}"/>
    <cellStyle name="tableau | cellule | total | decimal 1 7 2" xfId="48164" xr:uid="{2D4E7251-B901-4E57-8DF3-D62555976BAC}"/>
    <cellStyle name="tableau | cellule | total | decimal 1 8" xfId="16322" xr:uid="{00000000-0005-0000-0000-0000233B0000}"/>
    <cellStyle name="tableau | cellule | total | decimal 1 8 2" xfId="48165" xr:uid="{E6C93D7F-CB7C-4A57-84EE-286FAD5DFE18}"/>
    <cellStyle name="tableau | cellule | total | decimal 1 9" xfId="9282" xr:uid="{00000000-0005-0000-0000-0000243B0000}"/>
    <cellStyle name="tableau | cellule | total | decimal 1 9 2" xfId="48166" xr:uid="{7ECD9CCF-F2AB-406D-A394-CAB0ACF95989}"/>
    <cellStyle name="tableau | coin superieur gauche" xfId="277" xr:uid="{00000000-0005-0000-0000-0000253B0000}"/>
    <cellStyle name="tableau | coin superieur gauche 10" xfId="48167" xr:uid="{22E6A17F-8BCB-45E1-9395-3466030A063B}"/>
    <cellStyle name="tableau | coin superieur gauche 2" xfId="11299" xr:uid="{00000000-0005-0000-0000-0000263B0000}"/>
    <cellStyle name="tableau | coin superieur gauche 2 2" xfId="48168" xr:uid="{F924199E-F92F-4920-9393-4A4064FD4E81}"/>
    <cellStyle name="tableau | coin superieur gauche 3" xfId="11300" xr:uid="{00000000-0005-0000-0000-0000273B0000}"/>
    <cellStyle name="tableau | coin superieur gauche 3 2" xfId="48169" xr:uid="{FD83F356-1616-4EE9-A198-F6B178428D7F}"/>
    <cellStyle name="tableau | coin superieur gauche 4" xfId="11301" xr:uid="{00000000-0005-0000-0000-0000283B0000}"/>
    <cellStyle name="tableau | coin superieur gauche 4 2" xfId="48170" xr:uid="{5CE3E519-CE88-4DB4-85FA-A1484F80F0C6}"/>
    <cellStyle name="tableau | coin superieur gauche 5" xfId="11302" xr:uid="{00000000-0005-0000-0000-0000293B0000}"/>
    <cellStyle name="tableau | coin superieur gauche 5 2" xfId="48171" xr:uid="{00E331BB-A11A-4C0F-9E8F-FC7451D27784}"/>
    <cellStyle name="tableau | coin superieur gauche 6" xfId="11303" xr:uid="{00000000-0005-0000-0000-00002A3B0000}"/>
    <cellStyle name="tableau | coin superieur gauche 6 2" xfId="48172" xr:uid="{A9F65CFF-0ACB-4CBC-B63C-17DDBB4F8D42}"/>
    <cellStyle name="tableau | coin superieur gauche 7" xfId="12377" xr:uid="{00000000-0005-0000-0000-00002B3B0000}"/>
    <cellStyle name="tableau | coin superieur gauche 7 2" xfId="48173" xr:uid="{B8F0D773-E051-423E-816B-FFEBE628F5F0}"/>
    <cellStyle name="tableau | coin superieur gauche 8" xfId="12431" xr:uid="{00000000-0005-0000-0000-00002C3B0000}"/>
    <cellStyle name="tableau | coin superieur gauche 8 2" xfId="48174" xr:uid="{4D78CDFC-9636-4EDF-A4BB-627A52D3A83D}"/>
    <cellStyle name="tableau | coin superieur gauche 9" xfId="9283" xr:uid="{00000000-0005-0000-0000-00002D3B0000}"/>
    <cellStyle name="tableau | coin superieur gauche 9 2" xfId="48175" xr:uid="{95D5EFA0-1A51-4EFD-AA73-29A521C88206}"/>
    <cellStyle name="tableau | entete-colonne | series" xfId="278" xr:uid="{00000000-0005-0000-0000-00002E3B0000}"/>
    <cellStyle name="tableau | entete-colonne | series 10" xfId="48176" xr:uid="{8934932B-3ABA-4756-B56E-05FE2D086ABB}"/>
    <cellStyle name="tableau | entete-colonne | series 2" xfId="11304" xr:uid="{00000000-0005-0000-0000-00002F3B0000}"/>
    <cellStyle name="tableau | entete-colonne | series 2 2" xfId="48177" xr:uid="{540EAAC8-687C-4655-ABE0-7BE3A9D8A9F4}"/>
    <cellStyle name="tableau | entete-colonne | series 3" xfId="11305" xr:uid="{00000000-0005-0000-0000-0000303B0000}"/>
    <cellStyle name="tableau | entete-colonne | series 3 2" xfId="48178" xr:uid="{A45E5B12-DFA7-48E6-A61D-555FBA9F5EEC}"/>
    <cellStyle name="tableau | entete-colonne | series 4" xfId="11306" xr:uid="{00000000-0005-0000-0000-0000313B0000}"/>
    <cellStyle name="tableau | entete-colonne | series 4 2" xfId="48179" xr:uid="{F81E1E79-D058-4B1C-9C63-87FBA01CF644}"/>
    <cellStyle name="tableau | entete-colonne | series 5" xfId="11307" xr:uid="{00000000-0005-0000-0000-0000323B0000}"/>
    <cellStyle name="tableau | entete-colonne | series 5 2" xfId="48180" xr:uid="{1A3CB38F-8F1B-4C55-99EF-5852AFD17D9F}"/>
    <cellStyle name="tableau | entete-colonne | series 6" xfId="11308" xr:uid="{00000000-0005-0000-0000-0000333B0000}"/>
    <cellStyle name="tableau | entete-colonne | series 6 2" xfId="48181" xr:uid="{5E66046C-919A-4245-99A5-28A8EBB4FFC4}"/>
    <cellStyle name="tableau | entete-colonne | series 7" xfId="12376" xr:uid="{00000000-0005-0000-0000-0000343B0000}"/>
    <cellStyle name="tableau | entete-colonne | series 7 2" xfId="48182" xr:uid="{7B1A193E-FAA8-410D-A400-6F50C15036BC}"/>
    <cellStyle name="tableau | entete-colonne | series 8" xfId="16573" xr:uid="{00000000-0005-0000-0000-0000353B0000}"/>
    <cellStyle name="tableau | entete-colonne | series 8 2" xfId="48183" xr:uid="{1BF09AEB-49CA-49B0-9361-4DB5DDF77F12}"/>
    <cellStyle name="tableau | entete-colonne | series 9" xfId="9284" xr:uid="{00000000-0005-0000-0000-0000363B0000}"/>
    <cellStyle name="tableau | entete-colonne | series 9 2" xfId="48184" xr:uid="{14A7E681-7688-49D7-A4C2-BFB530D59447}"/>
    <cellStyle name="tableau | entete-ligne | normal" xfId="279" xr:uid="{00000000-0005-0000-0000-0000373B0000}"/>
    <cellStyle name="tableau | entete-ligne | normal 10" xfId="48185" xr:uid="{50E9C7A9-EDC1-4506-899A-AFA251BCE221}"/>
    <cellStyle name="tableau | entete-ligne | normal 2" xfId="11309" xr:uid="{00000000-0005-0000-0000-0000383B0000}"/>
    <cellStyle name="tableau | entete-ligne | normal 2 2" xfId="48186" xr:uid="{6FBD0F46-A0E9-4D68-8360-EFF7EF9AAD4C}"/>
    <cellStyle name="tableau | entete-ligne | normal 3" xfId="11310" xr:uid="{00000000-0005-0000-0000-0000393B0000}"/>
    <cellStyle name="tableau | entete-ligne | normal 3 2" xfId="48187" xr:uid="{83472FB4-384D-4331-BC51-4A1451BFC1BF}"/>
    <cellStyle name="tableau | entete-ligne | normal 4" xfId="11311" xr:uid="{00000000-0005-0000-0000-00003A3B0000}"/>
    <cellStyle name="tableau | entete-ligne | normal 4 2" xfId="48188" xr:uid="{15E86590-5320-4A8A-A4E7-2CDDAE5A902C}"/>
    <cellStyle name="tableau | entete-ligne | normal 5" xfId="11312" xr:uid="{00000000-0005-0000-0000-00003B3B0000}"/>
    <cellStyle name="tableau | entete-ligne | normal 5 2" xfId="48189" xr:uid="{0AC2315E-8101-4381-9104-F3DC4E5AA180}"/>
    <cellStyle name="tableau | entete-ligne | normal 6" xfId="11313" xr:uid="{00000000-0005-0000-0000-00003C3B0000}"/>
    <cellStyle name="tableau | entete-ligne | normal 6 2" xfId="48190" xr:uid="{5C41E145-5CE3-4F6A-873E-B2DB1CE73ECF}"/>
    <cellStyle name="tableau | entete-ligne | normal 7" xfId="12375" xr:uid="{00000000-0005-0000-0000-00003D3B0000}"/>
    <cellStyle name="tableau | entete-ligne | normal 7 2" xfId="48191" xr:uid="{B99A600D-7DD9-4D0A-8CE1-8E657D53529C}"/>
    <cellStyle name="tableau | entete-ligne | normal 8" xfId="16634" xr:uid="{00000000-0005-0000-0000-00003E3B0000}"/>
    <cellStyle name="tableau | entete-ligne | normal 8 2" xfId="48192" xr:uid="{20E2C711-E8F8-4AE5-9812-36DDA7382C1C}"/>
    <cellStyle name="tableau | entete-ligne | normal 9" xfId="9285" xr:uid="{00000000-0005-0000-0000-00003F3B0000}"/>
    <cellStyle name="tableau | entete-ligne | normal 9 2" xfId="48193" xr:uid="{3BAF9124-C927-428A-848C-7942039D1FDD}"/>
    <cellStyle name="tableau | entete-ligne | total" xfId="280" xr:uid="{00000000-0005-0000-0000-0000403B0000}"/>
    <cellStyle name="tableau | entete-ligne | total 10" xfId="48194" xr:uid="{DC457896-FC9E-4E24-8990-7570673FCC5D}"/>
    <cellStyle name="tableau | entete-ligne | total 2" xfId="11314" xr:uid="{00000000-0005-0000-0000-0000413B0000}"/>
    <cellStyle name="tableau | entete-ligne | total 2 2" xfId="48195" xr:uid="{1018FFFC-BEDD-4E55-A16A-56D38F0D7FC9}"/>
    <cellStyle name="tableau | entete-ligne | total 3" xfId="11315" xr:uid="{00000000-0005-0000-0000-0000423B0000}"/>
    <cellStyle name="tableau | entete-ligne | total 3 2" xfId="48196" xr:uid="{0B2103DF-3CC2-43F6-86B8-88F6A9E84F45}"/>
    <cellStyle name="tableau | entete-ligne | total 4" xfId="11316" xr:uid="{00000000-0005-0000-0000-0000433B0000}"/>
    <cellStyle name="tableau | entete-ligne | total 4 2" xfId="48197" xr:uid="{0F3FF444-320C-4CAC-AF1A-2645A24DF128}"/>
    <cellStyle name="tableau | entete-ligne | total 5" xfId="11317" xr:uid="{00000000-0005-0000-0000-0000443B0000}"/>
    <cellStyle name="tableau | entete-ligne | total 5 2" xfId="48198" xr:uid="{EC4A3C43-823E-49F4-9C28-E2243824656C}"/>
    <cellStyle name="tableau | entete-ligne | total 6" xfId="11318" xr:uid="{00000000-0005-0000-0000-0000453B0000}"/>
    <cellStyle name="tableau | entete-ligne | total 6 2" xfId="48199" xr:uid="{AF1013D6-5033-4F7A-878C-102C0B3D3EC5}"/>
    <cellStyle name="tableau | entete-ligne | total 7" xfId="12374" xr:uid="{00000000-0005-0000-0000-0000463B0000}"/>
    <cellStyle name="tableau | entete-ligne | total 7 2" xfId="48200" xr:uid="{61277189-6AD4-4BB2-8234-E0A5614A87CE}"/>
    <cellStyle name="tableau | entete-ligne | total 8" xfId="12823" xr:uid="{00000000-0005-0000-0000-0000473B0000}"/>
    <cellStyle name="tableau | entete-ligne | total 8 2" xfId="48201" xr:uid="{4C24FEB7-497A-49B9-B5C6-82E3B2BD28A5}"/>
    <cellStyle name="tableau | entete-ligne | total 9" xfId="9286" xr:uid="{00000000-0005-0000-0000-0000483B0000}"/>
    <cellStyle name="tableau | entete-ligne | total 9 2" xfId="48202" xr:uid="{36C924E5-CA48-4476-841F-771FB57A081C}"/>
    <cellStyle name="tableau | ligne-titre | niveau1" xfId="281" xr:uid="{00000000-0005-0000-0000-0000493B0000}"/>
    <cellStyle name="tableau | ligne-titre | niveau1 10" xfId="48203" xr:uid="{946E6854-07C9-481C-82F5-37E1C338759E}"/>
    <cellStyle name="tableau | ligne-titre | niveau1 2" xfId="11319" xr:uid="{00000000-0005-0000-0000-00004A3B0000}"/>
    <cellStyle name="tableau | ligne-titre | niveau1 2 2" xfId="48204" xr:uid="{38F448B6-D6EF-49DB-8E03-42613F55FD65}"/>
    <cellStyle name="tableau | ligne-titre | niveau1 3" xfId="11320" xr:uid="{00000000-0005-0000-0000-00004B3B0000}"/>
    <cellStyle name="tableau | ligne-titre | niveau1 3 2" xfId="48205" xr:uid="{30757C76-941A-4FB4-A96C-20625B15C87F}"/>
    <cellStyle name="tableau | ligne-titre | niveau1 4" xfId="11321" xr:uid="{00000000-0005-0000-0000-00004C3B0000}"/>
    <cellStyle name="tableau | ligne-titre | niveau1 4 2" xfId="48206" xr:uid="{1131F638-72C6-4F7B-BDA5-98853049F0BD}"/>
    <cellStyle name="tableau | ligne-titre | niveau1 5" xfId="11322" xr:uid="{00000000-0005-0000-0000-00004D3B0000}"/>
    <cellStyle name="tableau | ligne-titre | niveau1 5 2" xfId="48207" xr:uid="{2CB832EE-EE17-4C9C-9E96-3AB9612D832A}"/>
    <cellStyle name="tableau | ligne-titre | niveau1 6" xfId="11323" xr:uid="{00000000-0005-0000-0000-00004E3B0000}"/>
    <cellStyle name="tableau | ligne-titre | niveau1 6 2" xfId="48208" xr:uid="{0B8BBED2-22F4-4986-A32F-28EFA6216C3E}"/>
    <cellStyle name="tableau | ligne-titre | niveau1 7" xfId="12373" xr:uid="{00000000-0005-0000-0000-00004F3B0000}"/>
    <cellStyle name="tableau | ligne-titre | niveau1 7 2" xfId="48209" xr:uid="{471030DF-FC7D-44DC-8A8B-75A966D32E23}"/>
    <cellStyle name="tableau | ligne-titre | niveau1 8" xfId="16222" xr:uid="{00000000-0005-0000-0000-0000503B0000}"/>
    <cellStyle name="tableau | ligne-titre | niveau1 8 2" xfId="48210" xr:uid="{C5CAF029-025B-4AFA-A86E-250599B62B9D}"/>
    <cellStyle name="tableau | ligne-titre | niveau1 9" xfId="9287" xr:uid="{00000000-0005-0000-0000-0000513B0000}"/>
    <cellStyle name="tableau | ligne-titre | niveau1 9 2" xfId="48211" xr:uid="{160744EE-4A14-4B41-9B14-7FF2A330880C}"/>
    <cellStyle name="tableau | ligne-titre | niveau2" xfId="282" xr:uid="{00000000-0005-0000-0000-0000523B0000}"/>
    <cellStyle name="tableau | ligne-titre | niveau2 10" xfId="48212" xr:uid="{C74164E5-A70D-43A9-AD5D-0BA5B55B5924}"/>
    <cellStyle name="tableau | ligne-titre | niveau2 2" xfId="11324" xr:uid="{00000000-0005-0000-0000-0000533B0000}"/>
    <cellStyle name="tableau | ligne-titre | niveau2 2 2" xfId="48213" xr:uid="{C48F0407-E58F-4973-9202-355470618C63}"/>
    <cellStyle name="tableau | ligne-titre | niveau2 3" xfId="11325" xr:uid="{00000000-0005-0000-0000-0000543B0000}"/>
    <cellStyle name="tableau | ligne-titre | niveau2 3 2" xfId="48214" xr:uid="{37894702-D61E-4B8A-B250-6C12E68D50DB}"/>
    <cellStyle name="tableau | ligne-titre | niveau2 4" xfId="11326" xr:uid="{00000000-0005-0000-0000-0000553B0000}"/>
    <cellStyle name="tableau | ligne-titre | niveau2 4 2" xfId="48215" xr:uid="{9DD63021-309C-4FB6-BB7D-AF90A66C751E}"/>
    <cellStyle name="tableau | ligne-titre | niveau2 5" xfId="11327" xr:uid="{00000000-0005-0000-0000-0000563B0000}"/>
    <cellStyle name="tableau | ligne-titre | niveau2 5 2" xfId="48216" xr:uid="{24AAAA8F-3531-42B3-BCFD-02A3167641D0}"/>
    <cellStyle name="tableau | ligne-titre | niveau2 6" xfId="11328" xr:uid="{00000000-0005-0000-0000-0000573B0000}"/>
    <cellStyle name="tableau | ligne-titre | niveau2 6 2" xfId="48217" xr:uid="{06FE8449-CCBF-47E3-95BE-81F1A0D4CF38}"/>
    <cellStyle name="tableau | ligne-titre | niveau2 7" xfId="12372" xr:uid="{00000000-0005-0000-0000-0000583B0000}"/>
    <cellStyle name="tableau | ligne-titre | niveau2 7 2" xfId="48218" xr:uid="{282B2A8B-DD7B-4837-AA57-931EBB8CD457}"/>
    <cellStyle name="tableau | ligne-titre | niveau2 8" xfId="16309" xr:uid="{00000000-0005-0000-0000-0000593B0000}"/>
    <cellStyle name="tableau | ligne-titre | niveau2 8 2" xfId="48219" xr:uid="{641E9AA5-CB19-4C2A-B4DB-160DE38F99F1}"/>
    <cellStyle name="tableau | ligne-titre | niveau2 9" xfId="9288" xr:uid="{00000000-0005-0000-0000-00005A3B0000}"/>
    <cellStyle name="tableau | ligne-titre | niveau2 9 2" xfId="48220" xr:uid="{1C44AAC6-80AA-4310-86E9-D9FDED876710}"/>
    <cellStyle name="Title 10" xfId="3207" xr:uid="{00000000-0005-0000-0000-00005B3B0000}"/>
    <cellStyle name="Title 10 10" xfId="48221" xr:uid="{2141DAB6-CE97-4D86-B364-9BF94C95E99A}"/>
    <cellStyle name="Title 10 2" xfId="11329" xr:uid="{00000000-0005-0000-0000-00005C3B0000}"/>
    <cellStyle name="Title 10 2 2" xfId="48222" xr:uid="{FEDF417F-B71B-4ECD-B4AF-E665EEAAE68C}"/>
    <cellStyle name="Title 10 3" xfId="11330" xr:uid="{00000000-0005-0000-0000-00005D3B0000}"/>
    <cellStyle name="Title 10 3 2" xfId="48223" xr:uid="{7AF81E1C-7E51-4CA0-B0E6-3289C731FBF1}"/>
    <cellStyle name="Title 10 4" xfId="11331" xr:uid="{00000000-0005-0000-0000-00005E3B0000}"/>
    <cellStyle name="Title 10 4 2" xfId="48224" xr:uid="{757D072A-C623-4844-BDD0-635E52771D5B}"/>
    <cellStyle name="Title 10 5" xfId="11332" xr:uid="{00000000-0005-0000-0000-00005F3B0000}"/>
    <cellStyle name="Title 10 5 2" xfId="48225" xr:uid="{D13A1C29-FE4A-44CE-BFA0-60765A1C4850}"/>
    <cellStyle name="Title 10 6" xfId="11333" xr:uid="{00000000-0005-0000-0000-0000603B0000}"/>
    <cellStyle name="Title 10 6 2" xfId="48226" xr:uid="{B4FE1A29-B1EC-4CB4-8428-D9D243A90EE0}"/>
    <cellStyle name="Title 10 7" xfId="13328" xr:uid="{00000000-0005-0000-0000-0000613B0000}"/>
    <cellStyle name="Title 10 7 2" xfId="48227" xr:uid="{4F9E8EDD-0FEA-4950-83A0-4CBA89B62024}"/>
    <cellStyle name="Title 10 8" xfId="12844" xr:uid="{00000000-0005-0000-0000-0000623B0000}"/>
    <cellStyle name="Title 10 8 2" xfId="48228" xr:uid="{A9BFBB2D-230C-4844-A636-6ECF7A43301B}"/>
    <cellStyle name="Title 10 9" xfId="9289" xr:uid="{00000000-0005-0000-0000-0000633B0000}"/>
    <cellStyle name="Title 10 9 2" xfId="48229" xr:uid="{D89C45F1-E091-4D20-86C1-660DBDAF4815}"/>
    <cellStyle name="Title 11" xfId="3208" xr:uid="{00000000-0005-0000-0000-0000643B0000}"/>
    <cellStyle name="Title 11 10" xfId="48230" xr:uid="{E8740BD8-3FBD-4C63-A8C2-9CADE767DFD1}"/>
    <cellStyle name="Title 11 2" xfId="11334" xr:uid="{00000000-0005-0000-0000-0000653B0000}"/>
    <cellStyle name="Title 11 2 2" xfId="48231" xr:uid="{0EFBE302-E5C0-45A9-8C2A-BFF4E48DDD17}"/>
    <cellStyle name="Title 11 3" xfId="11335" xr:uid="{00000000-0005-0000-0000-0000663B0000}"/>
    <cellStyle name="Title 11 3 2" xfId="48232" xr:uid="{87AA2F0A-831B-4048-BF46-5DEA8EB77948}"/>
    <cellStyle name="Title 11 4" xfId="11336" xr:uid="{00000000-0005-0000-0000-0000673B0000}"/>
    <cellStyle name="Title 11 4 2" xfId="48233" xr:uid="{82598DFD-57D4-42CF-98C7-24CFA105D168}"/>
    <cellStyle name="Title 11 5" xfId="11337" xr:uid="{00000000-0005-0000-0000-0000683B0000}"/>
    <cellStyle name="Title 11 5 2" xfId="48234" xr:uid="{067F9B9E-572A-4F5C-BA03-11CB9873777E}"/>
    <cellStyle name="Title 11 6" xfId="11338" xr:uid="{00000000-0005-0000-0000-0000693B0000}"/>
    <cellStyle name="Title 11 6 2" xfId="48235" xr:uid="{B8E33F67-6282-49E4-AD08-5210EA1B46D5}"/>
    <cellStyle name="Title 11 7" xfId="13329" xr:uid="{00000000-0005-0000-0000-00006A3B0000}"/>
    <cellStyle name="Title 11 7 2" xfId="48236" xr:uid="{B7B84CBD-8566-4804-8F5D-235756C8F92E}"/>
    <cellStyle name="Title 11 8" xfId="16578" xr:uid="{00000000-0005-0000-0000-00006B3B0000}"/>
    <cellStyle name="Title 11 8 2" xfId="48237" xr:uid="{618D730F-0076-4A9F-AA8F-28CE0B6F0DB9}"/>
    <cellStyle name="Title 11 9" xfId="9290" xr:uid="{00000000-0005-0000-0000-00006C3B0000}"/>
    <cellStyle name="Title 11 9 2" xfId="48238" xr:uid="{973CE545-CC5A-4901-91F8-C2B8A438179D}"/>
    <cellStyle name="Title 12" xfId="3209" xr:uid="{00000000-0005-0000-0000-00006D3B0000}"/>
    <cellStyle name="Title 12 10" xfId="48239" xr:uid="{3F8F5DB0-3B27-4075-8366-E381F5364C60}"/>
    <cellStyle name="Title 12 2" xfId="11339" xr:uid="{00000000-0005-0000-0000-00006E3B0000}"/>
    <cellStyle name="Title 12 2 2" xfId="48240" xr:uid="{F610B09E-D6F6-4940-A009-C246544BE95F}"/>
    <cellStyle name="Title 12 3" xfId="11340" xr:uid="{00000000-0005-0000-0000-00006F3B0000}"/>
    <cellStyle name="Title 12 3 2" xfId="48241" xr:uid="{70EC5D96-0519-49DF-84A3-1C92794CA6A4}"/>
    <cellStyle name="Title 12 4" xfId="11341" xr:uid="{00000000-0005-0000-0000-0000703B0000}"/>
    <cellStyle name="Title 12 4 2" xfId="48242" xr:uid="{62B153F6-A5A6-4274-BC75-8F752EB46F78}"/>
    <cellStyle name="Title 12 5" xfId="11342" xr:uid="{00000000-0005-0000-0000-0000713B0000}"/>
    <cellStyle name="Title 12 5 2" xfId="48243" xr:uid="{BC431BDD-FF5A-4424-8170-CF4EE2BFDE8F}"/>
    <cellStyle name="Title 12 6" xfId="11343" xr:uid="{00000000-0005-0000-0000-0000723B0000}"/>
    <cellStyle name="Title 12 6 2" xfId="48244" xr:uid="{F93E1EDC-CDEB-44D7-851A-537A87E173F3}"/>
    <cellStyle name="Title 12 7" xfId="13330" xr:uid="{00000000-0005-0000-0000-0000733B0000}"/>
    <cellStyle name="Title 12 7 2" xfId="48245" xr:uid="{3C397CAB-F78D-4222-9917-990E13CC40D5}"/>
    <cellStyle name="Title 12 8" xfId="12794" xr:uid="{00000000-0005-0000-0000-0000743B0000}"/>
    <cellStyle name="Title 12 8 2" xfId="48246" xr:uid="{53E9C82D-520E-4815-8CA3-1B6A1B9CB1D3}"/>
    <cellStyle name="Title 12 9" xfId="9291" xr:uid="{00000000-0005-0000-0000-0000753B0000}"/>
    <cellStyle name="Title 12 9 2" xfId="48247" xr:uid="{8B9E549E-6A52-4A93-B615-FECD16C03716}"/>
    <cellStyle name="Title 13" xfId="3210" xr:uid="{00000000-0005-0000-0000-0000763B0000}"/>
    <cellStyle name="Title 13 10" xfId="48248" xr:uid="{A9668E1E-ADB9-46C1-AECC-57F5A6500DF2}"/>
    <cellStyle name="Title 13 2" xfId="11344" xr:uid="{00000000-0005-0000-0000-0000773B0000}"/>
    <cellStyle name="Title 13 2 2" xfId="48249" xr:uid="{5F9B54A5-910B-47F9-8FF8-8FFA10361D70}"/>
    <cellStyle name="Title 13 3" xfId="11345" xr:uid="{00000000-0005-0000-0000-0000783B0000}"/>
    <cellStyle name="Title 13 3 2" xfId="48250" xr:uid="{49176F5B-49AA-4097-8542-7C3BD26DE9A8}"/>
    <cellStyle name="Title 13 4" xfId="11346" xr:uid="{00000000-0005-0000-0000-0000793B0000}"/>
    <cellStyle name="Title 13 4 2" xfId="48251" xr:uid="{45134C4A-8255-48C1-A933-3EA401F536C0}"/>
    <cellStyle name="Title 13 5" xfId="11347" xr:uid="{00000000-0005-0000-0000-00007A3B0000}"/>
    <cellStyle name="Title 13 5 2" xfId="48252" xr:uid="{96D20DA1-2FC6-4441-A74E-9A600EDDD43D}"/>
    <cellStyle name="Title 13 6" xfId="11348" xr:uid="{00000000-0005-0000-0000-00007B3B0000}"/>
    <cellStyle name="Title 13 6 2" xfId="48253" xr:uid="{E9E759DF-178D-4F64-8F86-C94AEBD321E6}"/>
    <cellStyle name="Title 13 7" xfId="13331" xr:uid="{00000000-0005-0000-0000-00007C3B0000}"/>
    <cellStyle name="Title 13 7 2" xfId="48254" xr:uid="{6584457E-EDA4-4C63-A588-3129C735942B}"/>
    <cellStyle name="Title 13 8" xfId="13460" xr:uid="{00000000-0005-0000-0000-00007D3B0000}"/>
    <cellStyle name="Title 13 8 2" xfId="48255" xr:uid="{5807C807-06F1-49D9-8023-53E83B081470}"/>
    <cellStyle name="Title 13 9" xfId="9292" xr:uid="{00000000-0005-0000-0000-00007E3B0000}"/>
    <cellStyle name="Title 13 9 2" xfId="48256" xr:uid="{9CB8B23E-39C6-4236-9D6C-AEC30635108E}"/>
    <cellStyle name="Title 14" xfId="3211" xr:uid="{00000000-0005-0000-0000-00007F3B0000}"/>
    <cellStyle name="Title 14 10" xfId="48257" xr:uid="{8D819A60-39C4-47EA-8C12-8B06C272AA69}"/>
    <cellStyle name="Title 14 2" xfId="11349" xr:uid="{00000000-0005-0000-0000-0000803B0000}"/>
    <cellStyle name="Title 14 2 2" xfId="48258" xr:uid="{0C7492A0-57B4-438F-9820-BAC74FEE90B1}"/>
    <cellStyle name="Title 14 3" xfId="11350" xr:uid="{00000000-0005-0000-0000-0000813B0000}"/>
    <cellStyle name="Title 14 3 2" xfId="48259" xr:uid="{FE237A7E-B50C-4D74-B21E-03785D1C1A19}"/>
    <cellStyle name="Title 14 4" xfId="11351" xr:uid="{00000000-0005-0000-0000-0000823B0000}"/>
    <cellStyle name="Title 14 4 2" xfId="48260" xr:uid="{2F48CAE7-83DE-4477-89D3-E2794E1B816F}"/>
    <cellStyle name="Title 14 5" xfId="11352" xr:uid="{00000000-0005-0000-0000-0000833B0000}"/>
    <cellStyle name="Title 14 5 2" xfId="48261" xr:uid="{5C5D16DF-DF46-4AC3-AABF-EC91ED83AA14}"/>
    <cellStyle name="Title 14 6" xfId="11353" xr:uid="{00000000-0005-0000-0000-0000843B0000}"/>
    <cellStyle name="Title 14 6 2" xfId="48262" xr:uid="{3D790513-A9A2-4630-8522-EB9B839660EE}"/>
    <cellStyle name="Title 14 7" xfId="13332" xr:uid="{00000000-0005-0000-0000-0000853B0000}"/>
    <cellStyle name="Title 14 7 2" xfId="48263" xr:uid="{432A14F0-6572-42AB-937F-67418B08806B}"/>
    <cellStyle name="Title 14 8" xfId="16391" xr:uid="{00000000-0005-0000-0000-0000863B0000}"/>
    <cellStyle name="Title 14 8 2" xfId="48264" xr:uid="{422DCCF0-0431-4EB2-8AF5-7CB361243FB8}"/>
    <cellStyle name="Title 14 9" xfId="9293" xr:uid="{00000000-0005-0000-0000-0000873B0000}"/>
    <cellStyle name="Title 14 9 2" xfId="48265" xr:uid="{B626C51A-4A05-4B9A-80CC-3F4637AA0CB6}"/>
    <cellStyle name="Title 15" xfId="3212" xr:uid="{00000000-0005-0000-0000-0000883B0000}"/>
    <cellStyle name="Title 15 10" xfId="48266" xr:uid="{9346B196-9E14-4A34-8CBF-D7E6C07AF620}"/>
    <cellStyle name="Title 15 2" xfId="11354" xr:uid="{00000000-0005-0000-0000-0000893B0000}"/>
    <cellStyle name="Title 15 2 2" xfId="48267" xr:uid="{B4EAD749-8042-47BF-AB8F-13E31DF64A5A}"/>
    <cellStyle name="Title 15 3" xfId="11355" xr:uid="{00000000-0005-0000-0000-00008A3B0000}"/>
    <cellStyle name="Title 15 3 2" xfId="48268" xr:uid="{65564537-48DF-417F-BF74-3B9F9D683554}"/>
    <cellStyle name="Title 15 4" xfId="11356" xr:uid="{00000000-0005-0000-0000-00008B3B0000}"/>
    <cellStyle name="Title 15 4 2" xfId="48269" xr:uid="{CA95CB74-77F3-4E1D-8078-921D74C7128A}"/>
    <cellStyle name="Title 15 5" xfId="11357" xr:uid="{00000000-0005-0000-0000-00008C3B0000}"/>
    <cellStyle name="Title 15 5 2" xfId="48270" xr:uid="{DB8579D2-B044-4AB1-BAA4-D426C93C7D66}"/>
    <cellStyle name="Title 15 6" xfId="11358" xr:uid="{00000000-0005-0000-0000-00008D3B0000}"/>
    <cellStyle name="Title 15 6 2" xfId="48271" xr:uid="{87D689D6-F5EE-4F17-B2AE-4608206E6274}"/>
    <cellStyle name="Title 15 7" xfId="13333" xr:uid="{00000000-0005-0000-0000-00008E3B0000}"/>
    <cellStyle name="Title 15 7 2" xfId="48272" xr:uid="{DF822A00-F7DD-4064-B682-CB906D0D5249}"/>
    <cellStyle name="Title 15 8" xfId="12883" xr:uid="{00000000-0005-0000-0000-00008F3B0000}"/>
    <cellStyle name="Title 15 8 2" xfId="48273" xr:uid="{D4FA1A3D-732E-4FDC-9172-3F4239453B65}"/>
    <cellStyle name="Title 15 9" xfId="9294" xr:uid="{00000000-0005-0000-0000-0000903B0000}"/>
    <cellStyle name="Title 15 9 2" xfId="48274" xr:uid="{D1290210-333D-4783-BFCE-83725F734D69}"/>
    <cellStyle name="Title 16" xfId="3213" xr:uid="{00000000-0005-0000-0000-0000913B0000}"/>
    <cellStyle name="Title 16 10" xfId="48275" xr:uid="{FF1BE998-2704-4D13-93F0-575163E93618}"/>
    <cellStyle name="Title 16 2" xfId="11359" xr:uid="{00000000-0005-0000-0000-0000923B0000}"/>
    <cellStyle name="Title 16 2 2" xfId="48276" xr:uid="{7844E07A-B3C6-41C9-B96D-46BCC5E3584C}"/>
    <cellStyle name="Title 16 3" xfId="11360" xr:uid="{00000000-0005-0000-0000-0000933B0000}"/>
    <cellStyle name="Title 16 3 2" xfId="48277" xr:uid="{AB09EF40-5A3D-4C61-A631-B8CB737428C7}"/>
    <cellStyle name="Title 16 4" xfId="11361" xr:uid="{00000000-0005-0000-0000-0000943B0000}"/>
    <cellStyle name="Title 16 4 2" xfId="48278" xr:uid="{D0B4B23C-2424-4C7D-9F1D-EA3B26A6A82E}"/>
    <cellStyle name="Title 16 5" xfId="11362" xr:uid="{00000000-0005-0000-0000-0000953B0000}"/>
    <cellStyle name="Title 16 5 2" xfId="48279" xr:uid="{336E1B62-CD41-4F4C-9B04-ECFA70CF52C0}"/>
    <cellStyle name="Title 16 6" xfId="11363" xr:uid="{00000000-0005-0000-0000-0000963B0000}"/>
    <cellStyle name="Title 16 6 2" xfId="48280" xr:uid="{0B016AE1-1C85-4D80-9DAC-071C967A74AA}"/>
    <cellStyle name="Title 16 7" xfId="13334" xr:uid="{00000000-0005-0000-0000-0000973B0000}"/>
    <cellStyle name="Title 16 7 2" xfId="48281" xr:uid="{09FB86E5-57FA-4CA4-997F-8557BB78233A}"/>
    <cellStyle name="Title 16 8" xfId="13811" xr:uid="{00000000-0005-0000-0000-0000983B0000}"/>
    <cellStyle name="Title 16 8 2" xfId="48282" xr:uid="{CC4DD710-16DD-4BFE-BBF1-089324280229}"/>
    <cellStyle name="Title 16 9" xfId="9295" xr:uid="{00000000-0005-0000-0000-0000993B0000}"/>
    <cellStyle name="Title 16 9 2" xfId="48283" xr:uid="{31C39282-128B-4632-9E76-FD2DA0900575}"/>
    <cellStyle name="Title 17" xfId="3214" xr:uid="{00000000-0005-0000-0000-00009A3B0000}"/>
    <cellStyle name="Title 17 10" xfId="48284" xr:uid="{DF660DE7-7644-4CA8-9AFC-F8B16B26102D}"/>
    <cellStyle name="Title 17 2" xfId="11364" xr:uid="{00000000-0005-0000-0000-00009B3B0000}"/>
    <cellStyle name="Title 17 2 2" xfId="48285" xr:uid="{FC28ECA1-0200-41CE-80C5-7777153C51D1}"/>
    <cellStyle name="Title 17 3" xfId="11365" xr:uid="{00000000-0005-0000-0000-00009C3B0000}"/>
    <cellStyle name="Title 17 3 2" xfId="48286" xr:uid="{957DDA45-EBEF-4004-A153-9E53EA5984C1}"/>
    <cellStyle name="Title 17 4" xfId="11366" xr:uid="{00000000-0005-0000-0000-00009D3B0000}"/>
    <cellStyle name="Title 17 4 2" xfId="48287" xr:uid="{E64E7572-11FD-4227-BCAD-D18142BCA618}"/>
    <cellStyle name="Title 17 5" xfId="11367" xr:uid="{00000000-0005-0000-0000-00009E3B0000}"/>
    <cellStyle name="Title 17 5 2" xfId="48288" xr:uid="{40CA4C4A-7A91-4AB8-ADE8-3EDEEC2DE20D}"/>
    <cellStyle name="Title 17 6" xfId="11368" xr:uid="{00000000-0005-0000-0000-00009F3B0000}"/>
    <cellStyle name="Title 17 6 2" xfId="48289" xr:uid="{D5CAE920-3D90-4686-8043-431FF1208CE5}"/>
    <cellStyle name="Title 17 7" xfId="13335" xr:uid="{00000000-0005-0000-0000-0000A03B0000}"/>
    <cellStyle name="Title 17 7 2" xfId="48290" xr:uid="{55A2003C-3C76-41F3-97F3-B76893B1EAB7}"/>
    <cellStyle name="Title 17 8" xfId="12630" xr:uid="{00000000-0005-0000-0000-0000A13B0000}"/>
    <cellStyle name="Title 17 8 2" xfId="48291" xr:uid="{7503FC22-BC97-47A5-A20A-A29614DDCC92}"/>
    <cellStyle name="Title 17 9" xfId="9296" xr:uid="{00000000-0005-0000-0000-0000A23B0000}"/>
    <cellStyle name="Title 17 9 2" xfId="48292" xr:uid="{83762FF9-6CE4-45A7-A413-B3300A3D08F7}"/>
    <cellStyle name="Title 18" xfId="3215" xr:uid="{00000000-0005-0000-0000-0000A33B0000}"/>
    <cellStyle name="Title 18 10" xfId="48293" xr:uid="{586ED764-E697-4255-88C6-3A06EEC1B40F}"/>
    <cellStyle name="Title 18 2" xfId="11369" xr:uid="{00000000-0005-0000-0000-0000A43B0000}"/>
    <cellStyle name="Title 18 2 2" xfId="48294" xr:uid="{ADEA027B-9275-4B47-98E6-0002F868249A}"/>
    <cellStyle name="Title 18 3" xfId="11370" xr:uid="{00000000-0005-0000-0000-0000A53B0000}"/>
    <cellStyle name="Title 18 3 2" xfId="48295" xr:uid="{BC349F9B-EEFB-46BC-8146-9FF58FFCFB9F}"/>
    <cellStyle name="Title 18 4" xfId="11371" xr:uid="{00000000-0005-0000-0000-0000A63B0000}"/>
    <cellStyle name="Title 18 4 2" xfId="48296" xr:uid="{F4ECAAAE-4448-4D85-AC9E-E6DC8CB2957F}"/>
    <cellStyle name="Title 18 5" xfId="11372" xr:uid="{00000000-0005-0000-0000-0000A73B0000}"/>
    <cellStyle name="Title 18 5 2" xfId="48297" xr:uid="{0DB55190-1974-423A-9A4A-246D93578F9B}"/>
    <cellStyle name="Title 18 6" xfId="11373" xr:uid="{00000000-0005-0000-0000-0000A83B0000}"/>
    <cellStyle name="Title 18 6 2" xfId="48298" xr:uid="{88EC8D81-84DC-4E96-8F59-069864C7AFB5}"/>
    <cellStyle name="Title 18 7" xfId="13336" xr:uid="{00000000-0005-0000-0000-0000A93B0000}"/>
    <cellStyle name="Title 18 7 2" xfId="48299" xr:uid="{9D61F4C6-41E2-432B-9B5C-60743696351E}"/>
    <cellStyle name="Title 18 8" xfId="12755" xr:uid="{00000000-0005-0000-0000-0000AA3B0000}"/>
    <cellStyle name="Title 18 8 2" xfId="48300" xr:uid="{014ABBDD-9ADD-4338-B7A0-0FEBE0D029BB}"/>
    <cellStyle name="Title 18 9" xfId="9297" xr:uid="{00000000-0005-0000-0000-0000AB3B0000}"/>
    <cellStyle name="Title 18 9 2" xfId="48301" xr:uid="{2B1934C3-FF95-44AA-A576-AB2B4F12D33A}"/>
    <cellStyle name="Title 19" xfId="3216" xr:uid="{00000000-0005-0000-0000-0000AC3B0000}"/>
    <cellStyle name="Title 19 10" xfId="48302" xr:uid="{5FC1953E-8BD4-4FB7-B151-7AEBE6EC46A4}"/>
    <cellStyle name="Title 19 2" xfId="11374" xr:uid="{00000000-0005-0000-0000-0000AD3B0000}"/>
    <cellStyle name="Title 19 2 2" xfId="48303" xr:uid="{5CDAD828-43AB-427F-985D-71235C5BAA9D}"/>
    <cellStyle name="Title 19 3" xfId="11375" xr:uid="{00000000-0005-0000-0000-0000AE3B0000}"/>
    <cellStyle name="Title 19 3 2" xfId="48304" xr:uid="{90D08231-B0B6-4B16-8C8A-8712FCEFD1AE}"/>
    <cellStyle name="Title 19 4" xfId="11376" xr:uid="{00000000-0005-0000-0000-0000AF3B0000}"/>
    <cellStyle name="Title 19 4 2" xfId="48305" xr:uid="{FF41E4AE-2580-43F5-BE93-76C5F9E7B4A9}"/>
    <cellStyle name="Title 19 5" xfId="11377" xr:uid="{00000000-0005-0000-0000-0000B03B0000}"/>
    <cellStyle name="Title 19 5 2" xfId="48306" xr:uid="{3B381D42-FD25-4DF0-B068-FAE32757DBA7}"/>
    <cellStyle name="Title 19 6" xfId="11378" xr:uid="{00000000-0005-0000-0000-0000B13B0000}"/>
    <cellStyle name="Title 19 6 2" xfId="48307" xr:uid="{B80A498D-FA5F-42D9-875A-371725F7DB4C}"/>
    <cellStyle name="Title 19 7" xfId="13337" xr:uid="{00000000-0005-0000-0000-0000B23B0000}"/>
    <cellStyle name="Title 19 7 2" xfId="48308" xr:uid="{5A1A6E68-254B-4794-9575-C2DA21681216}"/>
    <cellStyle name="Title 19 8" xfId="16486" xr:uid="{00000000-0005-0000-0000-0000B33B0000}"/>
    <cellStyle name="Title 19 8 2" xfId="48309" xr:uid="{5D456AA8-74DB-494A-A868-10B3100FDFFE}"/>
    <cellStyle name="Title 19 9" xfId="9298" xr:uid="{00000000-0005-0000-0000-0000B43B0000}"/>
    <cellStyle name="Title 19 9 2" xfId="48310" xr:uid="{D4D481BF-B735-4933-BCF9-6AB76553EF4B}"/>
    <cellStyle name="Title 2" xfId="256" xr:uid="{00000000-0005-0000-0000-0000B53B0000}"/>
    <cellStyle name="Title 2 10" xfId="4749" xr:uid="{00000000-0005-0000-0000-0000B63B0000}"/>
    <cellStyle name="Title 2 10 2" xfId="11379" xr:uid="{00000000-0005-0000-0000-0000B73B0000}"/>
    <cellStyle name="Title 2 10 2 2" xfId="48313" xr:uid="{7DF819B9-CA9F-4419-BF68-6D3C35EA3C0F}"/>
    <cellStyle name="Title 2 10 3" xfId="11380" xr:uid="{00000000-0005-0000-0000-0000B83B0000}"/>
    <cellStyle name="Title 2 10 3 2" xfId="48314" xr:uid="{A0BF7E05-1C46-40F4-8385-69ECD883B4A0}"/>
    <cellStyle name="Title 2 10 4" xfId="11381" xr:uid="{00000000-0005-0000-0000-0000B93B0000}"/>
    <cellStyle name="Title 2 10 4 2" xfId="48315" xr:uid="{DCBF6AC8-EAAE-45D3-8BC3-C0C48795E296}"/>
    <cellStyle name="Title 2 10 5" xfId="11382" xr:uid="{00000000-0005-0000-0000-0000BA3B0000}"/>
    <cellStyle name="Title 2 10 5 2" xfId="48316" xr:uid="{A27855E6-0331-4BDA-8FF3-63F0F4CB5AE6}"/>
    <cellStyle name="Title 2 10 6" xfId="12337" xr:uid="{00000000-0005-0000-0000-0000BB3B0000}"/>
    <cellStyle name="Title 2 10 6 2" xfId="48317" xr:uid="{EC94C22F-7325-4A12-86C6-068839F40EE2}"/>
    <cellStyle name="Title 2 10 7" xfId="12543" xr:uid="{00000000-0005-0000-0000-0000BC3B0000}"/>
    <cellStyle name="Title 2 10 7 2" xfId="48318" xr:uid="{5832CF9B-4C58-4751-8791-07A91EF45441}"/>
    <cellStyle name="Title 2 10 8" xfId="9300" xr:uid="{00000000-0005-0000-0000-0000BD3B0000}"/>
    <cellStyle name="Title 2 10 8 2" xfId="48319" xr:uid="{16827A28-9ED4-4CAF-BB8A-F4ADA4BEFD9A}"/>
    <cellStyle name="Title 2 10 9" xfId="48312" xr:uid="{C65911A5-3975-410D-ACFA-AAF0B2E93E07}"/>
    <cellStyle name="Title 2 11" xfId="11383" xr:uid="{00000000-0005-0000-0000-0000BE3B0000}"/>
    <cellStyle name="Title 2 11 2" xfId="11384" xr:uid="{00000000-0005-0000-0000-0000BF3B0000}"/>
    <cellStyle name="Title 2 11 2 2" xfId="48321" xr:uid="{782B9000-CAB4-4B73-AE0F-8C5D48AAAE27}"/>
    <cellStyle name="Title 2 11 3" xfId="11385" xr:uid="{00000000-0005-0000-0000-0000C03B0000}"/>
    <cellStyle name="Title 2 11 3 2" xfId="48322" xr:uid="{BE47E7DD-90DE-45D9-BEC5-854F7BD5054B}"/>
    <cellStyle name="Title 2 11 4" xfId="11386" xr:uid="{00000000-0005-0000-0000-0000C13B0000}"/>
    <cellStyle name="Title 2 11 4 2" xfId="48323" xr:uid="{E19B6D8B-B94D-4032-859D-5BB0359C8173}"/>
    <cellStyle name="Title 2 11 5" xfId="11387" xr:uid="{00000000-0005-0000-0000-0000C23B0000}"/>
    <cellStyle name="Title 2 11 5 2" xfId="48324" xr:uid="{3D6724A4-22FF-4A7F-A9D1-0173234BDA2C}"/>
    <cellStyle name="Title 2 11 6" xfId="48320" xr:uid="{4DC0E299-3EC7-44C3-96CF-1A052D25C527}"/>
    <cellStyle name="Title 2 12" xfId="11388" xr:uid="{00000000-0005-0000-0000-0000C33B0000}"/>
    <cellStyle name="Title 2 12 2" xfId="48325" xr:uid="{9A91A9A9-5FE0-4375-AA1A-43E88921CD82}"/>
    <cellStyle name="Title 2 13" xfId="11389" xr:uid="{00000000-0005-0000-0000-0000C43B0000}"/>
    <cellStyle name="Title 2 13 2" xfId="48326" xr:uid="{8B61C7C7-F95D-4ED5-ABAE-CA409087EA55}"/>
    <cellStyle name="Title 2 14" xfId="11390" xr:uid="{00000000-0005-0000-0000-0000C53B0000}"/>
    <cellStyle name="Title 2 14 2" xfId="48327" xr:uid="{683E5B8F-B0F2-4E3E-B432-4648C10268D9}"/>
    <cellStyle name="Title 2 15" xfId="11391" xr:uid="{00000000-0005-0000-0000-0000C63B0000}"/>
    <cellStyle name="Title 2 15 2" xfId="48328" xr:uid="{74614692-9A0F-44D3-BA03-89A8548F32BD}"/>
    <cellStyle name="Title 2 16" xfId="11392" xr:uid="{00000000-0005-0000-0000-0000C73B0000}"/>
    <cellStyle name="Title 2 16 2" xfId="48329" xr:uid="{A71D0FC3-E72A-49C1-B3EE-49AD4AF80CFB}"/>
    <cellStyle name="Title 2 17" xfId="12336" xr:uid="{00000000-0005-0000-0000-0000C83B0000}"/>
    <cellStyle name="Title 2 17 2" xfId="48330" xr:uid="{165BD89E-D309-4172-8244-12D51637A957}"/>
    <cellStyle name="Title 2 18" xfId="16279" xr:uid="{00000000-0005-0000-0000-0000C93B0000}"/>
    <cellStyle name="Title 2 18 2" xfId="48331" xr:uid="{3CB22E88-DACD-4652-B369-EB7725E62963}"/>
    <cellStyle name="Title 2 19" xfId="9299" xr:uid="{00000000-0005-0000-0000-0000CA3B0000}"/>
    <cellStyle name="Title 2 19 2" xfId="48332" xr:uid="{4D4D353C-57C0-4FE4-8199-39FE4D2807F6}"/>
    <cellStyle name="Title 2 2" xfId="4750" xr:uid="{00000000-0005-0000-0000-0000CB3B0000}"/>
    <cellStyle name="Title 2 2 10" xfId="48333" xr:uid="{893A7BBA-18D0-44C0-9B9D-8F37A50447F8}"/>
    <cellStyle name="Title 2 2 2" xfId="11393" xr:uid="{00000000-0005-0000-0000-0000CC3B0000}"/>
    <cellStyle name="Title 2 2 2 2" xfId="48334" xr:uid="{4AF6A9AE-146F-4CA6-96CC-77EBF04B2348}"/>
    <cellStyle name="Title 2 2 3" xfId="11394" xr:uid="{00000000-0005-0000-0000-0000CD3B0000}"/>
    <cellStyle name="Title 2 2 3 2" xfId="48335" xr:uid="{D802F6EE-08E3-46DF-A385-66A1E9F9E7E4}"/>
    <cellStyle name="Title 2 2 4" xfId="11395" xr:uid="{00000000-0005-0000-0000-0000CE3B0000}"/>
    <cellStyle name="Title 2 2 4 2" xfId="48336" xr:uid="{5CAF825B-3B50-4FE6-9887-DCE75FD0697C}"/>
    <cellStyle name="Title 2 2 5" xfId="11396" xr:uid="{00000000-0005-0000-0000-0000CF3B0000}"/>
    <cellStyle name="Title 2 2 5 2" xfId="48337" xr:uid="{7A14B1A8-9134-416D-B3B6-DB189571BCF9}"/>
    <cellStyle name="Title 2 2 6" xfId="12338" xr:uid="{00000000-0005-0000-0000-0000D03B0000}"/>
    <cellStyle name="Title 2 2 6 2" xfId="48338" xr:uid="{36B368FE-1047-4894-9558-12D3726DB0C2}"/>
    <cellStyle name="Title 2 2 7" xfId="16268" xr:uid="{00000000-0005-0000-0000-0000D13B0000}"/>
    <cellStyle name="Title 2 2 7 2" xfId="48339" xr:uid="{2F090031-67B1-451F-A727-1D3A45D61C4F}"/>
    <cellStyle name="Title 2 2 8" xfId="9301" xr:uid="{00000000-0005-0000-0000-0000D23B0000}"/>
    <cellStyle name="Title 2 2 8 2" xfId="48340" xr:uid="{EEB6F3E2-4D2E-4FFB-9B3C-05049466F60F}"/>
    <cellStyle name="Title 2 2 9" xfId="48341" xr:uid="{053FDAA6-17D5-40FB-BEED-4D0291D1C30C}"/>
    <cellStyle name="Title 2 20" xfId="48311" xr:uid="{5A196D15-E8B6-431B-98F5-A65134546F4D}"/>
    <cellStyle name="Title 2 3" xfId="4751" xr:uid="{00000000-0005-0000-0000-0000D33B0000}"/>
    <cellStyle name="Title 2 3 2" xfId="11397" xr:uid="{00000000-0005-0000-0000-0000D43B0000}"/>
    <cellStyle name="Title 2 3 2 2" xfId="48343" xr:uid="{C0209150-99C9-4B95-AD89-8C7148F804E2}"/>
    <cellStyle name="Title 2 3 3" xfId="11398" xr:uid="{00000000-0005-0000-0000-0000D53B0000}"/>
    <cellStyle name="Title 2 3 3 2" xfId="48344" xr:uid="{9039A27D-058E-4B70-B260-BBEE80D1C95A}"/>
    <cellStyle name="Title 2 3 4" xfId="11399" xr:uid="{00000000-0005-0000-0000-0000D63B0000}"/>
    <cellStyle name="Title 2 3 4 2" xfId="48345" xr:uid="{7F99368F-9F67-4D3D-9705-75BA747C74E7}"/>
    <cellStyle name="Title 2 3 5" xfId="11400" xr:uid="{00000000-0005-0000-0000-0000D73B0000}"/>
    <cellStyle name="Title 2 3 5 2" xfId="48346" xr:uid="{8592AB76-DBA6-4D6C-BF33-43F51C49FE03}"/>
    <cellStyle name="Title 2 3 6" xfId="12339" xr:uid="{00000000-0005-0000-0000-0000D83B0000}"/>
    <cellStyle name="Title 2 3 6 2" xfId="48347" xr:uid="{644AE2B7-8102-47F5-8DBA-D12874461023}"/>
    <cellStyle name="Title 2 3 7" xfId="12659" xr:uid="{00000000-0005-0000-0000-0000D93B0000}"/>
    <cellStyle name="Title 2 3 7 2" xfId="48348" xr:uid="{5C8F09AB-FF57-4E78-9849-08CEB050031A}"/>
    <cellStyle name="Title 2 3 8" xfId="9302" xr:uid="{00000000-0005-0000-0000-0000DA3B0000}"/>
    <cellStyle name="Title 2 3 8 2" xfId="48349" xr:uid="{8CE78C7E-5DAD-41DA-A915-C34662537294}"/>
    <cellStyle name="Title 2 3 9" xfId="48342" xr:uid="{E91754C7-26C4-4A1C-9049-660401D4F69E}"/>
    <cellStyle name="Title 2 4" xfId="4752" xr:uid="{00000000-0005-0000-0000-0000DB3B0000}"/>
    <cellStyle name="Title 2 4 2" xfId="11401" xr:uid="{00000000-0005-0000-0000-0000DC3B0000}"/>
    <cellStyle name="Title 2 4 2 2" xfId="48351" xr:uid="{50F65EF9-58F0-41B3-A773-EEFFA948E94B}"/>
    <cellStyle name="Title 2 4 3" xfId="11402" xr:uid="{00000000-0005-0000-0000-0000DD3B0000}"/>
    <cellStyle name="Title 2 4 3 2" xfId="48352" xr:uid="{81B100CA-0C27-4743-8585-63FFE941AC10}"/>
    <cellStyle name="Title 2 4 4" xfId="11403" xr:uid="{00000000-0005-0000-0000-0000DE3B0000}"/>
    <cellStyle name="Title 2 4 4 2" xfId="48353" xr:uid="{DAF3E3BF-B8D6-4475-9EDE-C2144488D882}"/>
    <cellStyle name="Title 2 4 5" xfId="11404" xr:uid="{00000000-0005-0000-0000-0000DF3B0000}"/>
    <cellStyle name="Title 2 4 5 2" xfId="48354" xr:uid="{09C424FA-119F-43B9-908A-A9A8B9D55F7D}"/>
    <cellStyle name="Title 2 4 6" xfId="12340" xr:uid="{00000000-0005-0000-0000-0000E03B0000}"/>
    <cellStyle name="Title 2 4 6 2" xfId="48355" xr:uid="{0D898A6C-6FE1-4A31-B972-50519FA4E3B0}"/>
    <cellStyle name="Title 2 4 7" xfId="16362" xr:uid="{00000000-0005-0000-0000-0000E13B0000}"/>
    <cellStyle name="Title 2 4 7 2" xfId="48356" xr:uid="{A00FC5AB-9098-49AC-BA5B-D4ADC8E95203}"/>
    <cellStyle name="Title 2 4 8" xfId="9303" xr:uid="{00000000-0005-0000-0000-0000E23B0000}"/>
    <cellStyle name="Title 2 4 8 2" xfId="48357" xr:uid="{44518767-14B1-4E96-A766-1023D43A0D09}"/>
    <cellStyle name="Title 2 4 9" xfId="48350" xr:uid="{2F9CAA97-8C57-4CC0-89E9-40E972DBA377}"/>
    <cellStyle name="Title 2 5" xfId="4753" xr:uid="{00000000-0005-0000-0000-0000E33B0000}"/>
    <cellStyle name="Title 2 5 2" xfId="11405" xr:uid="{00000000-0005-0000-0000-0000E43B0000}"/>
    <cellStyle name="Title 2 5 2 2" xfId="48359" xr:uid="{20158A49-A128-4543-BEDC-FDDA13C67A6A}"/>
    <cellStyle name="Title 2 5 3" xfId="11406" xr:uid="{00000000-0005-0000-0000-0000E53B0000}"/>
    <cellStyle name="Title 2 5 3 2" xfId="48360" xr:uid="{2DB09D27-DF07-4CD0-8AF5-D09EB6FF42CB}"/>
    <cellStyle name="Title 2 5 4" xfId="11407" xr:uid="{00000000-0005-0000-0000-0000E63B0000}"/>
    <cellStyle name="Title 2 5 4 2" xfId="48361" xr:uid="{D88CF20A-4317-4AFD-8B3A-FF97E52962E9}"/>
    <cellStyle name="Title 2 5 5" xfId="11408" xr:uid="{00000000-0005-0000-0000-0000E73B0000}"/>
    <cellStyle name="Title 2 5 5 2" xfId="48362" xr:uid="{B24868A2-D3AC-4C8F-AD8C-8216DE3DA2F5}"/>
    <cellStyle name="Title 2 5 6" xfId="12341" xr:uid="{00000000-0005-0000-0000-0000E83B0000}"/>
    <cellStyle name="Title 2 5 6 2" xfId="48363" xr:uid="{EBCBEEAB-9771-4C8D-B537-71027EBB6B5E}"/>
    <cellStyle name="Title 2 5 7" xfId="13853" xr:uid="{00000000-0005-0000-0000-0000E93B0000}"/>
    <cellStyle name="Title 2 5 7 2" xfId="48364" xr:uid="{E1D28D1E-48EB-4E13-9A90-417D1516CD52}"/>
    <cellStyle name="Title 2 5 8" xfId="9304" xr:uid="{00000000-0005-0000-0000-0000EA3B0000}"/>
    <cellStyle name="Title 2 5 8 2" xfId="48365" xr:uid="{97AB4D8D-2AF1-4F77-9A0E-B64D567A5222}"/>
    <cellStyle name="Title 2 5 9" xfId="48358" xr:uid="{E724B1F7-ECF8-42B6-9C6B-AC3BE4E0F9B1}"/>
    <cellStyle name="Title 2 6" xfId="4754" xr:uid="{00000000-0005-0000-0000-0000EB3B0000}"/>
    <cellStyle name="Title 2 6 2" xfId="11409" xr:uid="{00000000-0005-0000-0000-0000EC3B0000}"/>
    <cellStyle name="Title 2 6 2 2" xfId="48367" xr:uid="{555C7A75-A174-48D0-864D-67665C2F51C4}"/>
    <cellStyle name="Title 2 6 3" xfId="11410" xr:uid="{00000000-0005-0000-0000-0000ED3B0000}"/>
    <cellStyle name="Title 2 6 3 2" xfId="48368" xr:uid="{74D294E5-A4A1-4F20-8ED1-B538DE6700F9}"/>
    <cellStyle name="Title 2 6 4" xfId="11411" xr:uid="{00000000-0005-0000-0000-0000EE3B0000}"/>
    <cellStyle name="Title 2 6 4 2" xfId="48369" xr:uid="{46FB9A6C-DBD7-4341-8C6C-A11CFFFFD823}"/>
    <cellStyle name="Title 2 6 5" xfId="11412" xr:uid="{00000000-0005-0000-0000-0000EF3B0000}"/>
    <cellStyle name="Title 2 6 5 2" xfId="48370" xr:uid="{0C578BF8-8CBC-488A-865A-9C313FAF6C5A}"/>
    <cellStyle name="Title 2 6 6" xfId="12342" xr:uid="{00000000-0005-0000-0000-0000F03B0000}"/>
    <cellStyle name="Title 2 6 6 2" xfId="48371" xr:uid="{31CD3377-F732-40F0-B636-505E5BF3F4FC}"/>
    <cellStyle name="Title 2 6 7" xfId="16284" xr:uid="{00000000-0005-0000-0000-0000F13B0000}"/>
    <cellStyle name="Title 2 6 7 2" xfId="48372" xr:uid="{6465DF20-7500-45DB-9261-58829E965957}"/>
    <cellStyle name="Title 2 6 8" xfId="9305" xr:uid="{00000000-0005-0000-0000-0000F23B0000}"/>
    <cellStyle name="Title 2 6 8 2" xfId="48373" xr:uid="{45D1DBE5-74A8-4B96-9DBC-213C94CEE471}"/>
    <cellStyle name="Title 2 6 9" xfId="48366" xr:uid="{5BA5D91E-102B-47E9-AE61-4FE1F65A9B62}"/>
    <cellStyle name="Title 2 7" xfId="4755" xr:uid="{00000000-0005-0000-0000-0000F33B0000}"/>
    <cellStyle name="Title 2 7 2" xfId="11413" xr:uid="{00000000-0005-0000-0000-0000F43B0000}"/>
    <cellStyle name="Title 2 7 2 2" xfId="48375" xr:uid="{00BFB7AE-4CB2-488D-A229-B4E8300B0350}"/>
    <cellStyle name="Title 2 7 3" xfId="11414" xr:uid="{00000000-0005-0000-0000-0000F53B0000}"/>
    <cellStyle name="Title 2 7 3 2" xfId="48376" xr:uid="{D321B911-C64C-4E24-80B1-9B369C6AE4E5}"/>
    <cellStyle name="Title 2 7 4" xfId="11415" xr:uid="{00000000-0005-0000-0000-0000F63B0000}"/>
    <cellStyle name="Title 2 7 4 2" xfId="48377" xr:uid="{DB8B406C-37CF-4249-8EED-138DDB72D9D3}"/>
    <cellStyle name="Title 2 7 5" xfId="11416" xr:uid="{00000000-0005-0000-0000-0000F73B0000}"/>
    <cellStyle name="Title 2 7 5 2" xfId="48378" xr:uid="{6A730412-B7EF-44FC-B8A4-AC54F8C01962}"/>
    <cellStyle name="Title 2 7 6" xfId="12343" xr:uid="{00000000-0005-0000-0000-0000F83B0000}"/>
    <cellStyle name="Title 2 7 6 2" xfId="48379" xr:uid="{F5D0068E-4DAB-4800-B9A8-8C9B0657DD4A}"/>
    <cellStyle name="Title 2 7 7" xfId="16542" xr:uid="{00000000-0005-0000-0000-0000F93B0000}"/>
    <cellStyle name="Title 2 7 7 2" xfId="48380" xr:uid="{54451A6D-52C5-4442-BA85-CEAAFFBE27CC}"/>
    <cellStyle name="Title 2 7 8" xfId="9306" xr:uid="{00000000-0005-0000-0000-0000FA3B0000}"/>
    <cellStyle name="Title 2 7 8 2" xfId="48381" xr:uid="{4B5AB078-C53E-41D2-9602-A510F91B5F1A}"/>
    <cellStyle name="Title 2 7 9" xfId="48374" xr:uid="{97A43EF9-4093-4166-800E-081381297336}"/>
    <cellStyle name="Title 2 8" xfId="4756" xr:uid="{00000000-0005-0000-0000-0000FB3B0000}"/>
    <cellStyle name="Title 2 8 2" xfId="11417" xr:uid="{00000000-0005-0000-0000-0000FC3B0000}"/>
    <cellStyle name="Title 2 8 2 2" xfId="48383" xr:uid="{D369CFC0-FF58-4976-9CEF-95DA7BDEE87C}"/>
    <cellStyle name="Title 2 8 3" xfId="11418" xr:uid="{00000000-0005-0000-0000-0000FD3B0000}"/>
    <cellStyle name="Title 2 8 3 2" xfId="48384" xr:uid="{CDD937A4-6946-4B5C-93DD-7A2A0BA06698}"/>
    <cellStyle name="Title 2 8 4" xfId="11419" xr:uid="{00000000-0005-0000-0000-0000FE3B0000}"/>
    <cellStyle name="Title 2 8 4 2" xfId="48385" xr:uid="{7B9720DD-F21C-4F45-871A-55ED3D2C795B}"/>
    <cellStyle name="Title 2 8 5" xfId="11420" xr:uid="{00000000-0005-0000-0000-0000FF3B0000}"/>
    <cellStyle name="Title 2 8 5 2" xfId="48386" xr:uid="{B735C02B-38CB-442D-8837-DB6EB65061F6}"/>
    <cellStyle name="Title 2 8 6" xfId="12344" xr:uid="{00000000-0005-0000-0000-0000003C0000}"/>
    <cellStyle name="Title 2 8 6 2" xfId="48387" xr:uid="{51B563E7-9022-4CB9-BA7E-A0B842946654}"/>
    <cellStyle name="Title 2 8 7" xfId="13798" xr:uid="{00000000-0005-0000-0000-0000013C0000}"/>
    <cellStyle name="Title 2 8 7 2" xfId="48388" xr:uid="{2ADCE579-571F-4E54-AC4F-6BB7E0745936}"/>
    <cellStyle name="Title 2 8 8" xfId="9307" xr:uid="{00000000-0005-0000-0000-0000023C0000}"/>
    <cellStyle name="Title 2 8 8 2" xfId="48389" xr:uid="{BEA27434-AE0B-4F58-B898-A60EC99D7A20}"/>
    <cellStyle name="Title 2 8 9" xfId="48382" xr:uid="{74CCA338-E8F3-4602-B5D1-817B7BC2E5F8}"/>
    <cellStyle name="Title 2 9" xfId="4757" xr:uid="{00000000-0005-0000-0000-0000033C0000}"/>
    <cellStyle name="Title 2 9 2" xfId="11421" xr:uid="{00000000-0005-0000-0000-0000043C0000}"/>
    <cellStyle name="Title 2 9 2 2" xfId="48391" xr:uid="{A914EA23-57F0-4BEE-90BD-642FF8791B09}"/>
    <cellStyle name="Title 2 9 3" xfId="11422" xr:uid="{00000000-0005-0000-0000-0000053C0000}"/>
    <cellStyle name="Title 2 9 3 2" xfId="48392" xr:uid="{79F746B7-BD6C-4A76-94CE-ADC3BB22BB20}"/>
    <cellStyle name="Title 2 9 4" xfId="11423" xr:uid="{00000000-0005-0000-0000-0000063C0000}"/>
    <cellStyle name="Title 2 9 4 2" xfId="48393" xr:uid="{27F7B3AC-ED00-418C-851F-72126AB51D94}"/>
    <cellStyle name="Title 2 9 5" xfId="11424" xr:uid="{00000000-0005-0000-0000-0000073C0000}"/>
    <cellStyle name="Title 2 9 5 2" xfId="48394" xr:uid="{0CA024EF-FEDF-42AD-B393-D819E2CB6BCE}"/>
    <cellStyle name="Title 2 9 6" xfId="12345" xr:uid="{00000000-0005-0000-0000-0000083C0000}"/>
    <cellStyle name="Title 2 9 6 2" xfId="48395" xr:uid="{269999C2-5FD0-4E98-A299-6D57B6BC82D0}"/>
    <cellStyle name="Title 2 9 7" xfId="12554" xr:uid="{00000000-0005-0000-0000-0000093C0000}"/>
    <cellStyle name="Title 2 9 7 2" xfId="48396" xr:uid="{54BD14CA-3B4A-4506-A848-4579A277BFEF}"/>
    <cellStyle name="Title 2 9 8" xfId="9308" xr:uid="{00000000-0005-0000-0000-00000A3C0000}"/>
    <cellStyle name="Title 2 9 8 2" xfId="48397" xr:uid="{7ADFD89E-A6B7-4220-9F56-16DF93BDB67B}"/>
    <cellStyle name="Title 2 9 9" xfId="48390" xr:uid="{E6F06EFE-100A-42BB-A676-AE422DFFF8D1}"/>
    <cellStyle name="Title 20" xfId="3217" xr:uid="{00000000-0005-0000-0000-00000B3C0000}"/>
    <cellStyle name="Title 20 10" xfId="48398" xr:uid="{9E38BBFD-29A2-42C1-8183-FFA9AD21F5DC}"/>
    <cellStyle name="Title 20 2" xfId="11425" xr:uid="{00000000-0005-0000-0000-00000C3C0000}"/>
    <cellStyle name="Title 20 2 2" xfId="48399" xr:uid="{40AE03C2-A9C7-427B-8AA7-D2D731C8E399}"/>
    <cellStyle name="Title 20 3" xfId="11426" xr:uid="{00000000-0005-0000-0000-00000D3C0000}"/>
    <cellStyle name="Title 20 3 2" xfId="48400" xr:uid="{B6B44C84-F20B-4FA5-ACCC-42748E122A14}"/>
    <cellStyle name="Title 20 4" xfId="11427" xr:uid="{00000000-0005-0000-0000-00000E3C0000}"/>
    <cellStyle name="Title 20 4 2" xfId="48401" xr:uid="{15816E38-C1C7-4A19-9E89-4726618A7389}"/>
    <cellStyle name="Title 20 5" xfId="11428" xr:uid="{00000000-0005-0000-0000-00000F3C0000}"/>
    <cellStyle name="Title 20 5 2" xfId="48402" xr:uid="{187AE458-B50B-449C-8EB8-E2D654BC23E7}"/>
    <cellStyle name="Title 20 6" xfId="11429" xr:uid="{00000000-0005-0000-0000-0000103C0000}"/>
    <cellStyle name="Title 20 6 2" xfId="48403" xr:uid="{D8B30A3F-A566-4756-A149-B99496982C96}"/>
    <cellStyle name="Title 20 7" xfId="13338" xr:uid="{00000000-0005-0000-0000-0000113C0000}"/>
    <cellStyle name="Title 20 7 2" xfId="48404" xr:uid="{A23FB48C-7493-42A3-AC65-1C83D3639393}"/>
    <cellStyle name="Title 20 8" xfId="16313" xr:uid="{00000000-0005-0000-0000-0000123C0000}"/>
    <cellStyle name="Title 20 8 2" xfId="48405" xr:uid="{E2EED6D5-A0B2-4B81-90C0-6E8F88AB2182}"/>
    <cellStyle name="Title 20 9" xfId="9309" xr:uid="{00000000-0005-0000-0000-0000133C0000}"/>
    <cellStyle name="Title 20 9 2" xfId="48406" xr:uid="{9D99AA25-74F7-466C-B5FE-CBCF7AE3821D}"/>
    <cellStyle name="Title 21" xfId="3218" xr:uid="{00000000-0005-0000-0000-0000143C0000}"/>
    <cellStyle name="Title 21 10" xfId="48407" xr:uid="{CB43AEDA-D06F-4DBE-AAC0-157F569A648E}"/>
    <cellStyle name="Title 21 2" xfId="11430" xr:uid="{00000000-0005-0000-0000-0000153C0000}"/>
    <cellStyle name="Title 21 2 2" xfId="48408" xr:uid="{044022D2-3CED-4CA6-812D-7D7CBAB60381}"/>
    <cellStyle name="Title 21 3" xfId="11431" xr:uid="{00000000-0005-0000-0000-0000163C0000}"/>
    <cellStyle name="Title 21 3 2" xfId="48409" xr:uid="{3A3213F9-F098-4D6E-8FF7-E64EF273998E}"/>
    <cellStyle name="Title 21 4" xfId="11432" xr:uid="{00000000-0005-0000-0000-0000173C0000}"/>
    <cellStyle name="Title 21 4 2" xfId="48410" xr:uid="{70DD57FE-FC6C-42B7-B589-1580AA7C53C5}"/>
    <cellStyle name="Title 21 5" xfId="11433" xr:uid="{00000000-0005-0000-0000-0000183C0000}"/>
    <cellStyle name="Title 21 5 2" xfId="48411" xr:uid="{9F5AF1FB-FAC7-46C7-81C9-A7CCA0E51AB8}"/>
    <cellStyle name="Title 21 6" xfId="11434" xr:uid="{00000000-0005-0000-0000-0000193C0000}"/>
    <cellStyle name="Title 21 6 2" xfId="48412" xr:uid="{B90638DF-60AB-4A51-8C22-C424E5C6310E}"/>
    <cellStyle name="Title 21 7" xfId="13339" xr:uid="{00000000-0005-0000-0000-00001A3C0000}"/>
    <cellStyle name="Title 21 7 2" xfId="48413" xr:uid="{BC89CB75-C3EA-4BDE-9148-16BB416D2001}"/>
    <cellStyle name="Title 21 8" xfId="16410" xr:uid="{00000000-0005-0000-0000-00001B3C0000}"/>
    <cellStyle name="Title 21 8 2" xfId="48414" xr:uid="{E8292A9B-30A5-4C47-A15A-05F876395934}"/>
    <cellStyle name="Title 21 9" xfId="9310" xr:uid="{00000000-0005-0000-0000-00001C3C0000}"/>
    <cellStyle name="Title 21 9 2" xfId="48415" xr:uid="{446B1607-1AEB-43A6-A8B8-04EB320896B9}"/>
    <cellStyle name="Title 22" xfId="3219" xr:uid="{00000000-0005-0000-0000-00001D3C0000}"/>
    <cellStyle name="Title 22 10" xfId="48416" xr:uid="{9A86D7F4-2719-4E00-92C5-D622464FCD9B}"/>
    <cellStyle name="Title 22 2" xfId="11435" xr:uid="{00000000-0005-0000-0000-00001E3C0000}"/>
    <cellStyle name="Title 22 2 2" xfId="48417" xr:uid="{B542E2E0-331C-4207-8713-BDA602FA2F90}"/>
    <cellStyle name="Title 22 3" xfId="11436" xr:uid="{00000000-0005-0000-0000-00001F3C0000}"/>
    <cellStyle name="Title 22 3 2" xfId="48418" xr:uid="{16CC56E1-B9ED-4D97-B1DE-75AFAB539091}"/>
    <cellStyle name="Title 22 4" xfId="11437" xr:uid="{00000000-0005-0000-0000-0000203C0000}"/>
    <cellStyle name="Title 22 4 2" xfId="48419" xr:uid="{8BCFB0CE-AF2C-400F-BE9B-E2A115C0455D}"/>
    <cellStyle name="Title 22 5" xfId="11438" xr:uid="{00000000-0005-0000-0000-0000213C0000}"/>
    <cellStyle name="Title 22 5 2" xfId="48420" xr:uid="{9D28AD01-4C68-4F3D-A498-BC35CC8CB7FD}"/>
    <cellStyle name="Title 22 6" xfId="11439" xr:uid="{00000000-0005-0000-0000-0000223C0000}"/>
    <cellStyle name="Title 22 6 2" xfId="48421" xr:uid="{E34CA4A5-054B-497A-AA25-60066291B8D1}"/>
    <cellStyle name="Title 22 7" xfId="13340" xr:uid="{00000000-0005-0000-0000-0000233C0000}"/>
    <cellStyle name="Title 22 7 2" xfId="48422" xr:uid="{A741F2C4-11A1-4B63-9B55-A4EA050731FA}"/>
    <cellStyle name="Title 22 8" xfId="12515" xr:uid="{00000000-0005-0000-0000-0000243C0000}"/>
    <cellStyle name="Title 22 8 2" xfId="48423" xr:uid="{CCFBA333-8360-403C-96D4-58F906D6234D}"/>
    <cellStyle name="Title 22 9" xfId="9311" xr:uid="{00000000-0005-0000-0000-0000253C0000}"/>
    <cellStyle name="Title 22 9 2" xfId="48424" xr:uid="{62050115-8F6E-4222-99F5-5830109A4C9B}"/>
    <cellStyle name="Title 23" xfId="3220" xr:uid="{00000000-0005-0000-0000-0000263C0000}"/>
    <cellStyle name="Title 23 10" xfId="48425" xr:uid="{65B85147-5DF9-4882-880B-E9B8B9A62899}"/>
    <cellStyle name="Title 23 2" xfId="11440" xr:uid="{00000000-0005-0000-0000-0000273C0000}"/>
    <cellStyle name="Title 23 2 2" xfId="48426" xr:uid="{0F88451B-4111-450B-8F7B-074F3BEC4584}"/>
    <cellStyle name="Title 23 3" xfId="11441" xr:uid="{00000000-0005-0000-0000-0000283C0000}"/>
    <cellStyle name="Title 23 3 2" xfId="48427" xr:uid="{A6EA1080-F4AA-469B-9D19-337DDA92FA54}"/>
    <cellStyle name="Title 23 4" xfId="11442" xr:uid="{00000000-0005-0000-0000-0000293C0000}"/>
    <cellStyle name="Title 23 4 2" xfId="48428" xr:uid="{13E624F7-CE7F-49C2-9351-D82B1BD468F3}"/>
    <cellStyle name="Title 23 5" xfId="11443" xr:uid="{00000000-0005-0000-0000-00002A3C0000}"/>
    <cellStyle name="Title 23 5 2" xfId="48429" xr:uid="{3E641556-8923-4128-B8E5-E2600DAF9AD4}"/>
    <cellStyle name="Title 23 6" xfId="11444" xr:uid="{00000000-0005-0000-0000-00002B3C0000}"/>
    <cellStyle name="Title 23 6 2" xfId="48430" xr:uid="{79E0C14D-D77D-4122-9ABA-8ACAB2463A83}"/>
    <cellStyle name="Title 23 7" xfId="13341" xr:uid="{00000000-0005-0000-0000-00002C3C0000}"/>
    <cellStyle name="Title 23 7 2" xfId="48431" xr:uid="{F127831F-0898-43A0-A96C-E9040920044F}"/>
    <cellStyle name="Title 23 8" xfId="16346" xr:uid="{00000000-0005-0000-0000-00002D3C0000}"/>
    <cellStyle name="Title 23 8 2" xfId="48432" xr:uid="{74F52E87-3A8D-4EAC-AE4A-08666E3EDD35}"/>
    <cellStyle name="Title 23 9" xfId="9312" xr:uid="{00000000-0005-0000-0000-00002E3C0000}"/>
    <cellStyle name="Title 23 9 2" xfId="48433" xr:uid="{28CAED2C-AFC6-44A4-9A47-CDAD276FEFF5}"/>
    <cellStyle name="Title 24" xfId="3221" xr:uid="{00000000-0005-0000-0000-00002F3C0000}"/>
    <cellStyle name="Title 24 10" xfId="48434" xr:uid="{BC7C59FD-FC32-4CE6-A1CA-92E4067B4528}"/>
    <cellStyle name="Title 24 2" xfId="11445" xr:uid="{00000000-0005-0000-0000-0000303C0000}"/>
    <cellStyle name="Title 24 2 2" xfId="48435" xr:uid="{F7BE904A-9949-40F9-91F7-8FB97F050DEC}"/>
    <cellStyle name="Title 24 3" xfId="11446" xr:uid="{00000000-0005-0000-0000-0000313C0000}"/>
    <cellStyle name="Title 24 3 2" xfId="48436" xr:uid="{A1D9843E-2467-4BD5-B319-495F18E79F92}"/>
    <cellStyle name="Title 24 4" xfId="11447" xr:uid="{00000000-0005-0000-0000-0000323C0000}"/>
    <cellStyle name="Title 24 4 2" xfId="48437" xr:uid="{05D3FD74-3BB5-433A-9836-C83CF490338A}"/>
    <cellStyle name="Title 24 5" xfId="11448" xr:uid="{00000000-0005-0000-0000-0000333C0000}"/>
    <cellStyle name="Title 24 5 2" xfId="48438" xr:uid="{29CB64C6-4C2D-4EBF-BD9D-BB71B548355B}"/>
    <cellStyle name="Title 24 6" xfId="11449" xr:uid="{00000000-0005-0000-0000-0000343C0000}"/>
    <cellStyle name="Title 24 6 2" xfId="48439" xr:uid="{D3A2DECE-9E25-48C8-8827-5A79BF75FACF}"/>
    <cellStyle name="Title 24 7" xfId="13342" xr:uid="{00000000-0005-0000-0000-0000353C0000}"/>
    <cellStyle name="Title 24 7 2" xfId="48440" xr:uid="{A3B023C8-91B8-4D0F-AEF2-FABF3F0901EF}"/>
    <cellStyle name="Title 24 8" xfId="13764" xr:uid="{00000000-0005-0000-0000-0000363C0000}"/>
    <cellStyle name="Title 24 8 2" xfId="48441" xr:uid="{B6D92AD3-C64B-4112-ABDA-E0BE8C58391C}"/>
    <cellStyle name="Title 24 9" xfId="9313" xr:uid="{00000000-0005-0000-0000-0000373C0000}"/>
    <cellStyle name="Title 24 9 2" xfId="48442" xr:uid="{FBCECE57-7940-48EA-9B2E-9D1F1B65CCEE}"/>
    <cellStyle name="Title 25" xfId="3222" xr:uid="{00000000-0005-0000-0000-0000383C0000}"/>
    <cellStyle name="Title 25 10" xfId="48443" xr:uid="{B60565BC-88FC-4CA6-801D-BC0725900B18}"/>
    <cellStyle name="Title 25 2" xfId="11450" xr:uid="{00000000-0005-0000-0000-0000393C0000}"/>
    <cellStyle name="Title 25 2 2" xfId="48444" xr:uid="{2E704A8A-CC82-44E3-BDC9-3D34ED65442D}"/>
    <cellStyle name="Title 25 3" xfId="11451" xr:uid="{00000000-0005-0000-0000-00003A3C0000}"/>
    <cellStyle name="Title 25 3 2" xfId="48445" xr:uid="{9CFB09D8-5270-4E57-953D-840A7C053C00}"/>
    <cellStyle name="Title 25 4" xfId="11452" xr:uid="{00000000-0005-0000-0000-00003B3C0000}"/>
    <cellStyle name="Title 25 4 2" xfId="48446" xr:uid="{F0B5752F-011D-4BC4-9750-C3D3C18A371B}"/>
    <cellStyle name="Title 25 5" xfId="11453" xr:uid="{00000000-0005-0000-0000-00003C3C0000}"/>
    <cellStyle name="Title 25 5 2" xfId="48447" xr:uid="{B0C9518B-632C-4C49-82EF-82A1015922F2}"/>
    <cellStyle name="Title 25 6" xfId="11454" xr:uid="{00000000-0005-0000-0000-00003D3C0000}"/>
    <cellStyle name="Title 25 6 2" xfId="48448" xr:uid="{DC084C92-40FE-4A9B-A380-AD3B1CAF1E0F}"/>
    <cellStyle name="Title 25 7" xfId="13343" xr:uid="{00000000-0005-0000-0000-00003E3C0000}"/>
    <cellStyle name="Title 25 7 2" xfId="48449" xr:uid="{6FD4F73C-4513-446C-A9FF-90ED7D208BCD}"/>
    <cellStyle name="Title 25 8" xfId="16164" xr:uid="{00000000-0005-0000-0000-00003F3C0000}"/>
    <cellStyle name="Title 25 8 2" xfId="48450" xr:uid="{254CDB92-7A03-4F5E-A195-479C330ED11A}"/>
    <cellStyle name="Title 25 9" xfId="9314" xr:uid="{00000000-0005-0000-0000-0000403C0000}"/>
    <cellStyle name="Title 25 9 2" xfId="48451" xr:uid="{CFBB2F8E-1545-4849-B66C-B821D141A094}"/>
    <cellStyle name="Title 26" xfId="3223" xr:uid="{00000000-0005-0000-0000-0000413C0000}"/>
    <cellStyle name="Title 26 10" xfId="48452" xr:uid="{65511394-35CD-434F-AEC2-C86211EE6130}"/>
    <cellStyle name="Title 26 2" xfId="11455" xr:uid="{00000000-0005-0000-0000-0000423C0000}"/>
    <cellStyle name="Title 26 2 2" xfId="48453" xr:uid="{6EC72475-4C67-4B72-9D54-150C82FEE7D1}"/>
    <cellStyle name="Title 26 3" xfId="11456" xr:uid="{00000000-0005-0000-0000-0000433C0000}"/>
    <cellStyle name="Title 26 3 2" xfId="48454" xr:uid="{F17C9052-4291-4E99-9EEB-ECECB1AB08DC}"/>
    <cellStyle name="Title 26 4" xfId="11457" xr:uid="{00000000-0005-0000-0000-0000443C0000}"/>
    <cellStyle name="Title 26 4 2" xfId="48455" xr:uid="{5F56C22A-D86A-44A1-9411-152EA7B8CE8B}"/>
    <cellStyle name="Title 26 5" xfId="11458" xr:uid="{00000000-0005-0000-0000-0000453C0000}"/>
    <cellStyle name="Title 26 5 2" xfId="48456" xr:uid="{A4AAAED1-9BD5-45FC-8495-2FC8CDED9683}"/>
    <cellStyle name="Title 26 6" xfId="11459" xr:uid="{00000000-0005-0000-0000-0000463C0000}"/>
    <cellStyle name="Title 26 6 2" xfId="48457" xr:uid="{4CC3D13E-EE53-4422-B838-054BB66D2684}"/>
    <cellStyle name="Title 26 7" xfId="13344" xr:uid="{00000000-0005-0000-0000-0000473C0000}"/>
    <cellStyle name="Title 26 7 2" xfId="48458" xr:uid="{F1F4EBF4-85BC-4F40-BBDA-84AED12E4771}"/>
    <cellStyle name="Title 26 8" xfId="13469" xr:uid="{00000000-0005-0000-0000-0000483C0000}"/>
    <cellStyle name="Title 26 8 2" xfId="48459" xr:uid="{F4EABF48-526F-4803-9B63-6E4DAEC62CBE}"/>
    <cellStyle name="Title 26 9" xfId="9315" xr:uid="{00000000-0005-0000-0000-0000493C0000}"/>
    <cellStyle name="Title 26 9 2" xfId="48460" xr:uid="{BC60816C-0DED-4579-AAF3-81928254C4F0}"/>
    <cellStyle name="Title 27" xfId="3224" xr:uid="{00000000-0005-0000-0000-00004A3C0000}"/>
    <cellStyle name="Title 27 10" xfId="48461" xr:uid="{26178C13-5D1A-41F4-8AF0-C8FB3272237B}"/>
    <cellStyle name="Title 27 2" xfId="11460" xr:uid="{00000000-0005-0000-0000-00004B3C0000}"/>
    <cellStyle name="Title 27 2 2" xfId="48462" xr:uid="{79794E8B-A90F-4926-94D4-CC5103DE50DD}"/>
    <cellStyle name="Title 27 3" xfId="11461" xr:uid="{00000000-0005-0000-0000-00004C3C0000}"/>
    <cellStyle name="Title 27 3 2" xfId="48463" xr:uid="{60D278F9-3B31-4070-A23D-916855375056}"/>
    <cellStyle name="Title 27 4" xfId="11462" xr:uid="{00000000-0005-0000-0000-00004D3C0000}"/>
    <cellStyle name="Title 27 4 2" xfId="48464" xr:uid="{215A2065-D676-49F3-8982-07F873E536F3}"/>
    <cellStyle name="Title 27 5" xfId="11463" xr:uid="{00000000-0005-0000-0000-00004E3C0000}"/>
    <cellStyle name="Title 27 5 2" xfId="48465" xr:uid="{3858A5D8-0DFA-4A8E-9396-4F9EEDEA9EB8}"/>
    <cellStyle name="Title 27 6" xfId="11464" xr:uid="{00000000-0005-0000-0000-00004F3C0000}"/>
    <cellStyle name="Title 27 6 2" xfId="48466" xr:uid="{47FB189C-EF52-4C02-8EEF-E836ABE707A2}"/>
    <cellStyle name="Title 27 7" xfId="13345" xr:uid="{00000000-0005-0000-0000-0000503C0000}"/>
    <cellStyle name="Title 27 7 2" xfId="48467" xr:uid="{7BC9BD4B-6FCB-471F-8787-51C995E86969}"/>
    <cellStyle name="Title 27 8" xfId="13761" xr:uid="{00000000-0005-0000-0000-0000513C0000}"/>
    <cellStyle name="Title 27 8 2" xfId="48468" xr:uid="{F79BF192-6404-4AA6-B1DE-928A622D3E5E}"/>
    <cellStyle name="Title 27 9" xfId="9316" xr:uid="{00000000-0005-0000-0000-0000523C0000}"/>
    <cellStyle name="Title 27 9 2" xfId="48469" xr:uid="{4DCD931F-EDC9-42C9-B58B-00B6222CA0E9}"/>
    <cellStyle name="Title 28" xfId="3225" xr:uid="{00000000-0005-0000-0000-0000533C0000}"/>
    <cellStyle name="Title 28 10" xfId="48470" xr:uid="{515FE060-CC7B-46B7-8E30-00737CC5925B}"/>
    <cellStyle name="Title 28 2" xfId="11465" xr:uid="{00000000-0005-0000-0000-0000543C0000}"/>
    <cellStyle name="Title 28 2 2" xfId="48471" xr:uid="{AF04898C-8D82-4C6A-A2B9-F5208E60B5D3}"/>
    <cellStyle name="Title 28 3" xfId="11466" xr:uid="{00000000-0005-0000-0000-0000553C0000}"/>
    <cellStyle name="Title 28 3 2" xfId="48472" xr:uid="{BB1E2BFA-20FF-4595-8DD2-81F5AF462D53}"/>
    <cellStyle name="Title 28 4" xfId="11467" xr:uid="{00000000-0005-0000-0000-0000563C0000}"/>
    <cellStyle name="Title 28 4 2" xfId="48473" xr:uid="{B3C9AA15-1C3B-4E0E-BCFF-0A91BCA7810D}"/>
    <cellStyle name="Title 28 5" xfId="11468" xr:uid="{00000000-0005-0000-0000-0000573C0000}"/>
    <cellStyle name="Title 28 5 2" xfId="48474" xr:uid="{8FEEE4B7-46E3-47BC-ACEF-366EDB15C2AF}"/>
    <cellStyle name="Title 28 6" xfId="11469" xr:uid="{00000000-0005-0000-0000-0000583C0000}"/>
    <cellStyle name="Title 28 6 2" xfId="48475" xr:uid="{96CBC260-E83B-4C48-82CE-F25C591DEA12}"/>
    <cellStyle name="Title 28 7" xfId="13346" xr:uid="{00000000-0005-0000-0000-0000593C0000}"/>
    <cellStyle name="Title 28 7 2" xfId="48476" xr:uid="{19EDC184-D637-4413-B585-24638B687FC1}"/>
    <cellStyle name="Title 28 8" xfId="16280" xr:uid="{00000000-0005-0000-0000-00005A3C0000}"/>
    <cellStyle name="Title 28 8 2" xfId="48477" xr:uid="{DD7B07B8-2CD0-40F1-8CE1-1969C6B5B147}"/>
    <cellStyle name="Title 28 9" xfId="9317" xr:uid="{00000000-0005-0000-0000-00005B3C0000}"/>
    <cellStyle name="Title 28 9 2" xfId="48478" xr:uid="{7360FE2E-CD69-4CD2-B357-7EE63598A455}"/>
    <cellStyle name="Title 29" xfId="3226" xr:uid="{00000000-0005-0000-0000-00005C3C0000}"/>
    <cellStyle name="Title 29 10" xfId="48479" xr:uid="{04C890C6-6B01-42F1-B850-69F11B286C94}"/>
    <cellStyle name="Title 29 2" xfId="11470" xr:uid="{00000000-0005-0000-0000-00005D3C0000}"/>
    <cellStyle name="Title 29 2 2" xfId="48480" xr:uid="{3B8D187C-B62A-4D5D-B955-F786AA544E06}"/>
    <cellStyle name="Title 29 3" xfId="11471" xr:uid="{00000000-0005-0000-0000-00005E3C0000}"/>
    <cellStyle name="Title 29 3 2" xfId="48481" xr:uid="{E885FEDC-CF68-4F32-8DF5-709EE5D9649C}"/>
    <cellStyle name="Title 29 4" xfId="11472" xr:uid="{00000000-0005-0000-0000-00005F3C0000}"/>
    <cellStyle name="Title 29 4 2" xfId="48482" xr:uid="{18A0D58E-6E84-4EF7-A73C-38820B4B5107}"/>
    <cellStyle name="Title 29 5" xfId="11473" xr:uid="{00000000-0005-0000-0000-0000603C0000}"/>
    <cellStyle name="Title 29 5 2" xfId="48483" xr:uid="{D438BD08-76DA-433F-AB29-A8EC2315E087}"/>
    <cellStyle name="Title 29 6" xfId="11474" xr:uid="{00000000-0005-0000-0000-0000613C0000}"/>
    <cellStyle name="Title 29 6 2" xfId="48484" xr:uid="{404B283D-03E9-4BE0-B032-8125DB6497E3}"/>
    <cellStyle name="Title 29 7" xfId="13347" xr:uid="{00000000-0005-0000-0000-0000623C0000}"/>
    <cellStyle name="Title 29 7 2" xfId="48485" xr:uid="{2A5E78DC-F083-4208-928A-2893529E5537}"/>
    <cellStyle name="Title 29 8" xfId="13894" xr:uid="{00000000-0005-0000-0000-0000633C0000}"/>
    <cellStyle name="Title 29 8 2" xfId="48486" xr:uid="{A088F2FF-8C3F-4380-8939-6A3319BF08AC}"/>
    <cellStyle name="Title 29 9" xfId="9318" xr:uid="{00000000-0005-0000-0000-0000643C0000}"/>
    <cellStyle name="Title 29 9 2" xfId="48487" xr:uid="{E3FD4BBB-1727-46B5-AB0F-D870DD4CBEF4}"/>
    <cellStyle name="Title 3" xfId="257" xr:uid="{00000000-0005-0000-0000-0000653C0000}"/>
    <cellStyle name="Title 3 10" xfId="16312" xr:uid="{00000000-0005-0000-0000-0000663C0000}"/>
    <cellStyle name="Title 3 10 2" xfId="48489" xr:uid="{4BB9E916-6055-4E68-9926-0A18BB618810}"/>
    <cellStyle name="Title 3 11" xfId="9319" xr:uid="{00000000-0005-0000-0000-0000673C0000}"/>
    <cellStyle name="Title 3 11 2" xfId="48490" xr:uid="{A5CBEF49-1BDA-4D18-B143-DFD5200E73B3}"/>
    <cellStyle name="Title 3 12" xfId="48488" xr:uid="{6D76D7AB-FEAF-4142-99C2-EA1DBA44CF13}"/>
    <cellStyle name="Title 3 2" xfId="3227" xr:uid="{00000000-0005-0000-0000-0000683C0000}"/>
    <cellStyle name="Title 3 2 2" xfId="11475" xr:uid="{00000000-0005-0000-0000-0000693C0000}"/>
    <cellStyle name="Title 3 2 2 2" xfId="48492" xr:uid="{D0294697-EBA0-40DA-8384-AFBE430F2ED2}"/>
    <cellStyle name="Title 3 2 3" xfId="11476" xr:uid="{00000000-0005-0000-0000-00006A3C0000}"/>
    <cellStyle name="Title 3 2 3 2" xfId="48493" xr:uid="{AC1FF804-B842-4ED9-8F2E-75048A627A78}"/>
    <cellStyle name="Title 3 2 4" xfId="11477" xr:uid="{00000000-0005-0000-0000-00006B3C0000}"/>
    <cellStyle name="Title 3 2 4 2" xfId="48494" xr:uid="{675E2CA0-4FBF-4435-BEA0-9C400BD59350}"/>
    <cellStyle name="Title 3 2 5" xfId="11478" xr:uid="{00000000-0005-0000-0000-00006C3C0000}"/>
    <cellStyle name="Title 3 2 5 2" xfId="48495" xr:uid="{878ED66E-7BAE-4F23-A748-B75E2CEB71F8}"/>
    <cellStyle name="Title 3 2 6" xfId="13348" xr:uid="{00000000-0005-0000-0000-00006D3C0000}"/>
    <cellStyle name="Title 3 2 6 2" xfId="48496" xr:uid="{8B21FE0F-4D42-4B3F-9AE4-A6FB7C5243C9}"/>
    <cellStyle name="Title 3 2 7" xfId="12609" xr:uid="{00000000-0005-0000-0000-00006E3C0000}"/>
    <cellStyle name="Title 3 2 7 2" xfId="48497" xr:uid="{CCB1209C-101B-4C2D-9547-E86A346BE40B}"/>
    <cellStyle name="Title 3 2 8" xfId="9320" xr:uid="{00000000-0005-0000-0000-00006F3C0000}"/>
    <cellStyle name="Title 3 2 8 2" xfId="48498" xr:uid="{B5EC91E5-EEF8-46CF-B729-E8AF699F4E65}"/>
    <cellStyle name="Title 3 2 9" xfId="48491" xr:uid="{38E6D0B5-579D-498E-93E6-7CD209640CA9}"/>
    <cellStyle name="Title 3 3" xfId="4758" xr:uid="{00000000-0005-0000-0000-0000703C0000}"/>
    <cellStyle name="Title 3 3 2" xfId="13869" xr:uid="{00000000-0005-0000-0000-0000713C0000}"/>
    <cellStyle name="Title 3 3 2 2" xfId="48500" xr:uid="{656F868E-36AD-4CC7-9510-796AE86A8FE6}"/>
    <cellStyle name="Title 3 3 3" xfId="16604" xr:uid="{00000000-0005-0000-0000-0000723C0000}"/>
    <cellStyle name="Title 3 3 3 2" xfId="48501" xr:uid="{54F3DE3C-BE64-400C-AF51-25EAA04E8B42}"/>
    <cellStyle name="Title 3 3 4" xfId="9321" xr:uid="{00000000-0005-0000-0000-0000733C0000}"/>
    <cellStyle name="Title 3 3 4 2" xfId="48502" xr:uid="{55235F2C-38C2-422B-A580-F551BE0A367E}"/>
    <cellStyle name="Title 3 3 5" xfId="48499" xr:uid="{DFC93C29-C33F-4995-B289-21F5225E4F41}"/>
    <cellStyle name="Title 3 4" xfId="5814" xr:uid="{00000000-0005-0000-0000-0000743C0000}"/>
    <cellStyle name="Title 3 4 2" xfId="14391" xr:uid="{00000000-0005-0000-0000-0000753C0000}"/>
    <cellStyle name="Title 3 4 2 2" xfId="48504" xr:uid="{6E1A968C-A099-42EC-9105-15032967990C}"/>
    <cellStyle name="Title 3 4 3" xfId="16336" xr:uid="{00000000-0005-0000-0000-0000763C0000}"/>
    <cellStyle name="Title 3 4 3 2" xfId="48505" xr:uid="{304D5BB7-2D52-4145-9B1A-BAE6C1B31942}"/>
    <cellStyle name="Title 3 4 4" xfId="9322" xr:uid="{00000000-0005-0000-0000-0000773C0000}"/>
    <cellStyle name="Title 3 4 4 2" xfId="48506" xr:uid="{6D256F7A-5AEE-4AA3-B3D7-01078AC5EB59}"/>
    <cellStyle name="Title 3 4 5" xfId="48503" xr:uid="{1D9A10F8-91BF-433D-AD88-850E107287CF}"/>
    <cellStyle name="Title 3 5" xfId="11479" xr:uid="{00000000-0005-0000-0000-0000783C0000}"/>
    <cellStyle name="Title 3 5 2" xfId="48507" xr:uid="{CFDDC91A-FE32-4F0C-A0CA-48D4C8841CDF}"/>
    <cellStyle name="Title 3 6" xfId="11480" xr:uid="{00000000-0005-0000-0000-0000793C0000}"/>
    <cellStyle name="Title 3 6 2" xfId="48508" xr:uid="{20222A9F-7319-4068-BB50-8FFF3CB958DD}"/>
    <cellStyle name="Title 3 7" xfId="11481" xr:uid="{00000000-0005-0000-0000-00007A3C0000}"/>
    <cellStyle name="Title 3 7 2" xfId="48509" xr:uid="{C18207BE-BCD2-483D-BA3A-1F8EB81397CB}"/>
    <cellStyle name="Title 3 8" xfId="12346" xr:uid="{00000000-0005-0000-0000-00007B3C0000}"/>
    <cellStyle name="Title 3 8 2" xfId="48510" xr:uid="{BE567CAF-8F76-4C42-B886-ED5D0CAAECC4}"/>
    <cellStyle name="Title 3 9" xfId="12460" xr:uid="{00000000-0005-0000-0000-00007C3C0000}"/>
    <cellStyle name="Title 3 9 2" xfId="48511" xr:uid="{9D2F303B-D2E8-4751-8AFC-AC252914DC64}"/>
    <cellStyle name="Title 30" xfId="3228" xr:uid="{00000000-0005-0000-0000-00007D3C0000}"/>
    <cellStyle name="Title 30 10" xfId="48512" xr:uid="{952F0FFB-1E80-4E2A-8DD3-D867DA8B9F6A}"/>
    <cellStyle name="Title 30 2" xfId="11482" xr:uid="{00000000-0005-0000-0000-00007E3C0000}"/>
    <cellStyle name="Title 30 2 2" xfId="48513" xr:uid="{3E8B3C7B-D2FA-4813-96FD-CC40BFB9E3A1}"/>
    <cellStyle name="Title 30 3" xfId="11483" xr:uid="{00000000-0005-0000-0000-00007F3C0000}"/>
    <cellStyle name="Title 30 3 2" xfId="48514" xr:uid="{927EF746-D128-4132-9190-7EE847752580}"/>
    <cellStyle name="Title 30 4" xfId="11484" xr:uid="{00000000-0005-0000-0000-0000803C0000}"/>
    <cellStyle name="Title 30 4 2" xfId="48515" xr:uid="{A21D6D89-6AA6-4466-8324-BC9CC12BF01E}"/>
    <cellStyle name="Title 30 5" xfId="11485" xr:uid="{00000000-0005-0000-0000-0000813C0000}"/>
    <cellStyle name="Title 30 5 2" xfId="48516" xr:uid="{10A55E18-21B3-443D-9D9A-77645953D8F7}"/>
    <cellStyle name="Title 30 6" xfId="11486" xr:uid="{00000000-0005-0000-0000-0000823C0000}"/>
    <cellStyle name="Title 30 6 2" xfId="48517" xr:uid="{A8067D5A-B1AF-4E69-8457-03E422470027}"/>
    <cellStyle name="Title 30 7" xfId="13349" xr:uid="{00000000-0005-0000-0000-0000833C0000}"/>
    <cellStyle name="Title 30 7 2" xfId="48518" xr:uid="{197022D2-0062-4E07-9BE9-C22C656E8D48}"/>
    <cellStyle name="Title 30 8" xfId="12421" xr:uid="{00000000-0005-0000-0000-0000843C0000}"/>
    <cellStyle name="Title 30 8 2" xfId="48519" xr:uid="{DBE44776-5782-462C-990E-2305C7A1C00A}"/>
    <cellStyle name="Title 30 9" xfId="9323" xr:uid="{00000000-0005-0000-0000-0000853C0000}"/>
    <cellStyle name="Title 30 9 2" xfId="48520" xr:uid="{AC5CD4C4-8649-41B6-9783-5141D43C184F}"/>
    <cellStyle name="Title 31" xfId="3229" xr:uid="{00000000-0005-0000-0000-0000863C0000}"/>
    <cellStyle name="Title 31 10" xfId="48521" xr:uid="{B69A8F0E-249F-4EF1-8A0D-4C5FC6DB9779}"/>
    <cellStyle name="Title 31 2" xfId="11487" xr:uid="{00000000-0005-0000-0000-0000873C0000}"/>
    <cellStyle name="Title 31 2 2" xfId="48522" xr:uid="{8649A40C-C50B-45EC-85E0-29F0EC4739CF}"/>
    <cellStyle name="Title 31 3" xfId="11488" xr:uid="{00000000-0005-0000-0000-0000883C0000}"/>
    <cellStyle name="Title 31 3 2" xfId="48523" xr:uid="{20F6AC2E-FF15-4655-AE01-ED58570EBB74}"/>
    <cellStyle name="Title 31 4" xfId="11489" xr:uid="{00000000-0005-0000-0000-0000893C0000}"/>
    <cellStyle name="Title 31 4 2" xfId="48524" xr:uid="{5CBD5373-DB23-43DA-8198-93116D69AB31}"/>
    <cellStyle name="Title 31 5" xfId="11490" xr:uid="{00000000-0005-0000-0000-00008A3C0000}"/>
    <cellStyle name="Title 31 5 2" xfId="48525" xr:uid="{59192FC7-A237-4596-A8E4-273D461452DC}"/>
    <cellStyle name="Title 31 6" xfId="11491" xr:uid="{00000000-0005-0000-0000-00008B3C0000}"/>
    <cellStyle name="Title 31 6 2" xfId="48526" xr:uid="{A7399E62-7338-48ED-AA6A-2CCBD839223A}"/>
    <cellStyle name="Title 31 7" xfId="13350" xr:uid="{00000000-0005-0000-0000-00008C3C0000}"/>
    <cellStyle name="Title 31 7 2" xfId="48527" xr:uid="{32B7A4C2-67AE-460E-8106-F3DAE5436795}"/>
    <cellStyle name="Title 31 8" xfId="16200" xr:uid="{00000000-0005-0000-0000-00008D3C0000}"/>
    <cellStyle name="Title 31 8 2" xfId="48528" xr:uid="{B7047260-A876-452E-B982-74973F08411F}"/>
    <cellStyle name="Title 31 9" xfId="9324" xr:uid="{00000000-0005-0000-0000-00008E3C0000}"/>
    <cellStyle name="Title 31 9 2" xfId="48529" xr:uid="{4F161FB9-B9D9-4FF5-9F61-3D5FBDA2B2A6}"/>
    <cellStyle name="Title 32" xfId="3230" xr:uid="{00000000-0005-0000-0000-00008F3C0000}"/>
    <cellStyle name="Title 32 10" xfId="48530" xr:uid="{C3F09E92-861C-4CAE-948F-B3F06A0AA31F}"/>
    <cellStyle name="Title 32 2" xfId="11492" xr:uid="{00000000-0005-0000-0000-0000903C0000}"/>
    <cellStyle name="Title 32 2 2" xfId="48531" xr:uid="{65347440-FB80-4F72-AFE1-F12E4B7BA37F}"/>
    <cellStyle name="Title 32 3" xfId="11493" xr:uid="{00000000-0005-0000-0000-0000913C0000}"/>
    <cellStyle name="Title 32 3 2" xfId="48532" xr:uid="{D1078E17-8153-4CFA-9DC8-9E516BCE6D71}"/>
    <cellStyle name="Title 32 4" xfId="11494" xr:uid="{00000000-0005-0000-0000-0000923C0000}"/>
    <cellStyle name="Title 32 4 2" xfId="48533" xr:uid="{4FF577A5-CA95-4D80-B76F-3D833CB432BA}"/>
    <cellStyle name="Title 32 5" xfId="11495" xr:uid="{00000000-0005-0000-0000-0000933C0000}"/>
    <cellStyle name="Title 32 5 2" xfId="48534" xr:uid="{125A8B8A-95BF-46EC-A004-B8D5CC4BAF76}"/>
    <cellStyle name="Title 32 6" xfId="11496" xr:uid="{00000000-0005-0000-0000-0000943C0000}"/>
    <cellStyle name="Title 32 6 2" xfId="48535" xr:uid="{DB0D4036-4EE8-4425-8402-88964BACF9B2}"/>
    <cellStyle name="Title 32 7" xfId="13351" xr:uid="{00000000-0005-0000-0000-0000953C0000}"/>
    <cellStyle name="Title 32 7 2" xfId="48536" xr:uid="{E71716C0-B084-4733-A59E-ED98AA4C82F2}"/>
    <cellStyle name="Title 32 8" xfId="16225" xr:uid="{00000000-0005-0000-0000-0000963C0000}"/>
    <cellStyle name="Title 32 8 2" xfId="48537" xr:uid="{8F760BDA-8ED7-4B87-A63C-EB425B82742F}"/>
    <cellStyle name="Title 32 9" xfId="9325" xr:uid="{00000000-0005-0000-0000-0000973C0000}"/>
    <cellStyle name="Title 32 9 2" xfId="48538" xr:uid="{4D46AC54-DE4F-4E18-B657-CB2E168575F7}"/>
    <cellStyle name="Title 33" xfId="3231" xr:uid="{00000000-0005-0000-0000-0000983C0000}"/>
    <cellStyle name="Title 33 10" xfId="48539" xr:uid="{6CE23720-A430-4594-B3D7-B57B3E72B8EA}"/>
    <cellStyle name="Title 33 2" xfId="11497" xr:uid="{00000000-0005-0000-0000-0000993C0000}"/>
    <cellStyle name="Title 33 2 2" xfId="48540" xr:uid="{066F3557-9A13-4D74-BE6D-99BE35B074CC}"/>
    <cellStyle name="Title 33 3" xfId="11498" xr:uid="{00000000-0005-0000-0000-00009A3C0000}"/>
    <cellStyle name="Title 33 3 2" xfId="48541" xr:uid="{6D29C66B-9731-434D-821B-19291F07B789}"/>
    <cellStyle name="Title 33 4" xfId="11499" xr:uid="{00000000-0005-0000-0000-00009B3C0000}"/>
    <cellStyle name="Title 33 4 2" xfId="48542" xr:uid="{F9DA3885-78AA-4601-8FDF-0FA2D93FC935}"/>
    <cellStyle name="Title 33 5" xfId="11500" xr:uid="{00000000-0005-0000-0000-00009C3C0000}"/>
    <cellStyle name="Title 33 5 2" xfId="48543" xr:uid="{980A34B7-638D-41C7-A230-4B0FEEE69B3C}"/>
    <cellStyle name="Title 33 6" xfId="11501" xr:uid="{00000000-0005-0000-0000-00009D3C0000}"/>
    <cellStyle name="Title 33 6 2" xfId="48544" xr:uid="{3D40097D-0A87-4357-861C-E1A0A0C4F8C3}"/>
    <cellStyle name="Title 33 7" xfId="13352" xr:uid="{00000000-0005-0000-0000-00009E3C0000}"/>
    <cellStyle name="Title 33 7 2" xfId="48545" xr:uid="{E9AA1A96-9618-4897-AD8F-A43240A76FEE}"/>
    <cellStyle name="Title 33 8" xfId="12551" xr:uid="{00000000-0005-0000-0000-00009F3C0000}"/>
    <cellStyle name="Title 33 8 2" xfId="48546" xr:uid="{9355AD3E-06A6-4E2F-B4C5-3DD77FF2552D}"/>
    <cellStyle name="Title 33 9" xfId="9326" xr:uid="{00000000-0005-0000-0000-0000A03C0000}"/>
    <cellStyle name="Title 33 9 2" xfId="48547" xr:uid="{BCD05D14-1BF5-43A5-A2F9-0F9EF530365D}"/>
    <cellStyle name="Title 34" xfId="3232" xr:uid="{00000000-0005-0000-0000-0000A13C0000}"/>
    <cellStyle name="Title 34 10" xfId="48548" xr:uid="{DF72E3FD-578B-415D-8712-4EF009D89E28}"/>
    <cellStyle name="Title 34 2" xfId="11502" xr:uid="{00000000-0005-0000-0000-0000A23C0000}"/>
    <cellStyle name="Title 34 2 2" xfId="48549" xr:uid="{B6B5D05C-DA49-40E3-A474-5EDE7F35ECC3}"/>
    <cellStyle name="Title 34 3" xfId="11503" xr:uid="{00000000-0005-0000-0000-0000A33C0000}"/>
    <cellStyle name="Title 34 3 2" xfId="48550" xr:uid="{90549DDE-C074-416C-9C14-B81BC442BC13}"/>
    <cellStyle name="Title 34 4" xfId="11504" xr:uid="{00000000-0005-0000-0000-0000A43C0000}"/>
    <cellStyle name="Title 34 4 2" xfId="48551" xr:uid="{082125C3-11E9-4AB4-A1B3-5C448D96D3CB}"/>
    <cellStyle name="Title 34 5" xfId="11505" xr:uid="{00000000-0005-0000-0000-0000A53C0000}"/>
    <cellStyle name="Title 34 5 2" xfId="48552" xr:uid="{6D2297DB-F9EC-46A2-9795-063301970445}"/>
    <cellStyle name="Title 34 6" xfId="11506" xr:uid="{00000000-0005-0000-0000-0000A63C0000}"/>
    <cellStyle name="Title 34 6 2" xfId="48553" xr:uid="{D25E8ADB-108B-4EAD-82E9-40EA774DD07A}"/>
    <cellStyle name="Title 34 7" xfId="13353" xr:uid="{00000000-0005-0000-0000-0000A73C0000}"/>
    <cellStyle name="Title 34 7 2" xfId="48554" xr:uid="{097C83C7-E82E-49E4-B4E2-59306C71C95A}"/>
    <cellStyle name="Title 34 8" xfId="16381" xr:uid="{00000000-0005-0000-0000-0000A83C0000}"/>
    <cellStyle name="Title 34 8 2" xfId="48555" xr:uid="{702CB76C-B714-4AE6-A26D-6A91EF1C9FD6}"/>
    <cellStyle name="Title 34 9" xfId="9327" xr:uid="{00000000-0005-0000-0000-0000A93C0000}"/>
    <cellStyle name="Title 34 9 2" xfId="48556" xr:uid="{030FCC18-4094-4846-8D16-FFF196A23121}"/>
    <cellStyle name="Title 35" xfId="3233" xr:uid="{00000000-0005-0000-0000-0000AA3C0000}"/>
    <cellStyle name="Title 35 10" xfId="48557" xr:uid="{FCE6CB09-A9AD-4E9D-A928-2E1F8836FB8A}"/>
    <cellStyle name="Title 35 2" xfId="11507" xr:uid="{00000000-0005-0000-0000-0000AB3C0000}"/>
    <cellStyle name="Title 35 2 2" xfId="48558" xr:uid="{3A558DD7-CF58-46D5-AF7C-F679FC03FD31}"/>
    <cellStyle name="Title 35 3" xfId="11508" xr:uid="{00000000-0005-0000-0000-0000AC3C0000}"/>
    <cellStyle name="Title 35 3 2" xfId="48559" xr:uid="{BA694CF7-8EB6-46E1-97E1-3C8EF39624E6}"/>
    <cellStyle name="Title 35 4" xfId="11509" xr:uid="{00000000-0005-0000-0000-0000AD3C0000}"/>
    <cellStyle name="Title 35 4 2" xfId="48560" xr:uid="{847527B9-BF34-4A7E-A513-CE93DBF99072}"/>
    <cellStyle name="Title 35 5" xfId="11510" xr:uid="{00000000-0005-0000-0000-0000AE3C0000}"/>
    <cellStyle name="Title 35 5 2" xfId="48561" xr:uid="{B0032B5D-5878-4676-B940-6CC9483CFADC}"/>
    <cellStyle name="Title 35 6" xfId="11511" xr:uid="{00000000-0005-0000-0000-0000AF3C0000}"/>
    <cellStyle name="Title 35 6 2" xfId="48562" xr:uid="{8182DAAC-6F7B-4291-B13F-582E97FA77E3}"/>
    <cellStyle name="Title 35 7" xfId="13354" xr:uid="{00000000-0005-0000-0000-0000B03C0000}"/>
    <cellStyle name="Title 35 7 2" xfId="48563" xr:uid="{D4D7490A-3F3A-4DAB-AE46-FCA0F8D00EDC}"/>
    <cellStyle name="Title 35 8" xfId="12516" xr:uid="{00000000-0005-0000-0000-0000B13C0000}"/>
    <cellStyle name="Title 35 8 2" xfId="48564" xr:uid="{F9C26FFF-8CC6-4B25-AF81-E31C975C7B56}"/>
    <cellStyle name="Title 35 9" xfId="9328" xr:uid="{00000000-0005-0000-0000-0000B23C0000}"/>
    <cellStyle name="Title 35 9 2" xfId="48565" xr:uid="{1CC84B10-59CD-4B91-AD82-48377D74D552}"/>
    <cellStyle name="Title 36" xfId="3234" xr:uid="{00000000-0005-0000-0000-0000B33C0000}"/>
    <cellStyle name="Title 36 10" xfId="48566" xr:uid="{82FD353F-DAE5-47C3-8B43-071B322AC75A}"/>
    <cellStyle name="Title 36 2" xfId="11512" xr:uid="{00000000-0005-0000-0000-0000B43C0000}"/>
    <cellStyle name="Title 36 2 2" xfId="48567" xr:uid="{D0131D30-065F-4C95-B2FC-7764D251ABA7}"/>
    <cellStyle name="Title 36 3" xfId="11513" xr:uid="{00000000-0005-0000-0000-0000B53C0000}"/>
    <cellStyle name="Title 36 3 2" xfId="48568" xr:uid="{2DDF6D74-0B4B-44B5-8843-36E7E48F2C38}"/>
    <cellStyle name="Title 36 4" xfId="11514" xr:uid="{00000000-0005-0000-0000-0000B63C0000}"/>
    <cellStyle name="Title 36 4 2" xfId="48569" xr:uid="{6693C5CC-F220-4B4B-8510-14AD3179BA5F}"/>
    <cellStyle name="Title 36 5" xfId="11515" xr:uid="{00000000-0005-0000-0000-0000B73C0000}"/>
    <cellStyle name="Title 36 5 2" xfId="48570" xr:uid="{F3674F85-B344-4E94-AF4B-5779FAD88746}"/>
    <cellStyle name="Title 36 6" xfId="11516" xr:uid="{00000000-0005-0000-0000-0000B83C0000}"/>
    <cellStyle name="Title 36 6 2" xfId="48571" xr:uid="{9D94E0AF-979A-4E56-ADA0-5111AAD61F81}"/>
    <cellStyle name="Title 36 7" xfId="13355" xr:uid="{00000000-0005-0000-0000-0000B93C0000}"/>
    <cellStyle name="Title 36 7 2" xfId="48572" xr:uid="{1D63BE4F-0D0B-4C91-B64E-5F1A2C41F1A3}"/>
    <cellStyle name="Title 36 8" xfId="16204" xr:uid="{00000000-0005-0000-0000-0000BA3C0000}"/>
    <cellStyle name="Title 36 8 2" xfId="48573" xr:uid="{C83FC7A6-6DBD-4DB4-A793-63CAB084DD68}"/>
    <cellStyle name="Title 36 9" xfId="9329" xr:uid="{00000000-0005-0000-0000-0000BB3C0000}"/>
    <cellStyle name="Title 36 9 2" xfId="48574" xr:uid="{3F8AFC6A-5148-4AF5-BB5B-45CFEA3D425F}"/>
    <cellStyle name="Title 37" xfId="3235" xr:uid="{00000000-0005-0000-0000-0000BC3C0000}"/>
    <cellStyle name="Title 37 10" xfId="48575" xr:uid="{0BF24758-6132-4DC1-8132-C5F7F443C86B}"/>
    <cellStyle name="Title 37 2" xfId="11517" xr:uid="{00000000-0005-0000-0000-0000BD3C0000}"/>
    <cellStyle name="Title 37 2 2" xfId="48576" xr:uid="{E59B9169-28B6-47F1-A526-119240C74943}"/>
    <cellStyle name="Title 37 3" xfId="11518" xr:uid="{00000000-0005-0000-0000-0000BE3C0000}"/>
    <cellStyle name="Title 37 3 2" xfId="48577" xr:uid="{D9F7E247-704C-4C8B-BF49-2A2DBD9153BD}"/>
    <cellStyle name="Title 37 4" xfId="11519" xr:uid="{00000000-0005-0000-0000-0000BF3C0000}"/>
    <cellStyle name="Title 37 4 2" xfId="48578" xr:uid="{E75B44BC-A332-4E44-9C09-36055753631A}"/>
    <cellStyle name="Title 37 5" xfId="11520" xr:uid="{00000000-0005-0000-0000-0000C03C0000}"/>
    <cellStyle name="Title 37 5 2" xfId="48579" xr:uid="{241A5399-73AB-405B-B2B1-EE85CC725782}"/>
    <cellStyle name="Title 37 6" xfId="11521" xr:uid="{00000000-0005-0000-0000-0000C13C0000}"/>
    <cellStyle name="Title 37 6 2" xfId="48580" xr:uid="{BDE01418-7AE4-4612-BE9F-3D88032C573D}"/>
    <cellStyle name="Title 37 7" xfId="13356" xr:uid="{00000000-0005-0000-0000-0000C23C0000}"/>
    <cellStyle name="Title 37 7 2" xfId="48581" xr:uid="{7CF532E0-815E-4334-AB4F-6C55ECFEE75B}"/>
    <cellStyle name="Title 37 8" xfId="14422" xr:uid="{00000000-0005-0000-0000-0000C33C0000}"/>
    <cellStyle name="Title 37 8 2" xfId="48582" xr:uid="{9DE05CF2-66D4-4CD5-8011-2003CA44A2FD}"/>
    <cellStyle name="Title 37 9" xfId="9330" xr:uid="{00000000-0005-0000-0000-0000C43C0000}"/>
    <cellStyle name="Title 37 9 2" xfId="48583" xr:uid="{41385667-711D-4ADD-B0EF-54584530C66E}"/>
    <cellStyle name="Title 38" xfId="3236" xr:uid="{00000000-0005-0000-0000-0000C53C0000}"/>
    <cellStyle name="Title 38 10" xfId="48584" xr:uid="{51D71A4A-6136-4758-AAAA-7D56EE2C82B0}"/>
    <cellStyle name="Title 38 2" xfId="11522" xr:uid="{00000000-0005-0000-0000-0000C63C0000}"/>
    <cellStyle name="Title 38 2 2" xfId="48585" xr:uid="{CA144F10-2FE8-49E0-A039-FA49A7CD7604}"/>
    <cellStyle name="Title 38 3" xfId="11523" xr:uid="{00000000-0005-0000-0000-0000C73C0000}"/>
    <cellStyle name="Title 38 3 2" xfId="48586" xr:uid="{8C82951D-E926-458F-9FCF-FA450A101189}"/>
    <cellStyle name="Title 38 4" xfId="11524" xr:uid="{00000000-0005-0000-0000-0000C83C0000}"/>
    <cellStyle name="Title 38 4 2" xfId="48587" xr:uid="{11E0690E-4F50-4DC8-8FC9-23F299B528EF}"/>
    <cellStyle name="Title 38 5" xfId="11525" xr:uid="{00000000-0005-0000-0000-0000C93C0000}"/>
    <cellStyle name="Title 38 5 2" xfId="48588" xr:uid="{4BEF021D-F27A-48EF-B8E8-1B72D57D03B0}"/>
    <cellStyle name="Title 38 6" xfId="11526" xr:uid="{00000000-0005-0000-0000-0000CA3C0000}"/>
    <cellStyle name="Title 38 6 2" xfId="48589" xr:uid="{BC9B73F7-A6D5-481C-A9E8-F9EE912AE5F5}"/>
    <cellStyle name="Title 38 7" xfId="13357" xr:uid="{00000000-0005-0000-0000-0000CB3C0000}"/>
    <cellStyle name="Title 38 7 2" xfId="48590" xr:uid="{9564FFD9-AC1E-4A96-9A77-1DE48A4E92CC}"/>
    <cellStyle name="Title 38 8" xfId="16269" xr:uid="{00000000-0005-0000-0000-0000CC3C0000}"/>
    <cellStyle name="Title 38 8 2" xfId="48591" xr:uid="{42A5044C-CB6D-4181-B68C-427ED1B4CA6E}"/>
    <cellStyle name="Title 38 9" xfId="9331" xr:uid="{00000000-0005-0000-0000-0000CD3C0000}"/>
    <cellStyle name="Title 38 9 2" xfId="48592" xr:uid="{3385806D-EF7B-4105-9A2D-562FC16F834C}"/>
    <cellStyle name="Title 39" xfId="3237" xr:uid="{00000000-0005-0000-0000-0000CE3C0000}"/>
    <cellStyle name="Title 39 10" xfId="48593" xr:uid="{9D6E246B-CE5E-45C1-AB6A-D0645C9ED5AF}"/>
    <cellStyle name="Title 39 2" xfId="11527" xr:uid="{00000000-0005-0000-0000-0000CF3C0000}"/>
    <cellStyle name="Title 39 2 2" xfId="48594" xr:uid="{32936118-DF0C-412D-94F7-5E7C2B4AC6B7}"/>
    <cellStyle name="Title 39 3" xfId="11528" xr:uid="{00000000-0005-0000-0000-0000D03C0000}"/>
    <cellStyle name="Title 39 3 2" xfId="48595" xr:uid="{BF9661CC-0EA1-428A-A710-85AEE0FE76AB}"/>
    <cellStyle name="Title 39 4" xfId="11529" xr:uid="{00000000-0005-0000-0000-0000D13C0000}"/>
    <cellStyle name="Title 39 4 2" xfId="48596" xr:uid="{43D2A83C-E45E-43A1-B3C0-13A508576F44}"/>
    <cellStyle name="Title 39 5" xfId="11530" xr:uid="{00000000-0005-0000-0000-0000D23C0000}"/>
    <cellStyle name="Title 39 5 2" xfId="48597" xr:uid="{4D00DD8F-18C5-48D4-8509-2B8EA1031B23}"/>
    <cellStyle name="Title 39 6" xfId="11531" xr:uid="{00000000-0005-0000-0000-0000D33C0000}"/>
    <cellStyle name="Title 39 6 2" xfId="48598" xr:uid="{E233DFF3-D397-4D45-9787-C4BA4E6D0F51}"/>
    <cellStyle name="Title 39 7" xfId="13358" xr:uid="{00000000-0005-0000-0000-0000D43C0000}"/>
    <cellStyle name="Title 39 7 2" xfId="48599" xr:uid="{C09EC112-960F-4ED2-BD2A-21B69F0ADD8B}"/>
    <cellStyle name="Title 39 8" xfId="13873" xr:uid="{00000000-0005-0000-0000-0000D53C0000}"/>
    <cellStyle name="Title 39 8 2" xfId="48600" xr:uid="{2E800A09-50F1-4D37-AAA5-6EE11AD3CC67}"/>
    <cellStyle name="Title 39 9" xfId="9332" xr:uid="{00000000-0005-0000-0000-0000D63C0000}"/>
    <cellStyle name="Title 39 9 2" xfId="48601" xr:uid="{8FA90704-10BF-40C1-814B-E7AB37CF28F6}"/>
    <cellStyle name="Title 4" xfId="3238" xr:uid="{00000000-0005-0000-0000-0000D73C0000}"/>
    <cellStyle name="Title 4 10" xfId="9333" xr:uid="{00000000-0005-0000-0000-0000D83C0000}"/>
    <cellStyle name="Title 4 10 2" xfId="48603" xr:uid="{46E6276F-F16B-4F98-8B25-0ACC747B0F14}"/>
    <cellStyle name="Title 4 11" xfId="48602" xr:uid="{2CB86DB5-1468-4F48-857B-E6935703855A}"/>
    <cellStyle name="Title 4 2" xfId="11532" xr:uid="{00000000-0005-0000-0000-0000D93C0000}"/>
    <cellStyle name="Title 4 2 2" xfId="11533" xr:uid="{00000000-0005-0000-0000-0000DA3C0000}"/>
    <cellStyle name="Title 4 2 2 2" xfId="48605" xr:uid="{ECCD68A1-728C-4C6C-8DE1-F5A57BCB67F4}"/>
    <cellStyle name="Title 4 2 3" xfId="11534" xr:uid="{00000000-0005-0000-0000-0000DB3C0000}"/>
    <cellStyle name="Title 4 2 3 2" xfId="48606" xr:uid="{0A978531-41EF-411A-81C0-4A4FAB136FD4}"/>
    <cellStyle name="Title 4 2 4" xfId="11535" xr:uid="{00000000-0005-0000-0000-0000DC3C0000}"/>
    <cellStyle name="Title 4 2 4 2" xfId="48607" xr:uid="{8676A147-398E-4F1E-BE7D-09DAC017F7B9}"/>
    <cellStyle name="Title 4 2 5" xfId="11536" xr:uid="{00000000-0005-0000-0000-0000DD3C0000}"/>
    <cellStyle name="Title 4 2 5 2" xfId="48608" xr:uid="{160B43F0-A4DB-4CE3-A2C5-63D621E78C63}"/>
    <cellStyle name="Title 4 2 6" xfId="48604" xr:uid="{0B251232-ADB0-4011-9EEF-BBE38719CE0D}"/>
    <cellStyle name="Title 4 3" xfId="11537" xr:uid="{00000000-0005-0000-0000-0000DE3C0000}"/>
    <cellStyle name="Title 4 3 2" xfId="48609" xr:uid="{B80ECEB6-00F8-485C-9D22-551F24F43A99}"/>
    <cellStyle name="Title 4 4" xfId="11538" xr:uid="{00000000-0005-0000-0000-0000DF3C0000}"/>
    <cellStyle name="Title 4 4 2" xfId="48610" xr:uid="{94AFAD76-8DFD-4691-9682-631D12F66C14}"/>
    <cellStyle name="Title 4 5" xfId="11539" xr:uid="{00000000-0005-0000-0000-0000E03C0000}"/>
    <cellStyle name="Title 4 5 2" xfId="48611" xr:uid="{5E5DE653-D85A-44CB-B119-857485D749D8}"/>
    <cellStyle name="Title 4 6" xfId="11540" xr:uid="{00000000-0005-0000-0000-0000E13C0000}"/>
    <cellStyle name="Title 4 6 2" xfId="48612" xr:uid="{85727A08-194D-4224-AD8C-50EC9F2ACD1C}"/>
    <cellStyle name="Title 4 7" xfId="11541" xr:uid="{00000000-0005-0000-0000-0000E23C0000}"/>
    <cellStyle name="Title 4 7 2" xfId="48613" xr:uid="{EDBD6EEB-5CBE-45A5-B434-984C65333804}"/>
    <cellStyle name="Title 4 8" xfId="13359" xr:uid="{00000000-0005-0000-0000-0000E33C0000}"/>
    <cellStyle name="Title 4 8 2" xfId="48614" xr:uid="{433BBEC9-D7AD-47E2-ADB3-6EAA3F045ED9}"/>
    <cellStyle name="Title 4 9" xfId="14365" xr:uid="{00000000-0005-0000-0000-0000E43C0000}"/>
    <cellStyle name="Title 4 9 2" xfId="48615" xr:uid="{E7584272-D9A5-4326-93C5-129F0067828A}"/>
    <cellStyle name="Title 40" xfId="3239" xr:uid="{00000000-0005-0000-0000-0000E53C0000}"/>
    <cellStyle name="Title 40 10" xfId="48616" xr:uid="{BCDEE8C0-D8AB-4B26-B591-587B685081FC}"/>
    <cellStyle name="Title 40 2" xfId="11542" xr:uid="{00000000-0005-0000-0000-0000E63C0000}"/>
    <cellStyle name="Title 40 2 2" xfId="48617" xr:uid="{50D2E1D2-6166-46B3-8425-7F2D68D48ED4}"/>
    <cellStyle name="Title 40 3" xfId="11543" xr:uid="{00000000-0005-0000-0000-0000E73C0000}"/>
    <cellStyle name="Title 40 3 2" xfId="48618" xr:uid="{E78BBB10-8A8F-479B-8214-371B85F9F97A}"/>
    <cellStyle name="Title 40 4" xfId="11544" xr:uid="{00000000-0005-0000-0000-0000E83C0000}"/>
    <cellStyle name="Title 40 4 2" xfId="48619" xr:uid="{827B02BA-082F-4083-9B3E-224A293ED0D8}"/>
    <cellStyle name="Title 40 5" xfId="11545" xr:uid="{00000000-0005-0000-0000-0000E93C0000}"/>
    <cellStyle name="Title 40 5 2" xfId="48620" xr:uid="{B8245579-E984-4194-87BF-A4828D432E6E}"/>
    <cellStyle name="Title 40 6" xfId="11546" xr:uid="{00000000-0005-0000-0000-0000EA3C0000}"/>
    <cellStyle name="Title 40 6 2" xfId="48621" xr:uid="{B605D36D-A75A-4BA0-8524-3D8A641E1C90}"/>
    <cellStyle name="Title 40 7" xfId="13360" xr:uid="{00000000-0005-0000-0000-0000EB3C0000}"/>
    <cellStyle name="Title 40 7 2" xfId="48622" xr:uid="{FC5852BE-E0AD-4563-879F-75D7E4F7312E}"/>
    <cellStyle name="Title 40 8" xfId="12754" xr:uid="{00000000-0005-0000-0000-0000EC3C0000}"/>
    <cellStyle name="Title 40 8 2" xfId="48623" xr:uid="{B20B71F7-09E5-4076-B1BF-BF8FC2B90CB6}"/>
    <cellStyle name="Title 40 9" xfId="9334" xr:uid="{00000000-0005-0000-0000-0000ED3C0000}"/>
    <cellStyle name="Title 40 9 2" xfId="48624" xr:uid="{2B7FD2DA-AD30-48A2-B06D-DCF915C0DF5D}"/>
    <cellStyle name="Title 41" xfId="3240" xr:uid="{00000000-0005-0000-0000-0000EE3C0000}"/>
    <cellStyle name="Title 41 10" xfId="48625" xr:uid="{03A6E62D-BBC6-4FCD-AF6F-625B7E603062}"/>
    <cellStyle name="Title 41 2" xfId="11547" xr:uid="{00000000-0005-0000-0000-0000EF3C0000}"/>
    <cellStyle name="Title 41 2 2" xfId="48626" xr:uid="{1EC27218-BE44-4188-BF49-EE8B6F474E4D}"/>
    <cellStyle name="Title 41 3" xfId="11548" xr:uid="{00000000-0005-0000-0000-0000F03C0000}"/>
    <cellStyle name="Title 41 3 2" xfId="48627" xr:uid="{0898CEA6-87BC-4B56-B1AF-F202A03FFF32}"/>
    <cellStyle name="Title 41 4" xfId="11549" xr:uid="{00000000-0005-0000-0000-0000F13C0000}"/>
    <cellStyle name="Title 41 4 2" xfId="48628" xr:uid="{CE4ACBCF-00D4-4FD8-8F98-F71B770C98A7}"/>
    <cellStyle name="Title 41 5" xfId="11550" xr:uid="{00000000-0005-0000-0000-0000F23C0000}"/>
    <cellStyle name="Title 41 5 2" xfId="48629" xr:uid="{CE470054-463B-4B14-96F9-16C4205319C2}"/>
    <cellStyle name="Title 41 6" xfId="11551" xr:uid="{00000000-0005-0000-0000-0000F33C0000}"/>
    <cellStyle name="Title 41 6 2" xfId="48630" xr:uid="{B1171265-A10B-46CD-93C2-88B76753371D}"/>
    <cellStyle name="Title 41 7" xfId="13361" xr:uid="{00000000-0005-0000-0000-0000F43C0000}"/>
    <cellStyle name="Title 41 7 2" xfId="48631" xr:uid="{5EEED279-208D-4AFE-A460-612847BF6D3C}"/>
    <cellStyle name="Title 41 8" xfId="16146" xr:uid="{00000000-0005-0000-0000-0000F53C0000}"/>
    <cellStyle name="Title 41 8 2" xfId="48632" xr:uid="{7FBDDDF7-D49A-4C46-89C7-E864F854DCF2}"/>
    <cellStyle name="Title 41 9" xfId="9335" xr:uid="{00000000-0005-0000-0000-0000F63C0000}"/>
    <cellStyle name="Title 41 9 2" xfId="48633" xr:uid="{D248EDA3-9BF8-419C-A54E-932E64B3795B}"/>
    <cellStyle name="Title 42" xfId="3241" xr:uid="{00000000-0005-0000-0000-0000F73C0000}"/>
    <cellStyle name="Title 42 10" xfId="48634" xr:uid="{65F2BAF7-2002-45CB-9798-CA4C4713A160}"/>
    <cellStyle name="Title 42 2" xfId="11552" xr:uid="{00000000-0005-0000-0000-0000F83C0000}"/>
    <cellStyle name="Title 42 2 2" xfId="48635" xr:uid="{F8A7BBDF-8C6C-43BE-827C-460F7682DB86}"/>
    <cellStyle name="Title 42 3" xfId="11553" xr:uid="{00000000-0005-0000-0000-0000F93C0000}"/>
    <cellStyle name="Title 42 3 2" xfId="48636" xr:uid="{2A2EF861-98DC-45F0-91BA-8FDA91AE2730}"/>
    <cellStyle name="Title 42 4" xfId="11554" xr:uid="{00000000-0005-0000-0000-0000FA3C0000}"/>
    <cellStyle name="Title 42 4 2" xfId="48637" xr:uid="{FDDC5589-DF66-42D1-95AE-422B090C642A}"/>
    <cellStyle name="Title 42 5" xfId="11555" xr:uid="{00000000-0005-0000-0000-0000FB3C0000}"/>
    <cellStyle name="Title 42 5 2" xfId="48638" xr:uid="{93D55894-5945-4C56-9754-04364AF88326}"/>
    <cellStyle name="Title 42 6" xfId="11556" xr:uid="{00000000-0005-0000-0000-0000FC3C0000}"/>
    <cellStyle name="Title 42 6 2" xfId="48639" xr:uid="{ECDD2933-4B43-4EC8-A984-BEAABDCF9C25}"/>
    <cellStyle name="Title 42 7" xfId="13362" xr:uid="{00000000-0005-0000-0000-0000FD3C0000}"/>
    <cellStyle name="Title 42 7 2" xfId="48640" xr:uid="{A93271DF-F138-4CDC-A2E8-12F1B74BB98D}"/>
    <cellStyle name="Title 42 8" xfId="12856" xr:uid="{00000000-0005-0000-0000-0000FE3C0000}"/>
    <cellStyle name="Title 42 8 2" xfId="48641" xr:uid="{2C3CD495-10BC-4BC0-8AE0-D6A695765F7C}"/>
    <cellStyle name="Title 42 9" xfId="9336" xr:uid="{00000000-0005-0000-0000-0000FF3C0000}"/>
    <cellStyle name="Title 42 9 2" xfId="48642" xr:uid="{C9EFB9B8-A034-4E6A-8364-9D5C1C89C831}"/>
    <cellStyle name="Title 43" xfId="3242" xr:uid="{00000000-0005-0000-0000-0000003D0000}"/>
    <cellStyle name="Title 43 10" xfId="48643" xr:uid="{2E2DE919-D64C-4C35-90A6-F86156E0FA5C}"/>
    <cellStyle name="Title 43 2" xfId="11557" xr:uid="{00000000-0005-0000-0000-0000013D0000}"/>
    <cellStyle name="Title 43 2 2" xfId="48644" xr:uid="{6EF3E029-D845-4B5C-98B5-4F48FADF2979}"/>
    <cellStyle name="Title 43 3" xfId="11558" xr:uid="{00000000-0005-0000-0000-0000023D0000}"/>
    <cellStyle name="Title 43 3 2" xfId="48645" xr:uid="{4B0B8E2C-F4A7-4BBE-A7F9-2E7A7A5C7E69}"/>
    <cellStyle name="Title 43 4" xfId="11559" xr:uid="{00000000-0005-0000-0000-0000033D0000}"/>
    <cellStyle name="Title 43 4 2" xfId="48646" xr:uid="{81FB28F1-886A-43B7-8457-698BCF7C8044}"/>
    <cellStyle name="Title 43 5" xfId="11560" xr:uid="{00000000-0005-0000-0000-0000043D0000}"/>
    <cellStyle name="Title 43 5 2" xfId="48647" xr:uid="{13A8007C-7C2B-4C93-93BF-4353E0E39AC0}"/>
    <cellStyle name="Title 43 6" xfId="11561" xr:uid="{00000000-0005-0000-0000-0000053D0000}"/>
    <cellStyle name="Title 43 6 2" xfId="48648" xr:uid="{A65BBEE1-49B9-420C-AD8B-BA209583CBF9}"/>
    <cellStyle name="Title 43 7" xfId="13363" xr:uid="{00000000-0005-0000-0000-0000063D0000}"/>
    <cellStyle name="Title 43 7 2" xfId="48649" xr:uid="{57C31948-95FA-4C60-BEE0-91EB52314818}"/>
    <cellStyle name="Title 43 8" xfId="12612" xr:uid="{00000000-0005-0000-0000-0000073D0000}"/>
    <cellStyle name="Title 43 8 2" xfId="48650" xr:uid="{66496D59-8439-4504-A1D1-AFF2A62E2F5E}"/>
    <cellStyle name="Title 43 9" xfId="9337" xr:uid="{00000000-0005-0000-0000-0000083D0000}"/>
    <cellStyle name="Title 43 9 2" xfId="48651" xr:uid="{BF888F4B-CCBA-463F-9473-A2A2E8C6BA3D}"/>
    <cellStyle name="Title 5" xfId="3243" xr:uid="{00000000-0005-0000-0000-0000093D0000}"/>
    <cellStyle name="Title 5 10" xfId="9338" xr:uid="{00000000-0005-0000-0000-00000A3D0000}"/>
    <cellStyle name="Title 5 10 2" xfId="48653" xr:uid="{9431EF57-BB7C-41D8-985A-BD90CD94249A}"/>
    <cellStyle name="Title 5 11" xfId="48652" xr:uid="{75A22355-9368-4E74-BBF8-7631ED9479FE}"/>
    <cellStyle name="Title 5 2" xfId="11562" xr:uid="{00000000-0005-0000-0000-00000B3D0000}"/>
    <cellStyle name="Title 5 2 2" xfId="11563" xr:uid="{00000000-0005-0000-0000-00000C3D0000}"/>
    <cellStyle name="Title 5 2 2 2" xfId="48655" xr:uid="{1AEDDFF5-DB8C-4AAA-B9EB-2F2BD9522888}"/>
    <cellStyle name="Title 5 2 3" xfId="11564" xr:uid="{00000000-0005-0000-0000-00000D3D0000}"/>
    <cellStyle name="Title 5 2 3 2" xfId="48656" xr:uid="{8E10E81B-D2FF-476B-884C-18A1FCC98D23}"/>
    <cellStyle name="Title 5 2 4" xfId="11565" xr:uid="{00000000-0005-0000-0000-00000E3D0000}"/>
    <cellStyle name="Title 5 2 4 2" xfId="48657" xr:uid="{674BA77E-2D52-4535-9912-A50490091CBA}"/>
    <cellStyle name="Title 5 2 5" xfId="11566" xr:uid="{00000000-0005-0000-0000-00000F3D0000}"/>
    <cellStyle name="Title 5 2 5 2" xfId="48658" xr:uid="{F1CA5B0A-4800-487D-88A5-32D0EEE692A3}"/>
    <cellStyle name="Title 5 2 6" xfId="48654" xr:uid="{9E402DA2-7E72-4AF5-A585-A983453EACB9}"/>
    <cellStyle name="Title 5 3" xfId="11567" xr:uid="{00000000-0005-0000-0000-0000103D0000}"/>
    <cellStyle name="Title 5 3 2" xfId="48659" xr:uid="{E5B131FB-C937-4C3F-A0A2-DBF968EE3785}"/>
    <cellStyle name="Title 5 4" xfId="11568" xr:uid="{00000000-0005-0000-0000-0000113D0000}"/>
    <cellStyle name="Title 5 4 2" xfId="48660" xr:uid="{07EDB3F3-9E79-428F-89ED-67DE1A56B431}"/>
    <cellStyle name="Title 5 5" xfId="11569" xr:uid="{00000000-0005-0000-0000-0000123D0000}"/>
    <cellStyle name="Title 5 5 2" xfId="48661" xr:uid="{CEEC0211-FB38-4141-BEDF-FE8806077951}"/>
    <cellStyle name="Title 5 6" xfId="11570" xr:uid="{00000000-0005-0000-0000-0000133D0000}"/>
    <cellStyle name="Title 5 6 2" xfId="48662" xr:uid="{BE6900ED-B05C-4DF3-85B6-31D57B6C5189}"/>
    <cellStyle name="Title 5 7" xfId="11571" xr:uid="{00000000-0005-0000-0000-0000143D0000}"/>
    <cellStyle name="Title 5 7 2" xfId="48663" xr:uid="{090EA450-0BA2-4352-8039-063D874AA36F}"/>
    <cellStyle name="Title 5 8" xfId="13364" xr:uid="{00000000-0005-0000-0000-0000153D0000}"/>
    <cellStyle name="Title 5 8 2" xfId="48664" xr:uid="{71A48346-A89A-4F9F-A159-78A90498026E}"/>
    <cellStyle name="Title 5 9" xfId="16490" xr:uid="{00000000-0005-0000-0000-0000163D0000}"/>
    <cellStyle name="Title 5 9 2" xfId="48665" xr:uid="{73DCAAD3-902C-40A8-A4ED-1ED4C390DE79}"/>
    <cellStyle name="Title 6" xfId="3244" xr:uid="{00000000-0005-0000-0000-0000173D0000}"/>
    <cellStyle name="Title 6 10" xfId="9339" xr:uid="{00000000-0005-0000-0000-0000183D0000}"/>
    <cellStyle name="Title 6 10 2" xfId="48667" xr:uid="{32B265AD-1006-49A0-BA37-DD58730FD716}"/>
    <cellStyle name="Title 6 11" xfId="48666" xr:uid="{4BAC3688-B276-4E07-A48F-27276CD848C2}"/>
    <cellStyle name="Title 6 2" xfId="11572" xr:uid="{00000000-0005-0000-0000-0000193D0000}"/>
    <cellStyle name="Title 6 2 2" xfId="11573" xr:uid="{00000000-0005-0000-0000-00001A3D0000}"/>
    <cellStyle name="Title 6 2 2 2" xfId="48669" xr:uid="{AB9C5CE9-C5AD-4265-A0F8-4E70B66FC077}"/>
    <cellStyle name="Title 6 2 3" xfId="11574" xr:uid="{00000000-0005-0000-0000-00001B3D0000}"/>
    <cellStyle name="Title 6 2 3 2" xfId="48670" xr:uid="{0270B0FD-A651-4A44-B388-DB7C8C729823}"/>
    <cellStyle name="Title 6 2 4" xfId="11575" xr:uid="{00000000-0005-0000-0000-00001C3D0000}"/>
    <cellStyle name="Title 6 2 4 2" xfId="48671" xr:uid="{A07440D4-C92B-4A75-95D8-6BBDD8942E66}"/>
    <cellStyle name="Title 6 2 5" xfId="11576" xr:uid="{00000000-0005-0000-0000-00001D3D0000}"/>
    <cellStyle name="Title 6 2 5 2" xfId="48672" xr:uid="{9AC13805-BFB8-4C0E-AC4B-DB898E1AF6E5}"/>
    <cellStyle name="Title 6 2 6" xfId="48668" xr:uid="{294800B7-9A4A-48E4-8483-6C14CCA04C86}"/>
    <cellStyle name="Title 6 3" xfId="11577" xr:uid="{00000000-0005-0000-0000-00001E3D0000}"/>
    <cellStyle name="Title 6 3 2" xfId="48673" xr:uid="{BD8F1351-7EBC-42BB-B5CC-DCB256633818}"/>
    <cellStyle name="Title 6 4" xfId="11578" xr:uid="{00000000-0005-0000-0000-00001F3D0000}"/>
    <cellStyle name="Title 6 4 2" xfId="48674" xr:uid="{E727E41C-8289-4194-96CD-46B0E9309CC9}"/>
    <cellStyle name="Title 6 5" xfId="11579" xr:uid="{00000000-0005-0000-0000-0000203D0000}"/>
    <cellStyle name="Title 6 5 2" xfId="48675" xr:uid="{D6097614-B37E-4A20-BD03-C6B4BFBBDF57}"/>
    <cellStyle name="Title 6 6" xfId="11580" xr:uid="{00000000-0005-0000-0000-0000213D0000}"/>
    <cellStyle name="Title 6 6 2" xfId="48676" xr:uid="{ECFF327E-C66E-4E52-BCE6-33BB8562F941}"/>
    <cellStyle name="Title 6 7" xfId="11581" xr:uid="{00000000-0005-0000-0000-0000223D0000}"/>
    <cellStyle name="Title 6 7 2" xfId="48677" xr:uid="{EEFFB455-1B34-4CF6-9AF2-3E64B6F954DA}"/>
    <cellStyle name="Title 6 8" xfId="13365" xr:uid="{00000000-0005-0000-0000-0000233D0000}"/>
    <cellStyle name="Title 6 8 2" xfId="48678" xr:uid="{B44F0D55-18D2-4B8E-91EF-D8F98361D778}"/>
    <cellStyle name="Title 6 9" xfId="12387" xr:uid="{00000000-0005-0000-0000-0000243D0000}"/>
    <cellStyle name="Title 6 9 2" xfId="48679" xr:uid="{B29E697E-B3A7-4419-9217-06667BA38CAF}"/>
    <cellStyle name="Title 7" xfId="3245" xr:uid="{00000000-0005-0000-0000-0000253D0000}"/>
    <cellStyle name="Title 7 10" xfId="48680" xr:uid="{C3A8D859-0790-4D81-A249-3EAC7243C1F9}"/>
    <cellStyle name="Title 7 2" xfId="11582" xr:uid="{00000000-0005-0000-0000-0000263D0000}"/>
    <cellStyle name="Title 7 2 2" xfId="48681" xr:uid="{1992D3DD-6137-4818-937E-31C4B8896753}"/>
    <cellStyle name="Title 7 3" xfId="11583" xr:uid="{00000000-0005-0000-0000-0000273D0000}"/>
    <cellStyle name="Title 7 3 2" xfId="48682" xr:uid="{DEB8FC94-EB48-47BD-AC36-3879075F9BAA}"/>
    <cellStyle name="Title 7 4" xfId="11584" xr:uid="{00000000-0005-0000-0000-0000283D0000}"/>
    <cellStyle name="Title 7 4 2" xfId="48683" xr:uid="{D35B3295-DF00-43A4-AF73-FC796692AE47}"/>
    <cellStyle name="Title 7 5" xfId="11585" xr:uid="{00000000-0005-0000-0000-0000293D0000}"/>
    <cellStyle name="Title 7 5 2" xfId="48684" xr:uid="{969B9DF2-1D99-490D-82E2-23F83E50102B}"/>
    <cellStyle name="Title 7 6" xfId="11586" xr:uid="{00000000-0005-0000-0000-00002A3D0000}"/>
    <cellStyle name="Title 7 6 2" xfId="48685" xr:uid="{4D1806EF-CDF1-46F1-815A-D483BE27F288}"/>
    <cellStyle name="Title 7 7" xfId="13366" xr:uid="{00000000-0005-0000-0000-00002B3D0000}"/>
    <cellStyle name="Title 7 7 2" xfId="48686" xr:uid="{14BE1F69-9742-49D7-B4E5-685205F8281C}"/>
    <cellStyle name="Title 7 8" xfId="12764" xr:uid="{00000000-0005-0000-0000-00002C3D0000}"/>
    <cellStyle name="Title 7 8 2" xfId="48687" xr:uid="{E16715FF-53C8-4BCB-ADF3-9EA5C0DA1D8A}"/>
    <cellStyle name="Title 7 9" xfId="9340" xr:uid="{00000000-0005-0000-0000-00002D3D0000}"/>
    <cellStyle name="Title 7 9 2" xfId="48688" xr:uid="{9DC511F7-EDD5-4172-A9CF-2815464ACCA2}"/>
    <cellStyle name="Title 8" xfId="3246" xr:uid="{00000000-0005-0000-0000-00002E3D0000}"/>
    <cellStyle name="Title 8 10" xfId="48689" xr:uid="{80EF300A-E27F-46A3-AF80-B738A7C5286C}"/>
    <cellStyle name="Title 8 2" xfId="11587" xr:uid="{00000000-0005-0000-0000-00002F3D0000}"/>
    <cellStyle name="Title 8 2 2" xfId="48690" xr:uid="{A0108428-0D46-4BA4-A59A-C40E5543D929}"/>
    <cellStyle name="Title 8 3" xfId="11588" xr:uid="{00000000-0005-0000-0000-0000303D0000}"/>
    <cellStyle name="Title 8 3 2" xfId="48691" xr:uid="{00DA8340-C806-4BF5-96FD-807F77CA89D2}"/>
    <cellStyle name="Title 8 4" xfId="11589" xr:uid="{00000000-0005-0000-0000-0000313D0000}"/>
    <cellStyle name="Title 8 4 2" xfId="48692" xr:uid="{5C5DA78B-D0AE-4A7F-BCA5-D8115B8CFA37}"/>
    <cellStyle name="Title 8 5" xfId="11590" xr:uid="{00000000-0005-0000-0000-0000323D0000}"/>
    <cellStyle name="Title 8 5 2" xfId="48693" xr:uid="{1875F12D-E06F-4F11-B4A6-5049F142A10B}"/>
    <cellStyle name="Title 8 6" xfId="11591" xr:uid="{00000000-0005-0000-0000-0000333D0000}"/>
    <cellStyle name="Title 8 6 2" xfId="48694" xr:uid="{7CF4A99E-68FC-4523-8B60-B33797FD1027}"/>
    <cellStyle name="Title 8 7" xfId="13367" xr:uid="{00000000-0005-0000-0000-0000343D0000}"/>
    <cellStyle name="Title 8 7 2" xfId="48695" xr:uid="{4FA3923F-0F9D-4217-B9DB-650129AA4E20}"/>
    <cellStyle name="Title 8 8" xfId="16419" xr:uid="{00000000-0005-0000-0000-0000353D0000}"/>
    <cellStyle name="Title 8 8 2" xfId="48696" xr:uid="{443D8A1F-9751-4B1E-A45A-35E1EE87851F}"/>
    <cellStyle name="Title 8 9" xfId="9341" xr:uid="{00000000-0005-0000-0000-0000363D0000}"/>
    <cellStyle name="Title 8 9 2" xfId="48697" xr:uid="{8F8FDB12-E031-4E41-9E98-DF17B20A43D6}"/>
    <cellStyle name="Title 9" xfId="3247" xr:uid="{00000000-0005-0000-0000-0000373D0000}"/>
    <cellStyle name="Title 9 10" xfId="48698" xr:uid="{301E2B3F-5882-4524-BB6E-EEED6D12E4EF}"/>
    <cellStyle name="Title 9 2" xfId="11592" xr:uid="{00000000-0005-0000-0000-0000383D0000}"/>
    <cellStyle name="Title 9 2 2" xfId="48699" xr:uid="{6202CDDE-FC39-420A-B128-87EFFE76BA8C}"/>
    <cellStyle name="Title 9 3" xfId="11593" xr:uid="{00000000-0005-0000-0000-0000393D0000}"/>
    <cellStyle name="Title 9 3 2" xfId="48700" xr:uid="{3E190EB7-ABB9-40F8-B5EC-DCFA668B6454}"/>
    <cellStyle name="Title 9 4" xfId="11594" xr:uid="{00000000-0005-0000-0000-00003A3D0000}"/>
    <cellStyle name="Title 9 4 2" xfId="48701" xr:uid="{601C224A-B262-4B9F-9937-661FB2815EC0}"/>
    <cellStyle name="Title 9 5" xfId="11595" xr:uid="{00000000-0005-0000-0000-00003B3D0000}"/>
    <cellStyle name="Title 9 5 2" xfId="48702" xr:uid="{13C21B3A-B8EA-48E5-99A3-6DCF8D0E0DBE}"/>
    <cellStyle name="Title 9 6" xfId="11596" xr:uid="{00000000-0005-0000-0000-00003C3D0000}"/>
    <cellStyle name="Title 9 6 2" xfId="48703" xr:uid="{ADD2D73A-95B5-4B6B-984C-E7FBB35CBBD2}"/>
    <cellStyle name="Title 9 7" xfId="13368" xr:uid="{00000000-0005-0000-0000-00003D3D0000}"/>
    <cellStyle name="Title 9 7 2" xfId="48704" xr:uid="{4E2F411C-EAAB-4300-AE0A-393166CB2289}"/>
    <cellStyle name="Title 9 8" xfId="12881" xr:uid="{00000000-0005-0000-0000-00003E3D0000}"/>
    <cellStyle name="Title 9 8 2" xfId="48705" xr:uid="{8D93016B-AAAC-4C2F-AF6B-01F3BB2EA312}"/>
    <cellStyle name="Title 9 9" xfId="9342" xr:uid="{00000000-0005-0000-0000-00003F3D0000}"/>
    <cellStyle name="Title 9 9 2" xfId="48706" xr:uid="{6DC288A7-3F53-4E27-94CE-7F8215F4E6C9}"/>
    <cellStyle name="Total 10" xfId="3248" xr:uid="{00000000-0005-0000-0000-0000403D0000}"/>
    <cellStyle name="Total 10 10" xfId="48707" xr:uid="{9FF977A9-BD88-4EEA-84FB-6ABA94DAB8BD}"/>
    <cellStyle name="Total 10 2" xfId="11597" xr:uid="{00000000-0005-0000-0000-0000413D0000}"/>
    <cellStyle name="Total 10 2 2" xfId="48708" xr:uid="{59B8293E-A939-4411-89CA-16106CD2DFA9}"/>
    <cellStyle name="Total 10 3" xfId="11598" xr:uid="{00000000-0005-0000-0000-0000423D0000}"/>
    <cellStyle name="Total 10 3 2" xfId="48709" xr:uid="{9A6FF328-D73D-440F-8112-AF96D3D0D568}"/>
    <cellStyle name="Total 10 4" xfId="11599" xr:uid="{00000000-0005-0000-0000-0000433D0000}"/>
    <cellStyle name="Total 10 4 2" xfId="48710" xr:uid="{EC96CFD9-72E3-43B3-81F3-EDEF28752762}"/>
    <cellStyle name="Total 10 5" xfId="11600" xr:uid="{00000000-0005-0000-0000-0000443D0000}"/>
    <cellStyle name="Total 10 5 2" xfId="48711" xr:uid="{7BAA2DA5-36EA-4388-8296-A86DF8992032}"/>
    <cellStyle name="Total 10 6" xfId="11601" xr:uid="{00000000-0005-0000-0000-0000453D0000}"/>
    <cellStyle name="Total 10 6 2" xfId="48712" xr:uid="{81E9AD6F-7849-49CB-9CA2-9AA684702BD4}"/>
    <cellStyle name="Total 10 7" xfId="13369" xr:uid="{00000000-0005-0000-0000-0000463D0000}"/>
    <cellStyle name="Total 10 7 2" xfId="48713" xr:uid="{54E82A12-532F-43AA-8D7A-E83B6DB0CE49}"/>
    <cellStyle name="Total 10 8" xfId="12663" xr:uid="{00000000-0005-0000-0000-0000473D0000}"/>
    <cellStyle name="Total 10 8 2" xfId="48714" xr:uid="{E60E7CCA-9BFC-41FB-9ECC-92F62580C1B5}"/>
    <cellStyle name="Total 10 9" xfId="9343" xr:uid="{00000000-0005-0000-0000-0000483D0000}"/>
    <cellStyle name="Total 10 9 2" xfId="48715" xr:uid="{53D6E977-28DD-445A-B293-4EFADD3FDCD9}"/>
    <cellStyle name="Total 11" xfId="3249" xr:uid="{00000000-0005-0000-0000-0000493D0000}"/>
    <cellStyle name="Total 11 10" xfId="48716" xr:uid="{B42ED0F6-4B3E-46C9-8D8E-65D7BB71917B}"/>
    <cellStyle name="Total 11 2" xfId="11602" xr:uid="{00000000-0005-0000-0000-00004A3D0000}"/>
    <cellStyle name="Total 11 2 2" xfId="48717" xr:uid="{3D47C419-FE17-4285-AB8E-9EB9E68732AA}"/>
    <cellStyle name="Total 11 3" xfId="11603" xr:uid="{00000000-0005-0000-0000-00004B3D0000}"/>
    <cellStyle name="Total 11 3 2" xfId="48718" xr:uid="{18A47391-E050-4625-A5B2-A69F1657CC00}"/>
    <cellStyle name="Total 11 4" xfId="11604" xr:uid="{00000000-0005-0000-0000-00004C3D0000}"/>
    <cellStyle name="Total 11 4 2" xfId="48719" xr:uid="{3DA9A1EE-D5CC-4E23-B41A-11BBF3FE94A4}"/>
    <cellStyle name="Total 11 5" xfId="11605" xr:uid="{00000000-0005-0000-0000-00004D3D0000}"/>
    <cellStyle name="Total 11 5 2" xfId="48720" xr:uid="{C5D3F66A-A396-4FEA-8A25-88F2D051D92F}"/>
    <cellStyle name="Total 11 6" xfId="11606" xr:uid="{00000000-0005-0000-0000-00004E3D0000}"/>
    <cellStyle name="Total 11 6 2" xfId="48721" xr:uid="{78994DB6-9E64-4B75-B3AF-07296583F16D}"/>
    <cellStyle name="Total 11 7" xfId="13370" xr:uid="{00000000-0005-0000-0000-00004F3D0000}"/>
    <cellStyle name="Total 11 7 2" xfId="48722" xr:uid="{6CCAE4BC-B1B6-4197-B6F0-A61D71EA84BE}"/>
    <cellStyle name="Total 11 8" xfId="12507" xr:uid="{00000000-0005-0000-0000-0000503D0000}"/>
    <cellStyle name="Total 11 8 2" xfId="48723" xr:uid="{5D1C3EF7-A705-4691-947A-6D9B981355F2}"/>
    <cellStyle name="Total 11 9" xfId="9344" xr:uid="{00000000-0005-0000-0000-0000513D0000}"/>
    <cellStyle name="Total 11 9 2" xfId="48724" xr:uid="{7C6ED98B-F501-458E-9FFA-C8B8B3C420D4}"/>
    <cellStyle name="Total 12" xfId="3250" xr:uid="{00000000-0005-0000-0000-0000523D0000}"/>
    <cellStyle name="Total 12 10" xfId="48725" xr:uid="{8DA4FF7C-33B9-4602-8458-184A04AC6413}"/>
    <cellStyle name="Total 12 2" xfId="11607" xr:uid="{00000000-0005-0000-0000-0000533D0000}"/>
    <cellStyle name="Total 12 2 2" xfId="48726" xr:uid="{F4E46EDF-7593-4B9A-BF08-C95DD260C700}"/>
    <cellStyle name="Total 12 3" xfId="11608" xr:uid="{00000000-0005-0000-0000-0000543D0000}"/>
    <cellStyle name="Total 12 3 2" xfId="48727" xr:uid="{34423D37-8AAA-43AB-A3C3-D0EFD614EF75}"/>
    <cellStyle name="Total 12 4" xfId="11609" xr:uid="{00000000-0005-0000-0000-0000553D0000}"/>
    <cellStyle name="Total 12 4 2" xfId="48728" xr:uid="{78A4A5CE-3E10-47E9-8519-CD1F258DEC15}"/>
    <cellStyle name="Total 12 5" xfId="11610" xr:uid="{00000000-0005-0000-0000-0000563D0000}"/>
    <cellStyle name="Total 12 5 2" xfId="48729" xr:uid="{33E1E38E-E7A1-4D54-AC2F-22F40BD48B76}"/>
    <cellStyle name="Total 12 6" xfId="11611" xr:uid="{00000000-0005-0000-0000-0000573D0000}"/>
    <cellStyle name="Total 12 6 2" xfId="48730" xr:uid="{301A3A25-4BC2-431F-B4A4-637632B6A954}"/>
    <cellStyle name="Total 12 7" xfId="13371" xr:uid="{00000000-0005-0000-0000-0000583D0000}"/>
    <cellStyle name="Total 12 7 2" xfId="48731" xr:uid="{00CE4BDA-38D5-4506-A7B7-2529C586CF64}"/>
    <cellStyle name="Total 12 8" xfId="16642" xr:uid="{00000000-0005-0000-0000-0000593D0000}"/>
    <cellStyle name="Total 12 8 2" xfId="48732" xr:uid="{86412E08-F832-45A2-8689-D3D6957F2385}"/>
    <cellStyle name="Total 12 9" xfId="9345" xr:uid="{00000000-0005-0000-0000-00005A3D0000}"/>
    <cellStyle name="Total 12 9 2" xfId="48733" xr:uid="{305C4685-9751-4744-AAFA-9E4C9539CA99}"/>
    <cellStyle name="Total 13" xfId="3251" xr:uid="{00000000-0005-0000-0000-00005B3D0000}"/>
    <cellStyle name="Total 13 10" xfId="48734" xr:uid="{6B9A2639-CB63-44C6-A42B-ED2227D61C4B}"/>
    <cellStyle name="Total 13 2" xfId="11612" xr:uid="{00000000-0005-0000-0000-00005C3D0000}"/>
    <cellStyle name="Total 13 2 2" xfId="48735" xr:uid="{186FD3E2-9169-4794-883A-6D83CE511B70}"/>
    <cellStyle name="Total 13 3" xfId="11613" xr:uid="{00000000-0005-0000-0000-00005D3D0000}"/>
    <cellStyle name="Total 13 3 2" xfId="48736" xr:uid="{A3D3FA69-8C83-472D-9EF1-D6CF65191549}"/>
    <cellStyle name="Total 13 4" xfId="11614" xr:uid="{00000000-0005-0000-0000-00005E3D0000}"/>
    <cellStyle name="Total 13 4 2" xfId="48737" xr:uid="{5A807BE5-16F7-4B03-884C-00CD5ACDEAB7}"/>
    <cellStyle name="Total 13 5" xfId="11615" xr:uid="{00000000-0005-0000-0000-00005F3D0000}"/>
    <cellStyle name="Total 13 5 2" xfId="48738" xr:uid="{E23B97C4-2523-4A09-B2C3-18490D6D059C}"/>
    <cellStyle name="Total 13 6" xfId="11616" xr:uid="{00000000-0005-0000-0000-0000603D0000}"/>
    <cellStyle name="Total 13 6 2" xfId="48739" xr:uid="{FFB1B4AB-99DE-47FF-A9E3-6E7A0CA6621C}"/>
    <cellStyle name="Total 13 7" xfId="13372" xr:uid="{00000000-0005-0000-0000-0000613D0000}"/>
    <cellStyle name="Total 13 7 2" xfId="48740" xr:uid="{F5F5C803-9D0C-4912-AFC9-A9ACFC6E58A4}"/>
    <cellStyle name="Total 13 8" xfId="12592" xr:uid="{00000000-0005-0000-0000-0000623D0000}"/>
    <cellStyle name="Total 13 8 2" xfId="48741" xr:uid="{0D929761-BC8C-4597-87C6-79F1FA563197}"/>
    <cellStyle name="Total 13 9" xfId="9346" xr:uid="{00000000-0005-0000-0000-0000633D0000}"/>
    <cellStyle name="Total 13 9 2" xfId="48742" xr:uid="{4F0806B5-0969-40AD-BF39-6E97570E4C91}"/>
    <cellStyle name="Total 14" xfId="3252" xr:uid="{00000000-0005-0000-0000-0000643D0000}"/>
    <cellStyle name="Total 14 10" xfId="48743" xr:uid="{1B083AC9-5577-4DEE-AACB-87E2347B5B99}"/>
    <cellStyle name="Total 14 2" xfId="11617" xr:uid="{00000000-0005-0000-0000-0000653D0000}"/>
    <cellStyle name="Total 14 2 2" xfId="48744" xr:uid="{1DE4E273-B60C-4FD3-9741-2FDB06CD88F0}"/>
    <cellStyle name="Total 14 3" xfId="11618" xr:uid="{00000000-0005-0000-0000-0000663D0000}"/>
    <cellStyle name="Total 14 3 2" xfId="48745" xr:uid="{B9A23598-8F74-45A3-90FB-16B220395934}"/>
    <cellStyle name="Total 14 4" xfId="11619" xr:uid="{00000000-0005-0000-0000-0000673D0000}"/>
    <cellStyle name="Total 14 4 2" xfId="48746" xr:uid="{8D334E36-81E0-4EFE-929E-607E1ACEC9C9}"/>
    <cellStyle name="Total 14 5" xfId="11620" xr:uid="{00000000-0005-0000-0000-0000683D0000}"/>
    <cellStyle name="Total 14 5 2" xfId="48747" xr:uid="{79CF3E53-8944-4320-8A15-A89D5CBF1A74}"/>
    <cellStyle name="Total 14 6" xfId="11621" xr:uid="{00000000-0005-0000-0000-0000693D0000}"/>
    <cellStyle name="Total 14 6 2" xfId="48748" xr:uid="{483234DB-CB3F-4A6E-AAA8-286A7F5490F6}"/>
    <cellStyle name="Total 14 7" xfId="13373" xr:uid="{00000000-0005-0000-0000-00006A3D0000}"/>
    <cellStyle name="Total 14 7 2" xfId="48749" xr:uid="{62DA9565-5B68-471A-BC8F-C1096A925FB3}"/>
    <cellStyle name="Total 14 8" xfId="13782" xr:uid="{00000000-0005-0000-0000-00006B3D0000}"/>
    <cellStyle name="Total 14 8 2" xfId="48750" xr:uid="{0191AB21-F940-4DC7-958A-72A9B2F623A9}"/>
    <cellStyle name="Total 14 9" xfId="9347" xr:uid="{00000000-0005-0000-0000-00006C3D0000}"/>
    <cellStyle name="Total 14 9 2" xfId="48751" xr:uid="{88F14414-2F18-4D00-8AA3-5BB97D890A61}"/>
    <cellStyle name="Total 15" xfId="3253" xr:uid="{00000000-0005-0000-0000-00006D3D0000}"/>
    <cellStyle name="Total 15 10" xfId="48752" xr:uid="{A1D394F6-C048-4D72-8A8F-541E9B645D67}"/>
    <cellStyle name="Total 15 2" xfId="11622" xr:uid="{00000000-0005-0000-0000-00006E3D0000}"/>
    <cellStyle name="Total 15 2 2" xfId="48753" xr:uid="{3655A31C-1DD1-4EEC-95A8-6BA2AFD6BDCA}"/>
    <cellStyle name="Total 15 3" xfId="11623" xr:uid="{00000000-0005-0000-0000-00006F3D0000}"/>
    <cellStyle name="Total 15 3 2" xfId="48754" xr:uid="{097DD8B8-2176-4D17-B033-A28CBE7E3BA2}"/>
    <cellStyle name="Total 15 4" xfId="11624" xr:uid="{00000000-0005-0000-0000-0000703D0000}"/>
    <cellStyle name="Total 15 4 2" xfId="48755" xr:uid="{074E49CD-A07B-4612-9186-34DF15A25C64}"/>
    <cellStyle name="Total 15 5" xfId="11625" xr:uid="{00000000-0005-0000-0000-0000713D0000}"/>
    <cellStyle name="Total 15 5 2" xfId="48756" xr:uid="{1BFF7B2E-4B56-4375-86F7-6B443E3B8184}"/>
    <cellStyle name="Total 15 6" xfId="11626" xr:uid="{00000000-0005-0000-0000-0000723D0000}"/>
    <cellStyle name="Total 15 6 2" xfId="48757" xr:uid="{7CE98716-1150-4FDD-8269-FC137CA7742F}"/>
    <cellStyle name="Total 15 7" xfId="13374" xr:uid="{00000000-0005-0000-0000-0000733D0000}"/>
    <cellStyle name="Total 15 7 2" xfId="48758" xr:uid="{BD8512A7-7429-4070-BEC8-C647E0843D2B}"/>
    <cellStyle name="Total 15 8" xfId="16481" xr:uid="{00000000-0005-0000-0000-0000743D0000}"/>
    <cellStyle name="Total 15 8 2" xfId="48759" xr:uid="{E07EA2D1-827D-4482-9FC1-1288947CC9D3}"/>
    <cellStyle name="Total 15 9" xfId="9348" xr:uid="{00000000-0005-0000-0000-0000753D0000}"/>
    <cellStyle name="Total 15 9 2" xfId="48760" xr:uid="{613B9046-DDC8-4160-B315-C36CBAC2B113}"/>
    <cellStyle name="Total 16" xfId="3254" xr:uid="{00000000-0005-0000-0000-0000763D0000}"/>
    <cellStyle name="Total 16 10" xfId="48761" xr:uid="{F5856120-4F42-40EB-A7CC-1670A5223056}"/>
    <cellStyle name="Total 16 2" xfId="11627" xr:uid="{00000000-0005-0000-0000-0000773D0000}"/>
    <cellStyle name="Total 16 2 2" xfId="48762" xr:uid="{EB182CE9-5344-43A8-976C-9BC4E2ABB53A}"/>
    <cellStyle name="Total 16 3" xfId="11628" xr:uid="{00000000-0005-0000-0000-0000783D0000}"/>
    <cellStyle name="Total 16 3 2" xfId="48763" xr:uid="{8745097B-30BE-453E-9709-601F5A458851}"/>
    <cellStyle name="Total 16 4" xfId="11629" xr:uid="{00000000-0005-0000-0000-0000793D0000}"/>
    <cellStyle name="Total 16 4 2" xfId="48764" xr:uid="{723538D3-098E-4816-A5A3-6338AAF0FF58}"/>
    <cellStyle name="Total 16 5" xfId="11630" xr:uid="{00000000-0005-0000-0000-00007A3D0000}"/>
    <cellStyle name="Total 16 5 2" xfId="48765" xr:uid="{501C4F7D-8944-4F53-ADCF-468EFFF1A7F4}"/>
    <cellStyle name="Total 16 6" xfId="11631" xr:uid="{00000000-0005-0000-0000-00007B3D0000}"/>
    <cellStyle name="Total 16 6 2" xfId="48766" xr:uid="{7AA54E06-189D-4740-BC6E-1F6A3820A300}"/>
    <cellStyle name="Total 16 7" xfId="13375" xr:uid="{00000000-0005-0000-0000-00007C3D0000}"/>
    <cellStyle name="Total 16 7 2" xfId="48767" xr:uid="{5EBAC9C5-C95F-49DB-8B74-F03B66C2A177}"/>
    <cellStyle name="Total 16 8" xfId="12850" xr:uid="{00000000-0005-0000-0000-00007D3D0000}"/>
    <cellStyle name="Total 16 8 2" xfId="48768" xr:uid="{86B4A543-6356-4DAB-A40A-ABAE47E1619B}"/>
    <cellStyle name="Total 16 9" xfId="9349" xr:uid="{00000000-0005-0000-0000-00007E3D0000}"/>
    <cellStyle name="Total 16 9 2" xfId="48769" xr:uid="{51BCBD03-DF76-4C8B-A215-2A5F1C3064FF}"/>
    <cellStyle name="Total 17" xfId="3255" xr:uid="{00000000-0005-0000-0000-00007F3D0000}"/>
    <cellStyle name="Total 17 10" xfId="48770" xr:uid="{D352C160-AE05-4BD0-A5EE-3F0BCAA8575B}"/>
    <cellStyle name="Total 17 2" xfId="11632" xr:uid="{00000000-0005-0000-0000-0000803D0000}"/>
    <cellStyle name="Total 17 2 2" xfId="48771" xr:uid="{B4397A1F-3184-49F2-980D-34C0AF062CF0}"/>
    <cellStyle name="Total 17 3" xfId="11633" xr:uid="{00000000-0005-0000-0000-0000813D0000}"/>
    <cellStyle name="Total 17 3 2" xfId="48772" xr:uid="{D7852459-215E-41AE-8539-7085268759D0}"/>
    <cellStyle name="Total 17 4" xfId="11634" xr:uid="{00000000-0005-0000-0000-0000823D0000}"/>
    <cellStyle name="Total 17 4 2" xfId="48773" xr:uid="{7D215296-879A-4402-9724-F502BAFFF093}"/>
    <cellStyle name="Total 17 5" xfId="11635" xr:uid="{00000000-0005-0000-0000-0000833D0000}"/>
    <cellStyle name="Total 17 5 2" xfId="48774" xr:uid="{48DB06E7-5B5E-4FAB-B961-E054D31AF173}"/>
    <cellStyle name="Total 17 6" xfId="11636" xr:uid="{00000000-0005-0000-0000-0000843D0000}"/>
    <cellStyle name="Total 17 6 2" xfId="48775" xr:uid="{FC635EBC-8788-4BFC-AB64-9AB041C20B70}"/>
    <cellStyle name="Total 17 7" xfId="13376" xr:uid="{00000000-0005-0000-0000-0000853D0000}"/>
    <cellStyle name="Total 17 7 2" xfId="48776" xr:uid="{FF1A850C-595C-4021-8985-3B4C2543702F}"/>
    <cellStyle name="Total 17 8" xfId="16639" xr:uid="{00000000-0005-0000-0000-0000863D0000}"/>
    <cellStyle name="Total 17 8 2" xfId="48777" xr:uid="{E04349D8-E058-4F2C-97F3-46B80BA3E591}"/>
    <cellStyle name="Total 17 9" xfId="9350" xr:uid="{00000000-0005-0000-0000-0000873D0000}"/>
    <cellStyle name="Total 17 9 2" xfId="48778" xr:uid="{94D8C2A4-C9AC-44E5-81FA-D25CB78AC8BA}"/>
    <cellStyle name="Total 18" xfId="3256" xr:uid="{00000000-0005-0000-0000-0000883D0000}"/>
    <cellStyle name="Total 18 10" xfId="48779" xr:uid="{48EC6F15-F6A1-47F3-A69B-1C797EB2DB1E}"/>
    <cellStyle name="Total 18 2" xfId="11637" xr:uid="{00000000-0005-0000-0000-0000893D0000}"/>
    <cellStyle name="Total 18 2 2" xfId="48780" xr:uid="{319EE64A-A2B8-4A51-A4F5-AA6815B49196}"/>
    <cellStyle name="Total 18 3" xfId="11638" xr:uid="{00000000-0005-0000-0000-00008A3D0000}"/>
    <cellStyle name="Total 18 3 2" xfId="48781" xr:uid="{DC41D248-900D-43CF-90CE-C11013388EC4}"/>
    <cellStyle name="Total 18 4" xfId="11639" xr:uid="{00000000-0005-0000-0000-00008B3D0000}"/>
    <cellStyle name="Total 18 4 2" xfId="48782" xr:uid="{8650887A-777C-4703-8F2E-25B2271C426C}"/>
    <cellStyle name="Total 18 5" xfId="11640" xr:uid="{00000000-0005-0000-0000-00008C3D0000}"/>
    <cellStyle name="Total 18 5 2" xfId="48783" xr:uid="{0C8C5273-B4DA-4046-8F98-B9A492D32F7A}"/>
    <cellStyle name="Total 18 6" xfId="11641" xr:uid="{00000000-0005-0000-0000-00008D3D0000}"/>
    <cellStyle name="Total 18 6 2" xfId="48784" xr:uid="{902D32F8-FF0B-45D5-A522-DB2BF5BE3B7D}"/>
    <cellStyle name="Total 18 7" xfId="13377" xr:uid="{00000000-0005-0000-0000-00008E3D0000}"/>
    <cellStyle name="Total 18 7 2" xfId="48785" xr:uid="{F0E57D26-91D3-4BF1-96D7-65DFA130C6FF}"/>
    <cellStyle name="Total 18 8" xfId="14358" xr:uid="{00000000-0005-0000-0000-00008F3D0000}"/>
    <cellStyle name="Total 18 8 2" xfId="48786" xr:uid="{7FF2392D-4B72-4FA6-9184-EBBB078AFB32}"/>
    <cellStyle name="Total 18 9" xfId="9351" xr:uid="{00000000-0005-0000-0000-0000903D0000}"/>
    <cellStyle name="Total 18 9 2" xfId="48787" xr:uid="{C50D73C6-6617-4252-B9BC-AD530B32FF00}"/>
    <cellStyle name="Total 19" xfId="3257" xr:uid="{00000000-0005-0000-0000-0000913D0000}"/>
    <cellStyle name="Total 19 10" xfId="48788" xr:uid="{5D2E8A5E-7534-4D1C-9CD2-E2FED20C6ECF}"/>
    <cellStyle name="Total 19 2" xfId="11642" xr:uid="{00000000-0005-0000-0000-0000923D0000}"/>
    <cellStyle name="Total 19 2 2" xfId="48789" xr:uid="{34F083D3-511B-4E6D-BBCE-FC34BFAD9303}"/>
    <cellStyle name="Total 19 3" xfId="11643" xr:uid="{00000000-0005-0000-0000-0000933D0000}"/>
    <cellStyle name="Total 19 3 2" xfId="48790" xr:uid="{EB5AF9A6-ABB0-4B57-ADFD-58BECCB7C30D}"/>
    <cellStyle name="Total 19 4" xfId="11644" xr:uid="{00000000-0005-0000-0000-0000943D0000}"/>
    <cellStyle name="Total 19 4 2" xfId="48791" xr:uid="{9EDC0989-4B05-4AA5-9F7A-4DAD911E5798}"/>
    <cellStyle name="Total 19 5" xfId="11645" xr:uid="{00000000-0005-0000-0000-0000953D0000}"/>
    <cellStyle name="Total 19 5 2" xfId="48792" xr:uid="{E0AA7B3E-8288-4CFC-8D5B-2C0D7F5CE65B}"/>
    <cellStyle name="Total 19 6" xfId="11646" xr:uid="{00000000-0005-0000-0000-0000963D0000}"/>
    <cellStyle name="Total 19 6 2" xfId="48793" xr:uid="{2182CEF8-7D08-488C-9376-3DC36F0B4005}"/>
    <cellStyle name="Total 19 7" xfId="13378" xr:uid="{00000000-0005-0000-0000-0000973D0000}"/>
    <cellStyle name="Total 19 7 2" xfId="48794" xr:uid="{A9CFC594-B133-4839-B418-F151593B2252}"/>
    <cellStyle name="Total 19 8" xfId="16505" xr:uid="{00000000-0005-0000-0000-0000983D0000}"/>
    <cellStyle name="Total 19 8 2" xfId="48795" xr:uid="{F87C3E40-2BE7-4829-9D86-E5ED7F341762}"/>
    <cellStyle name="Total 19 9" xfId="9352" xr:uid="{00000000-0005-0000-0000-0000993D0000}"/>
    <cellStyle name="Total 19 9 2" xfId="48796" xr:uid="{4320E854-638C-4665-9E04-98E85BA732C9}"/>
    <cellStyle name="Total 2" xfId="258" xr:uid="{00000000-0005-0000-0000-00009A3D0000}"/>
    <cellStyle name="Total 2 10" xfId="4759" xr:uid="{00000000-0005-0000-0000-00009B3D0000}"/>
    <cellStyle name="Total 2 10 2" xfId="11647" xr:uid="{00000000-0005-0000-0000-00009C3D0000}"/>
    <cellStyle name="Total 2 10 2 2" xfId="48799" xr:uid="{18F78B67-CDD3-4602-9B79-26A91E451A60}"/>
    <cellStyle name="Total 2 10 3" xfId="11648" xr:uid="{00000000-0005-0000-0000-00009D3D0000}"/>
    <cellStyle name="Total 2 10 3 2" xfId="48800" xr:uid="{90FDDEF1-09BC-4E5A-A363-0B6910D69367}"/>
    <cellStyle name="Total 2 10 4" xfId="11649" xr:uid="{00000000-0005-0000-0000-00009E3D0000}"/>
    <cellStyle name="Total 2 10 4 2" xfId="48801" xr:uid="{A23A258D-E98E-44AA-B4A2-39DF158A8495}"/>
    <cellStyle name="Total 2 10 5" xfId="11650" xr:uid="{00000000-0005-0000-0000-00009F3D0000}"/>
    <cellStyle name="Total 2 10 5 2" xfId="48802" xr:uid="{4BF82F82-9F31-457E-AAC5-55F0FEEFDB52}"/>
    <cellStyle name="Total 2 10 6" xfId="12348" xr:uid="{00000000-0005-0000-0000-0000A03D0000}"/>
    <cellStyle name="Total 2 10 6 2" xfId="48803" xr:uid="{7273D3B2-FBBE-4A99-9682-D0A1E8CD9A98}"/>
    <cellStyle name="Total 2 10 7" xfId="16681" xr:uid="{00000000-0005-0000-0000-0000A13D0000}"/>
    <cellStyle name="Total 2 10 7 2" xfId="48804" xr:uid="{137BAAAA-4552-48AF-8368-273EA247BA3F}"/>
    <cellStyle name="Total 2 10 8" xfId="9354" xr:uid="{00000000-0005-0000-0000-0000A23D0000}"/>
    <cellStyle name="Total 2 10 8 2" xfId="48805" xr:uid="{84C8A8D9-FC73-467D-B7A4-22A5E043E2A7}"/>
    <cellStyle name="Total 2 10 9" xfId="48798" xr:uid="{2CD7D9F8-501B-45E7-83A9-87AC1E3F1035}"/>
    <cellStyle name="Total 2 11" xfId="11651" xr:uid="{00000000-0005-0000-0000-0000A33D0000}"/>
    <cellStyle name="Total 2 11 2" xfId="11652" xr:uid="{00000000-0005-0000-0000-0000A43D0000}"/>
    <cellStyle name="Total 2 11 2 2" xfId="48807" xr:uid="{80ED01D1-3CA4-4C7A-8CB3-E40A64089900}"/>
    <cellStyle name="Total 2 11 3" xfId="11653" xr:uid="{00000000-0005-0000-0000-0000A53D0000}"/>
    <cellStyle name="Total 2 11 3 2" xfId="48808" xr:uid="{41E505D1-5AFB-4C72-B38F-8A35783651E1}"/>
    <cellStyle name="Total 2 11 4" xfId="11654" xr:uid="{00000000-0005-0000-0000-0000A63D0000}"/>
    <cellStyle name="Total 2 11 4 2" xfId="48809" xr:uid="{35A09773-231E-40D7-9200-997DA0DE3069}"/>
    <cellStyle name="Total 2 11 5" xfId="11655" xr:uid="{00000000-0005-0000-0000-0000A73D0000}"/>
    <cellStyle name="Total 2 11 5 2" xfId="48810" xr:uid="{9D677FEA-82C4-49A4-986E-6069651BA37F}"/>
    <cellStyle name="Total 2 11 6" xfId="48806" xr:uid="{72E5C252-046E-4DF0-9B50-EBFB01B3211F}"/>
    <cellStyle name="Total 2 12" xfId="11656" xr:uid="{00000000-0005-0000-0000-0000A83D0000}"/>
    <cellStyle name="Total 2 12 2" xfId="48811" xr:uid="{B91204AB-63B2-42B9-9E23-DD332661B2C7}"/>
    <cellStyle name="Total 2 13" xfId="11657" xr:uid="{00000000-0005-0000-0000-0000A93D0000}"/>
    <cellStyle name="Total 2 13 2" xfId="48812" xr:uid="{69EDB5B0-35E6-4080-8657-729316E27707}"/>
    <cellStyle name="Total 2 14" xfId="11658" xr:uid="{00000000-0005-0000-0000-0000AA3D0000}"/>
    <cellStyle name="Total 2 14 2" xfId="48813" xr:uid="{A4F43E95-7D31-4122-B49A-BAFA7F71BFA8}"/>
    <cellStyle name="Total 2 15" xfId="11659" xr:uid="{00000000-0005-0000-0000-0000AB3D0000}"/>
    <cellStyle name="Total 2 15 2" xfId="48814" xr:uid="{F20A64A4-9152-4F8A-82DE-5D5F07F423ED}"/>
    <cellStyle name="Total 2 16" xfId="11660" xr:uid="{00000000-0005-0000-0000-0000AC3D0000}"/>
    <cellStyle name="Total 2 16 2" xfId="48815" xr:uid="{5071B842-B6C9-4A5C-A751-4AE3BACACF2A}"/>
    <cellStyle name="Total 2 17" xfId="12347" xr:uid="{00000000-0005-0000-0000-0000AD3D0000}"/>
    <cellStyle name="Total 2 17 2" xfId="48816" xr:uid="{9598274A-2DD2-40A9-AD02-F62AFDA5BEE6}"/>
    <cellStyle name="Total 2 18" xfId="16493" xr:uid="{00000000-0005-0000-0000-0000AE3D0000}"/>
    <cellStyle name="Total 2 18 2" xfId="48817" xr:uid="{38818E40-8637-4985-8989-B42AA75A1885}"/>
    <cellStyle name="Total 2 19" xfId="9353" xr:uid="{00000000-0005-0000-0000-0000AF3D0000}"/>
    <cellStyle name="Total 2 19 2" xfId="48818" xr:uid="{6292E318-274B-41E5-9731-D64AAB82501B}"/>
    <cellStyle name="Total 2 2" xfId="4760" xr:uid="{00000000-0005-0000-0000-0000B03D0000}"/>
    <cellStyle name="Total 2 2 10" xfId="48819" xr:uid="{5457886E-36AB-447C-80B3-D95FF270D088}"/>
    <cellStyle name="Total 2 2 2" xfId="11661" xr:uid="{00000000-0005-0000-0000-0000B13D0000}"/>
    <cellStyle name="Total 2 2 2 2" xfId="48821" xr:uid="{9841C3DA-629B-4C26-96E8-DF7DBE4E2AFF}"/>
    <cellStyle name="Total 2 2 2 3" xfId="48820" xr:uid="{FD000F02-DDB5-4731-9AAA-849C5FD65BA6}"/>
    <cellStyle name="Total 2 2 3" xfId="11662" xr:uid="{00000000-0005-0000-0000-0000B23D0000}"/>
    <cellStyle name="Total 2 2 3 2" xfId="48822" xr:uid="{EA2F1BCD-8DBB-4702-BE75-22A505C2B0EE}"/>
    <cellStyle name="Total 2 2 4" xfId="11663" xr:uid="{00000000-0005-0000-0000-0000B33D0000}"/>
    <cellStyle name="Total 2 2 4 2" xfId="48823" xr:uid="{1ED321C9-E68E-4A59-B595-ABF6EE200E61}"/>
    <cellStyle name="Total 2 2 5" xfId="11664" xr:uid="{00000000-0005-0000-0000-0000B43D0000}"/>
    <cellStyle name="Total 2 2 5 2" xfId="48824" xr:uid="{F2B82F93-E797-47FC-B65A-B9071B776A29}"/>
    <cellStyle name="Total 2 2 6" xfId="12349" xr:uid="{00000000-0005-0000-0000-0000B53D0000}"/>
    <cellStyle name="Total 2 2 6 2" xfId="48825" xr:uid="{368B74AB-AA18-4021-83D3-CB6F9BB245F4}"/>
    <cellStyle name="Total 2 2 7" xfId="12537" xr:uid="{00000000-0005-0000-0000-0000B63D0000}"/>
    <cellStyle name="Total 2 2 7 2" xfId="48826" xr:uid="{BE855BC5-DDCA-47FC-82F2-68F3F7620140}"/>
    <cellStyle name="Total 2 2 8" xfId="9355" xr:uid="{00000000-0005-0000-0000-0000B73D0000}"/>
    <cellStyle name="Total 2 2 8 2" xfId="48827" xr:uid="{9AECC4CC-2EB3-4C2F-A7CB-2FB30FF99EBB}"/>
    <cellStyle name="Total 2 2 9" xfId="48828" xr:uid="{21906901-B5D5-427D-AE0E-B6135351D937}"/>
    <cellStyle name="Total 2 20" xfId="48797" xr:uid="{928AA2E0-9DDD-423E-84E4-6E4E738A8D87}"/>
    <cellStyle name="Total 2 3" xfId="4761" xr:uid="{00000000-0005-0000-0000-0000B83D0000}"/>
    <cellStyle name="Total 2 3 10" xfId="48829" xr:uid="{E8CB8678-AA40-45A8-B193-B0110B504BE9}"/>
    <cellStyle name="Total 2 3 2" xfId="11665" xr:uid="{00000000-0005-0000-0000-0000B93D0000}"/>
    <cellStyle name="Total 2 3 2 2" xfId="48831" xr:uid="{0B84D694-1DEC-40E5-9E36-17245B2F2320}"/>
    <cellStyle name="Total 2 3 2 3" xfId="48830" xr:uid="{E4AAF7C7-7D71-4C61-9778-345A0FB824C8}"/>
    <cellStyle name="Total 2 3 3" xfId="11666" xr:uid="{00000000-0005-0000-0000-0000BA3D0000}"/>
    <cellStyle name="Total 2 3 3 2" xfId="48832" xr:uid="{07AF9F16-E8DF-4F2D-B232-FD8F5BF625D9}"/>
    <cellStyle name="Total 2 3 4" xfId="11667" xr:uid="{00000000-0005-0000-0000-0000BB3D0000}"/>
    <cellStyle name="Total 2 3 4 2" xfId="48833" xr:uid="{AA4AE413-DF8B-4954-A293-DFA5660B2527}"/>
    <cellStyle name="Total 2 3 5" xfId="11668" xr:uid="{00000000-0005-0000-0000-0000BC3D0000}"/>
    <cellStyle name="Total 2 3 5 2" xfId="48834" xr:uid="{6689C357-F6FA-46FA-8473-1944728DCDBA}"/>
    <cellStyle name="Total 2 3 6" xfId="12350" xr:uid="{00000000-0005-0000-0000-0000BD3D0000}"/>
    <cellStyle name="Total 2 3 6 2" xfId="48835" xr:uid="{65A2F647-020F-4BC3-B220-480A83F6A556}"/>
    <cellStyle name="Total 2 3 7" xfId="16476" xr:uid="{00000000-0005-0000-0000-0000BE3D0000}"/>
    <cellStyle name="Total 2 3 7 2" xfId="48836" xr:uid="{A5DCA181-F56F-4144-A1E0-290D7EBAFB62}"/>
    <cellStyle name="Total 2 3 8" xfId="9356" xr:uid="{00000000-0005-0000-0000-0000BF3D0000}"/>
    <cellStyle name="Total 2 3 8 2" xfId="48837" xr:uid="{D6417BE3-99CA-4335-892E-F1284D001254}"/>
    <cellStyle name="Total 2 3 9" xfId="48838" xr:uid="{5F73F6A5-C30E-4D82-BEC6-629E295B043F}"/>
    <cellStyle name="Total 2 4" xfId="4762" xr:uid="{00000000-0005-0000-0000-0000C03D0000}"/>
    <cellStyle name="Total 2 4 10" xfId="48839" xr:uid="{56429C43-49F8-4365-B6B9-822F0CE19CDB}"/>
    <cellStyle name="Total 2 4 2" xfId="11669" xr:uid="{00000000-0005-0000-0000-0000C13D0000}"/>
    <cellStyle name="Total 2 4 2 2" xfId="48841" xr:uid="{7E1E43BB-480F-4B72-AB89-406AEC589CA1}"/>
    <cellStyle name="Total 2 4 2 3" xfId="48840" xr:uid="{0AC40E7F-0D85-4AFA-AA40-61A7AAB43561}"/>
    <cellStyle name="Total 2 4 3" xfId="11670" xr:uid="{00000000-0005-0000-0000-0000C23D0000}"/>
    <cellStyle name="Total 2 4 3 2" xfId="48842" xr:uid="{3B89C963-E607-4A47-A082-CBCEDAFE4039}"/>
    <cellStyle name="Total 2 4 4" xfId="11671" xr:uid="{00000000-0005-0000-0000-0000C33D0000}"/>
    <cellStyle name="Total 2 4 4 2" xfId="48843" xr:uid="{2E8AB1D2-A7DC-4BD8-8414-C4B3B8579B43}"/>
    <cellStyle name="Total 2 4 5" xfId="11672" xr:uid="{00000000-0005-0000-0000-0000C43D0000}"/>
    <cellStyle name="Total 2 4 5 2" xfId="48844" xr:uid="{8BA321FE-8291-4040-97BC-19DCF9E49AF9}"/>
    <cellStyle name="Total 2 4 6" xfId="12351" xr:uid="{00000000-0005-0000-0000-0000C53D0000}"/>
    <cellStyle name="Total 2 4 6 2" xfId="48845" xr:uid="{711B48A2-B5AB-4A89-AAD4-EAF2C6446865}"/>
    <cellStyle name="Total 2 4 7" xfId="16305" xr:uid="{00000000-0005-0000-0000-0000C63D0000}"/>
    <cellStyle name="Total 2 4 7 2" xfId="48846" xr:uid="{88E5A8C9-C78F-4EDA-9725-D193ED2CD2B0}"/>
    <cellStyle name="Total 2 4 8" xfId="9357" xr:uid="{00000000-0005-0000-0000-0000C73D0000}"/>
    <cellStyle name="Total 2 4 8 2" xfId="48847" xr:uid="{CA0C0BE4-FCD6-4EB4-8CD5-DD4D8D0AF87E}"/>
    <cellStyle name="Total 2 4 9" xfId="48848" xr:uid="{263D4D0B-B6FE-4404-B21C-A488D9D45754}"/>
    <cellStyle name="Total 2 5" xfId="4763" xr:uid="{00000000-0005-0000-0000-0000C83D0000}"/>
    <cellStyle name="Total 2 5 10" xfId="48849" xr:uid="{63975CE9-2406-44E1-9587-66B11B512E34}"/>
    <cellStyle name="Total 2 5 2" xfId="11673" xr:uid="{00000000-0005-0000-0000-0000C93D0000}"/>
    <cellStyle name="Total 2 5 2 2" xfId="48850" xr:uid="{3F101B81-3E9D-4854-A918-E27976902F07}"/>
    <cellStyle name="Total 2 5 3" xfId="11674" xr:uid="{00000000-0005-0000-0000-0000CA3D0000}"/>
    <cellStyle name="Total 2 5 3 2" xfId="48851" xr:uid="{1BEE0DD8-FEB7-4736-AEB2-27A73B1F7787}"/>
    <cellStyle name="Total 2 5 4" xfId="11675" xr:uid="{00000000-0005-0000-0000-0000CB3D0000}"/>
    <cellStyle name="Total 2 5 4 2" xfId="48852" xr:uid="{1239B554-4F43-41B4-AD91-BEE485BF3A0F}"/>
    <cellStyle name="Total 2 5 5" xfId="11676" xr:uid="{00000000-0005-0000-0000-0000CC3D0000}"/>
    <cellStyle name="Total 2 5 5 2" xfId="48853" xr:uid="{8ECA280F-1E50-4ADE-AEE5-156CDFEA2971}"/>
    <cellStyle name="Total 2 5 6" xfId="12352" xr:uid="{00000000-0005-0000-0000-0000CD3D0000}"/>
    <cellStyle name="Total 2 5 6 2" xfId="48854" xr:uid="{BB341376-963C-45B4-9CED-710F714BB82D}"/>
    <cellStyle name="Total 2 5 7" xfId="16358" xr:uid="{00000000-0005-0000-0000-0000CE3D0000}"/>
    <cellStyle name="Total 2 5 7 2" xfId="48855" xr:uid="{BD261E48-6274-4395-9D69-CFF584DFEF70}"/>
    <cellStyle name="Total 2 5 8" xfId="9358" xr:uid="{00000000-0005-0000-0000-0000CF3D0000}"/>
    <cellStyle name="Total 2 5 8 2" xfId="48856" xr:uid="{BBC9ECCF-0A21-4994-BF26-2BD98802F8CC}"/>
    <cellStyle name="Total 2 5 9" xfId="48857" xr:uid="{595645DD-DFCA-4D46-8D84-59A50B02EC37}"/>
    <cellStyle name="Total 2 6" xfId="4764" xr:uid="{00000000-0005-0000-0000-0000D03D0000}"/>
    <cellStyle name="Total 2 6 10" xfId="48858" xr:uid="{E266C4F5-93E2-465C-830C-A89B011F6DD5}"/>
    <cellStyle name="Total 2 6 2" xfId="11677" xr:uid="{00000000-0005-0000-0000-0000D13D0000}"/>
    <cellStyle name="Total 2 6 2 2" xfId="48859" xr:uid="{73E8A9D8-96D0-462F-AC22-46CB90F2087A}"/>
    <cellStyle name="Total 2 6 3" xfId="11678" xr:uid="{00000000-0005-0000-0000-0000D23D0000}"/>
    <cellStyle name="Total 2 6 3 2" xfId="48860" xr:uid="{EF641665-42F9-40DF-93A6-8F9ADD6B13B4}"/>
    <cellStyle name="Total 2 6 4" xfId="11679" xr:uid="{00000000-0005-0000-0000-0000D33D0000}"/>
    <cellStyle name="Total 2 6 4 2" xfId="48861" xr:uid="{C7772409-FA94-4DF6-8075-EDBF3DF2692D}"/>
    <cellStyle name="Total 2 6 5" xfId="11680" xr:uid="{00000000-0005-0000-0000-0000D43D0000}"/>
    <cellStyle name="Total 2 6 5 2" xfId="48862" xr:uid="{9658DE87-0060-4C10-B7E7-DF8E6D559B66}"/>
    <cellStyle name="Total 2 6 6" xfId="12353" xr:uid="{00000000-0005-0000-0000-0000D53D0000}"/>
    <cellStyle name="Total 2 6 6 2" xfId="48863" xr:uid="{218510B1-D512-46D5-8240-025955AF5DDF}"/>
    <cellStyle name="Total 2 6 7" xfId="14333" xr:uid="{00000000-0005-0000-0000-0000D63D0000}"/>
    <cellStyle name="Total 2 6 7 2" xfId="48864" xr:uid="{BF5D62E0-E0F7-4A80-B0D5-002004302DB2}"/>
    <cellStyle name="Total 2 6 8" xfId="9359" xr:uid="{00000000-0005-0000-0000-0000D73D0000}"/>
    <cellStyle name="Total 2 6 8 2" xfId="48865" xr:uid="{B11E38E0-CC9F-45FF-BA02-334E04FC01E0}"/>
    <cellStyle name="Total 2 6 9" xfId="48866" xr:uid="{DCF7A77C-5FCB-43AE-8D81-F4E1D3372B0D}"/>
    <cellStyle name="Total 2 7" xfId="4765" xr:uid="{00000000-0005-0000-0000-0000D83D0000}"/>
    <cellStyle name="Total 2 7 2" xfId="11681" xr:uid="{00000000-0005-0000-0000-0000D93D0000}"/>
    <cellStyle name="Total 2 7 2 2" xfId="48868" xr:uid="{220CF1EB-A8FD-4E31-BF46-AEBAE02508BF}"/>
    <cellStyle name="Total 2 7 3" xfId="11682" xr:uid="{00000000-0005-0000-0000-0000DA3D0000}"/>
    <cellStyle name="Total 2 7 3 2" xfId="48869" xr:uid="{570D67BC-1868-44ED-9E47-2A652B0D57CF}"/>
    <cellStyle name="Total 2 7 4" xfId="11683" xr:uid="{00000000-0005-0000-0000-0000DB3D0000}"/>
    <cellStyle name="Total 2 7 4 2" xfId="48870" xr:uid="{00F99056-4281-4FF7-B593-B936960ABF55}"/>
    <cellStyle name="Total 2 7 5" xfId="11684" xr:uid="{00000000-0005-0000-0000-0000DC3D0000}"/>
    <cellStyle name="Total 2 7 5 2" xfId="48871" xr:uid="{EBA8EDCB-A84B-4410-AD83-637E94C1908F}"/>
    <cellStyle name="Total 2 7 6" xfId="12354" xr:uid="{00000000-0005-0000-0000-0000DD3D0000}"/>
    <cellStyle name="Total 2 7 6 2" xfId="48872" xr:uid="{DAD5A0C3-5FAD-4075-82DC-723526F6E075}"/>
    <cellStyle name="Total 2 7 7" xfId="16159" xr:uid="{00000000-0005-0000-0000-0000DE3D0000}"/>
    <cellStyle name="Total 2 7 7 2" xfId="48873" xr:uid="{596E22FE-3B47-425D-8A70-F7D346CF2003}"/>
    <cellStyle name="Total 2 7 8" xfId="9360" xr:uid="{00000000-0005-0000-0000-0000DF3D0000}"/>
    <cellStyle name="Total 2 7 8 2" xfId="48874" xr:uid="{A4748D8F-E97C-4437-8120-8597273832DC}"/>
    <cellStyle name="Total 2 7 9" xfId="48867" xr:uid="{4B2CE701-4888-46D8-B275-FBCBF62CE6BC}"/>
    <cellStyle name="Total 2 8" xfId="4766" xr:uid="{00000000-0005-0000-0000-0000E03D0000}"/>
    <cellStyle name="Total 2 8 2" xfId="11685" xr:uid="{00000000-0005-0000-0000-0000E13D0000}"/>
    <cellStyle name="Total 2 8 2 2" xfId="48876" xr:uid="{C8A18053-7757-4FDB-B96E-B90DE1A06975}"/>
    <cellStyle name="Total 2 8 3" xfId="11686" xr:uid="{00000000-0005-0000-0000-0000E23D0000}"/>
    <cellStyle name="Total 2 8 3 2" xfId="48877" xr:uid="{0EE15866-53AA-4565-87E9-582013EAD7AD}"/>
    <cellStyle name="Total 2 8 4" xfId="11687" xr:uid="{00000000-0005-0000-0000-0000E33D0000}"/>
    <cellStyle name="Total 2 8 4 2" xfId="48878" xr:uid="{0570991B-9E02-44B1-A70F-8829EF4172B1}"/>
    <cellStyle name="Total 2 8 5" xfId="11688" xr:uid="{00000000-0005-0000-0000-0000E43D0000}"/>
    <cellStyle name="Total 2 8 5 2" xfId="48879" xr:uid="{5512797A-42E5-4B23-ADC8-79834D694D53}"/>
    <cellStyle name="Total 2 8 6" xfId="12355" xr:uid="{00000000-0005-0000-0000-0000E53D0000}"/>
    <cellStyle name="Total 2 8 6 2" xfId="48880" xr:uid="{12900D7F-0819-43E8-B2A9-D5DB90C87407}"/>
    <cellStyle name="Total 2 8 7" xfId="16592" xr:uid="{00000000-0005-0000-0000-0000E63D0000}"/>
    <cellStyle name="Total 2 8 7 2" xfId="48881" xr:uid="{3B017206-E372-452B-9932-A016A876DF87}"/>
    <cellStyle name="Total 2 8 8" xfId="9361" xr:uid="{00000000-0005-0000-0000-0000E73D0000}"/>
    <cellStyle name="Total 2 8 8 2" xfId="48882" xr:uid="{F80D753C-9B0B-43C3-8DF7-368FAD6DD992}"/>
    <cellStyle name="Total 2 8 9" xfId="48875" xr:uid="{40DD8849-DD17-4953-89F7-8A9889678EB1}"/>
    <cellStyle name="Total 2 9" xfId="4767" xr:uid="{00000000-0005-0000-0000-0000E83D0000}"/>
    <cellStyle name="Total 2 9 2" xfId="11689" xr:uid="{00000000-0005-0000-0000-0000E93D0000}"/>
    <cellStyle name="Total 2 9 2 2" xfId="48884" xr:uid="{DE3F2955-463C-4DD0-B655-C041F8C05908}"/>
    <cellStyle name="Total 2 9 3" xfId="11690" xr:uid="{00000000-0005-0000-0000-0000EA3D0000}"/>
    <cellStyle name="Total 2 9 3 2" xfId="48885" xr:uid="{7D25DD10-7D10-41FE-A870-7B5767F3EDD3}"/>
    <cellStyle name="Total 2 9 4" xfId="11691" xr:uid="{00000000-0005-0000-0000-0000EB3D0000}"/>
    <cellStyle name="Total 2 9 4 2" xfId="48886" xr:uid="{0A8C5538-1EDD-4258-BCC9-C5A706C25B10}"/>
    <cellStyle name="Total 2 9 5" xfId="11692" xr:uid="{00000000-0005-0000-0000-0000EC3D0000}"/>
    <cellStyle name="Total 2 9 5 2" xfId="48887" xr:uid="{B270B7BA-5839-4CDA-9BF7-FE24A3A4A7EB}"/>
    <cellStyle name="Total 2 9 6" xfId="12356" xr:uid="{00000000-0005-0000-0000-0000ED3D0000}"/>
    <cellStyle name="Total 2 9 6 2" xfId="48888" xr:uid="{D1D78A07-E363-4805-BBDB-4291C61F0BAB}"/>
    <cellStyle name="Total 2 9 7" xfId="12615" xr:uid="{00000000-0005-0000-0000-0000EE3D0000}"/>
    <cellStyle name="Total 2 9 7 2" xfId="48889" xr:uid="{ECEB77D7-2680-4000-9625-8F2B77A10FA6}"/>
    <cellStyle name="Total 2 9 8" xfId="9362" xr:uid="{00000000-0005-0000-0000-0000EF3D0000}"/>
    <cellStyle name="Total 2 9 8 2" xfId="48890" xr:uid="{784067A5-E46C-46A2-9897-3CE010F8C608}"/>
    <cellStyle name="Total 2 9 9" xfId="48883" xr:uid="{30020694-EF3A-4248-A07E-CE2653CD9053}"/>
    <cellStyle name="Total 20" xfId="3258" xr:uid="{00000000-0005-0000-0000-0000F03D0000}"/>
    <cellStyle name="Total 20 10" xfId="48891" xr:uid="{E12F3954-BCA6-4173-9AC7-F73ADD0FAC67}"/>
    <cellStyle name="Total 20 2" xfId="11693" xr:uid="{00000000-0005-0000-0000-0000F13D0000}"/>
    <cellStyle name="Total 20 2 2" xfId="48892" xr:uid="{CE936C86-55A1-4788-81F6-BD598C724890}"/>
    <cellStyle name="Total 20 3" xfId="11694" xr:uid="{00000000-0005-0000-0000-0000F23D0000}"/>
    <cellStyle name="Total 20 3 2" xfId="48893" xr:uid="{E9ECB1B4-626A-4A3A-87AE-86F681A64594}"/>
    <cellStyle name="Total 20 4" xfId="11695" xr:uid="{00000000-0005-0000-0000-0000F33D0000}"/>
    <cellStyle name="Total 20 4 2" xfId="48894" xr:uid="{E7B9E098-6DB7-4781-80DB-B2A839C6537D}"/>
    <cellStyle name="Total 20 5" xfId="11696" xr:uid="{00000000-0005-0000-0000-0000F43D0000}"/>
    <cellStyle name="Total 20 5 2" xfId="48895" xr:uid="{53B9D25A-7DF9-48F6-8E9B-B3EC97C9B411}"/>
    <cellStyle name="Total 20 6" xfId="11697" xr:uid="{00000000-0005-0000-0000-0000F53D0000}"/>
    <cellStyle name="Total 20 6 2" xfId="48896" xr:uid="{3CED2DFF-04A4-42DF-A569-CE562F654B90}"/>
    <cellStyle name="Total 20 7" xfId="13379" xr:uid="{00000000-0005-0000-0000-0000F63D0000}"/>
    <cellStyle name="Total 20 7 2" xfId="48897" xr:uid="{90E6E8EF-F774-4062-B54D-1D4FC1FE3FEC}"/>
    <cellStyle name="Total 20 8" xfId="16250" xr:uid="{00000000-0005-0000-0000-0000F73D0000}"/>
    <cellStyle name="Total 20 8 2" xfId="48898" xr:uid="{167274CB-BFD7-481B-B2BB-6B8A8932785A}"/>
    <cellStyle name="Total 20 9" xfId="9363" xr:uid="{00000000-0005-0000-0000-0000F83D0000}"/>
    <cellStyle name="Total 20 9 2" xfId="48899" xr:uid="{B74D7F71-1293-4378-BCD7-AD7F5FAF9536}"/>
    <cellStyle name="Total 21" xfId="3259" xr:uid="{00000000-0005-0000-0000-0000F93D0000}"/>
    <cellStyle name="Total 21 10" xfId="48900" xr:uid="{CCE8A4F2-42E7-48CB-8580-3520C0D4BA14}"/>
    <cellStyle name="Total 21 2" xfId="11698" xr:uid="{00000000-0005-0000-0000-0000FA3D0000}"/>
    <cellStyle name="Total 21 2 2" xfId="48901" xr:uid="{CBE2401C-F691-4283-B6F1-8368CFA9D696}"/>
    <cellStyle name="Total 21 3" xfId="11699" xr:uid="{00000000-0005-0000-0000-0000FB3D0000}"/>
    <cellStyle name="Total 21 3 2" xfId="48902" xr:uid="{FB375BC1-54B1-4D76-A636-D845CED1745B}"/>
    <cellStyle name="Total 21 4" xfId="11700" xr:uid="{00000000-0005-0000-0000-0000FC3D0000}"/>
    <cellStyle name="Total 21 4 2" xfId="48903" xr:uid="{257B4444-A74A-44F6-95DB-7EB45A4485BB}"/>
    <cellStyle name="Total 21 5" xfId="11701" xr:uid="{00000000-0005-0000-0000-0000FD3D0000}"/>
    <cellStyle name="Total 21 5 2" xfId="48904" xr:uid="{D65FD978-D3AE-447E-BD5F-272A6800DB1D}"/>
    <cellStyle name="Total 21 6" xfId="11702" xr:uid="{00000000-0005-0000-0000-0000FE3D0000}"/>
    <cellStyle name="Total 21 6 2" xfId="48905" xr:uid="{E445D44D-1DB6-4455-9C79-EA031A5A39D1}"/>
    <cellStyle name="Total 21 7" xfId="13380" xr:uid="{00000000-0005-0000-0000-0000FF3D0000}"/>
    <cellStyle name="Total 21 7 2" xfId="48906" xr:uid="{E3DE800F-23EA-4342-BE27-7D9436361D6B}"/>
    <cellStyle name="Total 21 8" xfId="16511" xr:uid="{00000000-0005-0000-0000-0000003E0000}"/>
    <cellStyle name="Total 21 8 2" xfId="48907" xr:uid="{AB29E8A2-94DA-4BFD-8CDA-80F00F0A7137}"/>
    <cellStyle name="Total 21 9" xfId="9364" xr:uid="{00000000-0005-0000-0000-0000013E0000}"/>
    <cellStyle name="Total 21 9 2" xfId="48908" xr:uid="{5B6E87AA-4634-4786-A041-3C296C56FC1B}"/>
    <cellStyle name="Total 22" xfId="3260" xr:uid="{00000000-0005-0000-0000-0000023E0000}"/>
    <cellStyle name="Total 22 10" xfId="48909" xr:uid="{5CC862F4-16BE-497C-8386-3358AC407434}"/>
    <cellStyle name="Total 22 2" xfId="11703" xr:uid="{00000000-0005-0000-0000-0000033E0000}"/>
    <cellStyle name="Total 22 2 2" xfId="48910" xr:uid="{04A90A29-3349-4142-BC40-8E22D79B5AE9}"/>
    <cellStyle name="Total 22 3" xfId="11704" xr:uid="{00000000-0005-0000-0000-0000043E0000}"/>
    <cellStyle name="Total 22 3 2" xfId="48911" xr:uid="{427BC4C9-0F57-4371-97FA-8E741F0D9133}"/>
    <cellStyle name="Total 22 4" xfId="11705" xr:uid="{00000000-0005-0000-0000-0000053E0000}"/>
    <cellStyle name="Total 22 4 2" xfId="48912" xr:uid="{0560AC29-CE6D-4815-A7DD-1B7178AEC89D}"/>
    <cellStyle name="Total 22 5" xfId="11706" xr:uid="{00000000-0005-0000-0000-0000063E0000}"/>
    <cellStyle name="Total 22 5 2" xfId="48913" xr:uid="{96F9EC9E-A306-4FCA-9B35-BE4E7F773693}"/>
    <cellStyle name="Total 22 6" xfId="11707" xr:uid="{00000000-0005-0000-0000-0000073E0000}"/>
    <cellStyle name="Total 22 6 2" xfId="48914" xr:uid="{C3A9FD7B-B4EE-4F9D-87E5-C78899411BAC}"/>
    <cellStyle name="Total 22 7" xfId="13381" xr:uid="{00000000-0005-0000-0000-0000083E0000}"/>
    <cellStyle name="Total 22 7 2" xfId="48915" xr:uid="{959C2A1A-3E35-4715-AAA9-55CFFA37CE9E}"/>
    <cellStyle name="Total 22 8" xfId="13500" xr:uid="{00000000-0005-0000-0000-0000093E0000}"/>
    <cellStyle name="Total 22 8 2" xfId="48916" xr:uid="{4CFA7F41-B564-48F8-93C4-A9C65A3DE5AB}"/>
    <cellStyle name="Total 22 9" xfId="9365" xr:uid="{00000000-0005-0000-0000-00000A3E0000}"/>
    <cellStyle name="Total 22 9 2" xfId="48917" xr:uid="{3C1252AE-77BC-4EDB-BD8A-104DE4034888}"/>
    <cellStyle name="Total 23" xfId="3261" xr:uid="{00000000-0005-0000-0000-00000B3E0000}"/>
    <cellStyle name="Total 23 10" xfId="48918" xr:uid="{48F251D3-581B-4733-8453-19F7B52845EF}"/>
    <cellStyle name="Total 23 2" xfId="11708" xr:uid="{00000000-0005-0000-0000-00000C3E0000}"/>
    <cellStyle name="Total 23 2 2" xfId="48919" xr:uid="{45C596B4-9E1D-46EC-9A31-366998163C4B}"/>
    <cellStyle name="Total 23 3" xfId="11709" xr:uid="{00000000-0005-0000-0000-00000D3E0000}"/>
    <cellStyle name="Total 23 3 2" xfId="48920" xr:uid="{7A1E68DB-4ACF-4CC1-9A41-0C7CE70EE31A}"/>
    <cellStyle name="Total 23 4" xfId="11710" xr:uid="{00000000-0005-0000-0000-00000E3E0000}"/>
    <cellStyle name="Total 23 4 2" xfId="48921" xr:uid="{20839455-84ED-4B4A-805E-B5CAC100AEE7}"/>
    <cellStyle name="Total 23 5" xfId="11711" xr:uid="{00000000-0005-0000-0000-00000F3E0000}"/>
    <cellStyle name="Total 23 5 2" xfId="48922" xr:uid="{8D8C5C5E-7FC8-4223-9273-C773A52A5F29}"/>
    <cellStyle name="Total 23 6" xfId="11712" xr:uid="{00000000-0005-0000-0000-0000103E0000}"/>
    <cellStyle name="Total 23 6 2" xfId="48923" xr:uid="{B3152ED6-FC94-47FD-95F3-EBE9DD65ACFF}"/>
    <cellStyle name="Total 23 7" xfId="13382" xr:uid="{00000000-0005-0000-0000-0000113E0000}"/>
    <cellStyle name="Total 23 7 2" xfId="48924" xr:uid="{623239E0-D757-44C3-9ED2-6D33EF0D2D1B}"/>
    <cellStyle name="Total 23 8" xfId="16403" xr:uid="{00000000-0005-0000-0000-0000123E0000}"/>
    <cellStyle name="Total 23 8 2" xfId="48925" xr:uid="{FCD55B67-5DBA-4C84-B6FA-356EFFA34AA6}"/>
    <cellStyle name="Total 23 9" xfId="9366" xr:uid="{00000000-0005-0000-0000-0000133E0000}"/>
    <cellStyle name="Total 23 9 2" xfId="48926" xr:uid="{8944CA7F-A838-4616-B875-A7FCE9EED9F2}"/>
    <cellStyle name="Total 24" xfId="3262" xr:uid="{00000000-0005-0000-0000-0000143E0000}"/>
    <cellStyle name="Total 24 10" xfId="48927" xr:uid="{3D4A6F1E-FDBB-41BD-AE4E-B7495401CB48}"/>
    <cellStyle name="Total 24 2" xfId="11713" xr:uid="{00000000-0005-0000-0000-0000153E0000}"/>
    <cellStyle name="Total 24 2 2" xfId="48928" xr:uid="{B990ED92-8BDF-461C-9918-9B85DF507D6D}"/>
    <cellStyle name="Total 24 3" xfId="11714" xr:uid="{00000000-0005-0000-0000-0000163E0000}"/>
    <cellStyle name="Total 24 3 2" xfId="48929" xr:uid="{B67B2325-693A-48CE-A759-3F7414219F6B}"/>
    <cellStyle name="Total 24 4" xfId="11715" xr:uid="{00000000-0005-0000-0000-0000173E0000}"/>
    <cellStyle name="Total 24 4 2" xfId="48930" xr:uid="{ED4CA443-FBDB-4269-8833-21A3FD13BBC4}"/>
    <cellStyle name="Total 24 5" xfId="11716" xr:uid="{00000000-0005-0000-0000-0000183E0000}"/>
    <cellStyle name="Total 24 5 2" xfId="48931" xr:uid="{EE9AE750-EFD9-44BF-A600-AEAA25F9848F}"/>
    <cellStyle name="Total 24 6" xfId="11717" xr:uid="{00000000-0005-0000-0000-0000193E0000}"/>
    <cellStyle name="Total 24 6 2" xfId="48932" xr:uid="{C7A82336-FB4A-457D-A619-B33F3D3AE3A4}"/>
    <cellStyle name="Total 24 7" xfId="13383" xr:uid="{00000000-0005-0000-0000-00001A3E0000}"/>
    <cellStyle name="Total 24 7 2" xfId="48933" xr:uid="{2A5A2D61-7A08-4744-B6A1-D8656E6720A9}"/>
    <cellStyle name="Total 24 8" xfId="12417" xr:uid="{00000000-0005-0000-0000-00001B3E0000}"/>
    <cellStyle name="Total 24 8 2" xfId="48934" xr:uid="{0586A27B-E3D1-4B36-9BAB-615005ECF863}"/>
    <cellStyle name="Total 24 9" xfId="9367" xr:uid="{00000000-0005-0000-0000-00001C3E0000}"/>
    <cellStyle name="Total 24 9 2" xfId="48935" xr:uid="{61B43844-91E6-4E0C-8D1E-D6906023379A}"/>
    <cellStyle name="Total 25" xfId="3263" xr:uid="{00000000-0005-0000-0000-00001D3E0000}"/>
    <cellStyle name="Total 25 10" xfId="48936" xr:uid="{061290D4-5E20-4D3A-9FED-002181BD70A3}"/>
    <cellStyle name="Total 25 2" xfId="11718" xr:uid="{00000000-0005-0000-0000-00001E3E0000}"/>
    <cellStyle name="Total 25 2 2" xfId="48937" xr:uid="{0A14C229-F9AD-4AED-86E7-66D7585EFE24}"/>
    <cellStyle name="Total 25 3" xfId="11719" xr:uid="{00000000-0005-0000-0000-00001F3E0000}"/>
    <cellStyle name="Total 25 3 2" xfId="48938" xr:uid="{2726C9B3-9870-4A72-B25F-3595F98688C7}"/>
    <cellStyle name="Total 25 4" xfId="11720" xr:uid="{00000000-0005-0000-0000-0000203E0000}"/>
    <cellStyle name="Total 25 4 2" xfId="48939" xr:uid="{A88EC36D-417A-4324-BC16-CD0D1D5A5687}"/>
    <cellStyle name="Total 25 5" xfId="11721" xr:uid="{00000000-0005-0000-0000-0000213E0000}"/>
    <cellStyle name="Total 25 5 2" xfId="48940" xr:uid="{385D631B-DA4A-4350-820A-52D83BA581FC}"/>
    <cellStyle name="Total 25 6" xfId="11722" xr:uid="{00000000-0005-0000-0000-0000223E0000}"/>
    <cellStyle name="Total 25 6 2" xfId="48941" xr:uid="{C882BAD9-3D09-4147-9BE1-8C826CA5AA45}"/>
    <cellStyle name="Total 25 7" xfId="13384" xr:uid="{00000000-0005-0000-0000-0000233E0000}"/>
    <cellStyle name="Total 25 7 2" xfId="48942" xr:uid="{D5BF1AEA-3A2C-434A-B401-9922D7689616}"/>
    <cellStyle name="Total 25 8" xfId="16515" xr:uid="{00000000-0005-0000-0000-0000243E0000}"/>
    <cellStyle name="Total 25 8 2" xfId="48943" xr:uid="{8CD55806-F219-444C-86FF-272CAA978DB9}"/>
    <cellStyle name="Total 25 9" xfId="9368" xr:uid="{00000000-0005-0000-0000-0000253E0000}"/>
    <cellStyle name="Total 25 9 2" xfId="48944" xr:uid="{208E52D8-DB28-44DB-9B0D-EE9EE2B93F10}"/>
    <cellStyle name="Total 26" xfId="3264" xr:uid="{00000000-0005-0000-0000-0000263E0000}"/>
    <cellStyle name="Total 26 10" xfId="48945" xr:uid="{24B13DE2-263C-446B-AD06-983160E9FEE3}"/>
    <cellStyle name="Total 26 2" xfId="11723" xr:uid="{00000000-0005-0000-0000-0000273E0000}"/>
    <cellStyle name="Total 26 2 2" xfId="48946" xr:uid="{35B697C2-CF3F-4E61-AFB3-555DFEF53695}"/>
    <cellStyle name="Total 26 3" xfId="11724" xr:uid="{00000000-0005-0000-0000-0000283E0000}"/>
    <cellStyle name="Total 26 3 2" xfId="48947" xr:uid="{278AEC6E-97B8-413D-9CE2-713413D09851}"/>
    <cellStyle name="Total 26 4" xfId="11725" xr:uid="{00000000-0005-0000-0000-0000293E0000}"/>
    <cellStyle name="Total 26 4 2" xfId="48948" xr:uid="{B13E81C7-AE8A-438D-A58C-147B39A163CD}"/>
    <cellStyle name="Total 26 5" xfId="11726" xr:uid="{00000000-0005-0000-0000-00002A3E0000}"/>
    <cellStyle name="Total 26 5 2" xfId="48949" xr:uid="{8C5E8DDE-7C4D-4A53-AC0E-CA31AE4F8B07}"/>
    <cellStyle name="Total 26 6" xfId="11727" xr:uid="{00000000-0005-0000-0000-00002B3E0000}"/>
    <cellStyle name="Total 26 6 2" xfId="48950" xr:uid="{321612C4-AFC3-4BD6-AC22-EC879A876360}"/>
    <cellStyle name="Total 26 7" xfId="13385" xr:uid="{00000000-0005-0000-0000-00002C3E0000}"/>
    <cellStyle name="Total 26 7 2" xfId="48951" xr:uid="{9B1EE2A7-B2E4-479D-B86F-2D629F6F26C4}"/>
    <cellStyle name="Total 26 8" xfId="16655" xr:uid="{00000000-0005-0000-0000-00002D3E0000}"/>
    <cellStyle name="Total 26 8 2" xfId="48952" xr:uid="{3B2CC6AC-C3A8-4858-BE9B-C8DB4D1FF165}"/>
    <cellStyle name="Total 26 9" xfId="9369" xr:uid="{00000000-0005-0000-0000-00002E3E0000}"/>
    <cellStyle name="Total 26 9 2" xfId="48953" xr:uid="{01DC2547-BA6E-4E4A-B841-0BA1A1973CE3}"/>
    <cellStyle name="Total 27" xfId="3265" xr:uid="{00000000-0005-0000-0000-00002F3E0000}"/>
    <cellStyle name="Total 27 10" xfId="48954" xr:uid="{76137B1C-CAF8-4B2D-B1C9-4220B8CA404C}"/>
    <cellStyle name="Total 27 2" xfId="11728" xr:uid="{00000000-0005-0000-0000-0000303E0000}"/>
    <cellStyle name="Total 27 2 2" xfId="48955" xr:uid="{E97EB317-FD14-426F-8225-FD7FF2742826}"/>
    <cellStyle name="Total 27 3" xfId="11729" xr:uid="{00000000-0005-0000-0000-0000313E0000}"/>
    <cellStyle name="Total 27 3 2" xfId="48956" xr:uid="{CEE7686B-510A-44A0-B2CB-46BCD28E104A}"/>
    <cellStyle name="Total 27 4" xfId="11730" xr:uid="{00000000-0005-0000-0000-0000323E0000}"/>
    <cellStyle name="Total 27 4 2" xfId="48957" xr:uid="{DB968BC2-7A87-4F60-9A7A-D779421DA0D3}"/>
    <cellStyle name="Total 27 5" xfId="11731" xr:uid="{00000000-0005-0000-0000-0000333E0000}"/>
    <cellStyle name="Total 27 5 2" xfId="48958" xr:uid="{AADACBD5-FECF-4B76-90D8-6D2786A3A61A}"/>
    <cellStyle name="Total 27 6" xfId="11732" xr:uid="{00000000-0005-0000-0000-0000343E0000}"/>
    <cellStyle name="Total 27 6 2" xfId="48959" xr:uid="{B553FAB1-9F2E-412F-ACA0-5BF5A254BE7B}"/>
    <cellStyle name="Total 27 7" xfId="13386" xr:uid="{00000000-0005-0000-0000-0000353E0000}"/>
    <cellStyle name="Total 27 7 2" xfId="48960" xr:uid="{C3C681C4-5A15-4068-9B8D-1E7D471D4BC7}"/>
    <cellStyle name="Total 27 8" xfId="13809" xr:uid="{00000000-0005-0000-0000-0000363E0000}"/>
    <cellStyle name="Total 27 8 2" xfId="48961" xr:uid="{168A6627-C653-47B0-A06F-C9672F2C000E}"/>
    <cellStyle name="Total 27 9" xfId="9370" xr:uid="{00000000-0005-0000-0000-0000373E0000}"/>
    <cellStyle name="Total 27 9 2" xfId="48962" xr:uid="{EEE76E04-30C2-4214-AEAB-D670B71214AE}"/>
    <cellStyle name="Total 28" xfId="3266" xr:uid="{00000000-0005-0000-0000-0000383E0000}"/>
    <cellStyle name="Total 28 10" xfId="48963" xr:uid="{B00D7084-90E1-4844-BE82-6DB7E9DE1024}"/>
    <cellStyle name="Total 28 2" xfId="11733" xr:uid="{00000000-0005-0000-0000-0000393E0000}"/>
    <cellStyle name="Total 28 2 2" xfId="48964" xr:uid="{974DE524-748C-4C5D-8262-EF43C4ADCCBE}"/>
    <cellStyle name="Total 28 3" xfId="11734" xr:uid="{00000000-0005-0000-0000-00003A3E0000}"/>
    <cellStyle name="Total 28 3 2" xfId="48965" xr:uid="{A4738BFA-02B3-4406-8B45-340EBA424510}"/>
    <cellStyle name="Total 28 4" xfId="11735" xr:uid="{00000000-0005-0000-0000-00003B3E0000}"/>
    <cellStyle name="Total 28 4 2" xfId="48966" xr:uid="{CD354172-B549-452A-BBBE-3B16F7575816}"/>
    <cellStyle name="Total 28 5" xfId="11736" xr:uid="{00000000-0005-0000-0000-00003C3E0000}"/>
    <cellStyle name="Total 28 5 2" xfId="48967" xr:uid="{896187AF-83D6-42D1-854E-97391F7F3EE2}"/>
    <cellStyle name="Total 28 6" xfId="11737" xr:uid="{00000000-0005-0000-0000-00003D3E0000}"/>
    <cellStyle name="Total 28 6 2" xfId="48968" xr:uid="{FBC9CC39-00E4-42F6-88E0-69BFA31E8F95}"/>
    <cellStyle name="Total 28 7" xfId="13387" xr:uid="{00000000-0005-0000-0000-00003E3E0000}"/>
    <cellStyle name="Total 28 7 2" xfId="48969" xr:uid="{474EBB71-BA9D-4811-8394-09AB836F6B61}"/>
    <cellStyle name="Total 28 8" xfId="16598" xr:uid="{00000000-0005-0000-0000-00003F3E0000}"/>
    <cellStyle name="Total 28 8 2" xfId="48970" xr:uid="{B97F7B2E-179A-4527-BAA4-8F1444D3B95B}"/>
    <cellStyle name="Total 28 9" xfId="9371" xr:uid="{00000000-0005-0000-0000-0000403E0000}"/>
    <cellStyle name="Total 28 9 2" xfId="48971" xr:uid="{0C471400-74AA-4969-8E9A-8A0DABD896F5}"/>
    <cellStyle name="Total 29" xfId="3267" xr:uid="{00000000-0005-0000-0000-0000413E0000}"/>
    <cellStyle name="Total 29 10" xfId="48972" xr:uid="{04209665-7708-4196-B646-69AFE08A0024}"/>
    <cellStyle name="Total 29 2" xfId="11738" xr:uid="{00000000-0005-0000-0000-0000423E0000}"/>
    <cellStyle name="Total 29 2 2" xfId="48973" xr:uid="{D1D1C16A-35D8-426D-AD35-5D4E4DD5674D}"/>
    <cellStyle name="Total 29 3" xfId="11739" xr:uid="{00000000-0005-0000-0000-0000433E0000}"/>
    <cellStyle name="Total 29 3 2" xfId="48974" xr:uid="{2AE537F3-1565-4252-9664-476EA4DF9F61}"/>
    <cellStyle name="Total 29 4" xfId="11740" xr:uid="{00000000-0005-0000-0000-0000443E0000}"/>
    <cellStyle name="Total 29 4 2" xfId="48975" xr:uid="{E393D611-7F37-4542-93A3-FFE60112B5A3}"/>
    <cellStyle name="Total 29 5" xfId="11741" xr:uid="{00000000-0005-0000-0000-0000453E0000}"/>
    <cellStyle name="Total 29 5 2" xfId="48976" xr:uid="{3241CB5F-852C-4BEF-BE47-E67380ACB5FB}"/>
    <cellStyle name="Total 29 6" xfId="11742" xr:uid="{00000000-0005-0000-0000-0000463E0000}"/>
    <cellStyle name="Total 29 6 2" xfId="48977" xr:uid="{DEB7B569-D1A3-4E7B-A414-E30F0C2FABC1}"/>
    <cellStyle name="Total 29 7" xfId="13388" xr:uid="{00000000-0005-0000-0000-0000473E0000}"/>
    <cellStyle name="Total 29 7 2" xfId="48978" xr:uid="{54D22319-A96A-4E15-916F-E6101B7B0B14}"/>
    <cellStyle name="Total 29 8" xfId="16169" xr:uid="{00000000-0005-0000-0000-0000483E0000}"/>
    <cellStyle name="Total 29 8 2" xfId="48979" xr:uid="{7663CA31-A582-44EC-A110-E286547A099A}"/>
    <cellStyle name="Total 29 9" xfId="9372" xr:uid="{00000000-0005-0000-0000-0000493E0000}"/>
    <cellStyle name="Total 29 9 2" xfId="48980" xr:uid="{92A43F58-EEC3-489D-9E01-7B7A6FD699A3}"/>
    <cellStyle name="Total 3" xfId="259" xr:uid="{00000000-0005-0000-0000-00004A3E0000}"/>
    <cellStyle name="Total 3 10" xfId="16152" xr:uid="{00000000-0005-0000-0000-00004B3E0000}"/>
    <cellStyle name="Total 3 10 2" xfId="48982" xr:uid="{F4E3B7AE-3BFB-4E6C-A290-EE351A7943E9}"/>
    <cellStyle name="Total 3 11" xfId="9373" xr:uid="{00000000-0005-0000-0000-00004C3E0000}"/>
    <cellStyle name="Total 3 11 2" xfId="48983" xr:uid="{313A2AAD-D456-4634-A2A8-A74A95D89144}"/>
    <cellStyle name="Total 3 12" xfId="48981" xr:uid="{5BC0BE7C-F93D-4B1C-9D36-053CB6E3E291}"/>
    <cellStyle name="Total 3 2" xfId="3268" xr:uid="{00000000-0005-0000-0000-00004D3E0000}"/>
    <cellStyle name="Total 3 2 10" xfId="48984" xr:uid="{139A8F48-0947-4689-96AC-39109A2D32A6}"/>
    <cellStyle name="Total 3 2 2" xfId="11743" xr:uid="{00000000-0005-0000-0000-00004E3E0000}"/>
    <cellStyle name="Total 3 2 2 2" xfId="48986" xr:uid="{4FE94EBB-FA76-4EB4-8FB0-E337F6357FE3}"/>
    <cellStyle name="Total 3 2 2 3" xfId="48985" xr:uid="{DE1DDC42-68A6-4381-82C2-0540C0445ED8}"/>
    <cellStyle name="Total 3 2 3" xfId="11744" xr:uid="{00000000-0005-0000-0000-00004F3E0000}"/>
    <cellStyle name="Total 3 2 3 2" xfId="48987" xr:uid="{C002CD7F-53F7-45A4-9428-C5844168890D}"/>
    <cellStyle name="Total 3 2 4" xfId="11745" xr:uid="{00000000-0005-0000-0000-0000503E0000}"/>
    <cellStyle name="Total 3 2 4 2" xfId="48988" xr:uid="{9520D3BE-203A-4302-BED1-665A772193D0}"/>
    <cellStyle name="Total 3 2 5" xfId="11746" xr:uid="{00000000-0005-0000-0000-0000513E0000}"/>
    <cellStyle name="Total 3 2 5 2" xfId="48989" xr:uid="{F9CD85F7-EF70-4A66-9E4C-931BEAA8C1EF}"/>
    <cellStyle name="Total 3 2 6" xfId="13389" xr:uid="{00000000-0005-0000-0000-0000523E0000}"/>
    <cellStyle name="Total 3 2 6 2" xfId="48990" xr:uid="{0D905FBD-7C9D-411E-9800-5AA51986505E}"/>
    <cellStyle name="Total 3 2 7" xfId="12854" xr:uid="{00000000-0005-0000-0000-0000533E0000}"/>
    <cellStyle name="Total 3 2 7 2" xfId="48991" xr:uid="{24BEB962-51D3-41E6-B924-B42A5197F7B0}"/>
    <cellStyle name="Total 3 2 8" xfId="9374" xr:uid="{00000000-0005-0000-0000-0000543E0000}"/>
    <cellStyle name="Total 3 2 8 2" xfId="48992" xr:uid="{FEE2067E-8F7F-472B-AC82-B52104A6BDDC}"/>
    <cellStyle name="Total 3 2 9" xfId="48993" xr:uid="{39CEFDB0-7977-4B47-8903-1E90E5D0B6EA}"/>
    <cellStyle name="Total 3 3" xfId="4768" xr:uid="{00000000-0005-0000-0000-0000553E0000}"/>
    <cellStyle name="Total 3 3 2" xfId="13871" xr:uid="{00000000-0005-0000-0000-0000563E0000}"/>
    <cellStyle name="Total 3 3 2 2" xfId="48996" xr:uid="{5A88A4F1-BE31-4D9D-906D-C7D241792755}"/>
    <cellStyle name="Total 3 3 2 3" xfId="48995" xr:uid="{DDF7053B-9939-4E22-A580-1B6FA7E99B23}"/>
    <cellStyle name="Total 3 3 3" xfId="12887" xr:uid="{00000000-0005-0000-0000-0000573E0000}"/>
    <cellStyle name="Total 3 3 3 2" xfId="48997" xr:uid="{4CB5E28F-2825-414E-ACF3-4F2E9C07CB6C}"/>
    <cellStyle name="Total 3 3 4" xfId="9375" xr:uid="{00000000-0005-0000-0000-0000583E0000}"/>
    <cellStyle name="Total 3 3 4 2" xfId="48998" xr:uid="{DE8EAE3D-11DC-455B-83FC-72C55AD64BBD}"/>
    <cellStyle name="Total 3 3 5" xfId="48999" xr:uid="{B2A453C6-5917-4B5E-AC7B-6DD905BDDB8F}"/>
    <cellStyle name="Total 3 3 6" xfId="48994" xr:uid="{0AA6F7C4-6F20-4F5B-A051-E9460941E335}"/>
    <cellStyle name="Total 3 4" xfId="5815" xr:uid="{00000000-0005-0000-0000-0000593E0000}"/>
    <cellStyle name="Total 3 4 2" xfId="14392" xr:uid="{00000000-0005-0000-0000-00005A3E0000}"/>
    <cellStyle name="Total 3 4 2 2" xfId="49002" xr:uid="{4457985F-6DD3-4B37-BBC4-FE3D7C3EFAB6}"/>
    <cellStyle name="Total 3 4 2 3" xfId="49001" xr:uid="{3E48A8BB-B8A9-4E68-993A-6EA97D8DEB66}"/>
    <cellStyle name="Total 3 4 3" xfId="16295" xr:uid="{00000000-0005-0000-0000-00005B3E0000}"/>
    <cellStyle name="Total 3 4 3 2" xfId="49003" xr:uid="{F4C66775-6522-4F9D-8A4C-3B7A42AA62ED}"/>
    <cellStyle name="Total 3 4 4" xfId="9376" xr:uid="{00000000-0005-0000-0000-00005C3E0000}"/>
    <cellStyle name="Total 3 4 4 2" xfId="49004" xr:uid="{5395993F-6CE9-462A-87E8-208F799C6908}"/>
    <cellStyle name="Total 3 4 5" xfId="49005" xr:uid="{A50746F2-1DC9-4A9D-B76A-A8B545E7BCE5}"/>
    <cellStyle name="Total 3 4 6" xfId="49000" xr:uid="{F1B370BF-54E9-4DC9-BFC6-9BD6741B110A}"/>
    <cellStyle name="Total 3 5" xfId="11747" xr:uid="{00000000-0005-0000-0000-00005D3E0000}"/>
    <cellStyle name="Total 3 5 2" xfId="49007" xr:uid="{0DFB25DE-D148-49B3-94F9-42BD622F6F63}"/>
    <cellStyle name="Total 3 5 3" xfId="49006" xr:uid="{59FF1AB6-EE8E-4AD6-9DE8-3004ECA5737B}"/>
    <cellStyle name="Total 3 6" xfId="11748" xr:uid="{00000000-0005-0000-0000-00005E3E0000}"/>
    <cellStyle name="Total 3 6 2" xfId="49009" xr:uid="{7F044514-2328-48FD-9A21-0963003B25FB}"/>
    <cellStyle name="Total 3 6 3" xfId="49008" xr:uid="{564F2156-0E54-40FC-9576-5A6EA29ED70D}"/>
    <cellStyle name="Total 3 7" xfId="11749" xr:uid="{00000000-0005-0000-0000-00005F3E0000}"/>
    <cellStyle name="Total 3 7 2" xfId="49010" xr:uid="{E7A32DD1-B3A1-4DBF-9360-3943566AB7A2}"/>
    <cellStyle name="Total 3 8" xfId="12357" xr:uid="{00000000-0005-0000-0000-0000603E0000}"/>
    <cellStyle name="Total 3 8 2" xfId="49011" xr:uid="{24362874-9CCF-47EF-B941-87C28DD1298E}"/>
    <cellStyle name="Total 3 9" xfId="12461" xr:uid="{00000000-0005-0000-0000-0000613E0000}"/>
    <cellStyle name="Total 3 9 2" xfId="49012" xr:uid="{A11F6741-F738-40DF-B808-1D74FDD59732}"/>
    <cellStyle name="Total 30" xfId="3269" xr:uid="{00000000-0005-0000-0000-0000623E0000}"/>
    <cellStyle name="Total 30 10" xfId="49013" xr:uid="{FBB452B6-2A98-4E14-9BD4-FABD98F5E9BC}"/>
    <cellStyle name="Total 30 2" xfId="11750" xr:uid="{00000000-0005-0000-0000-0000633E0000}"/>
    <cellStyle name="Total 30 2 2" xfId="49014" xr:uid="{07833185-4141-444B-BB54-10FDBBB5E6BA}"/>
    <cellStyle name="Total 30 3" xfId="11751" xr:uid="{00000000-0005-0000-0000-0000643E0000}"/>
    <cellStyle name="Total 30 3 2" xfId="49015" xr:uid="{8E0A768E-BA3A-4941-B70E-1AC8D05311B8}"/>
    <cellStyle name="Total 30 4" xfId="11752" xr:uid="{00000000-0005-0000-0000-0000653E0000}"/>
    <cellStyle name="Total 30 4 2" xfId="49016" xr:uid="{2E5A62D7-0E10-41E5-B0A7-0EC18C364158}"/>
    <cellStyle name="Total 30 5" xfId="11753" xr:uid="{00000000-0005-0000-0000-0000663E0000}"/>
    <cellStyle name="Total 30 5 2" xfId="49017" xr:uid="{AF9FE2B1-6C36-474E-9D0C-96D3858D90FA}"/>
    <cellStyle name="Total 30 6" xfId="11754" xr:uid="{00000000-0005-0000-0000-0000673E0000}"/>
    <cellStyle name="Total 30 6 2" xfId="49018" xr:uid="{B88C2E47-95F5-460C-BA9B-D05F6305AEEA}"/>
    <cellStyle name="Total 30 7" xfId="13390" xr:uid="{00000000-0005-0000-0000-0000683E0000}"/>
    <cellStyle name="Total 30 7 2" xfId="49019" xr:uid="{6A61950E-DDFA-498E-B514-5842A4D0ED87}"/>
    <cellStyle name="Total 30 8" xfId="16187" xr:uid="{00000000-0005-0000-0000-0000693E0000}"/>
    <cellStyle name="Total 30 8 2" xfId="49020" xr:uid="{90270504-CB69-4396-92EC-77F20E31FCB6}"/>
    <cellStyle name="Total 30 9" xfId="9377" xr:uid="{00000000-0005-0000-0000-00006A3E0000}"/>
    <cellStyle name="Total 30 9 2" xfId="49021" xr:uid="{4F0E6462-ADD1-4FBA-8D9F-ABAF4B2349F3}"/>
    <cellStyle name="Total 31" xfId="3270" xr:uid="{00000000-0005-0000-0000-00006B3E0000}"/>
    <cellStyle name="Total 31 10" xfId="49022" xr:uid="{AF56CFCB-3F49-4786-9398-24FD9209DFB0}"/>
    <cellStyle name="Total 31 2" xfId="11755" xr:uid="{00000000-0005-0000-0000-00006C3E0000}"/>
    <cellStyle name="Total 31 2 2" xfId="49023" xr:uid="{8107C2E3-F552-4568-9001-CF8BAB55BE2D}"/>
    <cellStyle name="Total 31 3" xfId="11756" xr:uid="{00000000-0005-0000-0000-00006D3E0000}"/>
    <cellStyle name="Total 31 3 2" xfId="49024" xr:uid="{E9E1560F-431F-4082-8AF9-E8C7DCB51FD0}"/>
    <cellStyle name="Total 31 4" xfId="11757" xr:uid="{00000000-0005-0000-0000-00006E3E0000}"/>
    <cellStyle name="Total 31 4 2" xfId="49025" xr:uid="{0457DEC9-F27A-4CFF-B1F6-10B127B05E1B}"/>
    <cellStyle name="Total 31 5" xfId="11758" xr:uid="{00000000-0005-0000-0000-00006F3E0000}"/>
    <cellStyle name="Total 31 5 2" xfId="49026" xr:uid="{AECBE751-23FB-43AE-95DA-EACB2934DB9D}"/>
    <cellStyle name="Total 31 6" xfId="11759" xr:uid="{00000000-0005-0000-0000-0000703E0000}"/>
    <cellStyle name="Total 31 6 2" xfId="49027" xr:uid="{616D230E-3422-4150-949D-2C22319F44D2}"/>
    <cellStyle name="Total 31 7" xfId="13391" xr:uid="{00000000-0005-0000-0000-0000713E0000}"/>
    <cellStyle name="Total 31 7 2" xfId="49028" xr:uid="{4D4BA03A-8CB8-4CC7-8AD2-3E9D4E51C167}"/>
    <cellStyle name="Total 31 8" xfId="13896" xr:uid="{00000000-0005-0000-0000-0000723E0000}"/>
    <cellStyle name="Total 31 8 2" xfId="49029" xr:uid="{1345A46E-A009-4C01-A7D6-CC2857631646}"/>
    <cellStyle name="Total 31 9" xfId="9378" xr:uid="{00000000-0005-0000-0000-0000733E0000}"/>
    <cellStyle name="Total 31 9 2" xfId="49030" xr:uid="{FD1E4172-CADB-42F0-A1AE-92804BBFC781}"/>
    <cellStyle name="Total 32" xfId="3271" xr:uid="{00000000-0005-0000-0000-0000743E0000}"/>
    <cellStyle name="Total 32 10" xfId="49031" xr:uid="{7336E263-A51C-4F03-8B34-A6C266C942EC}"/>
    <cellStyle name="Total 32 2" xfId="11760" xr:uid="{00000000-0005-0000-0000-0000753E0000}"/>
    <cellStyle name="Total 32 2 2" xfId="49032" xr:uid="{6A5526F8-93C2-45D2-9580-7F84AE0F79B1}"/>
    <cellStyle name="Total 32 3" xfId="11761" xr:uid="{00000000-0005-0000-0000-0000763E0000}"/>
    <cellStyle name="Total 32 3 2" xfId="49033" xr:uid="{3AE2D2E6-E889-4C3B-9ED1-37A80D2FBCD9}"/>
    <cellStyle name="Total 32 4" xfId="11762" xr:uid="{00000000-0005-0000-0000-0000773E0000}"/>
    <cellStyle name="Total 32 4 2" xfId="49034" xr:uid="{BC9D6CF9-0BB3-4DB6-9971-016898FCEC31}"/>
    <cellStyle name="Total 32 5" xfId="11763" xr:uid="{00000000-0005-0000-0000-0000783E0000}"/>
    <cellStyle name="Total 32 5 2" xfId="49035" xr:uid="{553F675C-61A0-4F10-8BFA-2A13371D5358}"/>
    <cellStyle name="Total 32 6" xfId="11764" xr:uid="{00000000-0005-0000-0000-0000793E0000}"/>
    <cellStyle name="Total 32 6 2" xfId="49036" xr:uid="{9DBB3D05-3842-48BC-A37F-34C65E5F08F2}"/>
    <cellStyle name="Total 32 7" xfId="13392" xr:uid="{00000000-0005-0000-0000-00007A3E0000}"/>
    <cellStyle name="Total 32 7 2" xfId="49037" xr:uid="{9F28B93B-6C18-49FF-B8E4-4C031F8201DA}"/>
    <cellStyle name="Total 32 8" xfId="12886" xr:uid="{00000000-0005-0000-0000-00007B3E0000}"/>
    <cellStyle name="Total 32 8 2" xfId="49038" xr:uid="{E8513DF5-05CB-4CF9-AB88-B388845BCA4C}"/>
    <cellStyle name="Total 32 9" xfId="9379" xr:uid="{00000000-0005-0000-0000-00007C3E0000}"/>
    <cellStyle name="Total 32 9 2" xfId="49039" xr:uid="{EEAB8C34-C380-412D-AE5A-9D640CC1581A}"/>
    <cellStyle name="Total 33" xfId="3272" xr:uid="{00000000-0005-0000-0000-00007D3E0000}"/>
    <cellStyle name="Total 33 10" xfId="49040" xr:uid="{ADA04684-6972-47F1-8CBF-8CF2FF157F18}"/>
    <cellStyle name="Total 33 2" xfId="11765" xr:uid="{00000000-0005-0000-0000-00007E3E0000}"/>
    <cellStyle name="Total 33 2 2" xfId="49041" xr:uid="{0E55D04B-56C7-482A-AF0C-D7D964C3739E}"/>
    <cellStyle name="Total 33 3" xfId="11766" xr:uid="{00000000-0005-0000-0000-00007F3E0000}"/>
    <cellStyle name="Total 33 3 2" xfId="49042" xr:uid="{AEF835FB-D700-4CA1-B480-F3CBEBAFF293}"/>
    <cellStyle name="Total 33 4" xfId="11767" xr:uid="{00000000-0005-0000-0000-0000803E0000}"/>
    <cellStyle name="Total 33 4 2" xfId="49043" xr:uid="{0FCBEB6E-FEC7-4454-8EFC-25C4B696C187}"/>
    <cellStyle name="Total 33 5" xfId="11768" xr:uid="{00000000-0005-0000-0000-0000813E0000}"/>
    <cellStyle name="Total 33 5 2" xfId="49044" xr:uid="{E51F5928-E0A1-4D4B-802B-C90EF6903F9D}"/>
    <cellStyle name="Total 33 6" xfId="11769" xr:uid="{00000000-0005-0000-0000-0000823E0000}"/>
    <cellStyle name="Total 33 6 2" xfId="49045" xr:uid="{A992A183-B9CC-4B5F-AFF2-1A36A547BF40}"/>
    <cellStyle name="Total 33 7" xfId="13393" xr:uid="{00000000-0005-0000-0000-0000833E0000}"/>
    <cellStyle name="Total 33 7 2" xfId="49046" xr:uid="{0A911662-2A3D-4B0B-BDF1-984A2098AB5A}"/>
    <cellStyle name="Total 33 8" xfId="16289" xr:uid="{00000000-0005-0000-0000-0000843E0000}"/>
    <cellStyle name="Total 33 8 2" xfId="49047" xr:uid="{59DA306A-20B3-4074-A0DB-9196E19252B3}"/>
    <cellStyle name="Total 33 9" xfId="9380" xr:uid="{00000000-0005-0000-0000-0000853E0000}"/>
    <cellStyle name="Total 33 9 2" xfId="49048" xr:uid="{70217696-7FFD-4E89-8315-3E48CA531EA7}"/>
    <cellStyle name="Total 34" xfId="3273" xr:uid="{00000000-0005-0000-0000-0000863E0000}"/>
    <cellStyle name="Total 34 10" xfId="49049" xr:uid="{DD4A80DD-008F-455B-B65F-DA8600D4B682}"/>
    <cellStyle name="Total 34 2" xfId="11770" xr:uid="{00000000-0005-0000-0000-0000873E0000}"/>
    <cellStyle name="Total 34 2 2" xfId="49050" xr:uid="{40B5B147-91B8-43D2-AA15-D2EE27526376}"/>
    <cellStyle name="Total 34 3" xfId="11771" xr:uid="{00000000-0005-0000-0000-0000883E0000}"/>
    <cellStyle name="Total 34 3 2" xfId="49051" xr:uid="{918B6B3A-43B0-4EED-999A-9DA094F5E577}"/>
    <cellStyle name="Total 34 4" xfId="11772" xr:uid="{00000000-0005-0000-0000-0000893E0000}"/>
    <cellStyle name="Total 34 4 2" xfId="49052" xr:uid="{7BCEB2E6-1ABF-478F-8E8B-8CCE11C4ABE3}"/>
    <cellStyle name="Total 34 5" xfId="11773" xr:uid="{00000000-0005-0000-0000-00008A3E0000}"/>
    <cellStyle name="Total 34 5 2" xfId="49053" xr:uid="{B797EAB3-B5FE-4623-AE0A-32B9A8712F8D}"/>
    <cellStyle name="Total 34 6" xfId="11774" xr:uid="{00000000-0005-0000-0000-00008B3E0000}"/>
    <cellStyle name="Total 34 6 2" xfId="49054" xr:uid="{B50D6BB0-E20D-4DF6-9C3A-9B4527A2C965}"/>
    <cellStyle name="Total 34 7" xfId="13394" xr:uid="{00000000-0005-0000-0000-00008C3E0000}"/>
    <cellStyle name="Total 34 7 2" xfId="49055" xr:uid="{AFF43039-86AF-4FA5-8F75-3A4C91DB3A4F}"/>
    <cellStyle name="Total 34 8" xfId="12538" xr:uid="{00000000-0005-0000-0000-00008D3E0000}"/>
    <cellStyle name="Total 34 8 2" xfId="49056" xr:uid="{2A62A192-E4DA-4C1B-B24A-D6822FC4BFE2}"/>
    <cellStyle name="Total 34 9" xfId="9381" xr:uid="{00000000-0005-0000-0000-00008E3E0000}"/>
    <cellStyle name="Total 34 9 2" xfId="49057" xr:uid="{6E2188A9-A023-4FEF-A323-269CD4987828}"/>
    <cellStyle name="Total 35" xfId="3274" xr:uid="{00000000-0005-0000-0000-00008F3E0000}"/>
    <cellStyle name="Total 35 10" xfId="49058" xr:uid="{95A38271-6601-4668-831A-3F8F08291BFC}"/>
    <cellStyle name="Total 35 2" xfId="11775" xr:uid="{00000000-0005-0000-0000-0000903E0000}"/>
    <cellStyle name="Total 35 2 2" xfId="49059" xr:uid="{3779C330-BD77-477B-85F8-95317919286A}"/>
    <cellStyle name="Total 35 3" xfId="11776" xr:uid="{00000000-0005-0000-0000-0000913E0000}"/>
    <cellStyle name="Total 35 3 2" xfId="49060" xr:uid="{DA22F9A0-F964-450E-AE4C-6723EDF91E8F}"/>
    <cellStyle name="Total 35 4" xfId="11777" xr:uid="{00000000-0005-0000-0000-0000923E0000}"/>
    <cellStyle name="Total 35 4 2" xfId="49061" xr:uid="{09661CA9-EC17-49C8-8885-3EE78CC040A4}"/>
    <cellStyle name="Total 35 5" xfId="11778" xr:uid="{00000000-0005-0000-0000-0000933E0000}"/>
    <cellStyle name="Total 35 5 2" xfId="49062" xr:uid="{82EFBCF2-6373-47E6-9420-54F4F460A4DA}"/>
    <cellStyle name="Total 35 6" xfId="11779" xr:uid="{00000000-0005-0000-0000-0000943E0000}"/>
    <cellStyle name="Total 35 6 2" xfId="49063" xr:uid="{83C01BBE-CE9B-4ED8-B9AA-E1CD95AB7779}"/>
    <cellStyle name="Total 35 7" xfId="13395" xr:uid="{00000000-0005-0000-0000-0000953E0000}"/>
    <cellStyle name="Total 35 7 2" xfId="49064" xr:uid="{89EA7F78-9A7E-47EC-97EB-381B683BBC21}"/>
    <cellStyle name="Total 35 8" xfId="16569" xr:uid="{00000000-0005-0000-0000-0000963E0000}"/>
    <cellStyle name="Total 35 8 2" xfId="49065" xr:uid="{0F055000-2A9B-4F51-B983-8A805EB55404}"/>
    <cellStyle name="Total 35 9" xfId="9382" xr:uid="{00000000-0005-0000-0000-0000973E0000}"/>
    <cellStyle name="Total 35 9 2" xfId="49066" xr:uid="{81104598-06A1-4181-AC6A-8BEEB3F2804E}"/>
    <cellStyle name="Total 36" xfId="3275" xr:uid="{00000000-0005-0000-0000-0000983E0000}"/>
    <cellStyle name="Total 36 10" xfId="49067" xr:uid="{CB75A416-0690-4D3F-9BDB-43518BEAAFAC}"/>
    <cellStyle name="Total 36 2" xfId="11780" xr:uid="{00000000-0005-0000-0000-0000993E0000}"/>
    <cellStyle name="Total 36 2 2" xfId="49068" xr:uid="{2123466D-762C-43E4-943A-A96B4C625B98}"/>
    <cellStyle name="Total 36 3" xfId="11781" xr:uid="{00000000-0005-0000-0000-00009A3E0000}"/>
    <cellStyle name="Total 36 3 2" xfId="49069" xr:uid="{7F16636D-B0A6-4FA9-B0CF-E8D8B5FA04A6}"/>
    <cellStyle name="Total 36 4" xfId="11782" xr:uid="{00000000-0005-0000-0000-00009B3E0000}"/>
    <cellStyle name="Total 36 4 2" xfId="49070" xr:uid="{178040D3-E02D-4C50-AA53-4E72036AD076}"/>
    <cellStyle name="Total 36 5" xfId="11783" xr:uid="{00000000-0005-0000-0000-00009C3E0000}"/>
    <cellStyle name="Total 36 5 2" xfId="49071" xr:uid="{C616E154-3C39-47CB-B0FD-EE11E7868A32}"/>
    <cellStyle name="Total 36 6" xfId="11784" xr:uid="{00000000-0005-0000-0000-00009D3E0000}"/>
    <cellStyle name="Total 36 6 2" xfId="49072" xr:uid="{848B5A9B-FD65-4B21-A1E9-BC2ADB833BF3}"/>
    <cellStyle name="Total 36 7" xfId="13396" xr:uid="{00000000-0005-0000-0000-00009E3E0000}"/>
    <cellStyle name="Total 36 7 2" xfId="49073" xr:uid="{1C724E81-A53B-44CA-9D28-E10925B0DB5F}"/>
    <cellStyle name="Total 36 8" xfId="12419" xr:uid="{00000000-0005-0000-0000-00009F3E0000}"/>
    <cellStyle name="Total 36 8 2" xfId="49074" xr:uid="{7BEE09BD-2A5F-447D-9792-989BAF0E873D}"/>
    <cellStyle name="Total 36 9" xfId="9383" xr:uid="{00000000-0005-0000-0000-0000A03E0000}"/>
    <cellStyle name="Total 36 9 2" xfId="49075" xr:uid="{332E5380-AE4C-4CB7-A71E-DAA7E07AA621}"/>
    <cellStyle name="Total 37" xfId="3276" xr:uid="{00000000-0005-0000-0000-0000A13E0000}"/>
    <cellStyle name="Total 37 10" xfId="49076" xr:uid="{4058300F-B975-4183-B2C2-EDCC122A979A}"/>
    <cellStyle name="Total 37 2" xfId="11785" xr:uid="{00000000-0005-0000-0000-0000A23E0000}"/>
    <cellStyle name="Total 37 2 2" xfId="49077" xr:uid="{9194EF62-31E5-46AD-9AA5-12C3EF85287E}"/>
    <cellStyle name="Total 37 3" xfId="11786" xr:uid="{00000000-0005-0000-0000-0000A33E0000}"/>
    <cellStyle name="Total 37 3 2" xfId="49078" xr:uid="{75D382D7-2285-4B6C-88E1-80BD557C9000}"/>
    <cellStyle name="Total 37 4" xfId="11787" xr:uid="{00000000-0005-0000-0000-0000A43E0000}"/>
    <cellStyle name="Total 37 4 2" xfId="49079" xr:uid="{E4E56488-7D7F-45BF-AB3A-6FDA9FD91FCE}"/>
    <cellStyle name="Total 37 5" xfId="11788" xr:uid="{00000000-0005-0000-0000-0000A53E0000}"/>
    <cellStyle name="Total 37 5 2" xfId="49080" xr:uid="{72882A1D-AD42-4E5D-AA0B-D56FFB3ABFCA}"/>
    <cellStyle name="Total 37 6" xfId="11789" xr:uid="{00000000-0005-0000-0000-0000A63E0000}"/>
    <cellStyle name="Total 37 6 2" xfId="49081" xr:uid="{06BD1D53-FDF3-4842-9C43-24E7B898948E}"/>
    <cellStyle name="Total 37 7" xfId="13397" xr:uid="{00000000-0005-0000-0000-0000A73E0000}"/>
    <cellStyle name="Total 37 7 2" xfId="49082" xr:uid="{BC719AAA-F2EB-49FE-8DDE-711B3DE9333E}"/>
    <cellStyle name="Total 37 8" xfId="16241" xr:uid="{00000000-0005-0000-0000-0000A83E0000}"/>
    <cellStyle name="Total 37 8 2" xfId="49083" xr:uid="{8A183486-B02B-4E88-B2A1-E87464CBFD56}"/>
    <cellStyle name="Total 37 9" xfId="9384" xr:uid="{00000000-0005-0000-0000-0000A93E0000}"/>
    <cellStyle name="Total 37 9 2" xfId="49084" xr:uid="{FF0479F8-0701-450E-8A93-56C1FE6A9AA6}"/>
    <cellStyle name="Total 38" xfId="3277" xr:uid="{00000000-0005-0000-0000-0000AA3E0000}"/>
    <cellStyle name="Total 38 10" xfId="49085" xr:uid="{E7AFC7BE-9B4E-429E-8ED3-8F8980C23951}"/>
    <cellStyle name="Total 38 2" xfId="11790" xr:uid="{00000000-0005-0000-0000-0000AB3E0000}"/>
    <cellStyle name="Total 38 2 2" xfId="49086" xr:uid="{40DE3AD3-55CA-4758-A2A2-B31A1D490FFB}"/>
    <cellStyle name="Total 38 3" xfId="11791" xr:uid="{00000000-0005-0000-0000-0000AC3E0000}"/>
    <cellStyle name="Total 38 3 2" xfId="49087" xr:uid="{0235C93C-8C72-445B-A718-EFEF3E758EC2}"/>
    <cellStyle name="Total 38 4" xfId="11792" xr:uid="{00000000-0005-0000-0000-0000AD3E0000}"/>
    <cellStyle name="Total 38 4 2" xfId="49088" xr:uid="{C14CE322-4487-4090-BF3E-E35D172FD88B}"/>
    <cellStyle name="Total 38 5" xfId="11793" xr:uid="{00000000-0005-0000-0000-0000AE3E0000}"/>
    <cellStyle name="Total 38 5 2" xfId="49089" xr:uid="{8286DD0C-6C1D-4912-BCD3-A8DE3A22670A}"/>
    <cellStyle name="Total 38 6" xfId="11794" xr:uid="{00000000-0005-0000-0000-0000AF3E0000}"/>
    <cellStyle name="Total 38 6 2" xfId="49090" xr:uid="{D6ABC4C6-36C4-4E4F-B2F3-9028FE8BEB79}"/>
    <cellStyle name="Total 38 7" xfId="13398" xr:uid="{00000000-0005-0000-0000-0000B03E0000}"/>
    <cellStyle name="Total 38 7 2" xfId="49091" xr:uid="{4BB16F84-5D97-429D-B447-715CE18C58DF}"/>
    <cellStyle name="Total 38 8" xfId="12624" xr:uid="{00000000-0005-0000-0000-0000B13E0000}"/>
    <cellStyle name="Total 38 8 2" xfId="49092" xr:uid="{F9B4487E-A78F-461C-BDB1-FE9D09B762AF}"/>
    <cellStyle name="Total 38 9" xfId="9385" xr:uid="{00000000-0005-0000-0000-0000B23E0000}"/>
    <cellStyle name="Total 38 9 2" xfId="49093" xr:uid="{67A53B6E-0A9E-44CB-BC16-17CFF1B68DB7}"/>
    <cellStyle name="Total 39" xfId="3278" xr:uid="{00000000-0005-0000-0000-0000B33E0000}"/>
    <cellStyle name="Total 39 10" xfId="49094" xr:uid="{06443F7B-6EB7-4E2D-A12B-AAD5E37FE2B2}"/>
    <cellStyle name="Total 39 2" xfId="11795" xr:uid="{00000000-0005-0000-0000-0000B43E0000}"/>
    <cellStyle name="Total 39 2 2" xfId="49095" xr:uid="{4EDC6457-85EF-4347-B36E-A8AC4D400E35}"/>
    <cellStyle name="Total 39 3" xfId="11796" xr:uid="{00000000-0005-0000-0000-0000B53E0000}"/>
    <cellStyle name="Total 39 3 2" xfId="49096" xr:uid="{F8FC1BC4-0DA7-4295-AC6A-6DCDD1EF0AC1}"/>
    <cellStyle name="Total 39 4" xfId="11797" xr:uid="{00000000-0005-0000-0000-0000B63E0000}"/>
    <cellStyle name="Total 39 4 2" xfId="49097" xr:uid="{FAE901B3-8864-46CF-8AFC-695C2F344489}"/>
    <cellStyle name="Total 39 5" xfId="11798" xr:uid="{00000000-0005-0000-0000-0000B73E0000}"/>
    <cellStyle name="Total 39 5 2" xfId="49098" xr:uid="{E275CF97-2F71-47A4-AF28-52ADFA1BBECF}"/>
    <cellStyle name="Total 39 6" xfId="11799" xr:uid="{00000000-0005-0000-0000-0000B83E0000}"/>
    <cellStyle name="Total 39 6 2" xfId="49099" xr:uid="{C3B69339-FAC2-4DAC-B60E-4578B49D5180}"/>
    <cellStyle name="Total 39 7" xfId="13399" xr:uid="{00000000-0005-0000-0000-0000B93E0000}"/>
    <cellStyle name="Total 39 7 2" xfId="49100" xr:uid="{CC77B6B0-B989-4188-8975-35FD35FAA37D}"/>
    <cellStyle name="Total 39 8" xfId="16600" xr:uid="{00000000-0005-0000-0000-0000BA3E0000}"/>
    <cellStyle name="Total 39 8 2" xfId="49101" xr:uid="{163884D8-D01B-45B6-851C-C12C76E45642}"/>
    <cellStyle name="Total 39 9" xfId="9386" xr:uid="{00000000-0005-0000-0000-0000BB3E0000}"/>
    <cellStyle name="Total 39 9 2" xfId="49102" xr:uid="{646298E9-EA0B-4604-82EF-B00335D20594}"/>
    <cellStyle name="Total 4" xfId="3279" xr:uid="{00000000-0005-0000-0000-0000BC3E0000}"/>
    <cellStyle name="Total 4 10" xfId="9387" xr:uid="{00000000-0005-0000-0000-0000BD3E0000}"/>
    <cellStyle name="Total 4 10 2" xfId="49104" xr:uid="{85D7F205-5CF1-42F0-A6F7-73544DCD0304}"/>
    <cellStyle name="Total 4 11" xfId="49103" xr:uid="{44C291B0-E444-4707-AA01-F639F15AC4D0}"/>
    <cellStyle name="Total 4 2" xfId="11800" xr:uid="{00000000-0005-0000-0000-0000BE3E0000}"/>
    <cellStyle name="Total 4 2 2" xfId="11801" xr:uid="{00000000-0005-0000-0000-0000BF3E0000}"/>
    <cellStyle name="Total 4 2 2 2" xfId="49106" xr:uid="{2D50154C-4289-4103-8E6B-C898B7396E1E}"/>
    <cellStyle name="Total 4 2 3" xfId="11802" xr:uid="{00000000-0005-0000-0000-0000C03E0000}"/>
    <cellStyle name="Total 4 2 3 2" xfId="49107" xr:uid="{E424BD57-2203-4322-A601-779BDE0271EA}"/>
    <cellStyle name="Total 4 2 4" xfId="11803" xr:uid="{00000000-0005-0000-0000-0000C13E0000}"/>
    <cellStyle name="Total 4 2 4 2" xfId="49108" xr:uid="{8E804255-953A-481F-AA31-4E40933AE0E2}"/>
    <cellStyle name="Total 4 2 5" xfId="11804" xr:uid="{00000000-0005-0000-0000-0000C23E0000}"/>
    <cellStyle name="Total 4 2 5 2" xfId="49109" xr:uid="{6EEC2F37-0E47-45EF-8145-4E3F7F46348E}"/>
    <cellStyle name="Total 4 2 6" xfId="49105" xr:uid="{19A9DE2E-2579-4BB4-AE35-6D7436199077}"/>
    <cellStyle name="Total 4 3" xfId="11805" xr:uid="{00000000-0005-0000-0000-0000C33E0000}"/>
    <cellStyle name="Total 4 3 2" xfId="49110" xr:uid="{DED40FCD-45E6-4B3C-A2E8-9CB1827074D4}"/>
    <cellStyle name="Total 4 4" xfId="11806" xr:uid="{00000000-0005-0000-0000-0000C43E0000}"/>
    <cellStyle name="Total 4 4 2" xfId="49111" xr:uid="{237684C7-4866-42CB-92B4-B9169463B057}"/>
    <cellStyle name="Total 4 5" xfId="11807" xr:uid="{00000000-0005-0000-0000-0000C53E0000}"/>
    <cellStyle name="Total 4 5 2" xfId="49112" xr:uid="{2E54634F-2ADA-4C9B-8FA3-593540C7BC98}"/>
    <cellStyle name="Total 4 6" xfId="11808" xr:uid="{00000000-0005-0000-0000-0000C63E0000}"/>
    <cellStyle name="Total 4 6 2" xfId="49113" xr:uid="{8407B642-6099-4549-888D-A5C8F3AA3602}"/>
    <cellStyle name="Total 4 7" xfId="11809" xr:uid="{00000000-0005-0000-0000-0000C73E0000}"/>
    <cellStyle name="Total 4 7 2" xfId="49114" xr:uid="{FEC15EC3-E683-4EFC-B75C-261486B9D07A}"/>
    <cellStyle name="Total 4 8" xfId="13400" xr:uid="{00000000-0005-0000-0000-0000C83E0000}"/>
    <cellStyle name="Total 4 8 2" xfId="49115" xr:uid="{F3299266-E9A6-406C-A6D4-1F3C1F21AC33}"/>
    <cellStyle name="Total 4 9" xfId="13722" xr:uid="{00000000-0005-0000-0000-0000C93E0000}"/>
    <cellStyle name="Total 4 9 2" xfId="49116" xr:uid="{B46D9B36-F52B-4D8E-85DE-C98F1C2FBF24}"/>
    <cellStyle name="Total 40" xfId="3280" xr:uid="{00000000-0005-0000-0000-0000CA3E0000}"/>
    <cellStyle name="Total 40 10" xfId="49117" xr:uid="{7E41E2B9-EF75-4DFB-8EA8-EE4093DA9172}"/>
    <cellStyle name="Total 40 2" xfId="11810" xr:uid="{00000000-0005-0000-0000-0000CB3E0000}"/>
    <cellStyle name="Total 40 2 2" xfId="49118" xr:uid="{7B8BE241-ADBF-4136-BE73-9B28A1A20F62}"/>
    <cellStyle name="Total 40 3" xfId="11811" xr:uid="{00000000-0005-0000-0000-0000CC3E0000}"/>
    <cellStyle name="Total 40 3 2" xfId="49119" xr:uid="{0B086B3D-A79B-4E4F-958C-A6679EC56DE9}"/>
    <cellStyle name="Total 40 4" xfId="11812" xr:uid="{00000000-0005-0000-0000-0000CD3E0000}"/>
    <cellStyle name="Total 40 4 2" xfId="49120" xr:uid="{820BAD6D-3D32-404C-8653-2BF15750BAC0}"/>
    <cellStyle name="Total 40 5" xfId="11813" xr:uid="{00000000-0005-0000-0000-0000CE3E0000}"/>
    <cellStyle name="Total 40 5 2" xfId="49121" xr:uid="{B8A47CC2-2E87-4384-B12F-C9F1D199E84A}"/>
    <cellStyle name="Total 40 6" xfId="11814" xr:uid="{00000000-0005-0000-0000-0000CF3E0000}"/>
    <cellStyle name="Total 40 6 2" xfId="49122" xr:uid="{CB67F0DA-2AA2-4FFA-9E87-A693FB0BBAEA}"/>
    <cellStyle name="Total 40 7" xfId="13401" xr:uid="{00000000-0005-0000-0000-0000D03E0000}"/>
    <cellStyle name="Total 40 7 2" xfId="49123" xr:uid="{055B1B59-3450-421C-9706-9E43667CF2C0}"/>
    <cellStyle name="Total 40 8" xfId="14404" xr:uid="{00000000-0005-0000-0000-0000D13E0000}"/>
    <cellStyle name="Total 40 8 2" xfId="49124" xr:uid="{FEB5D168-FC98-4C73-9C02-BC66811CCC57}"/>
    <cellStyle name="Total 40 9" xfId="9388" xr:uid="{00000000-0005-0000-0000-0000D23E0000}"/>
    <cellStyle name="Total 40 9 2" xfId="49125" xr:uid="{00D51FE5-129E-4383-A704-CCD317EE77E7}"/>
    <cellStyle name="Total 41" xfId="3281" xr:uid="{00000000-0005-0000-0000-0000D33E0000}"/>
    <cellStyle name="Total 41 10" xfId="49126" xr:uid="{2C0C0B08-8FB2-4FCF-B4B4-90A527CB0CD5}"/>
    <cellStyle name="Total 41 2" xfId="11815" xr:uid="{00000000-0005-0000-0000-0000D43E0000}"/>
    <cellStyle name="Total 41 2 2" xfId="49127" xr:uid="{D5324846-3DA9-484A-97B1-DFAD8405BF80}"/>
    <cellStyle name="Total 41 3" xfId="11816" xr:uid="{00000000-0005-0000-0000-0000D53E0000}"/>
    <cellStyle name="Total 41 3 2" xfId="49128" xr:uid="{F8E39266-2B5E-4453-97E7-309A19065FC2}"/>
    <cellStyle name="Total 41 4" xfId="11817" xr:uid="{00000000-0005-0000-0000-0000D63E0000}"/>
    <cellStyle name="Total 41 4 2" xfId="49129" xr:uid="{0D540C8C-035E-4B9B-A7AB-39E3889FCC82}"/>
    <cellStyle name="Total 41 5" xfId="11818" xr:uid="{00000000-0005-0000-0000-0000D73E0000}"/>
    <cellStyle name="Total 41 5 2" xfId="49130" xr:uid="{AA283E04-3E95-4A04-A764-2F25837979C5}"/>
    <cellStyle name="Total 41 6" xfId="11819" xr:uid="{00000000-0005-0000-0000-0000D83E0000}"/>
    <cellStyle name="Total 41 6 2" xfId="49131" xr:uid="{D58D4930-1C8A-442B-BA5A-5E597BF19CB5}"/>
    <cellStyle name="Total 41 7" xfId="13402" xr:uid="{00000000-0005-0000-0000-0000D93E0000}"/>
    <cellStyle name="Total 41 7 2" xfId="49132" xr:uid="{80AF2035-6CBA-440D-9565-6CCC755FCC3B}"/>
    <cellStyle name="Total 41 8" xfId="16469" xr:uid="{00000000-0005-0000-0000-0000DA3E0000}"/>
    <cellStyle name="Total 41 8 2" xfId="49133" xr:uid="{63E9DE65-5EC1-46E2-8E5D-28B70623D9FC}"/>
    <cellStyle name="Total 41 9" xfId="9389" xr:uid="{00000000-0005-0000-0000-0000DB3E0000}"/>
    <cellStyle name="Total 41 9 2" xfId="49134" xr:uid="{B6004384-5F1A-4FD8-A3D7-75CA531079C2}"/>
    <cellStyle name="Total 42" xfId="3282" xr:uid="{00000000-0005-0000-0000-0000DC3E0000}"/>
    <cellStyle name="Total 42 10" xfId="49135" xr:uid="{C6C2E3CB-CBAD-44BD-A77B-0BC01CF2450A}"/>
    <cellStyle name="Total 42 2" xfId="11820" xr:uid="{00000000-0005-0000-0000-0000DD3E0000}"/>
    <cellStyle name="Total 42 2 2" xfId="49136" xr:uid="{53AE01F7-7B91-41EB-BE5D-EA810705458C}"/>
    <cellStyle name="Total 42 3" xfId="11821" xr:uid="{00000000-0005-0000-0000-0000DE3E0000}"/>
    <cellStyle name="Total 42 3 2" xfId="49137" xr:uid="{8B99B36C-5CC2-4D7D-BC6B-E70AA5CFDFCE}"/>
    <cellStyle name="Total 42 4" xfId="11822" xr:uid="{00000000-0005-0000-0000-0000DF3E0000}"/>
    <cellStyle name="Total 42 4 2" xfId="49138" xr:uid="{35C5C586-C590-4F92-A88C-F4060E0747DE}"/>
    <cellStyle name="Total 42 5" xfId="11823" xr:uid="{00000000-0005-0000-0000-0000E03E0000}"/>
    <cellStyle name="Total 42 5 2" xfId="49139" xr:uid="{022A79A1-2F39-4744-85AA-753012873A8F}"/>
    <cellStyle name="Total 42 6" xfId="11824" xr:uid="{00000000-0005-0000-0000-0000E13E0000}"/>
    <cellStyle name="Total 42 6 2" xfId="49140" xr:uid="{1483813A-58A0-47A8-82BC-F9546F3FC317}"/>
    <cellStyle name="Total 42 7" xfId="13403" xr:uid="{00000000-0005-0000-0000-0000E23E0000}"/>
    <cellStyle name="Total 42 7 2" xfId="49141" xr:uid="{9F75B296-89EA-4942-8147-8894A0A5B0BA}"/>
    <cellStyle name="Total 42 8" xfId="12572" xr:uid="{00000000-0005-0000-0000-0000E33E0000}"/>
    <cellStyle name="Total 42 8 2" xfId="49142" xr:uid="{3EF37DA1-4400-45FD-A06A-C56A05940994}"/>
    <cellStyle name="Total 42 9" xfId="9390" xr:uid="{00000000-0005-0000-0000-0000E43E0000}"/>
    <cellStyle name="Total 42 9 2" xfId="49143" xr:uid="{947EAB43-2795-4787-B6AC-1CBA8A617358}"/>
    <cellStyle name="Total 5" xfId="3283" xr:uid="{00000000-0005-0000-0000-0000E53E0000}"/>
    <cellStyle name="Total 5 10" xfId="9391" xr:uid="{00000000-0005-0000-0000-0000E63E0000}"/>
    <cellStyle name="Total 5 10 2" xfId="49145" xr:uid="{52CEC221-5BBB-4CEC-8541-297580BA76BD}"/>
    <cellStyle name="Total 5 11" xfId="49144" xr:uid="{1BB64847-3CB3-42BD-88D7-2A7DBA07F367}"/>
    <cellStyle name="Total 5 2" xfId="11825" xr:uid="{00000000-0005-0000-0000-0000E73E0000}"/>
    <cellStyle name="Total 5 2 2" xfId="11826" xr:uid="{00000000-0005-0000-0000-0000E83E0000}"/>
    <cellStyle name="Total 5 2 2 2" xfId="49147" xr:uid="{8353F27E-D037-40EE-889C-05F94BAED15A}"/>
    <cellStyle name="Total 5 2 3" xfId="11827" xr:uid="{00000000-0005-0000-0000-0000E93E0000}"/>
    <cellStyle name="Total 5 2 3 2" xfId="49148" xr:uid="{EF19F097-24E0-487D-A87E-CFF07947C8F3}"/>
    <cellStyle name="Total 5 2 4" xfId="11828" xr:uid="{00000000-0005-0000-0000-0000EA3E0000}"/>
    <cellStyle name="Total 5 2 4 2" xfId="49149" xr:uid="{4FD38667-7BA8-4F63-9CC1-EFC2F0CBEE7B}"/>
    <cellStyle name="Total 5 2 5" xfId="11829" xr:uid="{00000000-0005-0000-0000-0000EB3E0000}"/>
    <cellStyle name="Total 5 2 5 2" xfId="49150" xr:uid="{C23682AC-F133-4436-A653-8580AF7D9933}"/>
    <cellStyle name="Total 5 2 6" xfId="49146" xr:uid="{DCB5ED56-A5D1-4631-A9CB-FC439B7FDDE0}"/>
    <cellStyle name="Total 5 3" xfId="11830" xr:uid="{00000000-0005-0000-0000-0000EC3E0000}"/>
    <cellStyle name="Total 5 3 2" xfId="49151" xr:uid="{CB0E64F8-95B1-4FF5-B5D2-549CFF81344D}"/>
    <cellStyle name="Total 5 4" xfId="11831" xr:uid="{00000000-0005-0000-0000-0000ED3E0000}"/>
    <cellStyle name="Total 5 4 2" xfId="49152" xr:uid="{12CDC34B-0A42-478A-AF26-07F75241062B}"/>
    <cellStyle name="Total 5 5" xfId="11832" xr:uid="{00000000-0005-0000-0000-0000EE3E0000}"/>
    <cellStyle name="Total 5 5 2" xfId="49153" xr:uid="{1CB9FC70-7FD2-4657-8006-78163B4F0757}"/>
    <cellStyle name="Total 5 6" xfId="11833" xr:uid="{00000000-0005-0000-0000-0000EF3E0000}"/>
    <cellStyle name="Total 5 6 2" xfId="49154" xr:uid="{44703EAA-E1D0-4F24-BF79-79DA438056B9}"/>
    <cellStyle name="Total 5 7" xfId="11834" xr:uid="{00000000-0005-0000-0000-0000F03E0000}"/>
    <cellStyle name="Total 5 7 2" xfId="49155" xr:uid="{32358DA0-8D05-4B2B-A0C1-BE40D4F49130}"/>
    <cellStyle name="Total 5 8" xfId="13404" xr:uid="{00000000-0005-0000-0000-0000F13E0000}"/>
    <cellStyle name="Total 5 8 2" xfId="49156" xr:uid="{C8B3A4EC-CA8E-4A13-8AA4-E50B5F15D57B}"/>
    <cellStyle name="Total 5 9" xfId="13774" xr:uid="{00000000-0005-0000-0000-0000F23E0000}"/>
    <cellStyle name="Total 5 9 2" xfId="49157" xr:uid="{C7949848-449B-4512-8370-2AFBF1095B69}"/>
    <cellStyle name="Total 6" xfId="3284" xr:uid="{00000000-0005-0000-0000-0000F33E0000}"/>
    <cellStyle name="Total 6 10" xfId="9392" xr:uid="{00000000-0005-0000-0000-0000F43E0000}"/>
    <cellStyle name="Total 6 10 2" xfId="49159" xr:uid="{586F11F9-C4E3-40AC-8686-FEC7B4481653}"/>
    <cellStyle name="Total 6 11" xfId="49158" xr:uid="{D533A22D-7541-4E38-8A50-D7E3151A5E6F}"/>
    <cellStyle name="Total 6 2" xfId="11835" xr:uid="{00000000-0005-0000-0000-0000F53E0000}"/>
    <cellStyle name="Total 6 2 2" xfId="11836" xr:uid="{00000000-0005-0000-0000-0000F63E0000}"/>
    <cellStyle name="Total 6 2 2 2" xfId="49161" xr:uid="{E74E29D5-E520-45EB-BA4C-245F959B3B34}"/>
    <cellStyle name="Total 6 2 3" xfId="11837" xr:uid="{00000000-0005-0000-0000-0000F73E0000}"/>
    <cellStyle name="Total 6 2 3 2" xfId="49162" xr:uid="{152D5837-F10C-4702-BD0B-ABB6B4CEC89F}"/>
    <cellStyle name="Total 6 2 4" xfId="11838" xr:uid="{00000000-0005-0000-0000-0000F83E0000}"/>
    <cellStyle name="Total 6 2 4 2" xfId="49163" xr:uid="{D22A68C1-19F0-45BB-9BAB-C1D639355D4D}"/>
    <cellStyle name="Total 6 2 5" xfId="11839" xr:uid="{00000000-0005-0000-0000-0000F93E0000}"/>
    <cellStyle name="Total 6 2 5 2" xfId="49164" xr:uid="{7C20F55E-C31F-4EA6-B283-73B887131A2E}"/>
    <cellStyle name="Total 6 2 6" xfId="49160" xr:uid="{6ACCE0EB-92E9-4DB4-9BC7-16B4811FD290}"/>
    <cellStyle name="Total 6 3" xfId="11840" xr:uid="{00000000-0005-0000-0000-0000FA3E0000}"/>
    <cellStyle name="Total 6 3 2" xfId="49165" xr:uid="{F3723982-845F-4788-9F40-13BD948ECCAC}"/>
    <cellStyle name="Total 6 4" xfId="11841" xr:uid="{00000000-0005-0000-0000-0000FB3E0000}"/>
    <cellStyle name="Total 6 4 2" xfId="49166" xr:uid="{A1DE61C0-0F02-4467-891F-D4B6D6606A9B}"/>
    <cellStyle name="Total 6 5" xfId="11842" xr:uid="{00000000-0005-0000-0000-0000FC3E0000}"/>
    <cellStyle name="Total 6 5 2" xfId="49167" xr:uid="{82DA1358-9925-4887-9883-1DE75366B408}"/>
    <cellStyle name="Total 6 6" xfId="11843" xr:uid="{00000000-0005-0000-0000-0000FD3E0000}"/>
    <cellStyle name="Total 6 6 2" xfId="49168" xr:uid="{0F6FBB47-19F2-47DF-8C28-C8203D51A61F}"/>
    <cellStyle name="Total 6 7" xfId="11844" xr:uid="{00000000-0005-0000-0000-0000FE3E0000}"/>
    <cellStyle name="Total 6 7 2" xfId="49169" xr:uid="{8CE4671D-37E7-4C8E-8DFA-AAC29794F81C}"/>
    <cellStyle name="Total 6 8" xfId="13405" xr:uid="{00000000-0005-0000-0000-0000FF3E0000}"/>
    <cellStyle name="Total 6 8 2" xfId="49170" xr:uid="{4F953512-2E38-49A0-AFF7-46783B501A27}"/>
    <cellStyle name="Total 6 9" xfId="16416" xr:uid="{00000000-0005-0000-0000-0000003F0000}"/>
    <cellStyle name="Total 6 9 2" xfId="49171" xr:uid="{F39079E9-24E3-41F1-9A66-BEBC9DAFF028}"/>
    <cellStyle name="Total 7" xfId="3285" xr:uid="{00000000-0005-0000-0000-0000013F0000}"/>
    <cellStyle name="Total 7 10" xfId="49172" xr:uid="{D28BAE05-1C80-490E-9A79-314328E43BEE}"/>
    <cellStyle name="Total 7 2" xfId="11845" xr:uid="{00000000-0005-0000-0000-0000023F0000}"/>
    <cellStyle name="Total 7 2 2" xfId="49173" xr:uid="{B6DF43F4-00FD-4F91-97BD-1276545C7A75}"/>
    <cellStyle name="Total 7 3" xfId="11846" xr:uid="{00000000-0005-0000-0000-0000033F0000}"/>
    <cellStyle name="Total 7 3 2" xfId="49174" xr:uid="{B6252C20-0E5A-452B-9ADC-3D076502EA38}"/>
    <cellStyle name="Total 7 4" xfId="11847" xr:uid="{00000000-0005-0000-0000-0000043F0000}"/>
    <cellStyle name="Total 7 4 2" xfId="49175" xr:uid="{95145F1C-F40D-449E-81DE-25F5619F0BAF}"/>
    <cellStyle name="Total 7 5" xfId="11848" xr:uid="{00000000-0005-0000-0000-0000053F0000}"/>
    <cellStyle name="Total 7 5 2" xfId="49176" xr:uid="{24DBADF8-F690-49D2-AF11-FC67E67CC409}"/>
    <cellStyle name="Total 7 6" xfId="11849" xr:uid="{00000000-0005-0000-0000-0000063F0000}"/>
    <cellStyle name="Total 7 6 2" xfId="49177" xr:uid="{D8BBC07D-20D9-4771-84E8-F067B32BD18E}"/>
    <cellStyle name="Total 7 7" xfId="13406" xr:uid="{00000000-0005-0000-0000-0000073F0000}"/>
    <cellStyle name="Total 7 7 2" xfId="49178" xr:uid="{CA436E10-9E76-4472-8404-4151B9AF7C28}"/>
    <cellStyle name="Total 7 8" xfId="16559" xr:uid="{00000000-0005-0000-0000-0000083F0000}"/>
    <cellStyle name="Total 7 8 2" xfId="49179" xr:uid="{41452EEF-0E48-4D42-BBB0-9963A72930E5}"/>
    <cellStyle name="Total 7 9" xfId="9393" xr:uid="{00000000-0005-0000-0000-0000093F0000}"/>
    <cellStyle name="Total 7 9 2" xfId="49180" xr:uid="{C30A15A8-1E93-4965-86AA-32D5C664902B}"/>
    <cellStyle name="Total 8" xfId="3286" xr:uid="{00000000-0005-0000-0000-00000A3F0000}"/>
    <cellStyle name="Total 8 10" xfId="49181" xr:uid="{548F0109-3EE6-45AE-9AF0-7C0B21B65A68}"/>
    <cellStyle name="Total 8 2" xfId="11850" xr:uid="{00000000-0005-0000-0000-00000B3F0000}"/>
    <cellStyle name="Total 8 2 2" xfId="49182" xr:uid="{DD78C734-1F85-4231-9599-27B0F3ADA32C}"/>
    <cellStyle name="Total 8 3" xfId="11851" xr:uid="{00000000-0005-0000-0000-00000C3F0000}"/>
    <cellStyle name="Total 8 3 2" xfId="49183" xr:uid="{731C4C05-3670-4291-A7F8-E9F84698B938}"/>
    <cellStyle name="Total 8 4" xfId="11852" xr:uid="{00000000-0005-0000-0000-00000D3F0000}"/>
    <cellStyle name="Total 8 4 2" xfId="49184" xr:uid="{6397B6E5-BD54-4D1B-A0C2-C56D92565C0C}"/>
    <cellStyle name="Total 8 5" xfId="11853" xr:uid="{00000000-0005-0000-0000-00000E3F0000}"/>
    <cellStyle name="Total 8 5 2" xfId="49185" xr:uid="{22C57C33-64DF-439C-B933-1388A2094C7F}"/>
    <cellStyle name="Total 8 6" xfId="11854" xr:uid="{00000000-0005-0000-0000-00000F3F0000}"/>
    <cellStyle name="Total 8 6 2" xfId="49186" xr:uid="{1EE9D515-F533-4C0B-A9B1-4909455D6757}"/>
    <cellStyle name="Total 8 7" xfId="13407" xr:uid="{00000000-0005-0000-0000-0000103F0000}"/>
    <cellStyle name="Total 8 7 2" xfId="49187" xr:uid="{01AB281C-640B-4661-B5EF-495DA7B320EE}"/>
    <cellStyle name="Total 8 8" xfId="12904" xr:uid="{00000000-0005-0000-0000-0000113F0000}"/>
    <cellStyle name="Total 8 8 2" xfId="49188" xr:uid="{EADD7B6B-7BD3-4646-A081-EE5E08E20A19}"/>
    <cellStyle name="Total 8 9" xfId="9394" xr:uid="{00000000-0005-0000-0000-0000123F0000}"/>
    <cellStyle name="Total 8 9 2" xfId="49189" xr:uid="{1272650F-52FB-401F-A8E4-F1D6103E1E87}"/>
    <cellStyle name="Total 9" xfId="3287" xr:uid="{00000000-0005-0000-0000-0000133F0000}"/>
    <cellStyle name="Total 9 10" xfId="49190" xr:uid="{CFDEE8D3-CA95-48AC-82B9-F5BDD4341DDB}"/>
    <cellStyle name="Total 9 2" xfId="11855" xr:uid="{00000000-0005-0000-0000-0000143F0000}"/>
    <cellStyle name="Total 9 2 2" xfId="49191" xr:uid="{5B5267AA-D7DF-44DE-8E34-D169634C143B}"/>
    <cellStyle name="Total 9 3" xfId="11856" xr:uid="{00000000-0005-0000-0000-0000153F0000}"/>
    <cellStyle name="Total 9 3 2" xfId="49192" xr:uid="{401B9827-06F6-47B6-A0E6-AB976A085684}"/>
    <cellStyle name="Total 9 4" xfId="11857" xr:uid="{00000000-0005-0000-0000-0000163F0000}"/>
    <cellStyle name="Total 9 4 2" xfId="49193" xr:uid="{64D9C01E-7395-4824-886A-E3DC52016441}"/>
    <cellStyle name="Total 9 5" xfId="11858" xr:uid="{00000000-0005-0000-0000-0000173F0000}"/>
    <cellStyle name="Total 9 5 2" xfId="49194" xr:uid="{B25DD9B4-5AEC-4709-B416-A6CCB213BAB2}"/>
    <cellStyle name="Total 9 6" xfId="11859" xr:uid="{00000000-0005-0000-0000-0000183F0000}"/>
    <cellStyle name="Total 9 6 2" xfId="49195" xr:uid="{873FE59A-B886-4602-B383-5DDBA8393BFB}"/>
    <cellStyle name="Total 9 7" xfId="13408" xr:uid="{00000000-0005-0000-0000-0000193F0000}"/>
    <cellStyle name="Total 9 7 2" xfId="49196" xr:uid="{3801A525-56AA-4227-A2D9-8708A2259726}"/>
    <cellStyle name="Total 9 8" xfId="12828" xr:uid="{00000000-0005-0000-0000-00001A3F0000}"/>
    <cellStyle name="Total 9 8 2" xfId="49197" xr:uid="{DBCA4E33-4458-4551-AAC2-B98E6E4C9E21}"/>
    <cellStyle name="Total 9 9" xfId="9395" xr:uid="{00000000-0005-0000-0000-00001B3F0000}"/>
    <cellStyle name="Total 9 9 2" xfId="49198" xr:uid="{BB3578B7-1681-45BA-B969-EF650CD439AB}"/>
    <cellStyle name="Überschrift" xfId="3288" xr:uid="{00000000-0005-0000-0000-00001C3F0000}"/>
    <cellStyle name="Überschrift 1" xfId="3289" xr:uid="{00000000-0005-0000-0000-00001D3F0000}"/>
    <cellStyle name="Überschrift 1 10" xfId="49200" xr:uid="{305095EE-8ED4-45E6-B413-7BAA1E48D70F}"/>
    <cellStyle name="Überschrift 1 2" xfId="11860" xr:uid="{00000000-0005-0000-0000-00001E3F0000}"/>
    <cellStyle name="Überschrift 1 2 2" xfId="49201" xr:uid="{57A78BE6-4368-4493-8099-468634303448}"/>
    <cellStyle name="Überschrift 1 3" xfId="11861" xr:uid="{00000000-0005-0000-0000-00001F3F0000}"/>
    <cellStyle name="Überschrift 1 3 2" xfId="49202" xr:uid="{83CEBD05-79A2-4332-BADD-7B8BD84E084A}"/>
    <cellStyle name="Überschrift 1 4" xfId="11862" xr:uid="{00000000-0005-0000-0000-0000203F0000}"/>
    <cellStyle name="Überschrift 1 4 2" xfId="49203" xr:uid="{B9B6A696-8D50-4D76-B985-7F263999DF68}"/>
    <cellStyle name="Überschrift 1 5" xfId="11863" xr:uid="{00000000-0005-0000-0000-0000213F0000}"/>
    <cellStyle name="Überschrift 1 5 2" xfId="49204" xr:uid="{50CAB11D-B1E5-468A-8255-3F50C90E6A0A}"/>
    <cellStyle name="Überschrift 1 6" xfId="11864" xr:uid="{00000000-0005-0000-0000-0000223F0000}"/>
    <cellStyle name="Überschrift 1 6 2" xfId="49205" xr:uid="{0E5EF3EF-9E6D-460A-9D01-C1891DB0DBCE}"/>
    <cellStyle name="Überschrift 1 7" xfId="13410" xr:uid="{00000000-0005-0000-0000-0000233F0000}"/>
    <cellStyle name="Überschrift 1 7 2" xfId="49206" xr:uid="{2F381098-F478-471A-9080-D1F81D80B791}"/>
    <cellStyle name="Überschrift 1 8" xfId="12915" xr:uid="{00000000-0005-0000-0000-0000243F0000}"/>
    <cellStyle name="Überschrift 1 8 2" xfId="49207" xr:uid="{B7285318-8B6D-4F6C-AE24-141A4C9A1F31}"/>
    <cellStyle name="Überschrift 1 9" xfId="9397" xr:uid="{00000000-0005-0000-0000-0000253F0000}"/>
    <cellStyle name="Überschrift 1 9 2" xfId="49208" xr:uid="{0E9990B7-67A8-4714-A85A-383B21D451C7}"/>
    <cellStyle name="Überschrift 10" xfId="13409" xr:uid="{00000000-0005-0000-0000-0000263F0000}"/>
    <cellStyle name="Überschrift 10 2" xfId="49209" xr:uid="{2B196DC0-62D8-4B9A-A8CC-EBF8061A22CB}"/>
    <cellStyle name="Überschrift 11" xfId="14370" xr:uid="{00000000-0005-0000-0000-0000273F0000}"/>
    <cellStyle name="Überschrift 11 2" xfId="49210" xr:uid="{DE14913F-7DC2-4C32-BFCB-36A752CD2E94}"/>
    <cellStyle name="Überschrift 12" xfId="9396" xr:uid="{00000000-0005-0000-0000-0000283F0000}"/>
    <cellStyle name="Überschrift 12 2" xfId="49211" xr:uid="{7A7A4EAC-E4BB-4E83-871D-EBB03E61FBFE}"/>
    <cellStyle name="Überschrift 13" xfId="49199" xr:uid="{FF583307-C427-4391-A4B8-810AC6F9E953}"/>
    <cellStyle name="Überschrift 2" xfId="3290" xr:uid="{00000000-0005-0000-0000-0000293F0000}"/>
    <cellStyle name="Überschrift 2 10" xfId="49212" xr:uid="{13721282-AF76-4C69-9D2C-B4252E8245A6}"/>
    <cellStyle name="Überschrift 2 2" xfId="11865" xr:uid="{00000000-0005-0000-0000-00002A3F0000}"/>
    <cellStyle name="Überschrift 2 2 2" xfId="49213" xr:uid="{61D7F9C8-77C1-4865-9ACC-AD7BE46B9BEB}"/>
    <cellStyle name="Überschrift 2 3" xfId="11866" xr:uid="{00000000-0005-0000-0000-00002B3F0000}"/>
    <cellStyle name="Überschrift 2 3 2" xfId="49214" xr:uid="{FF7890A1-ACA8-4EC5-9119-5DCD5FFF1C73}"/>
    <cellStyle name="Überschrift 2 4" xfId="11867" xr:uid="{00000000-0005-0000-0000-00002C3F0000}"/>
    <cellStyle name="Überschrift 2 4 2" xfId="49215" xr:uid="{279FE10A-C6C7-499C-9348-FD6B6FE64AA2}"/>
    <cellStyle name="Überschrift 2 5" xfId="11868" xr:uid="{00000000-0005-0000-0000-00002D3F0000}"/>
    <cellStyle name="Überschrift 2 5 2" xfId="49216" xr:uid="{FAB2E97B-5117-4C9D-8576-86DBE89E7BC0}"/>
    <cellStyle name="Überschrift 2 6" xfId="11869" xr:uid="{00000000-0005-0000-0000-00002E3F0000}"/>
    <cellStyle name="Überschrift 2 6 2" xfId="49217" xr:uid="{5B1DE300-82E5-450B-86A9-0EF767736C5D}"/>
    <cellStyle name="Überschrift 2 7" xfId="13411" xr:uid="{00000000-0005-0000-0000-00002F3F0000}"/>
    <cellStyle name="Überschrift 2 7 2" xfId="49218" xr:uid="{83BD57D2-8900-4C19-BDE9-3906F3690087}"/>
    <cellStyle name="Überschrift 2 8" xfId="12818" xr:uid="{00000000-0005-0000-0000-0000303F0000}"/>
    <cellStyle name="Überschrift 2 8 2" xfId="49219" xr:uid="{964BF537-DDE7-4F7A-B0CD-0E384B3BBE71}"/>
    <cellStyle name="Überschrift 2 9" xfId="9398" xr:uid="{00000000-0005-0000-0000-0000313F0000}"/>
    <cellStyle name="Überschrift 2 9 2" xfId="49220" xr:uid="{C55F2569-ADE4-4E10-8927-C77C14FF2765}"/>
    <cellStyle name="Überschrift 3" xfId="3291" xr:uid="{00000000-0005-0000-0000-0000323F0000}"/>
    <cellStyle name="Überschrift 3 10" xfId="49221" xr:uid="{4EC89DDF-3109-48FC-8BFE-EC8BE2288CE5}"/>
    <cellStyle name="Überschrift 3 2" xfId="11870" xr:uid="{00000000-0005-0000-0000-0000333F0000}"/>
    <cellStyle name="Überschrift 3 2 2" xfId="49222" xr:uid="{E434D116-503F-4C3D-8B14-E897BFF09743}"/>
    <cellStyle name="Überschrift 3 3" xfId="11871" xr:uid="{00000000-0005-0000-0000-0000343F0000}"/>
    <cellStyle name="Überschrift 3 3 2" xfId="49223" xr:uid="{AF6D8592-D1AA-4E65-BC67-7D2DEE992C17}"/>
    <cellStyle name="Überschrift 3 4" xfId="11872" xr:uid="{00000000-0005-0000-0000-0000353F0000}"/>
    <cellStyle name="Überschrift 3 4 2" xfId="49224" xr:uid="{AB65A784-D86A-498E-AF33-441EEA834268}"/>
    <cellStyle name="Überschrift 3 5" xfId="11873" xr:uid="{00000000-0005-0000-0000-0000363F0000}"/>
    <cellStyle name="Überschrift 3 5 2" xfId="49225" xr:uid="{451C6E7B-B49D-4A6F-AAF2-7699331A25A3}"/>
    <cellStyle name="Überschrift 3 6" xfId="11874" xr:uid="{00000000-0005-0000-0000-0000373F0000}"/>
    <cellStyle name="Überschrift 3 6 2" xfId="49226" xr:uid="{BE4F29CA-7B96-4097-A629-C725F0BBA4A5}"/>
    <cellStyle name="Überschrift 3 7" xfId="13412" xr:uid="{00000000-0005-0000-0000-0000383F0000}"/>
    <cellStyle name="Überschrift 3 7 2" xfId="49227" xr:uid="{427F705F-4A76-4318-B102-6146EF35CD23}"/>
    <cellStyle name="Überschrift 3 8" xfId="16535" xr:uid="{00000000-0005-0000-0000-0000393F0000}"/>
    <cellStyle name="Überschrift 3 8 2" xfId="49228" xr:uid="{62C85525-031C-499A-84B5-51BE029F971F}"/>
    <cellStyle name="Überschrift 3 9" xfId="9399" xr:uid="{00000000-0005-0000-0000-00003A3F0000}"/>
    <cellStyle name="Überschrift 3 9 2" xfId="49229" xr:uid="{E692F9E9-A4F8-4370-BA24-829D86E3CD05}"/>
    <cellStyle name="Überschrift 4" xfId="3292" xr:uid="{00000000-0005-0000-0000-00003B3F0000}"/>
    <cellStyle name="Überschrift 4 10" xfId="49230" xr:uid="{4837CD84-594B-43E1-94A5-68DBB40E63C3}"/>
    <cellStyle name="Überschrift 4 2" xfId="11875" xr:uid="{00000000-0005-0000-0000-00003C3F0000}"/>
    <cellStyle name="Überschrift 4 2 2" xfId="49231" xr:uid="{53AC4135-37CA-46DD-AD33-F7D7B90339BD}"/>
    <cellStyle name="Überschrift 4 3" xfId="11876" xr:uid="{00000000-0005-0000-0000-00003D3F0000}"/>
    <cellStyle name="Überschrift 4 3 2" xfId="49232" xr:uid="{A78659EB-7706-4133-B6D3-05AD037FC085}"/>
    <cellStyle name="Überschrift 4 4" xfId="11877" xr:uid="{00000000-0005-0000-0000-00003E3F0000}"/>
    <cellStyle name="Überschrift 4 4 2" xfId="49233" xr:uid="{CB889B16-1C0D-4D00-A505-0B7B944921FF}"/>
    <cellStyle name="Überschrift 4 5" xfId="11878" xr:uid="{00000000-0005-0000-0000-00003F3F0000}"/>
    <cellStyle name="Überschrift 4 5 2" xfId="49234" xr:uid="{9A799C53-8A0C-4402-9459-48EAD4E77B24}"/>
    <cellStyle name="Überschrift 4 6" xfId="11879" xr:uid="{00000000-0005-0000-0000-0000403F0000}"/>
    <cellStyle name="Überschrift 4 6 2" xfId="49235" xr:uid="{E876FF57-375D-47CB-9EBA-03DA905A995A}"/>
    <cellStyle name="Überschrift 4 7" xfId="13413" xr:uid="{00000000-0005-0000-0000-0000413F0000}"/>
    <cellStyle name="Überschrift 4 7 2" xfId="49236" xr:uid="{531D38BA-31F1-491B-B91A-CCB1169EAA25}"/>
    <cellStyle name="Überschrift 4 8" xfId="16500" xr:uid="{00000000-0005-0000-0000-0000423F0000}"/>
    <cellStyle name="Überschrift 4 8 2" xfId="49237" xr:uid="{54A79348-E8EF-4366-90F5-92C9C5FD172B}"/>
    <cellStyle name="Überschrift 4 9" xfId="9400" xr:uid="{00000000-0005-0000-0000-0000433F0000}"/>
    <cellStyle name="Überschrift 4 9 2" xfId="49238" xr:uid="{CFC1FA24-7D00-4D78-BEC9-45E8BCE2ADF0}"/>
    <cellStyle name="Überschrift 5" xfId="11880" xr:uid="{00000000-0005-0000-0000-0000443F0000}"/>
    <cellStyle name="Überschrift 5 2" xfId="49239" xr:uid="{07174E23-14FA-4E23-9D84-867BD4DD986B}"/>
    <cellStyle name="Überschrift 6" xfId="11881" xr:uid="{00000000-0005-0000-0000-0000453F0000}"/>
    <cellStyle name="Überschrift 6 2" xfId="49240" xr:uid="{DBA288B1-7908-4B2A-8D15-9396A8C799C8}"/>
    <cellStyle name="Überschrift 7" xfId="11882" xr:uid="{00000000-0005-0000-0000-0000463F0000}"/>
    <cellStyle name="Überschrift 7 2" xfId="49241" xr:uid="{33325270-47F6-4AA7-B285-E0384866CEE6}"/>
    <cellStyle name="Überschrift 8" xfId="11883" xr:uid="{00000000-0005-0000-0000-0000473F0000}"/>
    <cellStyle name="Überschrift 8 2" xfId="49242" xr:uid="{D6051BF4-5D95-4649-9405-140A20E26729}"/>
    <cellStyle name="Überschrift 9" xfId="11884" xr:uid="{00000000-0005-0000-0000-0000483F0000}"/>
    <cellStyle name="Überschrift 9 2" xfId="49243" xr:uid="{FBF40755-A506-4E19-B53B-40E23E0C0BD4}"/>
    <cellStyle name="Valuutta_Layo9704" xfId="260" xr:uid="{00000000-0005-0000-0000-0000493F0000}"/>
    <cellStyle name="Verknüpfte Zelle" xfId="3293" xr:uid="{00000000-0005-0000-0000-00004A3F0000}"/>
    <cellStyle name="Verknüpfte Zelle 10" xfId="49244" xr:uid="{88BDE59B-06C8-4875-8ABB-48CB8C8E1C6C}"/>
    <cellStyle name="Verknüpfte Zelle 2" xfId="11885" xr:uid="{00000000-0005-0000-0000-00004B3F0000}"/>
    <cellStyle name="Verknüpfte Zelle 2 2" xfId="49245" xr:uid="{56CB8585-3123-4238-B4D3-B7C03E8797A1}"/>
    <cellStyle name="Verknüpfte Zelle 3" xfId="11886" xr:uid="{00000000-0005-0000-0000-00004C3F0000}"/>
    <cellStyle name="Verknüpfte Zelle 3 2" xfId="49246" xr:uid="{912C0A5E-76ED-47D7-84EE-1A231A184170}"/>
    <cellStyle name="Verknüpfte Zelle 4" xfId="11887" xr:uid="{00000000-0005-0000-0000-00004D3F0000}"/>
    <cellStyle name="Verknüpfte Zelle 4 2" xfId="49247" xr:uid="{73B7E82C-A8DF-4430-95A0-BEFD926FF427}"/>
    <cellStyle name="Verknüpfte Zelle 5" xfId="11888" xr:uid="{00000000-0005-0000-0000-00004E3F0000}"/>
    <cellStyle name="Verknüpfte Zelle 5 2" xfId="49248" xr:uid="{E61A08BD-21E2-4C05-8F77-6984FBC4F117}"/>
    <cellStyle name="Verknüpfte Zelle 6" xfId="11889" xr:uid="{00000000-0005-0000-0000-00004F3F0000}"/>
    <cellStyle name="Verknüpfte Zelle 6 2" xfId="49249" xr:uid="{5C85114D-1D2F-41AF-ADDF-36F922CE56CE}"/>
    <cellStyle name="Verknüpfte Zelle 7" xfId="13414" xr:uid="{00000000-0005-0000-0000-0000503F0000}"/>
    <cellStyle name="Verknüpfte Zelle 7 2" xfId="49250" xr:uid="{9F82BD30-C026-4943-B6A7-4FB8B2ACE87E}"/>
    <cellStyle name="Verknüpfte Zelle 8" xfId="16413" xr:uid="{00000000-0005-0000-0000-0000513F0000}"/>
    <cellStyle name="Verknüpfte Zelle 8 2" xfId="49251" xr:uid="{551A4453-3AAD-4355-891B-8DAA4BCE4CB8}"/>
    <cellStyle name="Verknüpfte Zelle 9" xfId="9401" xr:uid="{00000000-0005-0000-0000-0000523F0000}"/>
    <cellStyle name="Verknüpfte Zelle 9 2" xfId="49252" xr:uid="{C4D66E35-5A0A-4C19-AE5F-387ACCAF8A5C}"/>
    <cellStyle name="Warnender Text" xfId="3294" xr:uid="{00000000-0005-0000-0000-0000533F0000}"/>
    <cellStyle name="Warnender Text 10" xfId="49253" xr:uid="{338930B3-A9D8-4DD8-843F-821A90C0919F}"/>
    <cellStyle name="Warnender Text 2" xfId="11890" xr:uid="{00000000-0005-0000-0000-0000543F0000}"/>
    <cellStyle name="Warnender Text 2 2" xfId="49255" xr:uid="{98B71E8A-A34D-44E6-BC2E-08E0FF33652D}"/>
    <cellStyle name="Warnender Text 2 3" xfId="49254" xr:uid="{17451EC8-972A-47AF-8430-DC209493776B}"/>
    <cellStyle name="Warnender Text 3" xfId="11891" xr:uid="{00000000-0005-0000-0000-0000553F0000}"/>
    <cellStyle name="Warnender Text 3 2" xfId="49257" xr:uid="{76186E53-5DC8-4AA7-8426-A15A0C94390A}"/>
    <cellStyle name="Warnender Text 3 3" xfId="49256" xr:uid="{CE65A4AF-A518-4773-AD76-1269F7A084BD}"/>
    <cellStyle name="Warnender Text 4" xfId="11892" xr:uid="{00000000-0005-0000-0000-0000563F0000}"/>
    <cellStyle name="Warnender Text 4 2" xfId="49258" xr:uid="{AC46BD5D-E44B-41B0-B228-3705FE9A455A}"/>
    <cellStyle name="Warnender Text 5" xfId="11893" xr:uid="{00000000-0005-0000-0000-0000573F0000}"/>
    <cellStyle name="Warnender Text 5 2" xfId="49259" xr:uid="{93D10DD0-FC24-40A8-8D00-02DCEFF9B323}"/>
    <cellStyle name="Warnender Text 6" xfId="11894" xr:uid="{00000000-0005-0000-0000-0000583F0000}"/>
    <cellStyle name="Warnender Text 6 2" xfId="49260" xr:uid="{B5C4E572-13C9-4072-8F8B-25A1F08E0FC1}"/>
    <cellStyle name="Warnender Text 7" xfId="13415" xr:uid="{00000000-0005-0000-0000-0000593F0000}"/>
    <cellStyle name="Warnender Text 7 2" xfId="49261" xr:uid="{1D73CB7F-2605-4AEF-AE85-2BE2FB6C4051}"/>
    <cellStyle name="Warnender Text 8" xfId="16318" xr:uid="{00000000-0005-0000-0000-00005A3F0000}"/>
    <cellStyle name="Warnender Text 8 2" xfId="49262" xr:uid="{A389A7E1-5DEF-41B5-BEA1-1E78AAAC458E}"/>
    <cellStyle name="Warnender Text 9" xfId="9402" xr:uid="{00000000-0005-0000-0000-00005B3F0000}"/>
    <cellStyle name="Warnender Text 9 2" xfId="49263" xr:uid="{AD7A3499-86F7-4E3C-9681-33E6172E659E}"/>
    <cellStyle name="Warning Text 10" xfId="3295" xr:uid="{00000000-0005-0000-0000-00005C3F0000}"/>
    <cellStyle name="Warning Text 10 10" xfId="49264" xr:uid="{84C81214-BF39-4890-B046-1311F894F310}"/>
    <cellStyle name="Warning Text 10 2" xfId="11895" xr:uid="{00000000-0005-0000-0000-00005D3F0000}"/>
    <cellStyle name="Warning Text 10 2 2" xfId="49265" xr:uid="{DE292354-EC4F-4F7D-836E-89B2FCF12458}"/>
    <cellStyle name="Warning Text 10 3" xfId="11896" xr:uid="{00000000-0005-0000-0000-00005E3F0000}"/>
    <cellStyle name="Warning Text 10 3 2" xfId="49266" xr:uid="{99A2BB4A-A130-41EC-B095-629FDCD128EA}"/>
    <cellStyle name="Warning Text 10 4" xfId="11897" xr:uid="{00000000-0005-0000-0000-00005F3F0000}"/>
    <cellStyle name="Warning Text 10 4 2" xfId="49267" xr:uid="{0B518B10-2AEF-472C-A970-D86CBB34FD2E}"/>
    <cellStyle name="Warning Text 10 5" xfId="11898" xr:uid="{00000000-0005-0000-0000-0000603F0000}"/>
    <cellStyle name="Warning Text 10 5 2" xfId="49268" xr:uid="{765BEB5E-6F8E-49B1-9266-9DBB34D2E5DD}"/>
    <cellStyle name="Warning Text 10 6" xfId="11899" xr:uid="{00000000-0005-0000-0000-0000613F0000}"/>
    <cellStyle name="Warning Text 10 6 2" xfId="49269" xr:uid="{98830D4F-4D33-4365-BC9E-5E3131602783}"/>
    <cellStyle name="Warning Text 10 7" xfId="13416" xr:uid="{00000000-0005-0000-0000-0000623F0000}"/>
    <cellStyle name="Warning Text 10 7 2" xfId="49270" xr:uid="{99412F65-D58B-4761-9992-02A092761733}"/>
    <cellStyle name="Warning Text 10 8" xfId="16386" xr:uid="{00000000-0005-0000-0000-0000633F0000}"/>
    <cellStyle name="Warning Text 10 8 2" xfId="49271" xr:uid="{5E6AAEB5-ECE3-4CFF-AE52-B5FC07A221F3}"/>
    <cellStyle name="Warning Text 10 9" xfId="9403" xr:uid="{00000000-0005-0000-0000-0000643F0000}"/>
    <cellStyle name="Warning Text 10 9 2" xfId="49272" xr:uid="{2D2A40D0-4F3A-46E3-8535-E15F5E58E5CE}"/>
    <cellStyle name="Warning Text 11" xfId="3296" xr:uid="{00000000-0005-0000-0000-0000653F0000}"/>
    <cellStyle name="Warning Text 11 10" xfId="49273" xr:uid="{2695101F-7924-43BE-9CCF-778BFC1004A4}"/>
    <cellStyle name="Warning Text 11 2" xfId="11900" xr:uid="{00000000-0005-0000-0000-0000663F0000}"/>
    <cellStyle name="Warning Text 11 2 2" xfId="49274" xr:uid="{942BC741-5A90-47FF-B843-612E60943110}"/>
    <cellStyle name="Warning Text 11 3" xfId="11901" xr:uid="{00000000-0005-0000-0000-0000673F0000}"/>
    <cellStyle name="Warning Text 11 3 2" xfId="49275" xr:uid="{3C0EE5AF-163E-4468-8F8C-71A4729C7EDF}"/>
    <cellStyle name="Warning Text 11 4" xfId="11902" xr:uid="{00000000-0005-0000-0000-0000683F0000}"/>
    <cellStyle name="Warning Text 11 4 2" xfId="49276" xr:uid="{B2D2FE3B-101B-4FE9-9F27-AB4F301B9270}"/>
    <cellStyle name="Warning Text 11 5" xfId="11903" xr:uid="{00000000-0005-0000-0000-0000693F0000}"/>
    <cellStyle name="Warning Text 11 5 2" xfId="49277" xr:uid="{318CE951-6051-4654-9F60-2C73CF890B12}"/>
    <cellStyle name="Warning Text 11 6" xfId="11904" xr:uid="{00000000-0005-0000-0000-00006A3F0000}"/>
    <cellStyle name="Warning Text 11 6 2" xfId="49278" xr:uid="{AE24D70E-34F0-4662-B7B5-4963D0031D41}"/>
    <cellStyle name="Warning Text 11 7" xfId="13417" xr:uid="{00000000-0005-0000-0000-00006B3F0000}"/>
    <cellStyle name="Warning Text 11 7 2" xfId="49279" xr:uid="{70BD27B7-A97E-4519-8EAF-48C94990B7A7}"/>
    <cellStyle name="Warning Text 11 8" xfId="16324" xr:uid="{00000000-0005-0000-0000-00006C3F0000}"/>
    <cellStyle name="Warning Text 11 8 2" xfId="49280" xr:uid="{A51BC0E3-A669-4CFD-A1BA-1C25E5A4601D}"/>
    <cellStyle name="Warning Text 11 9" xfId="9404" xr:uid="{00000000-0005-0000-0000-00006D3F0000}"/>
    <cellStyle name="Warning Text 11 9 2" xfId="49281" xr:uid="{2E3C7BB6-DC8B-4F36-9F37-8E5008C2CD25}"/>
    <cellStyle name="Warning Text 12" xfId="3297" xr:uid="{00000000-0005-0000-0000-00006E3F0000}"/>
    <cellStyle name="Warning Text 12 10" xfId="49282" xr:uid="{A72ABF6C-AE7D-458D-8272-2724D0E6CEE0}"/>
    <cellStyle name="Warning Text 12 2" xfId="11905" xr:uid="{00000000-0005-0000-0000-00006F3F0000}"/>
    <cellStyle name="Warning Text 12 2 2" xfId="49283" xr:uid="{789D03C7-8066-4DC8-9EAD-53EF95E442F5}"/>
    <cellStyle name="Warning Text 12 3" xfId="11906" xr:uid="{00000000-0005-0000-0000-0000703F0000}"/>
    <cellStyle name="Warning Text 12 3 2" xfId="49284" xr:uid="{79CDA14A-04C5-4880-B9D7-FF2BE1E13324}"/>
    <cellStyle name="Warning Text 12 4" xfId="11907" xr:uid="{00000000-0005-0000-0000-0000713F0000}"/>
    <cellStyle name="Warning Text 12 4 2" xfId="49285" xr:uid="{4233EE57-4A90-4AE7-90EB-2B7776FF38C9}"/>
    <cellStyle name="Warning Text 12 5" xfId="11908" xr:uid="{00000000-0005-0000-0000-0000723F0000}"/>
    <cellStyle name="Warning Text 12 5 2" xfId="49286" xr:uid="{805A19D1-3F12-4AF9-BF71-02F264C0BEBD}"/>
    <cellStyle name="Warning Text 12 6" xfId="11909" xr:uid="{00000000-0005-0000-0000-0000733F0000}"/>
    <cellStyle name="Warning Text 12 6 2" xfId="49287" xr:uid="{5B2D8857-FA0E-4CBA-8247-276492264764}"/>
    <cellStyle name="Warning Text 12 7" xfId="13418" xr:uid="{00000000-0005-0000-0000-0000743F0000}"/>
    <cellStyle name="Warning Text 12 7 2" xfId="49288" xr:uid="{3D10AD78-0F9A-4D82-858F-F26845F9D15A}"/>
    <cellStyle name="Warning Text 12 8" xfId="16503" xr:uid="{00000000-0005-0000-0000-0000753F0000}"/>
    <cellStyle name="Warning Text 12 8 2" xfId="49289" xr:uid="{A2146540-9FC0-49F9-A710-18B1863B0B58}"/>
    <cellStyle name="Warning Text 12 9" xfId="9405" xr:uid="{00000000-0005-0000-0000-0000763F0000}"/>
    <cellStyle name="Warning Text 12 9 2" xfId="49290" xr:uid="{97072981-944B-472E-BA0F-AAAE5AA682E9}"/>
    <cellStyle name="Warning Text 13" xfId="3298" xr:uid="{00000000-0005-0000-0000-0000773F0000}"/>
    <cellStyle name="Warning Text 13 10" xfId="49291" xr:uid="{ECE4E8C4-E821-41EC-984B-014E4EA403B5}"/>
    <cellStyle name="Warning Text 13 2" xfId="11910" xr:uid="{00000000-0005-0000-0000-0000783F0000}"/>
    <cellStyle name="Warning Text 13 2 2" xfId="49292" xr:uid="{916DAE05-D406-4E41-99B3-4BB414CEEEA1}"/>
    <cellStyle name="Warning Text 13 3" xfId="11911" xr:uid="{00000000-0005-0000-0000-0000793F0000}"/>
    <cellStyle name="Warning Text 13 3 2" xfId="49293" xr:uid="{CD98AA62-F452-4999-B81C-7BC0D062BBAC}"/>
    <cellStyle name="Warning Text 13 4" xfId="11912" xr:uid="{00000000-0005-0000-0000-00007A3F0000}"/>
    <cellStyle name="Warning Text 13 4 2" xfId="49294" xr:uid="{22AFA3BA-BCBA-435B-9E3B-8F5937ADCCF7}"/>
    <cellStyle name="Warning Text 13 5" xfId="11913" xr:uid="{00000000-0005-0000-0000-00007B3F0000}"/>
    <cellStyle name="Warning Text 13 5 2" xfId="49295" xr:uid="{DC13839C-AD8D-43D1-8D86-B09B84A3D345}"/>
    <cellStyle name="Warning Text 13 6" xfId="11914" xr:uid="{00000000-0005-0000-0000-00007C3F0000}"/>
    <cellStyle name="Warning Text 13 6 2" xfId="49296" xr:uid="{DD134E62-87A0-4E2E-80DA-3E718D2919AC}"/>
    <cellStyle name="Warning Text 13 7" xfId="13419" xr:uid="{00000000-0005-0000-0000-00007D3F0000}"/>
    <cellStyle name="Warning Text 13 7 2" xfId="49297" xr:uid="{EEF7CEEE-3438-4EFB-8A7B-029055959AF9}"/>
    <cellStyle name="Warning Text 13 8" xfId="12767" xr:uid="{00000000-0005-0000-0000-00007E3F0000}"/>
    <cellStyle name="Warning Text 13 8 2" xfId="49298" xr:uid="{292C743D-EC23-4068-9E7A-19494F7A2209}"/>
    <cellStyle name="Warning Text 13 9" xfId="9406" xr:uid="{00000000-0005-0000-0000-00007F3F0000}"/>
    <cellStyle name="Warning Text 13 9 2" xfId="49299" xr:uid="{F0CF5C3E-4806-4B89-BD54-3CF41F5784C3}"/>
    <cellStyle name="Warning Text 14" xfId="3299" xr:uid="{00000000-0005-0000-0000-0000803F0000}"/>
    <cellStyle name="Warning Text 14 10" xfId="49300" xr:uid="{D1813E31-4420-4099-B8D7-6B7C33FCA538}"/>
    <cellStyle name="Warning Text 14 2" xfId="11915" xr:uid="{00000000-0005-0000-0000-0000813F0000}"/>
    <cellStyle name="Warning Text 14 2 2" xfId="49301" xr:uid="{0421A596-94D9-442F-9635-1DAEA9F3BA53}"/>
    <cellStyle name="Warning Text 14 3" xfId="11916" xr:uid="{00000000-0005-0000-0000-0000823F0000}"/>
    <cellStyle name="Warning Text 14 3 2" xfId="49302" xr:uid="{508F532A-9385-4FA6-9200-DC5ACE6B7629}"/>
    <cellStyle name="Warning Text 14 4" xfId="11917" xr:uid="{00000000-0005-0000-0000-0000833F0000}"/>
    <cellStyle name="Warning Text 14 4 2" xfId="49303" xr:uid="{5EB2BBEF-0D6E-4DDF-B232-DEF935C21DDD}"/>
    <cellStyle name="Warning Text 14 5" xfId="11918" xr:uid="{00000000-0005-0000-0000-0000843F0000}"/>
    <cellStyle name="Warning Text 14 5 2" xfId="49304" xr:uid="{618A7281-4969-4A7F-8C6B-796D6A1895E6}"/>
    <cellStyle name="Warning Text 14 6" xfId="11919" xr:uid="{00000000-0005-0000-0000-0000853F0000}"/>
    <cellStyle name="Warning Text 14 6 2" xfId="49305" xr:uid="{653757BC-9CE3-406E-B2AC-44C31352F74D}"/>
    <cellStyle name="Warning Text 14 7" xfId="13420" xr:uid="{00000000-0005-0000-0000-0000863F0000}"/>
    <cellStyle name="Warning Text 14 7 2" xfId="49306" xr:uid="{2723031B-3D55-4BC9-8C8F-0D43EBFD52C6}"/>
    <cellStyle name="Warning Text 14 8" xfId="16479" xr:uid="{00000000-0005-0000-0000-0000873F0000}"/>
    <cellStyle name="Warning Text 14 8 2" xfId="49307" xr:uid="{44734BAF-8F23-44F7-8104-D1A53019EA38}"/>
    <cellStyle name="Warning Text 14 9" xfId="9407" xr:uid="{00000000-0005-0000-0000-0000883F0000}"/>
    <cellStyle name="Warning Text 14 9 2" xfId="49308" xr:uid="{FA6BDD42-2297-41E7-880B-75E63F4E4C76}"/>
    <cellStyle name="Warning Text 15" xfId="3300" xr:uid="{00000000-0005-0000-0000-0000893F0000}"/>
    <cellStyle name="Warning Text 15 10" xfId="49309" xr:uid="{3936CBCD-AA5E-4467-BE27-8D5905C6D742}"/>
    <cellStyle name="Warning Text 15 2" xfId="11920" xr:uid="{00000000-0005-0000-0000-00008A3F0000}"/>
    <cellStyle name="Warning Text 15 2 2" xfId="49310" xr:uid="{A461CB83-A604-4B81-B98D-C8C574DFB247}"/>
    <cellStyle name="Warning Text 15 3" xfId="11921" xr:uid="{00000000-0005-0000-0000-00008B3F0000}"/>
    <cellStyle name="Warning Text 15 3 2" xfId="49311" xr:uid="{2AAF9C20-B1FB-41E1-8699-B9D230E33899}"/>
    <cellStyle name="Warning Text 15 4" xfId="11922" xr:uid="{00000000-0005-0000-0000-00008C3F0000}"/>
    <cellStyle name="Warning Text 15 4 2" xfId="49312" xr:uid="{3D6ADEB6-1018-4E79-A2BB-D9D1745FB5E9}"/>
    <cellStyle name="Warning Text 15 5" xfId="11923" xr:uid="{00000000-0005-0000-0000-00008D3F0000}"/>
    <cellStyle name="Warning Text 15 5 2" xfId="49313" xr:uid="{A23F35F6-1F9F-4BC9-8E60-B4E792A86E5F}"/>
    <cellStyle name="Warning Text 15 6" xfId="11924" xr:uid="{00000000-0005-0000-0000-00008E3F0000}"/>
    <cellStyle name="Warning Text 15 6 2" xfId="49314" xr:uid="{07256829-B9C7-4E1A-9E8E-788AFEBEE50B}"/>
    <cellStyle name="Warning Text 15 7" xfId="13421" xr:uid="{00000000-0005-0000-0000-00008F3F0000}"/>
    <cellStyle name="Warning Text 15 7 2" xfId="49315" xr:uid="{DDB29F25-79E2-45FF-9D8D-7BA95A34A6B4}"/>
    <cellStyle name="Warning Text 15 8" xfId="13758" xr:uid="{00000000-0005-0000-0000-0000903F0000}"/>
    <cellStyle name="Warning Text 15 8 2" xfId="49316" xr:uid="{B42FA862-8474-4F41-93F8-237FCB819A40}"/>
    <cellStyle name="Warning Text 15 9" xfId="9408" xr:uid="{00000000-0005-0000-0000-0000913F0000}"/>
    <cellStyle name="Warning Text 15 9 2" xfId="49317" xr:uid="{8B5F68E3-D02E-44C7-A35E-DB8B3E315BC8}"/>
    <cellStyle name="Warning Text 16" xfId="3301" xr:uid="{00000000-0005-0000-0000-0000923F0000}"/>
    <cellStyle name="Warning Text 16 10" xfId="49318" xr:uid="{0352B05D-77AF-40FF-A383-57BD2808FC6F}"/>
    <cellStyle name="Warning Text 16 2" xfId="11925" xr:uid="{00000000-0005-0000-0000-0000933F0000}"/>
    <cellStyle name="Warning Text 16 2 2" xfId="49319" xr:uid="{86769539-0E8A-4276-9D92-0C7489BF9160}"/>
    <cellStyle name="Warning Text 16 3" xfId="11926" xr:uid="{00000000-0005-0000-0000-0000943F0000}"/>
    <cellStyle name="Warning Text 16 3 2" xfId="49320" xr:uid="{4E4C7AA1-D7DB-41AB-AEBF-70FAB23CD42F}"/>
    <cellStyle name="Warning Text 16 4" xfId="11927" xr:uid="{00000000-0005-0000-0000-0000953F0000}"/>
    <cellStyle name="Warning Text 16 4 2" xfId="49321" xr:uid="{4026D556-E003-4F64-A511-6783DDB4BE80}"/>
    <cellStyle name="Warning Text 16 5" xfId="11928" xr:uid="{00000000-0005-0000-0000-0000963F0000}"/>
    <cellStyle name="Warning Text 16 5 2" xfId="49322" xr:uid="{5B75AEB5-ECE0-4028-9FBC-C2EFA1708459}"/>
    <cellStyle name="Warning Text 16 6" xfId="11929" xr:uid="{00000000-0005-0000-0000-0000973F0000}"/>
    <cellStyle name="Warning Text 16 6 2" xfId="49323" xr:uid="{E3BBBC4F-4FAA-49C6-A8FC-731A3EF3B43C}"/>
    <cellStyle name="Warning Text 16 7" xfId="13422" xr:uid="{00000000-0005-0000-0000-0000983F0000}"/>
    <cellStyle name="Warning Text 16 7 2" xfId="49324" xr:uid="{7A062D89-75F6-43CE-8667-63BA8DE04398}"/>
    <cellStyle name="Warning Text 16 8" xfId="12498" xr:uid="{00000000-0005-0000-0000-0000993F0000}"/>
    <cellStyle name="Warning Text 16 8 2" xfId="49325" xr:uid="{23710ADB-9E9E-4308-B7CB-C7FF2B9C39F7}"/>
    <cellStyle name="Warning Text 16 9" xfId="9409" xr:uid="{00000000-0005-0000-0000-00009A3F0000}"/>
    <cellStyle name="Warning Text 16 9 2" xfId="49326" xr:uid="{91A55376-BAE8-49C6-8197-42D2A555178A}"/>
    <cellStyle name="Warning Text 17" xfId="3302" xr:uid="{00000000-0005-0000-0000-00009B3F0000}"/>
    <cellStyle name="Warning Text 17 10" xfId="49327" xr:uid="{CC9AFB64-4E91-40C1-904D-4ECD0FCEFB21}"/>
    <cellStyle name="Warning Text 17 2" xfId="11930" xr:uid="{00000000-0005-0000-0000-00009C3F0000}"/>
    <cellStyle name="Warning Text 17 2 2" xfId="49328" xr:uid="{A93B5353-8C70-45C3-A218-1DE29676B755}"/>
    <cellStyle name="Warning Text 17 3" xfId="11931" xr:uid="{00000000-0005-0000-0000-00009D3F0000}"/>
    <cellStyle name="Warning Text 17 3 2" xfId="49329" xr:uid="{A70186FE-E2EB-4F0B-BBE2-7C598A60E4BF}"/>
    <cellStyle name="Warning Text 17 4" xfId="11932" xr:uid="{00000000-0005-0000-0000-00009E3F0000}"/>
    <cellStyle name="Warning Text 17 4 2" xfId="49330" xr:uid="{D1F95C1E-8A7A-45E6-8145-DAA24F711630}"/>
    <cellStyle name="Warning Text 17 5" xfId="11933" xr:uid="{00000000-0005-0000-0000-00009F3F0000}"/>
    <cellStyle name="Warning Text 17 5 2" xfId="49331" xr:uid="{88394DEA-C661-4F22-92F6-8703485B26D9}"/>
    <cellStyle name="Warning Text 17 6" xfId="11934" xr:uid="{00000000-0005-0000-0000-0000A03F0000}"/>
    <cellStyle name="Warning Text 17 6 2" xfId="49332" xr:uid="{14FB0A50-D3C4-4083-99CA-6FD43B7951F7}"/>
    <cellStyle name="Warning Text 17 7" xfId="13423" xr:uid="{00000000-0005-0000-0000-0000A13F0000}"/>
    <cellStyle name="Warning Text 17 7 2" xfId="49333" xr:uid="{5CC9925C-EB30-4A0E-9C21-35F810027D68}"/>
    <cellStyle name="Warning Text 17 8" xfId="12783" xr:uid="{00000000-0005-0000-0000-0000A23F0000}"/>
    <cellStyle name="Warning Text 17 8 2" xfId="49334" xr:uid="{3EFDA5CB-678D-481F-BAC1-029FF2203D07}"/>
    <cellStyle name="Warning Text 17 9" xfId="9410" xr:uid="{00000000-0005-0000-0000-0000A33F0000}"/>
    <cellStyle name="Warning Text 17 9 2" xfId="49335" xr:uid="{D6CEB5B1-0F9D-4478-B2AA-E1FA5CB437D7}"/>
    <cellStyle name="Warning Text 18" xfId="3303" xr:uid="{00000000-0005-0000-0000-0000A43F0000}"/>
    <cellStyle name="Warning Text 18 10" xfId="49336" xr:uid="{5BE75CD6-6009-4FC6-9C66-C914CF5FAB04}"/>
    <cellStyle name="Warning Text 18 2" xfId="11935" xr:uid="{00000000-0005-0000-0000-0000A53F0000}"/>
    <cellStyle name="Warning Text 18 2 2" xfId="49337" xr:uid="{F89C477E-D023-4A48-9E78-36A98B5C4A0C}"/>
    <cellStyle name="Warning Text 18 3" xfId="11936" xr:uid="{00000000-0005-0000-0000-0000A63F0000}"/>
    <cellStyle name="Warning Text 18 3 2" xfId="49338" xr:uid="{FE29CC47-AA96-41DE-B97C-B2F89ECCDDF5}"/>
    <cellStyle name="Warning Text 18 4" xfId="11937" xr:uid="{00000000-0005-0000-0000-0000A73F0000}"/>
    <cellStyle name="Warning Text 18 4 2" xfId="49339" xr:uid="{80E1DF4E-FF8E-4DB4-806D-76E01ED9138B}"/>
    <cellStyle name="Warning Text 18 5" xfId="11938" xr:uid="{00000000-0005-0000-0000-0000A83F0000}"/>
    <cellStyle name="Warning Text 18 5 2" xfId="49340" xr:uid="{9F044CD3-B836-493D-B9C3-29B156CC8F62}"/>
    <cellStyle name="Warning Text 18 6" xfId="11939" xr:uid="{00000000-0005-0000-0000-0000A93F0000}"/>
    <cellStyle name="Warning Text 18 6 2" xfId="49341" xr:uid="{502996A2-D7C6-4944-9B48-F074F6A8B529}"/>
    <cellStyle name="Warning Text 18 7" xfId="13424" xr:uid="{00000000-0005-0000-0000-0000AA3F0000}"/>
    <cellStyle name="Warning Text 18 7 2" xfId="49342" xr:uid="{E3DA043F-2884-4708-9070-93585DC4E96E}"/>
    <cellStyle name="Warning Text 18 8" xfId="16347" xr:uid="{00000000-0005-0000-0000-0000AB3F0000}"/>
    <cellStyle name="Warning Text 18 8 2" xfId="49343" xr:uid="{6CF1C1D9-AEA8-47E3-A82B-9C5239686950}"/>
    <cellStyle name="Warning Text 18 9" xfId="9411" xr:uid="{00000000-0005-0000-0000-0000AC3F0000}"/>
    <cellStyle name="Warning Text 18 9 2" xfId="49344" xr:uid="{99E2755C-EC3A-4346-9C9F-A7DCFE45633D}"/>
    <cellStyle name="Warning Text 19" xfId="3304" xr:uid="{00000000-0005-0000-0000-0000AD3F0000}"/>
    <cellStyle name="Warning Text 19 10" xfId="49345" xr:uid="{DA1A1817-9C43-43EF-A5D7-3F4C909C4193}"/>
    <cellStyle name="Warning Text 19 2" xfId="11940" xr:uid="{00000000-0005-0000-0000-0000AE3F0000}"/>
    <cellStyle name="Warning Text 19 2 2" xfId="49346" xr:uid="{BB3C8387-B731-48C2-AA2C-6FEBAF04BDA9}"/>
    <cellStyle name="Warning Text 19 3" xfId="11941" xr:uid="{00000000-0005-0000-0000-0000AF3F0000}"/>
    <cellStyle name="Warning Text 19 3 2" xfId="49347" xr:uid="{48BC7B35-F2FD-4C18-B68B-994503FF933A}"/>
    <cellStyle name="Warning Text 19 4" xfId="11942" xr:uid="{00000000-0005-0000-0000-0000B03F0000}"/>
    <cellStyle name="Warning Text 19 4 2" xfId="49348" xr:uid="{5FD8AB75-C54C-471A-8EA9-E4E07A04279C}"/>
    <cellStyle name="Warning Text 19 5" xfId="11943" xr:uid="{00000000-0005-0000-0000-0000B13F0000}"/>
    <cellStyle name="Warning Text 19 5 2" xfId="49349" xr:uid="{A167E37B-4B4B-4F3B-A6CB-79DC1D88F857}"/>
    <cellStyle name="Warning Text 19 6" xfId="11944" xr:uid="{00000000-0005-0000-0000-0000B23F0000}"/>
    <cellStyle name="Warning Text 19 6 2" xfId="49350" xr:uid="{B80141B8-3635-4C4F-8A16-7D5437EA17D1}"/>
    <cellStyle name="Warning Text 19 7" xfId="13425" xr:uid="{00000000-0005-0000-0000-0000B33F0000}"/>
    <cellStyle name="Warning Text 19 7 2" xfId="49351" xr:uid="{E82F5046-B563-4815-81F0-A23B5B80DCF4}"/>
    <cellStyle name="Warning Text 19 8" xfId="12797" xr:uid="{00000000-0005-0000-0000-0000B43F0000}"/>
    <cellStyle name="Warning Text 19 8 2" xfId="49352" xr:uid="{388E0EB5-5ED2-4CE7-B2DB-4E646B7837D6}"/>
    <cellStyle name="Warning Text 19 9" xfId="9412" xr:uid="{00000000-0005-0000-0000-0000B53F0000}"/>
    <cellStyle name="Warning Text 19 9 2" xfId="49353" xr:uid="{EC8DBE31-AFB4-43C5-997D-544A7F7A0172}"/>
    <cellStyle name="Warning Text 2" xfId="261" xr:uid="{00000000-0005-0000-0000-0000B63F0000}"/>
    <cellStyle name="Warning Text 2 10" xfId="4769" xr:uid="{00000000-0005-0000-0000-0000B73F0000}"/>
    <cellStyle name="Warning Text 2 10 2" xfId="11945" xr:uid="{00000000-0005-0000-0000-0000B83F0000}"/>
    <cellStyle name="Warning Text 2 10 2 2" xfId="49356" xr:uid="{A23FBAF9-D157-4285-AF86-1A1937A12E54}"/>
    <cellStyle name="Warning Text 2 10 3" xfId="11946" xr:uid="{00000000-0005-0000-0000-0000B93F0000}"/>
    <cellStyle name="Warning Text 2 10 3 2" xfId="49357" xr:uid="{4C8FF69D-36AA-4956-8C27-B8AF19F0CC58}"/>
    <cellStyle name="Warning Text 2 10 4" xfId="11947" xr:uid="{00000000-0005-0000-0000-0000BA3F0000}"/>
    <cellStyle name="Warning Text 2 10 4 2" xfId="49358" xr:uid="{14A679AC-508A-4485-A2F7-9D5FF3766B3F}"/>
    <cellStyle name="Warning Text 2 10 5" xfId="11948" xr:uid="{00000000-0005-0000-0000-0000BB3F0000}"/>
    <cellStyle name="Warning Text 2 10 5 2" xfId="49359" xr:uid="{115990B4-D5F7-47C7-8B4E-72F531EA3468}"/>
    <cellStyle name="Warning Text 2 10 6" xfId="12359" xr:uid="{00000000-0005-0000-0000-0000BC3F0000}"/>
    <cellStyle name="Warning Text 2 10 6 2" xfId="49360" xr:uid="{B885908B-EE7C-4624-8B18-AECB521BD286}"/>
    <cellStyle name="Warning Text 2 10 7" xfId="12423" xr:uid="{00000000-0005-0000-0000-0000BD3F0000}"/>
    <cellStyle name="Warning Text 2 10 7 2" xfId="49361" xr:uid="{52AED155-57DF-42FA-B8A9-FFABA17CACD1}"/>
    <cellStyle name="Warning Text 2 10 8" xfId="9414" xr:uid="{00000000-0005-0000-0000-0000BE3F0000}"/>
    <cellStyle name="Warning Text 2 10 8 2" xfId="49362" xr:uid="{EF066C12-76BC-4BCC-A1D8-6CEFC3680368}"/>
    <cellStyle name="Warning Text 2 10 9" xfId="49355" xr:uid="{759E6EBB-D9E9-413A-AEFB-3676399094F2}"/>
    <cellStyle name="Warning Text 2 11" xfId="11949" xr:uid="{00000000-0005-0000-0000-0000BF3F0000}"/>
    <cellStyle name="Warning Text 2 11 2" xfId="49363" xr:uid="{8C2D1522-9C42-45BB-9CC0-BC155F6240B0}"/>
    <cellStyle name="Warning Text 2 12" xfId="11950" xr:uid="{00000000-0005-0000-0000-0000C03F0000}"/>
    <cellStyle name="Warning Text 2 12 2" xfId="49364" xr:uid="{E87AB0F5-3580-41EE-AA6E-C7522D1C1D4C}"/>
    <cellStyle name="Warning Text 2 13" xfId="11951" xr:uid="{00000000-0005-0000-0000-0000C13F0000}"/>
    <cellStyle name="Warning Text 2 13 2" xfId="49365" xr:uid="{5C50D4CF-1992-4F44-B58F-9E3ED1EEEAD9}"/>
    <cellStyle name="Warning Text 2 14" xfId="11952" xr:uid="{00000000-0005-0000-0000-0000C23F0000}"/>
    <cellStyle name="Warning Text 2 14 2" xfId="49366" xr:uid="{27F12A75-0FC5-4889-8784-C1E66DF30FAE}"/>
    <cellStyle name="Warning Text 2 15" xfId="11953" xr:uid="{00000000-0005-0000-0000-0000C33F0000}"/>
    <cellStyle name="Warning Text 2 15 2" xfId="49367" xr:uid="{15D80FA7-9F27-4BC3-8770-542A9F9E9859}"/>
    <cellStyle name="Warning Text 2 16" xfId="12358" xr:uid="{00000000-0005-0000-0000-0000C43F0000}"/>
    <cellStyle name="Warning Text 2 16 2" xfId="49368" xr:uid="{83E9D4EA-012A-4390-B178-508926797A86}"/>
    <cellStyle name="Warning Text 2 17" xfId="16465" xr:uid="{00000000-0005-0000-0000-0000C53F0000}"/>
    <cellStyle name="Warning Text 2 17 2" xfId="49369" xr:uid="{3CE7CA76-B140-4E02-9212-CAA1C6345F8E}"/>
    <cellStyle name="Warning Text 2 18" xfId="9413" xr:uid="{00000000-0005-0000-0000-0000C63F0000}"/>
    <cellStyle name="Warning Text 2 18 2" xfId="49370" xr:uid="{3B6E9A4E-4FD0-46C6-AEDE-FAF82D3BC62E}"/>
    <cellStyle name="Warning Text 2 19" xfId="49354" xr:uid="{F36FC654-E508-4C1F-BB3B-A046474F91FB}"/>
    <cellStyle name="Warning Text 2 2" xfId="4770" xr:uid="{00000000-0005-0000-0000-0000C73F0000}"/>
    <cellStyle name="Warning Text 2 2 2" xfId="11954" xr:uid="{00000000-0005-0000-0000-0000C83F0000}"/>
    <cellStyle name="Warning Text 2 2 2 2" xfId="49372" xr:uid="{EF5EDE8C-AB2C-4E74-8FBA-301C578F839A}"/>
    <cellStyle name="Warning Text 2 2 3" xfId="11955" xr:uid="{00000000-0005-0000-0000-0000C93F0000}"/>
    <cellStyle name="Warning Text 2 2 3 2" xfId="49373" xr:uid="{2750CB5B-0887-4300-80DC-1E15BEFA1298}"/>
    <cellStyle name="Warning Text 2 2 4" xfId="11956" xr:uid="{00000000-0005-0000-0000-0000CA3F0000}"/>
    <cellStyle name="Warning Text 2 2 4 2" xfId="49374" xr:uid="{9903DAE1-F8AB-4CB2-AE75-E079F42C7015}"/>
    <cellStyle name="Warning Text 2 2 5" xfId="11957" xr:uid="{00000000-0005-0000-0000-0000CB3F0000}"/>
    <cellStyle name="Warning Text 2 2 5 2" xfId="49375" xr:uid="{75252E7E-19DC-45D1-B05B-CFC5D6632586}"/>
    <cellStyle name="Warning Text 2 2 6" xfId="12360" xr:uid="{00000000-0005-0000-0000-0000CC3F0000}"/>
    <cellStyle name="Warning Text 2 2 6 2" xfId="49376" xr:uid="{E241F759-9A69-4B06-8DB3-D6ACC270AF4A}"/>
    <cellStyle name="Warning Text 2 2 7" xfId="16477" xr:uid="{00000000-0005-0000-0000-0000CD3F0000}"/>
    <cellStyle name="Warning Text 2 2 7 2" xfId="49377" xr:uid="{48BF71D6-455D-4528-8D32-F9D3DB698D59}"/>
    <cellStyle name="Warning Text 2 2 8" xfId="9415" xr:uid="{00000000-0005-0000-0000-0000CE3F0000}"/>
    <cellStyle name="Warning Text 2 2 8 2" xfId="49378" xr:uid="{4FE8FD5F-44A6-4720-A623-25BB943A182B}"/>
    <cellStyle name="Warning Text 2 2 9" xfId="49371" xr:uid="{00E74274-CE22-422A-938F-2EF70F59F7ED}"/>
    <cellStyle name="Warning Text 2 3" xfId="4771" xr:uid="{00000000-0005-0000-0000-0000CF3F0000}"/>
    <cellStyle name="Warning Text 2 3 2" xfId="11958" xr:uid="{00000000-0005-0000-0000-0000D03F0000}"/>
    <cellStyle name="Warning Text 2 3 2 2" xfId="49380" xr:uid="{BDC40FA5-11E5-4ECD-A2D7-AF59025B12F0}"/>
    <cellStyle name="Warning Text 2 3 3" xfId="11959" xr:uid="{00000000-0005-0000-0000-0000D13F0000}"/>
    <cellStyle name="Warning Text 2 3 3 2" xfId="49381" xr:uid="{DFC3F142-203B-45A1-8D5E-0BAD3F3158CD}"/>
    <cellStyle name="Warning Text 2 3 4" xfId="11960" xr:uid="{00000000-0005-0000-0000-0000D23F0000}"/>
    <cellStyle name="Warning Text 2 3 4 2" xfId="49382" xr:uid="{62FF4FF3-43EF-4065-8ABE-144E07B816D4}"/>
    <cellStyle name="Warning Text 2 3 5" xfId="11961" xr:uid="{00000000-0005-0000-0000-0000D33F0000}"/>
    <cellStyle name="Warning Text 2 3 5 2" xfId="49383" xr:uid="{5E4E08CA-0B0D-4F92-AE1A-5E136B4C5359}"/>
    <cellStyle name="Warning Text 2 3 6" xfId="12361" xr:uid="{00000000-0005-0000-0000-0000D43F0000}"/>
    <cellStyle name="Warning Text 2 3 6 2" xfId="49384" xr:uid="{E19A1E04-563A-4854-B2D1-97AF5D1C08A9}"/>
    <cellStyle name="Warning Text 2 3 7" xfId="16379" xr:uid="{00000000-0005-0000-0000-0000D53F0000}"/>
    <cellStyle name="Warning Text 2 3 7 2" xfId="49385" xr:uid="{CCA78765-B908-4A27-80DC-D2EF0DF4D503}"/>
    <cellStyle name="Warning Text 2 3 8" xfId="9416" xr:uid="{00000000-0005-0000-0000-0000D63F0000}"/>
    <cellStyle name="Warning Text 2 3 8 2" xfId="49386" xr:uid="{9B3D8900-D239-4FFE-A475-B91962771851}"/>
    <cellStyle name="Warning Text 2 3 9" xfId="49379" xr:uid="{152FD00D-9DEC-43E4-B98E-14DADE54635B}"/>
    <cellStyle name="Warning Text 2 4" xfId="4772" xr:uid="{00000000-0005-0000-0000-0000D73F0000}"/>
    <cellStyle name="Warning Text 2 4 2" xfId="11962" xr:uid="{00000000-0005-0000-0000-0000D83F0000}"/>
    <cellStyle name="Warning Text 2 4 2 2" xfId="49388" xr:uid="{7DEAE06F-D2D9-4971-83AD-85F2C5E00656}"/>
    <cellStyle name="Warning Text 2 4 3" xfId="11963" xr:uid="{00000000-0005-0000-0000-0000D93F0000}"/>
    <cellStyle name="Warning Text 2 4 3 2" xfId="49389" xr:uid="{02B0E1FB-DFBD-44AB-9712-97BC9367679B}"/>
    <cellStyle name="Warning Text 2 4 4" xfId="11964" xr:uid="{00000000-0005-0000-0000-0000DA3F0000}"/>
    <cellStyle name="Warning Text 2 4 4 2" xfId="49390" xr:uid="{1F634CFF-2E39-4CC2-9EE5-EA9B682EAA16}"/>
    <cellStyle name="Warning Text 2 4 5" xfId="11965" xr:uid="{00000000-0005-0000-0000-0000DB3F0000}"/>
    <cellStyle name="Warning Text 2 4 5 2" xfId="49391" xr:uid="{5A4DA1DF-05BF-4171-89C5-407DB024CA2A}"/>
    <cellStyle name="Warning Text 2 4 6" xfId="12362" xr:uid="{00000000-0005-0000-0000-0000DC3F0000}"/>
    <cellStyle name="Warning Text 2 4 6 2" xfId="49392" xr:uid="{33C8F1A7-125D-4933-B984-17F798D6B47E}"/>
    <cellStyle name="Warning Text 2 4 7" xfId="12837" xr:uid="{00000000-0005-0000-0000-0000DD3F0000}"/>
    <cellStyle name="Warning Text 2 4 7 2" xfId="49393" xr:uid="{E3BDB2B8-8B9C-4A3D-B1C1-B0E7D1624D9F}"/>
    <cellStyle name="Warning Text 2 4 8" xfId="9417" xr:uid="{00000000-0005-0000-0000-0000DE3F0000}"/>
    <cellStyle name="Warning Text 2 4 8 2" xfId="49394" xr:uid="{479D96D2-08C6-4A1E-8016-053B8E68BD83}"/>
    <cellStyle name="Warning Text 2 4 9" xfId="49387" xr:uid="{9700C519-BF48-4817-AA92-91FE5B8754AA}"/>
    <cellStyle name="Warning Text 2 5" xfId="4773" xr:uid="{00000000-0005-0000-0000-0000DF3F0000}"/>
    <cellStyle name="Warning Text 2 5 2" xfId="11966" xr:uid="{00000000-0005-0000-0000-0000E03F0000}"/>
    <cellStyle name="Warning Text 2 5 2 2" xfId="49396" xr:uid="{32A128D1-D5AF-4317-985C-B6C50AF375BE}"/>
    <cellStyle name="Warning Text 2 5 3" xfId="11967" xr:uid="{00000000-0005-0000-0000-0000E13F0000}"/>
    <cellStyle name="Warning Text 2 5 3 2" xfId="49397" xr:uid="{45E58500-21B9-419F-9C56-85D2E2BD0D24}"/>
    <cellStyle name="Warning Text 2 5 4" xfId="11968" xr:uid="{00000000-0005-0000-0000-0000E23F0000}"/>
    <cellStyle name="Warning Text 2 5 4 2" xfId="49398" xr:uid="{6D78394F-2773-4E1C-B0B3-45D59F10ED19}"/>
    <cellStyle name="Warning Text 2 5 5" xfId="11969" xr:uid="{00000000-0005-0000-0000-0000E33F0000}"/>
    <cellStyle name="Warning Text 2 5 5 2" xfId="49399" xr:uid="{EB8C917A-64E3-4CD5-9AC3-A8D59C38F717}"/>
    <cellStyle name="Warning Text 2 5 6" xfId="12363" xr:uid="{00000000-0005-0000-0000-0000E43F0000}"/>
    <cellStyle name="Warning Text 2 5 6 2" xfId="49400" xr:uid="{DCF5F2C9-920C-44EA-BA82-0EAFEA2302E8}"/>
    <cellStyle name="Warning Text 2 5 7" xfId="12791" xr:uid="{00000000-0005-0000-0000-0000E53F0000}"/>
    <cellStyle name="Warning Text 2 5 7 2" xfId="49401" xr:uid="{83869ACF-6682-47EE-9752-38550716C1A8}"/>
    <cellStyle name="Warning Text 2 5 8" xfId="9418" xr:uid="{00000000-0005-0000-0000-0000E63F0000}"/>
    <cellStyle name="Warning Text 2 5 8 2" xfId="49402" xr:uid="{80F9AC30-C5D1-4901-BC53-50632E8D354E}"/>
    <cellStyle name="Warning Text 2 5 9" xfId="49395" xr:uid="{BC5BB01E-2B5B-4400-801A-8B6547634266}"/>
    <cellStyle name="Warning Text 2 6" xfId="4774" xr:uid="{00000000-0005-0000-0000-0000E73F0000}"/>
    <cellStyle name="Warning Text 2 6 2" xfId="11970" xr:uid="{00000000-0005-0000-0000-0000E83F0000}"/>
    <cellStyle name="Warning Text 2 6 2 2" xfId="49404" xr:uid="{28289A8A-3857-42F5-BD70-336DE42767C5}"/>
    <cellStyle name="Warning Text 2 6 3" xfId="11971" xr:uid="{00000000-0005-0000-0000-0000E93F0000}"/>
    <cellStyle name="Warning Text 2 6 3 2" xfId="49405" xr:uid="{DEEFA1B6-601B-45F6-BC3C-F793D0D1BD3F}"/>
    <cellStyle name="Warning Text 2 6 4" xfId="11972" xr:uid="{00000000-0005-0000-0000-0000EA3F0000}"/>
    <cellStyle name="Warning Text 2 6 4 2" xfId="49406" xr:uid="{083134FB-C99B-4BAC-9295-5C46896E16D1}"/>
    <cellStyle name="Warning Text 2 6 5" xfId="11973" xr:uid="{00000000-0005-0000-0000-0000EB3F0000}"/>
    <cellStyle name="Warning Text 2 6 5 2" xfId="49407" xr:uid="{B98D07C4-3F3D-456A-9591-2EA487830AFF}"/>
    <cellStyle name="Warning Text 2 6 6" xfId="12364" xr:uid="{00000000-0005-0000-0000-0000EC3F0000}"/>
    <cellStyle name="Warning Text 2 6 6 2" xfId="49408" xr:uid="{99DBF880-FDD0-4F19-88DC-2E92FA6B23F0}"/>
    <cellStyle name="Warning Text 2 6 7" xfId="16434" xr:uid="{00000000-0005-0000-0000-0000ED3F0000}"/>
    <cellStyle name="Warning Text 2 6 7 2" xfId="49409" xr:uid="{E1FFB936-3C48-4790-A80A-5C40C715A066}"/>
    <cellStyle name="Warning Text 2 6 8" xfId="9419" xr:uid="{00000000-0005-0000-0000-0000EE3F0000}"/>
    <cellStyle name="Warning Text 2 6 8 2" xfId="49410" xr:uid="{09D6E72E-2B43-48CB-AD4A-883A9951DC73}"/>
    <cellStyle name="Warning Text 2 6 9" xfId="49403" xr:uid="{4BAB6791-FA5D-48EA-8D37-0C837D1A2B5D}"/>
    <cellStyle name="Warning Text 2 7" xfId="4775" xr:uid="{00000000-0005-0000-0000-0000EF3F0000}"/>
    <cellStyle name="Warning Text 2 7 2" xfId="11974" xr:uid="{00000000-0005-0000-0000-0000F03F0000}"/>
    <cellStyle name="Warning Text 2 7 2 2" xfId="49412" xr:uid="{7FA9CA3A-0D35-4FD5-AE0A-5D5A62E20B91}"/>
    <cellStyle name="Warning Text 2 7 3" xfId="11975" xr:uid="{00000000-0005-0000-0000-0000F13F0000}"/>
    <cellStyle name="Warning Text 2 7 3 2" xfId="49413" xr:uid="{A6E1A204-5187-43CF-8B14-D53279F50F71}"/>
    <cellStyle name="Warning Text 2 7 4" xfId="11976" xr:uid="{00000000-0005-0000-0000-0000F23F0000}"/>
    <cellStyle name="Warning Text 2 7 4 2" xfId="49414" xr:uid="{BE3A4DF2-6DCE-4697-BD83-F5157C131E6E}"/>
    <cellStyle name="Warning Text 2 7 5" xfId="11977" xr:uid="{00000000-0005-0000-0000-0000F33F0000}"/>
    <cellStyle name="Warning Text 2 7 5 2" xfId="49415" xr:uid="{A31C949F-60B1-4E94-9922-A558F330C3BA}"/>
    <cellStyle name="Warning Text 2 7 6" xfId="12365" xr:uid="{00000000-0005-0000-0000-0000F43F0000}"/>
    <cellStyle name="Warning Text 2 7 6 2" xfId="49416" xr:uid="{450F3728-6E76-441D-87AE-B9BDFFF1AA91}"/>
    <cellStyle name="Warning Text 2 7 7" xfId="16387" xr:uid="{00000000-0005-0000-0000-0000F53F0000}"/>
    <cellStyle name="Warning Text 2 7 7 2" xfId="49417" xr:uid="{777E5B72-4D5A-46BC-B2CE-EB77A76C5563}"/>
    <cellStyle name="Warning Text 2 7 8" xfId="9420" xr:uid="{00000000-0005-0000-0000-0000F63F0000}"/>
    <cellStyle name="Warning Text 2 7 8 2" xfId="49418" xr:uid="{CD4E994A-B590-4C1F-9B9B-193BE92DE63B}"/>
    <cellStyle name="Warning Text 2 7 9" xfId="49411" xr:uid="{0615B369-3D9C-4137-93A3-75667A09B1BF}"/>
    <cellStyle name="Warning Text 2 8" xfId="4776" xr:uid="{00000000-0005-0000-0000-0000F73F0000}"/>
    <cellStyle name="Warning Text 2 8 2" xfId="11978" xr:uid="{00000000-0005-0000-0000-0000F83F0000}"/>
    <cellStyle name="Warning Text 2 8 2 2" xfId="49420" xr:uid="{CEA802B9-283D-4212-860F-45B39FFE8AB2}"/>
    <cellStyle name="Warning Text 2 8 3" xfId="11979" xr:uid="{00000000-0005-0000-0000-0000F93F0000}"/>
    <cellStyle name="Warning Text 2 8 3 2" xfId="49421" xr:uid="{8179969E-FCA4-4C9D-8338-96B6D7ED7FF4}"/>
    <cellStyle name="Warning Text 2 8 4" xfId="11980" xr:uid="{00000000-0005-0000-0000-0000FA3F0000}"/>
    <cellStyle name="Warning Text 2 8 4 2" xfId="49422" xr:uid="{9CDF3FE2-B4BC-4E5F-A00A-FE2BD03C7003}"/>
    <cellStyle name="Warning Text 2 8 5" xfId="11981" xr:uid="{00000000-0005-0000-0000-0000FB3F0000}"/>
    <cellStyle name="Warning Text 2 8 5 2" xfId="49423" xr:uid="{35B18D5E-2EA5-45D3-A0C5-1C99AF853BB2}"/>
    <cellStyle name="Warning Text 2 8 6" xfId="12366" xr:uid="{00000000-0005-0000-0000-0000FC3F0000}"/>
    <cellStyle name="Warning Text 2 8 6 2" xfId="49424" xr:uid="{1AA24429-43E4-46A9-BE35-3FCE5D9C2DB0}"/>
    <cellStyle name="Warning Text 2 8 7" xfId="13850" xr:uid="{00000000-0005-0000-0000-0000FD3F0000}"/>
    <cellStyle name="Warning Text 2 8 7 2" xfId="49425" xr:uid="{57116930-D1EF-40C3-9A2C-B626B41899EF}"/>
    <cellStyle name="Warning Text 2 8 8" xfId="9421" xr:uid="{00000000-0005-0000-0000-0000FE3F0000}"/>
    <cellStyle name="Warning Text 2 8 8 2" xfId="49426" xr:uid="{378406FE-84A5-4873-A4C7-65EBE9A91501}"/>
    <cellStyle name="Warning Text 2 8 9" xfId="49419" xr:uid="{985C6CF8-E0F2-4B47-A879-151990B0AF49}"/>
    <cellStyle name="Warning Text 2 9" xfId="4777" xr:uid="{00000000-0005-0000-0000-0000FF3F0000}"/>
    <cellStyle name="Warning Text 2 9 2" xfId="11982" xr:uid="{00000000-0005-0000-0000-000000400000}"/>
    <cellStyle name="Warning Text 2 9 2 2" xfId="49428" xr:uid="{69C12AC1-60AA-490F-AB90-9E11FA0537A6}"/>
    <cellStyle name="Warning Text 2 9 3" xfId="11983" xr:uid="{00000000-0005-0000-0000-000001400000}"/>
    <cellStyle name="Warning Text 2 9 3 2" xfId="49429" xr:uid="{0DE5535F-CDE1-4820-B894-87973B88139B}"/>
    <cellStyle name="Warning Text 2 9 4" xfId="11984" xr:uid="{00000000-0005-0000-0000-000002400000}"/>
    <cellStyle name="Warning Text 2 9 4 2" xfId="49430" xr:uid="{58BBB832-F644-4108-ACD2-342A5C395B13}"/>
    <cellStyle name="Warning Text 2 9 5" xfId="11985" xr:uid="{00000000-0005-0000-0000-000003400000}"/>
    <cellStyle name="Warning Text 2 9 5 2" xfId="49431" xr:uid="{51F0A291-4D40-481A-944B-71115E2C7AB3}"/>
    <cellStyle name="Warning Text 2 9 6" xfId="12367" xr:uid="{00000000-0005-0000-0000-000004400000}"/>
    <cellStyle name="Warning Text 2 9 6 2" xfId="49432" xr:uid="{7A4E6F9F-F08C-447C-BB62-0979D15BF744}"/>
    <cellStyle name="Warning Text 2 9 7" xfId="13830" xr:uid="{00000000-0005-0000-0000-000005400000}"/>
    <cellStyle name="Warning Text 2 9 7 2" xfId="49433" xr:uid="{EA4444DB-340B-4B6D-9324-0C3DEE3D07F0}"/>
    <cellStyle name="Warning Text 2 9 8" xfId="9422" xr:uid="{00000000-0005-0000-0000-000006400000}"/>
    <cellStyle name="Warning Text 2 9 8 2" xfId="49434" xr:uid="{F02ABACD-FDFC-4B0A-84A7-3903A54A1BBF}"/>
    <cellStyle name="Warning Text 2 9 9" xfId="49427" xr:uid="{27B80313-414C-4E69-A641-39EA67EEAC88}"/>
    <cellStyle name="Warning Text 20" xfId="3305" xr:uid="{00000000-0005-0000-0000-000007400000}"/>
    <cellStyle name="Warning Text 20 10" xfId="49435" xr:uid="{4C225FEA-694A-423C-8734-7BE1A3222681}"/>
    <cellStyle name="Warning Text 20 2" xfId="11986" xr:uid="{00000000-0005-0000-0000-000008400000}"/>
    <cellStyle name="Warning Text 20 2 2" xfId="49436" xr:uid="{35D79C32-5A48-4E5A-84F8-03420B1BB675}"/>
    <cellStyle name="Warning Text 20 3" xfId="11987" xr:uid="{00000000-0005-0000-0000-000009400000}"/>
    <cellStyle name="Warning Text 20 3 2" xfId="49437" xr:uid="{CBD81A84-E0F7-4D29-8F12-A8C74EF7504B}"/>
    <cellStyle name="Warning Text 20 4" xfId="11988" xr:uid="{00000000-0005-0000-0000-00000A400000}"/>
    <cellStyle name="Warning Text 20 4 2" xfId="49438" xr:uid="{C59C18B0-F671-44F5-A1B0-435E4BCC001D}"/>
    <cellStyle name="Warning Text 20 5" xfId="11989" xr:uid="{00000000-0005-0000-0000-00000B400000}"/>
    <cellStyle name="Warning Text 20 5 2" xfId="49439" xr:uid="{D3BD02C5-EFE1-48D1-91AE-A59A39D60F0F}"/>
    <cellStyle name="Warning Text 20 6" xfId="11990" xr:uid="{00000000-0005-0000-0000-00000C400000}"/>
    <cellStyle name="Warning Text 20 6 2" xfId="49440" xr:uid="{EB338259-87E2-4B67-AC71-9E03097AA2C4}"/>
    <cellStyle name="Warning Text 20 7" xfId="13426" xr:uid="{00000000-0005-0000-0000-00000D400000}"/>
    <cellStyle name="Warning Text 20 7 2" xfId="49441" xr:uid="{04C31A18-61EB-4851-8DCA-EEB1E99C8CD1}"/>
    <cellStyle name="Warning Text 20 8" xfId="12542" xr:uid="{00000000-0005-0000-0000-00000E400000}"/>
    <cellStyle name="Warning Text 20 8 2" xfId="49442" xr:uid="{B2960898-C191-436E-BBAC-FDB20C1EEA96}"/>
    <cellStyle name="Warning Text 20 9" xfId="9423" xr:uid="{00000000-0005-0000-0000-00000F400000}"/>
    <cellStyle name="Warning Text 20 9 2" xfId="49443" xr:uid="{77E569F3-2949-4C70-8BC3-E2CC9C36B959}"/>
    <cellStyle name="Warning Text 21" xfId="3306" xr:uid="{00000000-0005-0000-0000-000010400000}"/>
    <cellStyle name="Warning Text 21 10" xfId="49444" xr:uid="{C0299A54-6809-420E-BDE7-FEB5A8F244D8}"/>
    <cellStyle name="Warning Text 21 2" xfId="11991" xr:uid="{00000000-0005-0000-0000-000011400000}"/>
    <cellStyle name="Warning Text 21 2 2" xfId="49445" xr:uid="{E2F559F9-7ACC-4F36-AA62-2E40A9189074}"/>
    <cellStyle name="Warning Text 21 3" xfId="11992" xr:uid="{00000000-0005-0000-0000-000012400000}"/>
    <cellStyle name="Warning Text 21 3 2" xfId="49446" xr:uid="{8BCCB094-A0C9-40F3-8E60-6EAFD5F36DD7}"/>
    <cellStyle name="Warning Text 21 4" xfId="11993" xr:uid="{00000000-0005-0000-0000-000013400000}"/>
    <cellStyle name="Warning Text 21 4 2" xfId="49447" xr:uid="{999FB749-652F-4E37-A305-988DC391D642}"/>
    <cellStyle name="Warning Text 21 5" xfId="11994" xr:uid="{00000000-0005-0000-0000-000014400000}"/>
    <cellStyle name="Warning Text 21 5 2" xfId="49448" xr:uid="{46F16B45-2801-4332-8810-3A5462F9F35B}"/>
    <cellStyle name="Warning Text 21 6" xfId="11995" xr:uid="{00000000-0005-0000-0000-000015400000}"/>
    <cellStyle name="Warning Text 21 6 2" xfId="49449" xr:uid="{72B07EF1-4EB7-4A57-BF79-626150FECA6D}"/>
    <cellStyle name="Warning Text 21 7" xfId="13427" xr:uid="{00000000-0005-0000-0000-000016400000}"/>
    <cellStyle name="Warning Text 21 7 2" xfId="49450" xr:uid="{66E685E9-0F96-48E1-A2BE-5B8AC96ACB4B}"/>
    <cellStyle name="Warning Text 21 8" xfId="16482" xr:uid="{00000000-0005-0000-0000-000017400000}"/>
    <cellStyle name="Warning Text 21 8 2" xfId="49451" xr:uid="{8473646E-64B0-4EA6-8DD6-0AB11BD34C89}"/>
    <cellStyle name="Warning Text 21 9" xfId="9424" xr:uid="{00000000-0005-0000-0000-000018400000}"/>
    <cellStyle name="Warning Text 21 9 2" xfId="49452" xr:uid="{BE035504-30E7-4CB6-9723-2C38ED8997B0}"/>
    <cellStyle name="Warning Text 22" xfId="3307" xr:uid="{00000000-0005-0000-0000-000019400000}"/>
    <cellStyle name="Warning Text 22 10" xfId="49453" xr:uid="{1DF743B3-574C-47C3-8083-4813AD6A9E74}"/>
    <cellStyle name="Warning Text 22 2" xfId="11996" xr:uid="{00000000-0005-0000-0000-00001A400000}"/>
    <cellStyle name="Warning Text 22 2 2" xfId="49454" xr:uid="{7FDF5C66-32BF-4F19-B513-841569EF28E5}"/>
    <cellStyle name="Warning Text 22 3" xfId="11997" xr:uid="{00000000-0005-0000-0000-00001B400000}"/>
    <cellStyle name="Warning Text 22 3 2" xfId="49455" xr:uid="{1A3ABA0C-0548-46A1-B579-897838C9B0C7}"/>
    <cellStyle name="Warning Text 22 4" xfId="11998" xr:uid="{00000000-0005-0000-0000-00001C400000}"/>
    <cellStyle name="Warning Text 22 4 2" xfId="49456" xr:uid="{1B1FA366-113D-4BD4-B601-C2AA9421432D}"/>
    <cellStyle name="Warning Text 22 5" xfId="11999" xr:uid="{00000000-0005-0000-0000-00001D400000}"/>
    <cellStyle name="Warning Text 22 5 2" xfId="49457" xr:uid="{3328AFA4-826C-4F3D-9152-555289B70DB3}"/>
    <cellStyle name="Warning Text 22 6" xfId="12000" xr:uid="{00000000-0005-0000-0000-00001E400000}"/>
    <cellStyle name="Warning Text 22 6 2" xfId="49458" xr:uid="{3E648103-ABAA-4814-9E49-9163822EEC9A}"/>
    <cellStyle name="Warning Text 22 7" xfId="13428" xr:uid="{00000000-0005-0000-0000-00001F400000}"/>
    <cellStyle name="Warning Text 22 7 2" xfId="49459" xr:uid="{2CC1A4A7-CB0D-47A8-840B-828A9BDA2C9F}"/>
    <cellStyle name="Warning Text 22 8" xfId="13804" xr:uid="{00000000-0005-0000-0000-000020400000}"/>
    <cellStyle name="Warning Text 22 8 2" xfId="49460" xr:uid="{92B7BC02-D20D-4F45-A279-D76C1CF4AE86}"/>
    <cellStyle name="Warning Text 22 9" xfId="9425" xr:uid="{00000000-0005-0000-0000-000021400000}"/>
    <cellStyle name="Warning Text 22 9 2" xfId="49461" xr:uid="{79A1621B-0B5D-4920-8ED4-FCC2283FBC08}"/>
    <cellStyle name="Warning Text 23" xfId="3308" xr:uid="{00000000-0005-0000-0000-000022400000}"/>
    <cellStyle name="Warning Text 23 10" xfId="49462" xr:uid="{D0B98A86-C425-4FF4-8724-A2ACE857C8BF}"/>
    <cellStyle name="Warning Text 23 2" xfId="12001" xr:uid="{00000000-0005-0000-0000-000023400000}"/>
    <cellStyle name="Warning Text 23 2 2" xfId="49463" xr:uid="{777B8B4B-ECA3-4BB1-92A1-4802909EF42B}"/>
    <cellStyle name="Warning Text 23 3" xfId="12002" xr:uid="{00000000-0005-0000-0000-000024400000}"/>
    <cellStyle name="Warning Text 23 3 2" xfId="49464" xr:uid="{AD87F46C-9A1C-41F7-B04D-E4E3BEAB4304}"/>
    <cellStyle name="Warning Text 23 4" xfId="12003" xr:uid="{00000000-0005-0000-0000-000025400000}"/>
    <cellStyle name="Warning Text 23 4 2" xfId="49465" xr:uid="{8948B725-1A86-4920-8227-A3251E4FB5A4}"/>
    <cellStyle name="Warning Text 23 5" xfId="12004" xr:uid="{00000000-0005-0000-0000-000026400000}"/>
    <cellStyle name="Warning Text 23 5 2" xfId="49466" xr:uid="{41C7401F-3204-494E-8516-E48331B32B12}"/>
    <cellStyle name="Warning Text 23 6" xfId="12005" xr:uid="{00000000-0005-0000-0000-000027400000}"/>
    <cellStyle name="Warning Text 23 6 2" xfId="49467" xr:uid="{D2E56FCC-4483-422A-BB6C-1B7649E37389}"/>
    <cellStyle name="Warning Text 23 7" xfId="13429" xr:uid="{00000000-0005-0000-0000-000028400000}"/>
    <cellStyle name="Warning Text 23 7 2" xfId="49468" xr:uid="{3D7D047C-8CEA-47D4-85BD-91F73B1F3862}"/>
    <cellStyle name="Warning Text 23 8" xfId="16646" xr:uid="{00000000-0005-0000-0000-000029400000}"/>
    <cellStyle name="Warning Text 23 8 2" xfId="49469" xr:uid="{ABBB7060-B83A-4AF6-BD88-C3D80F741695}"/>
    <cellStyle name="Warning Text 23 9" xfId="9426" xr:uid="{00000000-0005-0000-0000-00002A400000}"/>
    <cellStyle name="Warning Text 23 9 2" xfId="49470" xr:uid="{2E2F3654-4C3A-4B56-84A4-E815178B8547}"/>
    <cellStyle name="Warning Text 24" xfId="3309" xr:uid="{00000000-0005-0000-0000-00002B400000}"/>
    <cellStyle name="Warning Text 24 10" xfId="49471" xr:uid="{832544FB-2314-48F8-9B41-789362C114A2}"/>
    <cellStyle name="Warning Text 24 2" xfId="12006" xr:uid="{00000000-0005-0000-0000-00002C400000}"/>
    <cellStyle name="Warning Text 24 2 2" xfId="49472" xr:uid="{75FA545F-0E0A-4C36-99AB-8924813959C4}"/>
    <cellStyle name="Warning Text 24 3" xfId="12007" xr:uid="{00000000-0005-0000-0000-00002D400000}"/>
    <cellStyle name="Warning Text 24 3 2" xfId="49473" xr:uid="{32FF27E6-862C-4255-8C52-1A6BEB3A4DBC}"/>
    <cellStyle name="Warning Text 24 4" xfId="12008" xr:uid="{00000000-0005-0000-0000-00002E400000}"/>
    <cellStyle name="Warning Text 24 4 2" xfId="49474" xr:uid="{6F96C7F4-6303-4328-8A18-DFAD8827BD6D}"/>
    <cellStyle name="Warning Text 24 5" xfId="12009" xr:uid="{00000000-0005-0000-0000-00002F400000}"/>
    <cellStyle name="Warning Text 24 5 2" xfId="49475" xr:uid="{96E65382-DE75-448B-A6C6-29BD58C5D536}"/>
    <cellStyle name="Warning Text 24 6" xfId="12010" xr:uid="{00000000-0005-0000-0000-000030400000}"/>
    <cellStyle name="Warning Text 24 6 2" xfId="49476" xr:uid="{2B3298EE-7D26-4B31-938A-939543EE703B}"/>
    <cellStyle name="Warning Text 24 7" xfId="13430" xr:uid="{00000000-0005-0000-0000-000031400000}"/>
    <cellStyle name="Warning Text 24 7 2" xfId="49477" xr:uid="{D88DAB8B-C267-4660-86F6-72D2DFFD3424}"/>
    <cellStyle name="Warning Text 24 8" xfId="14337" xr:uid="{00000000-0005-0000-0000-000032400000}"/>
    <cellStyle name="Warning Text 24 8 2" xfId="49478" xr:uid="{7DCA4DA6-25EE-4D13-9847-0F61485B26D4}"/>
    <cellStyle name="Warning Text 24 9" xfId="9427" xr:uid="{00000000-0005-0000-0000-000033400000}"/>
    <cellStyle name="Warning Text 24 9 2" xfId="49479" xr:uid="{F1E06512-73EF-4F61-ACBE-486238E46C45}"/>
    <cellStyle name="Warning Text 25" xfId="3310" xr:uid="{00000000-0005-0000-0000-000034400000}"/>
    <cellStyle name="Warning Text 25 10" xfId="49480" xr:uid="{A9F06C03-51A2-4A6D-BDE0-0AD24E890224}"/>
    <cellStyle name="Warning Text 25 2" xfId="12011" xr:uid="{00000000-0005-0000-0000-000035400000}"/>
    <cellStyle name="Warning Text 25 2 2" xfId="49481" xr:uid="{E42D22AE-D651-40C4-9D8A-0ACDE3450BCC}"/>
    <cellStyle name="Warning Text 25 3" xfId="12012" xr:uid="{00000000-0005-0000-0000-000036400000}"/>
    <cellStyle name="Warning Text 25 3 2" xfId="49482" xr:uid="{609C81FB-DB09-4513-9CD7-A355C576CFA1}"/>
    <cellStyle name="Warning Text 25 4" xfId="12013" xr:uid="{00000000-0005-0000-0000-000037400000}"/>
    <cellStyle name="Warning Text 25 4 2" xfId="49483" xr:uid="{FA2A37CD-7B9A-4038-BFC5-08725B0275A1}"/>
    <cellStyle name="Warning Text 25 5" xfId="12014" xr:uid="{00000000-0005-0000-0000-000038400000}"/>
    <cellStyle name="Warning Text 25 5 2" xfId="49484" xr:uid="{E2E78D3F-DB2D-4563-A19A-6CB9BBAA7940}"/>
    <cellStyle name="Warning Text 25 6" xfId="12015" xr:uid="{00000000-0005-0000-0000-000039400000}"/>
    <cellStyle name="Warning Text 25 6 2" xfId="49485" xr:uid="{DD1F0BB2-C8FA-4C6A-ADE1-0AA21E3C7FB0}"/>
    <cellStyle name="Warning Text 25 7" xfId="13431" xr:uid="{00000000-0005-0000-0000-00003A400000}"/>
    <cellStyle name="Warning Text 25 7 2" xfId="49486" xr:uid="{48791AF9-D8E9-494E-87D1-58239A7FD648}"/>
    <cellStyle name="Warning Text 25 8" xfId="12843" xr:uid="{00000000-0005-0000-0000-00003B400000}"/>
    <cellStyle name="Warning Text 25 8 2" xfId="49487" xr:uid="{69A4AAF7-F84A-4E9B-B944-DADB9AE16DCA}"/>
    <cellStyle name="Warning Text 25 9" xfId="9428" xr:uid="{00000000-0005-0000-0000-00003C400000}"/>
    <cellStyle name="Warning Text 25 9 2" xfId="49488" xr:uid="{FB012DE0-6D87-4AE4-AFAD-870284AE1918}"/>
    <cellStyle name="Warning Text 26" xfId="3311" xr:uid="{00000000-0005-0000-0000-00003D400000}"/>
    <cellStyle name="Warning Text 26 10" xfId="49489" xr:uid="{BA4F4035-ACD8-407C-9A08-4E612EE442B1}"/>
    <cellStyle name="Warning Text 26 2" xfId="12016" xr:uid="{00000000-0005-0000-0000-00003E400000}"/>
    <cellStyle name="Warning Text 26 2 2" xfId="49490" xr:uid="{81793B00-6AB2-4F2F-95B6-CCFB9237485B}"/>
    <cellStyle name="Warning Text 26 3" xfId="12017" xr:uid="{00000000-0005-0000-0000-00003F400000}"/>
    <cellStyle name="Warning Text 26 3 2" xfId="49491" xr:uid="{F462CE0E-2913-4CE0-B93C-C6C768341169}"/>
    <cellStyle name="Warning Text 26 4" xfId="12018" xr:uid="{00000000-0005-0000-0000-000040400000}"/>
    <cellStyle name="Warning Text 26 4 2" xfId="49492" xr:uid="{7AAEE15F-DFAF-43F0-BF55-0AA73EAD0888}"/>
    <cellStyle name="Warning Text 26 5" xfId="12019" xr:uid="{00000000-0005-0000-0000-000041400000}"/>
    <cellStyle name="Warning Text 26 5 2" xfId="49493" xr:uid="{D4558903-D1C3-4250-9E9A-2083C114513C}"/>
    <cellStyle name="Warning Text 26 6" xfId="12020" xr:uid="{00000000-0005-0000-0000-000042400000}"/>
    <cellStyle name="Warning Text 26 6 2" xfId="49494" xr:uid="{BFC1AB74-566E-463B-BAF6-F018A740E92A}"/>
    <cellStyle name="Warning Text 26 7" xfId="13432" xr:uid="{00000000-0005-0000-0000-000043400000}"/>
    <cellStyle name="Warning Text 26 7 2" xfId="49495" xr:uid="{B95ED03D-ED00-422F-A969-87B9DD5A6CC8}"/>
    <cellStyle name="Warning Text 26 8" xfId="14416" xr:uid="{00000000-0005-0000-0000-000044400000}"/>
    <cellStyle name="Warning Text 26 8 2" xfId="49496" xr:uid="{C9052296-AAC1-4B87-B130-FEDA1BF7AA0C}"/>
    <cellStyle name="Warning Text 26 9" xfId="9429" xr:uid="{00000000-0005-0000-0000-000045400000}"/>
    <cellStyle name="Warning Text 26 9 2" xfId="49497" xr:uid="{3E654293-CDF2-4708-829A-118B42E39EE3}"/>
    <cellStyle name="Warning Text 27" xfId="3312" xr:uid="{00000000-0005-0000-0000-000046400000}"/>
    <cellStyle name="Warning Text 27 10" xfId="49498" xr:uid="{93ECCAFC-1F8B-4452-B2B6-8948D0F9BA09}"/>
    <cellStyle name="Warning Text 27 2" xfId="12021" xr:uid="{00000000-0005-0000-0000-000047400000}"/>
    <cellStyle name="Warning Text 27 2 2" xfId="49499" xr:uid="{8FA7FF37-E2DC-436A-8E9E-390D99FFFC84}"/>
    <cellStyle name="Warning Text 27 3" xfId="12022" xr:uid="{00000000-0005-0000-0000-000048400000}"/>
    <cellStyle name="Warning Text 27 3 2" xfId="49500" xr:uid="{E9D3AED3-5CD5-49DD-B244-2BB859907F80}"/>
    <cellStyle name="Warning Text 27 4" xfId="12023" xr:uid="{00000000-0005-0000-0000-000049400000}"/>
    <cellStyle name="Warning Text 27 4 2" xfId="49501" xr:uid="{17F8ED42-33FE-4C24-99A7-548DAF0AA7BF}"/>
    <cellStyle name="Warning Text 27 5" xfId="12024" xr:uid="{00000000-0005-0000-0000-00004A400000}"/>
    <cellStyle name="Warning Text 27 5 2" xfId="49502" xr:uid="{C553AC07-3334-473F-BED2-10C6A47DC9BA}"/>
    <cellStyle name="Warning Text 27 6" xfId="12025" xr:uid="{00000000-0005-0000-0000-00004B400000}"/>
    <cellStyle name="Warning Text 27 6 2" xfId="49503" xr:uid="{75527881-B063-4EC9-81FE-9382A67688E7}"/>
    <cellStyle name="Warning Text 27 7" xfId="13433" xr:uid="{00000000-0005-0000-0000-00004C400000}"/>
    <cellStyle name="Warning Text 27 7 2" xfId="49504" xr:uid="{5B5E8DDA-D4B7-4326-99B0-447444F49731}"/>
    <cellStyle name="Warning Text 27 8" xfId="12385" xr:uid="{00000000-0005-0000-0000-00004D400000}"/>
    <cellStyle name="Warning Text 27 8 2" xfId="49505" xr:uid="{3201B812-D921-4AEE-95CD-130D3C313525}"/>
    <cellStyle name="Warning Text 27 9" xfId="9430" xr:uid="{00000000-0005-0000-0000-00004E400000}"/>
    <cellStyle name="Warning Text 27 9 2" xfId="49506" xr:uid="{8D790D8C-79D8-45AC-AB6C-07AF47F9C17C}"/>
    <cellStyle name="Warning Text 28" xfId="3313" xr:uid="{00000000-0005-0000-0000-00004F400000}"/>
    <cellStyle name="Warning Text 28 10" xfId="49507" xr:uid="{BFC9CA17-E1B8-4128-947C-8C21D86739AD}"/>
    <cellStyle name="Warning Text 28 2" xfId="12026" xr:uid="{00000000-0005-0000-0000-000050400000}"/>
    <cellStyle name="Warning Text 28 2 2" xfId="49508" xr:uid="{794F4E39-DE9E-48E6-BFE6-1C61B76C2133}"/>
    <cellStyle name="Warning Text 28 3" xfId="12027" xr:uid="{00000000-0005-0000-0000-000051400000}"/>
    <cellStyle name="Warning Text 28 3 2" xfId="49509" xr:uid="{0B11115C-0B28-42E6-B3B1-5A5AE879FEC6}"/>
    <cellStyle name="Warning Text 28 4" xfId="12028" xr:uid="{00000000-0005-0000-0000-000052400000}"/>
    <cellStyle name="Warning Text 28 4 2" xfId="49510" xr:uid="{21E51FA8-9A5F-4323-B513-F09D00CA09BE}"/>
    <cellStyle name="Warning Text 28 5" xfId="12029" xr:uid="{00000000-0005-0000-0000-000053400000}"/>
    <cellStyle name="Warning Text 28 5 2" xfId="49511" xr:uid="{6F5081EE-EA82-4AAC-8C9D-A5BC6AAA446E}"/>
    <cellStyle name="Warning Text 28 6" xfId="12030" xr:uid="{00000000-0005-0000-0000-000054400000}"/>
    <cellStyle name="Warning Text 28 6 2" xfId="49512" xr:uid="{2773D20D-E646-44EE-ADE3-1E22B2B2DECB}"/>
    <cellStyle name="Warning Text 28 7" xfId="13434" xr:uid="{00000000-0005-0000-0000-000055400000}"/>
    <cellStyle name="Warning Text 28 7 2" xfId="49513" xr:uid="{FFECB579-0188-41E8-9804-E93D19CE42C8}"/>
    <cellStyle name="Warning Text 28 8" xfId="13828" xr:uid="{00000000-0005-0000-0000-000056400000}"/>
    <cellStyle name="Warning Text 28 8 2" xfId="49514" xr:uid="{7B8D126E-18F8-4F51-A102-7DBEFC2BED49}"/>
    <cellStyle name="Warning Text 28 9" xfId="9431" xr:uid="{00000000-0005-0000-0000-000057400000}"/>
    <cellStyle name="Warning Text 28 9 2" xfId="49515" xr:uid="{1FFFD2A2-CAF4-4D29-8CE7-999A97E468EB}"/>
    <cellStyle name="Warning Text 29" xfId="3314" xr:uid="{00000000-0005-0000-0000-000058400000}"/>
    <cellStyle name="Warning Text 29 10" xfId="49516" xr:uid="{1763CAF7-59D4-465D-AA22-7F0210785169}"/>
    <cellStyle name="Warning Text 29 2" xfId="12031" xr:uid="{00000000-0005-0000-0000-000059400000}"/>
    <cellStyle name="Warning Text 29 2 2" xfId="49517" xr:uid="{E04CB05A-68E0-4BD0-8113-384FE440791D}"/>
    <cellStyle name="Warning Text 29 3" xfId="12032" xr:uid="{00000000-0005-0000-0000-00005A400000}"/>
    <cellStyle name="Warning Text 29 3 2" xfId="49518" xr:uid="{7D033887-0313-4AF1-BA14-1E390C4C42B0}"/>
    <cellStyle name="Warning Text 29 4" xfId="12033" xr:uid="{00000000-0005-0000-0000-00005B400000}"/>
    <cellStyle name="Warning Text 29 4 2" xfId="49519" xr:uid="{5E3CF204-B457-4691-B4EA-7A126582105B}"/>
    <cellStyle name="Warning Text 29 5" xfId="12034" xr:uid="{00000000-0005-0000-0000-00005C400000}"/>
    <cellStyle name="Warning Text 29 5 2" xfId="49520" xr:uid="{8996FC57-F284-4418-9424-C752DBE271C7}"/>
    <cellStyle name="Warning Text 29 6" xfId="12035" xr:uid="{00000000-0005-0000-0000-00005D400000}"/>
    <cellStyle name="Warning Text 29 6 2" xfId="49521" xr:uid="{C1C5CD1F-8DCD-48F5-9D73-F45372619CB8}"/>
    <cellStyle name="Warning Text 29 7" xfId="13435" xr:uid="{00000000-0005-0000-0000-00005E400000}"/>
    <cellStyle name="Warning Text 29 7 2" xfId="49522" xr:uid="{F6D7CB64-3251-4A31-AFFB-22856BF797BC}"/>
    <cellStyle name="Warning Text 29 8" xfId="16491" xr:uid="{00000000-0005-0000-0000-00005F400000}"/>
    <cellStyle name="Warning Text 29 8 2" xfId="49523" xr:uid="{82EE29C4-6955-401C-A12E-231B2D9363A2}"/>
    <cellStyle name="Warning Text 29 9" xfId="9432" xr:uid="{00000000-0005-0000-0000-000060400000}"/>
    <cellStyle name="Warning Text 29 9 2" xfId="49524" xr:uid="{63904D9A-3705-43F7-9BA8-9CC5BA932312}"/>
    <cellStyle name="Warning Text 3" xfId="262" xr:uid="{00000000-0005-0000-0000-000061400000}"/>
    <cellStyle name="Warning Text 3 10" xfId="49525" xr:uid="{5A1AE4F9-4EB1-438C-A72E-EE183B091CE5}"/>
    <cellStyle name="Warning Text 3 2" xfId="3315" xr:uid="{00000000-0005-0000-0000-000062400000}"/>
    <cellStyle name="Warning Text 3 2 2" xfId="13436" xr:uid="{00000000-0005-0000-0000-000063400000}"/>
    <cellStyle name="Warning Text 3 2 2 2" xfId="49527" xr:uid="{08531E14-5826-4F9A-A5E9-F26477F5F02D}"/>
    <cellStyle name="Warning Text 3 2 3" xfId="12656" xr:uid="{00000000-0005-0000-0000-000064400000}"/>
    <cellStyle name="Warning Text 3 2 3 2" xfId="49528" xr:uid="{E6A81D3F-0E3F-4747-A41D-626A01A1F9EE}"/>
    <cellStyle name="Warning Text 3 2 4" xfId="9434" xr:uid="{00000000-0005-0000-0000-000065400000}"/>
    <cellStyle name="Warning Text 3 2 4 2" xfId="49529" xr:uid="{A0A9E21D-7925-47E5-B0F6-EC38483DD6CB}"/>
    <cellStyle name="Warning Text 3 2 5" xfId="49526" xr:uid="{5DF48377-B1F3-4D5F-ADFA-6D4E917B6BD9}"/>
    <cellStyle name="Warning Text 3 3" xfId="12036" xr:uid="{00000000-0005-0000-0000-000066400000}"/>
    <cellStyle name="Warning Text 3 3 2" xfId="49530" xr:uid="{96E5BE10-7D93-49CF-BE9A-8A7DA1E20B61}"/>
    <cellStyle name="Warning Text 3 4" xfId="12037" xr:uid="{00000000-0005-0000-0000-000067400000}"/>
    <cellStyle name="Warning Text 3 4 2" xfId="49531" xr:uid="{0B2C0FD8-4232-4015-8DC3-DCEAD8F0E355}"/>
    <cellStyle name="Warning Text 3 5" xfId="12038" xr:uid="{00000000-0005-0000-0000-000068400000}"/>
    <cellStyle name="Warning Text 3 5 2" xfId="49532" xr:uid="{8A8CB764-5845-4F52-A11A-A4A628812479}"/>
    <cellStyle name="Warning Text 3 6" xfId="12039" xr:uid="{00000000-0005-0000-0000-000069400000}"/>
    <cellStyle name="Warning Text 3 6 2" xfId="49533" xr:uid="{CA854446-90E6-4C0D-A80E-A04BC7496573}"/>
    <cellStyle name="Warning Text 3 7" xfId="12368" xr:uid="{00000000-0005-0000-0000-00006A400000}"/>
    <cellStyle name="Warning Text 3 7 2" xfId="49534" xr:uid="{9948E3F5-7CD2-48A1-805A-327CBE3C8CA6}"/>
    <cellStyle name="Warning Text 3 8" xfId="14338" xr:uid="{00000000-0005-0000-0000-00006B400000}"/>
    <cellStyle name="Warning Text 3 8 2" xfId="49535" xr:uid="{9146E433-8462-48F5-B960-0156B80EE138}"/>
    <cellStyle name="Warning Text 3 9" xfId="9433" xr:uid="{00000000-0005-0000-0000-00006C400000}"/>
    <cellStyle name="Warning Text 3 9 2" xfId="49536" xr:uid="{B80E295C-7E38-4466-B190-13157DAFCF3D}"/>
    <cellStyle name="Warning Text 30" xfId="3316" xr:uid="{00000000-0005-0000-0000-00006D400000}"/>
    <cellStyle name="Warning Text 30 10" xfId="49537" xr:uid="{6BBBFF8D-D01E-484F-A788-1DC9302A5673}"/>
    <cellStyle name="Warning Text 30 2" xfId="12040" xr:uid="{00000000-0005-0000-0000-00006E400000}"/>
    <cellStyle name="Warning Text 30 2 2" xfId="49538" xr:uid="{BCCF4B2C-9A31-4684-BED6-9B8555A2138E}"/>
    <cellStyle name="Warning Text 30 3" xfId="12041" xr:uid="{00000000-0005-0000-0000-00006F400000}"/>
    <cellStyle name="Warning Text 30 3 2" xfId="49539" xr:uid="{2CCFD844-AC33-4E00-A140-C5FD3FFFAF17}"/>
    <cellStyle name="Warning Text 30 4" xfId="12042" xr:uid="{00000000-0005-0000-0000-000070400000}"/>
    <cellStyle name="Warning Text 30 4 2" xfId="49540" xr:uid="{9AF6796E-FBB8-4456-8B20-46AFCA95DDA8}"/>
    <cellStyle name="Warning Text 30 5" xfId="12043" xr:uid="{00000000-0005-0000-0000-000071400000}"/>
    <cellStyle name="Warning Text 30 5 2" xfId="49541" xr:uid="{D70340CD-5855-4EA0-B73D-8EB97B24A8F0}"/>
    <cellStyle name="Warning Text 30 6" xfId="12044" xr:uid="{00000000-0005-0000-0000-000072400000}"/>
    <cellStyle name="Warning Text 30 6 2" xfId="49542" xr:uid="{EF3C92A8-50E5-4F00-B72B-EFC7F35ACD35}"/>
    <cellStyle name="Warning Text 30 7" xfId="13437" xr:uid="{00000000-0005-0000-0000-000073400000}"/>
    <cellStyle name="Warning Text 30 7 2" xfId="49543" xr:uid="{40F1C8B8-E9E5-4AF4-ABEB-9026A0A84B79}"/>
    <cellStyle name="Warning Text 30 8" xfId="16357" xr:uid="{00000000-0005-0000-0000-000074400000}"/>
    <cellStyle name="Warning Text 30 8 2" xfId="49544" xr:uid="{3A69D928-1889-4C36-A455-3296AABFFF86}"/>
    <cellStyle name="Warning Text 30 9" xfId="9435" xr:uid="{00000000-0005-0000-0000-000075400000}"/>
    <cellStyle name="Warning Text 30 9 2" xfId="49545" xr:uid="{6430B60C-773E-4C81-9B64-324330495EA5}"/>
    <cellStyle name="Warning Text 31" xfId="3317" xr:uid="{00000000-0005-0000-0000-000076400000}"/>
    <cellStyle name="Warning Text 31 10" xfId="49546" xr:uid="{236EAFE0-5BA4-4432-8F24-C154BC7B789E}"/>
    <cellStyle name="Warning Text 31 2" xfId="12045" xr:uid="{00000000-0005-0000-0000-000077400000}"/>
    <cellStyle name="Warning Text 31 2 2" xfId="49547" xr:uid="{9021B703-AAFC-46FF-820C-64708D6B674D}"/>
    <cellStyle name="Warning Text 31 3" xfId="12046" xr:uid="{00000000-0005-0000-0000-000078400000}"/>
    <cellStyle name="Warning Text 31 3 2" xfId="49548" xr:uid="{10F2D8E5-BE6A-4C39-BA99-5DAE75987F89}"/>
    <cellStyle name="Warning Text 31 4" xfId="12047" xr:uid="{00000000-0005-0000-0000-000079400000}"/>
    <cellStyle name="Warning Text 31 4 2" xfId="49549" xr:uid="{EE9B4D5B-5189-4EF0-BBAF-8EE0843DF22E}"/>
    <cellStyle name="Warning Text 31 5" xfId="12048" xr:uid="{00000000-0005-0000-0000-00007A400000}"/>
    <cellStyle name="Warning Text 31 5 2" xfId="49550" xr:uid="{5A76918A-89C3-48C4-8677-7EE1DD05AECD}"/>
    <cellStyle name="Warning Text 31 6" xfId="12049" xr:uid="{00000000-0005-0000-0000-00007B400000}"/>
    <cellStyle name="Warning Text 31 6 2" xfId="49551" xr:uid="{9DB4A98D-0FBE-4FB5-8A7C-F945FA8B7218}"/>
    <cellStyle name="Warning Text 31 7" xfId="13438" xr:uid="{00000000-0005-0000-0000-00007C400000}"/>
    <cellStyle name="Warning Text 31 7 2" xfId="49552" xr:uid="{EFEE96C1-AEF9-466D-BE78-0FA285DECF78}"/>
    <cellStyle name="Warning Text 31 8" xfId="14664" xr:uid="{00000000-0005-0000-0000-00007D400000}"/>
    <cellStyle name="Warning Text 31 8 2" xfId="49553" xr:uid="{9E302BA9-A661-49E0-9759-B280DED8B181}"/>
    <cellStyle name="Warning Text 31 9" xfId="9436" xr:uid="{00000000-0005-0000-0000-00007E400000}"/>
    <cellStyle name="Warning Text 31 9 2" xfId="49554" xr:uid="{58D81C05-CC15-45EA-AA2F-EBD909B41BDB}"/>
    <cellStyle name="Warning Text 32" xfId="3318" xr:uid="{00000000-0005-0000-0000-00007F400000}"/>
    <cellStyle name="Warning Text 32 10" xfId="49555" xr:uid="{FC0D5D2B-BEE9-459A-810A-AA06156F5D81}"/>
    <cellStyle name="Warning Text 32 2" xfId="12050" xr:uid="{00000000-0005-0000-0000-000080400000}"/>
    <cellStyle name="Warning Text 32 2 2" xfId="49556" xr:uid="{58D3DAB2-273F-4F57-8733-EAB870585AD9}"/>
    <cellStyle name="Warning Text 32 3" xfId="12051" xr:uid="{00000000-0005-0000-0000-000081400000}"/>
    <cellStyle name="Warning Text 32 3 2" xfId="49557" xr:uid="{255EFF05-5815-4B40-AB42-B56D0CA64F72}"/>
    <cellStyle name="Warning Text 32 4" xfId="12052" xr:uid="{00000000-0005-0000-0000-000082400000}"/>
    <cellStyle name="Warning Text 32 4 2" xfId="49558" xr:uid="{7D27B4E9-DF05-4BF5-8DF4-46EDCA603812}"/>
    <cellStyle name="Warning Text 32 5" xfId="12053" xr:uid="{00000000-0005-0000-0000-000083400000}"/>
    <cellStyle name="Warning Text 32 5 2" xfId="49559" xr:uid="{4F42F584-4774-4E64-B416-6720EFF47D83}"/>
    <cellStyle name="Warning Text 32 6" xfId="12054" xr:uid="{00000000-0005-0000-0000-000084400000}"/>
    <cellStyle name="Warning Text 32 6 2" xfId="49560" xr:uid="{15AB65DB-EC0A-47E1-8717-726A41E830F1}"/>
    <cellStyle name="Warning Text 32 7" xfId="13439" xr:uid="{00000000-0005-0000-0000-000085400000}"/>
    <cellStyle name="Warning Text 32 7 2" xfId="49561" xr:uid="{E46312BC-4C3F-464C-8EE6-24C7A5D69288}"/>
    <cellStyle name="Warning Text 32 8" xfId="16633" xr:uid="{00000000-0005-0000-0000-000086400000}"/>
    <cellStyle name="Warning Text 32 8 2" xfId="49562" xr:uid="{EA04E7B6-10FD-4ACE-A74B-28FEA236A77E}"/>
    <cellStyle name="Warning Text 32 9" xfId="9437" xr:uid="{00000000-0005-0000-0000-000087400000}"/>
    <cellStyle name="Warning Text 32 9 2" xfId="49563" xr:uid="{D7FCE54E-755E-4444-80B5-8ABA043BD96C}"/>
    <cellStyle name="Warning Text 33" xfId="3319" xr:uid="{00000000-0005-0000-0000-000088400000}"/>
    <cellStyle name="Warning Text 33 10" xfId="49564" xr:uid="{20701D15-4410-41F8-A8C9-1AE2A9984114}"/>
    <cellStyle name="Warning Text 33 2" xfId="12055" xr:uid="{00000000-0005-0000-0000-000089400000}"/>
    <cellStyle name="Warning Text 33 2 2" xfId="49565" xr:uid="{3248C75E-F8E2-4886-9374-5AB617FDD68B}"/>
    <cellStyle name="Warning Text 33 3" xfId="12056" xr:uid="{00000000-0005-0000-0000-00008A400000}"/>
    <cellStyle name="Warning Text 33 3 2" xfId="49566" xr:uid="{BAA53762-0100-4D6F-A3CE-3CCF9287CB48}"/>
    <cellStyle name="Warning Text 33 4" xfId="12057" xr:uid="{00000000-0005-0000-0000-00008B400000}"/>
    <cellStyle name="Warning Text 33 4 2" xfId="49567" xr:uid="{DE00E710-457E-4EEB-A5D3-CF3EFA7C2596}"/>
    <cellStyle name="Warning Text 33 5" xfId="12058" xr:uid="{00000000-0005-0000-0000-00008C400000}"/>
    <cellStyle name="Warning Text 33 5 2" xfId="49568" xr:uid="{AD4048C8-021C-46BE-83B2-7D8CB903C13A}"/>
    <cellStyle name="Warning Text 33 6" xfId="12059" xr:uid="{00000000-0005-0000-0000-00008D400000}"/>
    <cellStyle name="Warning Text 33 6 2" xfId="49569" xr:uid="{AEA22FE4-D1FD-469B-B30D-AE0A65F1FBE2}"/>
    <cellStyle name="Warning Text 33 7" xfId="13440" xr:uid="{00000000-0005-0000-0000-00008E400000}"/>
    <cellStyle name="Warning Text 33 7 2" xfId="49570" xr:uid="{0E40D58A-27C7-47FD-8839-8DFE6AD3BBBA}"/>
    <cellStyle name="Warning Text 33 8" xfId="12632" xr:uid="{00000000-0005-0000-0000-00008F400000}"/>
    <cellStyle name="Warning Text 33 8 2" xfId="49571" xr:uid="{F9A99BF0-028D-4061-B2C8-FE0382C0497D}"/>
    <cellStyle name="Warning Text 33 9" xfId="9438" xr:uid="{00000000-0005-0000-0000-000090400000}"/>
    <cellStyle name="Warning Text 33 9 2" xfId="49572" xr:uid="{9D20B85C-BA52-4D4B-A22D-511A7DF60743}"/>
    <cellStyle name="Warning Text 34" xfId="3320" xr:uid="{00000000-0005-0000-0000-000091400000}"/>
    <cellStyle name="Warning Text 34 10" xfId="49573" xr:uid="{CC06A939-1469-4F47-B6B2-42150C56B8E0}"/>
    <cellStyle name="Warning Text 34 2" xfId="12060" xr:uid="{00000000-0005-0000-0000-000092400000}"/>
    <cellStyle name="Warning Text 34 2 2" xfId="49574" xr:uid="{DAB353D5-FD78-44D4-959B-B9A58A387C69}"/>
    <cellStyle name="Warning Text 34 3" xfId="12061" xr:uid="{00000000-0005-0000-0000-000093400000}"/>
    <cellStyle name="Warning Text 34 3 2" xfId="49575" xr:uid="{12ADD7DD-B5B2-48DB-B3ED-30A9141793C8}"/>
    <cellStyle name="Warning Text 34 4" xfId="12062" xr:uid="{00000000-0005-0000-0000-000094400000}"/>
    <cellStyle name="Warning Text 34 4 2" xfId="49576" xr:uid="{8B1A5802-C36C-41B7-B735-02956CD50B20}"/>
    <cellStyle name="Warning Text 34 5" xfId="12063" xr:uid="{00000000-0005-0000-0000-000095400000}"/>
    <cellStyle name="Warning Text 34 5 2" xfId="49577" xr:uid="{5DBB66AC-84D2-4843-B137-FC78052381E7}"/>
    <cellStyle name="Warning Text 34 6" xfId="12064" xr:uid="{00000000-0005-0000-0000-000096400000}"/>
    <cellStyle name="Warning Text 34 6 2" xfId="49578" xr:uid="{D32B573E-27B0-4E07-8305-9ED317C9B116}"/>
    <cellStyle name="Warning Text 34 7" xfId="13441" xr:uid="{00000000-0005-0000-0000-000097400000}"/>
    <cellStyle name="Warning Text 34 7 2" xfId="49579" xr:uid="{212B8B8C-48EF-4EBB-B9DE-02B1EC96E080}"/>
    <cellStyle name="Warning Text 34 8" xfId="16643" xr:uid="{00000000-0005-0000-0000-000098400000}"/>
    <cellStyle name="Warning Text 34 8 2" xfId="49580" xr:uid="{17957E1A-5B7A-4871-A998-A321AE54EECF}"/>
    <cellStyle name="Warning Text 34 9" xfId="9439" xr:uid="{00000000-0005-0000-0000-000099400000}"/>
    <cellStyle name="Warning Text 34 9 2" xfId="49581" xr:uid="{E3037B6A-7CE9-4C6C-8A64-EA6A3151BCBB}"/>
    <cellStyle name="Warning Text 35" xfId="3321" xr:uid="{00000000-0005-0000-0000-00009A400000}"/>
    <cellStyle name="Warning Text 35 10" xfId="49582" xr:uid="{9E887D6E-1E65-4A0B-B4A3-4C9DE2230EF5}"/>
    <cellStyle name="Warning Text 35 2" xfId="12065" xr:uid="{00000000-0005-0000-0000-00009B400000}"/>
    <cellStyle name="Warning Text 35 2 2" xfId="49583" xr:uid="{2EE57F21-9C86-4A4E-8692-8F533573E913}"/>
    <cellStyle name="Warning Text 35 3" xfId="12066" xr:uid="{00000000-0005-0000-0000-00009C400000}"/>
    <cellStyle name="Warning Text 35 3 2" xfId="49584" xr:uid="{60A22E11-583A-46A5-A370-7286B29514F3}"/>
    <cellStyle name="Warning Text 35 4" xfId="12067" xr:uid="{00000000-0005-0000-0000-00009D400000}"/>
    <cellStyle name="Warning Text 35 4 2" xfId="49585" xr:uid="{41956C03-302C-47BC-A749-7CA48ACECAEB}"/>
    <cellStyle name="Warning Text 35 5" xfId="12068" xr:uid="{00000000-0005-0000-0000-00009E400000}"/>
    <cellStyle name="Warning Text 35 5 2" xfId="49586" xr:uid="{082BE675-555B-4089-AF89-726D14CD277B}"/>
    <cellStyle name="Warning Text 35 6" xfId="12069" xr:uid="{00000000-0005-0000-0000-00009F400000}"/>
    <cellStyle name="Warning Text 35 6 2" xfId="49587" xr:uid="{BADF8E6A-C07B-4086-BC94-EBDACE2CCF86}"/>
    <cellStyle name="Warning Text 35 7" xfId="13442" xr:uid="{00000000-0005-0000-0000-0000A0400000}"/>
    <cellStyle name="Warning Text 35 7 2" xfId="49588" xr:uid="{3021B743-1804-44EE-A28A-F10A718D8F94}"/>
    <cellStyle name="Warning Text 35 8" xfId="16184" xr:uid="{00000000-0005-0000-0000-0000A1400000}"/>
    <cellStyle name="Warning Text 35 8 2" xfId="49589" xr:uid="{405F5D8B-34B3-4738-B741-8AA9E564D152}"/>
    <cellStyle name="Warning Text 35 9" xfId="9440" xr:uid="{00000000-0005-0000-0000-0000A2400000}"/>
    <cellStyle name="Warning Text 35 9 2" xfId="49590" xr:uid="{51A8E8FA-4480-4919-B7E5-61DD080B47A2}"/>
    <cellStyle name="Warning Text 36" xfId="3322" xr:uid="{00000000-0005-0000-0000-0000A3400000}"/>
    <cellStyle name="Warning Text 36 10" xfId="49591" xr:uid="{93A642B5-AF3B-463A-ABF1-7FC0D1FCE541}"/>
    <cellStyle name="Warning Text 36 2" xfId="12070" xr:uid="{00000000-0005-0000-0000-0000A4400000}"/>
    <cellStyle name="Warning Text 36 2 2" xfId="49592" xr:uid="{C8368B4C-B144-4E11-9480-2CD4B2BCBBB6}"/>
    <cellStyle name="Warning Text 36 3" xfId="12071" xr:uid="{00000000-0005-0000-0000-0000A5400000}"/>
    <cellStyle name="Warning Text 36 3 2" xfId="49593" xr:uid="{8786DFF1-A3F1-482A-A0CF-5B6B32730837}"/>
    <cellStyle name="Warning Text 36 4" xfId="12072" xr:uid="{00000000-0005-0000-0000-0000A6400000}"/>
    <cellStyle name="Warning Text 36 4 2" xfId="49594" xr:uid="{5DBBEC1D-1CC4-4C6E-89DF-758D2486825F}"/>
    <cellStyle name="Warning Text 36 5" xfId="12073" xr:uid="{00000000-0005-0000-0000-0000A7400000}"/>
    <cellStyle name="Warning Text 36 5 2" xfId="49595" xr:uid="{D40368DA-D0C6-42CF-8D51-F3738CC000FA}"/>
    <cellStyle name="Warning Text 36 6" xfId="12074" xr:uid="{00000000-0005-0000-0000-0000A8400000}"/>
    <cellStyle name="Warning Text 36 6 2" xfId="49596" xr:uid="{80A5395D-F3F3-413E-9169-EF99EB75F123}"/>
    <cellStyle name="Warning Text 36 7" xfId="13443" xr:uid="{00000000-0005-0000-0000-0000A9400000}"/>
    <cellStyle name="Warning Text 36 7 2" xfId="49597" xr:uid="{93874DC9-3CB5-4BF6-911F-F4605236E6D5}"/>
    <cellStyle name="Warning Text 36 8" xfId="16194" xr:uid="{00000000-0005-0000-0000-0000AA400000}"/>
    <cellStyle name="Warning Text 36 8 2" xfId="49598" xr:uid="{7439BB7C-4B7C-4657-845E-AFC0723836DE}"/>
    <cellStyle name="Warning Text 36 9" xfId="9441" xr:uid="{00000000-0005-0000-0000-0000AB400000}"/>
    <cellStyle name="Warning Text 36 9 2" xfId="49599" xr:uid="{ED5D1937-CC16-4F6A-BE22-294A3754C225}"/>
    <cellStyle name="Warning Text 37" xfId="3323" xr:uid="{00000000-0005-0000-0000-0000AC400000}"/>
    <cellStyle name="Warning Text 37 10" xfId="49600" xr:uid="{4CAC1570-00A3-4A93-9EEA-3F16AE08BAD8}"/>
    <cellStyle name="Warning Text 37 2" xfId="12075" xr:uid="{00000000-0005-0000-0000-0000AD400000}"/>
    <cellStyle name="Warning Text 37 2 2" xfId="49601" xr:uid="{BC976925-EEC2-4974-BC57-20E7611D5AFE}"/>
    <cellStyle name="Warning Text 37 3" xfId="12076" xr:uid="{00000000-0005-0000-0000-0000AE400000}"/>
    <cellStyle name="Warning Text 37 3 2" xfId="49602" xr:uid="{79BC0F2C-CA35-4F3F-A0B2-E39D4BA01B6E}"/>
    <cellStyle name="Warning Text 37 4" xfId="12077" xr:uid="{00000000-0005-0000-0000-0000AF400000}"/>
    <cellStyle name="Warning Text 37 4 2" xfId="49603" xr:uid="{1A0CE4AA-62E1-454D-BC28-1F5065E65C9D}"/>
    <cellStyle name="Warning Text 37 5" xfId="12078" xr:uid="{00000000-0005-0000-0000-0000B0400000}"/>
    <cellStyle name="Warning Text 37 5 2" xfId="49604" xr:uid="{6308880D-CD33-42FF-A340-5580838C1C42}"/>
    <cellStyle name="Warning Text 37 6" xfId="12079" xr:uid="{00000000-0005-0000-0000-0000B1400000}"/>
    <cellStyle name="Warning Text 37 6 2" xfId="49605" xr:uid="{902C9C19-9759-482E-8B60-29B421769A68}"/>
    <cellStyle name="Warning Text 37 7" xfId="13444" xr:uid="{00000000-0005-0000-0000-0000B2400000}"/>
    <cellStyle name="Warning Text 37 7 2" xfId="49606" xr:uid="{5F1561E6-CEA7-4327-9F3A-AC4C90ABE12F}"/>
    <cellStyle name="Warning Text 37 8" xfId="12860" xr:uid="{00000000-0005-0000-0000-0000B3400000}"/>
    <cellStyle name="Warning Text 37 8 2" xfId="49607" xr:uid="{437A942E-1E81-4BAD-A737-008C9867C978}"/>
    <cellStyle name="Warning Text 37 9" xfId="9442" xr:uid="{00000000-0005-0000-0000-0000B4400000}"/>
    <cellStyle name="Warning Text 37 9 2" xfId="49608" xr:uid="{61E49A8F-C762-4486-BC03-1FB92A13AAB9}"/>
    <cellStyle name="Warning Text 38" xfId="3324" xr:uid="{00000000-0005-0000-0000-0000B5400000}"/>
    <cellStyle name="Warning Text 38 10" xfId="49609" xr:uid="{AD6FA8AA-206C-4C41-9AE1-5DB258CD2294}"/>
    <cellStyle name="Warning Text 38 2" xfId="12080" xr:uid="{00000000-0005-0000-0000-0000B6400000}"/>
    <cellStyle name="Warning Text 38 2 2" xfId="49610" xr:uid="{C2BE03F6-673F-4184-AF02-91A1F4938A71}"/>
    <cellStyle name="Warning Text 38 3" xfId="12081" xr:uid="{00000000-0005-0000-0000-0000B7400000}"/>
    <cellStyle name="Warning Text 38 3 2" xfId="49611" xr:uid="{6E3D214C-06E7-433F-ADE4-AA4BD02D6EED}"/>
    <cellStyle name="Warning Text 38 4" xfId="12082" xr:uid="{00000000-0005-0000-0000-0000B8400000}"/>
    <cellStyle name="Warning Text 38 4 2" xfId="49612" xr:uid="{7182E01A-E035-4F44-908B-774CEFF047B0}"/>
    <cellStyle name="Warning Text 38 5" xfId="12083" xr:uid="{00000000-0005-0000-0000-0000B9400000}"/>
    <cellStyle name="Warning Text 38 5 2" xfId="49613" xr:uid="{5E8E2AE1-351F-47D2-BEA4-D01D4EE2C0BF}"/>
    <cellStyle name="Warning Text 38 6" xfId="12084" xr:uid="{00000000-0005-0000-0000-0000BA400000}"/>
    <cellStyle name="Warning Text 38 6 2" xfId="49614" xr:uid="{858E4D91-1924-4B49-98F5-61F49556AB4D}"/>
    <cellStyle name="Warning Text 38 7" xfId="13445" xr:uid="{00000000-0005-0000-0000-0000BB400000}"/>
    <cellStyle name="Warning Text 38 7 2" xfId="49615" xr:uid="{8FDBB3A4-252E-4887-A752-48ED1FA353D3}"/>
    <cellStyle name="Warning Text 38 8" xfId="16301" xr:uid="{00000000-0005-0000-0000-0000BC400000}"/>
    <cellStyle name="Warning Text 38 8 2" xfId="49616" xr:uid="{4E32E276-16A5-46DD-9C2B-1CB1906A8C85}"/>
    <cellStyle name="Warning Text 38 9" xfId="9443" xr:uid="{00000000-0005-0000-0000-0000BD400000}"/>
    <cellStyle name="Warning Text 38 9 2" xfId="49617" xr:uid="{2E75D1E0-75BD-4EF6-B4F5-3573F9A50396}"/>
    <cellStyle name="Warning Text 39" xfId="3325" xr:uid="{00000000-0005-0000-0000-0000BE400000}"/>
    <cellStyle name="Warning Text 39 10" xfId="49618" xr:uid="{EF7DE47E-7D1D-4BC1-B1A1-A79031710BD7}"/>
    <cellStyle name="Warning Text 39 2" xfId="12085" xr:uid="{00000000-0005-0000-0000-0000BF400000}"/>
    <cellStyle name="Warning Text 39 2 2" xfId="49619" xr:uid="{F264D0F1-364A-43CC-978D-2E6E66F4F13A}"/>
    <cellStyle name="Warning Text 39 3" xfId="12086" xr:uid="{00000000-0005-0000-0000-0000C0400000}"/>
    <cellStyle name="Warning Text 39 3 2" xfId="49620" xr:uid="{27202855-10F1-4CC9-889C-812BD74BD43F}"/>
    <cellStyle name="Warning Text 39 4" xfId="12087" xr:uid="{00000000-0005-0000-0000-0000C1400000}"/>
    <cellStyle name="Warning Text 39 4 2" xfId="49621" xr:uid="{C38F1187-146B-4C39-9422-A7B5AAB5B52D}"/>
    <cellStyle name="Warning Text 39 5" xfId="12088" xr:uid="{00000000-0005-0000-0000-0000C2400000}"/>
    <cellStyle name="Warning Text 39 5 2" xfId="49622" xr:uid="{3F386FB3-BF69-4726-9B8D-05CE9D1C5115}"/>
    <cellStyle name="Warning Text 39 6" xfId="12089" xr:uid="{00000000-0005-0000-0000-0000C3400000}"/>
    <cellStyle name="Warning Text 39 6 2" xfId="49623" xr:uid="{CEDCD907-B6B8-49A4-A9D5-675C33E04AB4}"/>
    <cellStyle name="Warning Text 39 7" xfId="13446" xr:uid="{00000000-0005-0000-0000-0000C4400000}"/>
    <cellStyle name="Warning Text 39 7 2" xfId="49624" xr:uid="{8CD59332-AEF8-4F5E-8DD9-600C51E6716F}"/>
    <cellStyle name="Warning Text 39 8" xfId="16576" xr:uid="{00000000-0005-0000-0000-0000C5400000}"/>
    <cellStyle name="Warning Text 39 8 2" xfId="49625" xr:uid="{5DBC9FC6-ED35-4F0C-AAC6-13D0973EDC76}"/>
    <cellStyle name="Warning Text 39 9" xfId="9444" xr:uid="{00000000-0005-0000-0000-0000C6400000}"/>
    <cellStyle name="Warning Text 39 9 2" xfId="49626" xr:uid="{DAAD046A-9866-4790-8367-56EA147884A3}"/>
    <cellStyle name="Warning Text 4" xfId="3326" xr:uid="{00000000-0005-0000-0000-0000C7400000}"/>
    <cellStyle name="Warning Text 4 10" xfId="9445" xr:uid="{00000000-0005-0000-0000-0000C8400000}"/>
    <cellStyle name="Warning Text 4 10 2" xfId="49628" xr:uid="{92711FB9-7B43-43AE-832A-01ECA105BF5F}"/>
    <cellStyle name="Warning Text 4 11" xfId="49627" xr:uid="{48A8D80B-684C-469E-9929-37B9386282B6}"/>
    <cellStyle name="Warning Text 4 2" xfId="12090" xr:uid="{00000000-0005-0000-0000-0000C9400000}"/>
    <cellStyle name="Warning Text 4 2 2" xfId="12091" xr:uid="{00000000-0005-0000-0000-0000CA400000}"/>
    <cellStyle name="Warning Text 4 2 2 2" xfId="49630" xr:uid="{82E59789-2F6C-48A4-A20A-E56144F9E053}"/>
    <cellStyle name="Warning Text 4 2 3" xfId="12092" xr:uid="{00000000-0005-0000-0000-0000CB400000}"/>
    <cellStyle name="Warning Text 4 2 3 2" xfId="49631" xr:uid="{07F31612-7269-4274-9EBA-25514375EA05}"/>
    <cellStyle name="Warning Text 4 2 4" xfId="12093" xr:uid="{00000000-0005-0000-0000-0000CC400000}"/>
    <cellStyle name="Warning Text 4 2 4 2" xfId="49632" xr:uid="{BA0148A3-E64E-442A-A2FA-769DC3D80408}"/>
    <cellStyle name="Warning Text 4 2 5" xfId="12094" xr:uid="{00000000-0005-0000-0000-0000CD400000}"/>
    <cellStyle name="Warning Text 4 2 5 2" xfId="49633" xr:uid="{80E4ED56-6E19-4312-B652-19AF8E035F6F}"/>
    <cellStyle name="Warning Text 4 2 6" xfId="49629" xr:uid="{9348FC9F-ADEE-49F3-BBC1-173789127F6B}"/>
    <cellStyle name="Warning Text 4 3" xfId="12095" xr:uid="{00000000-0005-0000-0000-0000CE400000}"/>
    <cellStyle name="Warning Text 4 3 2" xfId="49634" xr:uid="{911CCE28-3775-4851-8902-40DE339460B2}"/>
    <cellStyle name="Warning Text 4 4" xfId="12096" xr:uid="{00000000-0005-0000-0000-0000CF400000}"/>
    <cellStyle name="Warning Text 4 4 2" xfId="49635" xr:uid="{FD5C5922-8ED3-4BF7-8F01-43EA0B040996}"/>
    <cellStyle name="Warning Text 4 5" xfId="12097" xr:uid="{00000000-0005-0000-0000-0000D0400000}"/>
    <cellStyle name="Warning Text 4 5 2" xfId="49636" xr:uid="{00DA48D6-8A7F-4A80-9C01-13E27591AC7C}"/>
    <cellStyle name="Warning Text 4 6" xfId="12098" xr:uid="{00000000-0005-0000-0000-0000D1400000}"/>
    <cellStyle name="Warning Text 4 6 2" xfId="49637" xr:uid="{D5BE6BAD-56F8-42CA-9F00-721BA6B15C95}"/>
    <cellStyle name="Warning Text 4 7" xfId="12099" xr:uid="{00000000-0005-0000-0000-0000D2400000}"/>
    <cellStyle name="Warning Text 4 7 2" xfId="49638" xr:uid="{A983D026-C502-4EC9-8B26-0E8C54FC4E54}"/>
    <cellStyle name="Warning Text 4 8" xfId="13447" xr:uid="{00000000-0005-0000-0000-0000D3400000}"/>
    <cellStyle name="Warning Text 4 8 2" xfId="49639" xr:uid="{5D99447A-9B06-470F-88F3-C8E4AB880418}"/>
    <cellStyle name="Warning Text 4 9" xfId="12566" xr:uid="{00000000-0005-0000-0000-0000D4400000}"/>
    <cellStyle name="Warning Text 4 9 2" xfId="49640" xr:uid="{6EED0A04-D4D9-41BA-94EB-EBA589D73FE2}"/>
    <cellStyle name="Warning Text 40" xfId="3327" xr:uid="{00000000-0005-0000-0000-0000D5400000}"/>
    <cellStyle name="Warning Text 40 10" xfId="49641" xr:uid="{A444864B-8BEA-46D2-87F4-15B76BA0E952}"/>
    <cellStyle name="Warning Text 40 2" xfId="12100" xr:uid="{00000000-0005-0000-0000-0000D6400000}"/>
    <cellStyle name="Warning Text 40 2 2" xfId="49642" xr:uid="{138CB9F7-9264-4997-91F3-1D40B26156EB}"/>
    <cellStyle name="Warning Text 40 3" xfId="12101" xr:uid="{00000000-0005-0000-0000-0000D7400000}"/>
    <cellStyle name="Warning Text 40 3 2" xfId="49643" xr:uid="{09C2F6AD-8385-4687-BC8B-387957E8BF1F}"/>
    <cellStyle name="Warning Text 40 4" xfId="12102" xr:uid="{00000000-0005-0000-0000-0000D8400000}"/>
    <cellStyle name="Warning Text 40 4 2" xfId="49644" xr:uid="{EA738C35-27F3-4389-A0AC-D57B4B23E5DE}"/>
    <cellStyle name="Warning Text 40 5" xfId="12103" xr:uid="{00000000-0005-0000-0000-0000D9400000}"/>
    <cellStyle name="Warning Text 40 5 2" xfId="49645" xr:uid="{7CE8BA3D-AE37-4B9E-AF37-65088C202D41}"/>
    <cellStyle name="Warning Text 40 6" xfId="12104" xr:uid="{00000000-0005-0000-0000-0000DA400000}"/>
    <cellStyle name="Warning Text 40 6 2" xfId="49646" xr:uid="{68943B85-F217-4F99-8F61-C678F3E0F679}"/>
    <cellStyle name="Warning Text 40 7" xfId="13448" xr:uid="{00000000-0005-0000-0000-0000DB400000}"/>
    <cellStyle name="Warning Text 40 7 2" xfId="49647" xr:uid="{2471472B-0E2F-454A-AE95-D0B1A9981484}"/>
    <cellStyle name="Warning Text 40 8" xfId="16374" xr:uid="{00000000-0005-0000-0000-0000DC400000}"/>
    <cellStyle name="Warning Text 40 8 2" xfId="49648" xr:uid="{F2F07840-8166-4BCB-9C63-01390BE5DE52}"/>
    <cellStyle name="Warning Text 40 9" xfId="9446" xr:uid="{00000000-0005-0000-0000-0000DD400000}"/>
    <cellStyle name="Warning Text 40 9 2" xfId="49649" xr:uid="{5686DEC3-59F0-4989-9AE2-1B9A6A93CDAD}"/>
    <cellStyle name="Warning Text 41" xfId="3328" xr:uid="{00000000-0005-0000-0000-0000DE400000}"/>
    <cellStyle name="Warning Text 41 10" xfId="49650" xr:uid="{BD6CFFCC-7C82-4A2D-9457-269DEA325698}"/>
    <cellStyle name="Warning Text 41 2" xfId="12105" xr:uid="{00000000-0005-0000-0000-0000DF400000}"/>
    <cellStyle name="Warning Text 41 2 2" xfId="49651" xr:uid="{B5FBFD31-55C6-4D90-84D7-B11122B6DD9E}"/>
    <cellStyle name="Warning Text 41 3" xfId="12106" xr:uid="{00000000-0005-0000-0000-0000E0400000}"/>
    <cellStyle name="Warning Text 41 3 2" xfId="49652" xr:uid="{2AF3F18B-4DA5-49AE-AF02-8E36EC06A976}"/>
    <cellStyle name="Warning Text 41 4" xfId="12107" xr:uid="{00000000-0005-0000-0000-0000E1400000}"/>
    <cellStyle name="Warning Text 41 4 2" xfId="49653" xr:uid="{6C419743-8BB1-4C03-94DE-CC33CD2833B6}"/>
    <cellStyle name="Warning Text 41 5" xfId="12108" xr:uid="{00000000-0005-0000-0000-0000E2400000}"/>
    <cellStyle name="Warning Text 41 5 2" xfId="49654" xr:uid="{07B8B8F8-14E9-47CE-A50F-5F4414EBF9DF}"/>
    <cellStyle name="Warning Text 41 6" xfId="12109" xr:uid="{00000000-0005-0000-0000-0000E3400000}"/>
    <cellStyle name="Warning Text 41 6 2" xfId="49655" xr:uid="{A5988989-03D3-4AE7-B2DD-F371A395ACA0}"/>
    <cellStyle name="Warning Text 41 7" xfId="13449" xr:uid="{00000000-0005-0000-0000-0000E4400000}"/>
    <cellStyle name="Warning Text 41 7 2" xfId="49656" xr:uid="{422F5147-6EBB-4934-9BFF-5AC645C147B7}"/>
    <cellStyle name="Warning Text 41 8" xfId="13789" xr:uid="{00000000-0005-0000-0000-0000E5400000}"/>
    <cellStyle name="Warning Text 41 8 2" xfId="49657" xr:uid="{E42BCC4D-3868-4A7E-B6A2-9CC28850EC47}"/>
    <cellStyle name="Warning Text 41 9" xfId="9447" xr:uid="{00000000-0005-0000-0000-0000E6400000}"/>
    <cellStyle name="Warning Text 41 9 2" xfId="49658" xr:uid="{84A12F03-E4B6-4D49-8383-19742F92CF51}"/>
    <cellStyle name="Warning Text 5" xfId="3329" xr:uid="{00000000-0005-0000-0000-0000E7400000}"/>
    <cellStyle name="Warning Text 5 10" xfId="9448" xr:uid="{00000000-0005-0000-0000-0000E8400000}"/>
    <cellStyle name="Warning Text 5 10 2" xfId="49660" xr:uid="{715CE6FC-5E2D-4C69-BE8C-556C2CA31D2B}"/>
    <cellStyle name="Warning Text 5 11" xfId="49659" xr:uid="{6BB56FA4-B8EE-42AF-8A88-0003E97224CA}"/>
    <cellStyle name="Warning Text 5 2" xfId="12110" xr:uid="{00000000-0005-0000-0000-0000E9400000}"/>
    <cellStyle name="Warning Text 5 2 2" xfId="12111" xr:uid="{00000000-0005-0000-0000-0000EA400000}"/>
    <cellStyle name="Warning Text 5 2 2 2" xfId="49662" xr:uid="{B1BAFF09-40C4-42CA-B78A-6457181679CD}"/>
    <cellStyle name="Warning Text 5 2 3" xfId="12112" xr:uid="{00000000-0005-0000-0000-0000EB400000}"/>
    <cellStyle name="Warning Text 5 2 3 2" xfId="49663" xr:uid="{CCAF4537-4DEA-4D99-9586-7BEE102D8E40}"/>
    <cellStyle name="Warning Text 5 2 4" xfId="12113" xr:uid="{00000000-0005-0000-0000-0000EC400000}"/>
    <cellStyle name="Warning Text 5 2 4 2" xfId="49664" xr:uid="{DF7D295B-2FE6-4408-A847-A84E72F0CC2A}"/>
    <cellStyle name="Warning Text 5 2 5" xfId="12114" xr:uid="{00000000-0005-0000-0000-0000ED400000}"/>
    <cellStyle name="Warning Text 5 2 5 2" xfId="49665" xr:uid="{6AC31856-B373-4B82-B09F-75199D794295}"/>
    <cellStyle name="Warning Text 5 2 6" xfId="49661" xr:uid="{C7D13549-937F-4F0A-A1DE-AC86234FC3EE}"/>
    <cellStyle name="Warning Text 5 3" xfId="12115" xr:uid="{00000000-0005-0000-0000-0000EE400000}"/>
    <cellStyle name="Warning Text 5 3 2" xfId="49666" xr:uid="{6697C9A8-DE25-4FF3-8559-877D5C4A7B59}"/>
    <cellStyle name="Warning Text 5 4" xfId="12116" xr:uid="{00000000-0005-0000-0000-0000EF400000}"/>
    <cellStyle name="Warning Text 5 4 2" xfId="49667" xr:uid="{DC4356D1-C874-4AAB-9CBD-2615208A7F8D}"/>
    <cellStyle name="Warning Text 5 5" xfId="12117" xr:uid="{00000000-0005-0000-0000-0000F0400000}"/>
    <cellStyle name="Warning Text 5 5 2" xfId="49668" xr:uid="{B2D09FF4-58EF-4E3A-BC8F-A189450A548F}"/>
    <cellStyle name="Warning Text 5 6" xfId="12118" xr:uid="{00000000-0005-0000-0000-0000F1400000}"/>
    <cellStyle name="Warning Text 5 6 2" xfId="49669" xr:uid="{6DD53B43-0AB2-44E5-AECD-842D8F43FD12}"/>
    <cellStyle name="Warning Text 5 7" xfId="12119" xr:uid="{00000000-0005-0000-0000-0000F2400000}"/>
    <cellStyle name="Warning Text 5 7 2" xfId="49670" xr:uid="{EA2AA951-159C-4B89-9A5C-59C761E2D4BE}"/>
    <cellStyle name="Warning Text 5 8" xfId="13450" xr:uid="{00000000-0005-0000-0000-0000F3400000}"/>
    <cellStyle name="Warning Text 5 8 2" xfId="49671" xr:uid="{1FC5945F-1904-42DF-893A-8221A2B160A2}"/>
    <cellStyle name="Warning Text 5 9" xfId="16306" xr:uid="{00000000-0005-0000-0000-0000F4400000}"/>
    <cellStyle name="Warning Text 5 9 2" xfId="49672" xr:uid="{AC2AF60B-9CAE-4CB4-97C4-09411EE9776E}"/>
    <cellStyle name="Warning Text 6" xfId="3330" xr:uid="{00000000-0005-0000-0000-0000F5400000}"/>
    <cellStyle name="Warning Text 6 10" xfId="9449" xr:uid="{00000000-0005-0000-0000-0000F6400000}"/>
    <cellStyle name="Warning Text 6 10 2" xfId="49674" xr:uid="{D1F8B7CF-BF6E-45DB-AC34-A13303834E2F}"/>
    <cellStyle name="Warning Text 6 11" xfId="49673" xr:uid="{0AB391EB-9243-459A-901D-8912F62439D9}"/>
    <cellStyle name="Warning Text 6 2" xfId="12120" xr:uid="{00000000-0005-0000-0000-0000F7400000}"/>
    <cellStyle name="Warning Text 6 2 2" xfId="12121" xr:uid="{00000000-0005-0000-0000-0000F8400000}"/>
    <cellStyle name="Warning Text 6 2 2 2" xfId="49676" xr:uid="{98A25160-5E9C-4BF4-8056-401B0B7A67A7}"/>
    <cellStyle name="Warning Text 6 2 3" xfId="12122" xr:uid="{00000000-0005-0000-0000-0000F9400000}"/>
    <cellStyle name="Warning Text 6 2 3 2" xfId="49677" xr:uid="{82FB21C2-5CCA-4B30-B227-EAE520A5E612}"/>
    <cellStyle name="Warning Text 6 2 4" xfId="12123" xr:uid="{00000000-0005-0000-0000-0000FA400000}"/>
    <cellStyle name="Warning Text 6 2 4 2" xfId="49678" xr:uid="{2AA09A7D-F450-44A7-92D3-73A9D19EC62D}"/>
    <cellStyle name="Warning Text 6 2 5" xfId="12124" xr:uid="{00000000-0005-0000-0000-0000FB400000}"/>
    <cellStyle name="Warning Text 6 2 5 2" xfId="49679" xr:uid="{618DC6BE-1D5A-4713-AB3E-923357966DB1}"/>
    <cellStyle name="Warning Text 6 2 6" xfId="49675" xr:uid="{C7B4DD2D-E924-4B5B-8B94-30AF0AFD6A10}"/>
    <cellStyle name="Warning Text 6 3" xfId="12125" xr:uid="{00000000-0005-0000-0000-0000FC400000}"/>
    <cellStyle name="Warning Text 6 3 2" xfId="49680" xr:uid="{DA4C9091-16AE-426F-896A-CF2B909627A0}"/>
    <cellStyle name="Warning Text 6 4" xfId="12126" xr:uid="{00000000-0005-0000-0000-0000FD400000}"/>
    <cellStyle name="Warning Text 6 4 2" xfId="49681" xr:uid="{2E23D01C-B4F4-48C2-AD67-38CE0F1E34ED}"/>
    <cellStyle name="Warning Text 6 5" xfId="12127" xr:uid="{00000000-0005-0000-0000-0000FE400000}"/>
    <cellStyle name="Warning Text 6 5 2" xfId="49682" xr:uid="{0B342FB1-163F-47B9-B66E-BAF2B297CDB1}"/>
    <cellStyle name="Warning Text 6 6" xfId="12128" xr:uid="{00000000-0005-0000-0000-0000FF400000}"/>
    <cellStyle name="Warning Text 6 6 2" xfId="49683" xr:uid="{3F204BB0-8F7A-4D5C-AEB1-100391605DB8}"/>
    <cellStyle name="Warning Text 6 7" xfId="12129" xr:uid="{00000000-0005-0000-0000-000000410000}"/>
    <cellStyle name="Warning Text 6 7 2" xfId="49684" xr:uid="{713F66B7-6730-4BE3-8DED-0F1624BD5876}"/>
    <cellStyle name="Warning Text 6 8" xfId="13451" xr:uid="{00000000-0005-0000-0000-000001410000}"/>
    <cellStyle name="Warning Text 6 8 2" xfId="49685" xr:uid="{7E8D67D4-1B55-4B51-B71E-460B319E3DBE}"/>
    <cellStyle name="Warning Text 6 9" xfId="13816" xr:uid="{00000000-0005-0000-0000-000002410000}"/>
    <cellStyle name="Warning Text 6 9 2" xfId="49686" xr:uid="{F4DFD175-B588-4BFB-8273-279932FB183C}"/>
    <cellStyle name="Warning Text 7" xfId="3331" xr:uid="{00000000-0005-0000-0000-000003410000}"/>
    <cellStyle name="Warning Text 7 10" xfId="49687" xr:uid="{E4B0A3AF-843B-489D-A6A7-8B156954FA31}"/>
    <cellStyle name="Warning Text 7 2" xfId="12130" xr:uid="{00000000-0005-0000-0000-000004410000}"/>
    <cellStyle name="Warning Text 7 2 2" xfId="49688" xr:uid="{96148CA1-CD6C-4127-9084-F8BDE35B058B}"/>
    <cellStyle name="Warning Text 7 3" xfId="12131" xr:uid="{00000000-0005-0000-0000-000005410000}"/>
    <cellStyle name="Warning Text 7 3 2" xfId="49689" xr:uid="{D1206D83-B51E-419D-9CFA-4EC2EF52E549}"/>
    <cellStyle name="Warning Text 7 4" xfId="12132" xr:uid="{00000000-0005-0000-0000-000006410000}"/>
    <cellStyle name="Warning Text 7 4 2" xfId="49690" xr:uid="{B0283E56-45B5-4473-9361-139C0C1524A5}"/>
    <cellStyle name="Warning Text 7 5" xfId="12133" xr:uid="{00000000-0005-0000-0000-000007410000}"/>
    <cellStyle name="Warning Text 7 5 2" xfId="49691" xr:uid="{DACECDAA-52A0-4AA2-888D-C5FF3EF11FCE}"/>
    <cellStyle name="Warning Text 7 6" xfId="12134" xr:uid="{00000000-0005-0000-0000-000008410000}"/>
    <cellStyle name="Warning Text 7 6 2" xfId="49692" xr:uid="{9EA26CA3-1773-452F-B97C-B0954C685F71}"/>
    <cellStyle name="Warning Text 7 7" xfId="13452" xr:uid="{00000000-0005-0000-0000-000009410000}"/>
    <cellStyle name="Warning Text 7 7 2" xfId="49693" xr:uid="{F1178A1A-5C99-40C0-9E3B-DD756287EDCF}"/>
    <cellStyle name="Warning Text 7 8" xfId="12739" xr:uid="{00000000-0005-0000-0000-00000A410000}"/>
    <cellStyle name="Warning Text 7 8 2" xfId="49694" xr:uid="{B0BCA363-F459-4BF7-9AA4-DAEF9CFF6D09}"/>
    <cellStyle name="Warning Text 7 9" xfId="9450" xr:uid="{00000000-0005-0000-0000-00000B410000}"/>
    <cellStyle name="Warning Text 7 9 2" xfId="49695" xr:uid="{F7790C90-C78F-4202-AA2A-F46B7D6359BC}"/>
    <cellStyle name="Warning Text 8" xfId="3332" xr:uid="{00000000-0005-0000-0000-00000C410000}"/>
    <cellStyle name="Warning Text 8 10" xfId="49696" xr:uid="{D7DC95FD-B229-41F2-8364-207ABEB639C6}"/>
    <cellStyle name="Warning Text 8 2" xfId="12135" xr:uid="{00000000-0005-0000-0000-00000D410000}"/>
    <cellStyle name="Warning Text 8 2 2" xfId="49697" xr:uid="{28EC5117-5417-4C37-9677-37192A974527}"/>
    <cellStyle name="Warning Text 8 3" xfId="12136" xr:uid="{00000000-0005-0000-0000-00000E410000}"/>
    <cellStyle name="Warning Text 8 3 2" xfId="49698" xr:uid="{8718220F-8412-4948-A435-6468C37E6DFA}"/>
    <cellStyle name="Warning Text 8 4" xfId="12137" xr:uid="{00000000-0005-0000-0000-00000F410000}"/>
    <cellStyle name="Warning Text 8 4 2" xfId="49699" xr:uid="{4F29610A-E3A6-4771-89BC-FB04A6D72DBC}"/>
    <cellStyle name="Warning Text 8 5" xfId="12138" xr:uid="{00000000-0005-0000-0000-000010410000}"/>
    <cellStyle name="Warning Text 8 5 2" xfId="49700" xr:uid="{3DD2383D-4175-48F3-BEDE-0F95743738FF}"/>
    <cellStyle name="Warning Text 8 6" xfId="12139" xr:uid="{00000000-0005-0000-0000-000011410000}"/>
    <cellStyle name="Warning Text 8 6 2" xfId="49701" xr:uid="{6CE760AB-753E-4121-B26F-2C95AEDAB1EA}"/>
    <cellStyle name="Warning Text 8 7" xfId="13453" xr:uid="{00000000-0005-0000-0000-000012410000}"/>
    <cellStyle name="Warning Text 8 7 2" xfId="49702" xr:uid="{A67D00E3-2CA9-4BFE-91BA-40792780582B}"/>
    <cellStyle name="Warning Text 8 8" xfId="13058" xr:uid="{00000000-0005-0000-0000-000013410000}"/>
    <cellStyle name="Warning Text 8 8 2" xfId="49703" xr:uid="{FB104A43-133B-4E1B-B1C8-511C0FC031A3}"/>
    <cellStyle name="Warning Text 8 9" xfId="9451" xr:uid="{00000000-0005-0000-0000-000014410000}"/>
    <cellStyle name="Warning Text 8 9 2" xfId="49704" xr:uid="{89E6F0B3-6308-43BA-B123-0EEC852B3109}"/>
    <cellStyle name="Warning Text 9" xfId="3333" xr:uid="{00000000-0005-0000-0000-000015410000}"/>
    <cellStyle name="Warning Text 9 10" xfId="49705" xr:uid="{CD16D068-CC17-4AAB-BB70-BA883C9732C5}"/>
    <cellStyle name="Warning Text 9 2" xfId="12140" xr:uid="{00000000-0005-0000-0000-000016410000}"/>
    <cellStyle name="Warning Text 9 2 2" xfId="49706" xr:uid="{EAF32877-2F36-4BA5-BA85-2FD77DA5368C}"/>
    <cellStyle name="Warning Text 9 3" xfId="12141" xr:uid="{00000000-0005-0000-0000-000017410000}"/>
    <cellStyle name="Warning Text 9 3 2" xfId="49707" xr:uid="{58F7558C-5720-4A47-8C7A-998F01098402}"/>
    <cellStyle name="Warning Text 9 4" xfId="12142" xr:uid="{00000000-0005-0000-0000-000018410000}"/>
    <cellStyle name="Warning Text 9 4 2" xfId="49708" xr:uid="{5CEF2DEB-FE29-492F-9489-86E2539ED3BC}"/>
    <cellStyle name="Warning Text 9 5" xfId="12143" xr:uid="{00000000-0005-0000-0000-000019410000}"/>
    <cellStyle name="Warning Text 9 5 2" xfId="49709" xr:uid="{7C0EF69B-32FF-4DB1-B908-803443CFF5FA}"/>
    <cellStyle name="Warning Text 9 6" xfId="12144" xr:uid="{00000000-0005-0000-0000-00001A410000}"/>
    <cellStyle name="Warning Text 9 6 2" xfId="49710" xr:uid="{4AF7E0F9-70AC-417A-B2EE-693ACECDF077}"/>
    <cellStyle name="Warning Text 9 7" xfId="13454" xr:uid="{00000000-0005-0000-0000-00001B410000}"/>
    <cellStyle name="Warning Text 9 7 2" xfId="49711" xr:uid="{92187B97-0926-4C94-AF89-034C8073A05C}"/>
    <cellStyle name="Warning Text 9 8" xfId="16610" xr:uid="{00000000-0005-0000-0000-00001C410000}"/>
    <cellStyle name="Warning Text 9 8 2" xfId="49712" xr:uid="{B1EDDE8B-D0DE-4737-8391-231956859B04}"/>
    <cellStyle name="Warning Text 9 9" xfId="9452" xr:uid="{00000000-0005-0000-0000-00001D410000}"/>
    <cellStyle name="Warning Text 9 9 2" xfId="49713" xr:uid="{732D4AC8-FF42-4C99-8057-6EEB45153D3C}"/>
    <cellStyle name="Zelle überprüfen" xfId="3334" xr:uid="{00000000-0005-0000-0000-00001E410000}"/>
    <cellStyle name="Zelle überprüfen 10" xfId="49714" xr:uid="{DA9C70FC-B2BA-471F-A818-565C50424B18}"/>
    <cellStyle name="Zelle überprüfen 2" xfId="12145" xr:uid="{00000000-0005-0000-0000-00001F410000}"/>
    <cellStyle name="Zelle überprüfen 2 2" xfId="49715" xr:uid="{2BA5AD1E-95A9-4DFF-8FA7-824E2B72B5CE}"/>
    <cellStyle name="Zelle überprüfen 3" xfId="12146" xr:uid="{00000000-0005-0000-0000-000020410000}"/>
    <cellStyle name="Zelle überprüfen 3 2" xfId="49716" xr:uid="{07C8BEA5-BF2D-4943-84B1-904098DE8AB5}"/>
    <cellStyle name="Zelle überprüfen 4" xfId="12147" xr:uid="{00000000-0005-0000-0000-000021410000}"/>
    <cellStyle name="Zelle überprüfen 4 2" xfId="49717" xr:uid="{69308866-EB09-4220-AD13-9C113A1ACEDD}"/>
    <cellStyle name="Zelle überprüfen 5" xfId="12148" xr:uid="{00000000-0005-0000-0000-000022410000}"/>
    <cellStyle name="Zelle überprüfen 5 2" xfId="49718" xr:uid="{8538A9DC-E5C1-422D-8343-3A9D8751E8FB}"/>
    <cellStyle name="Zelle überprüfen 6" xfId="12149" xr:uid="{00000000-0005-0000-0000-000023410000}"/>
    <cellStyle name="Zelle überprüfen 6 2" xfId="49719" xr:uid="{E9B1CFC8-7385-4B9D-B2BF-484B2E921A14}"/>
    <cellStyle name="Zelle überprüfen 7" xfId="13455" xr:uid="{00000000-0005-0000-0000-000024410000}"/>
    <cellStyle name="Zelle überprüfen 7 2" xfId="49720" xr:uid="{090DD4BB-A8B8-47AB-B9BA-1AE98C69179D}"/>
    <cellStyle name="Zelle überprüfen 8" xfId="16480" xr:uid="{00000000-0005-0000-0000-000025410000}"/>
    <cellStyle name="Zelle überprüfen 8 2" xfId="49721" xr:uid="{72C1E055-4E6B-4CAB-ACF4-3ACB54A13D85}"/>
    <cellStyle name="Zelle überprüfen 9" xfId="9453" xr:uid="{00000000-0005-0000-0000-000026410000}"/>
    <cellStyle name="Zelle überprüfen 9 2" xfId="49722" xr:uid="{F32E1863-1477-4CE4-AE33-91D32F710D29}"/>
    <cellStyle name="Гиперссылка" xfId="3335" xr:uid="{00000000-0005-0000-0000-000027410000}"/>
    <cellStyle name="Гиперссылка 10" xfId="49723" xr:uid="{3436461A-208E-49A1-BD25-040B5097F3C8}"/>
    <cellStyle name="Гиперссылка 2" xfId="12150" xr:uid="{00000000-0005-0000-0000-000028410000}"/>
    <cellStyle name="Гиперссылка 2 2" xfId="49725" xr:uid="{4484E387-8E8C-484E-AC2D-AC1391D9B86C}"/>
    <cellStyle name="Гиперссылка 2 3" xfId="49724" xr:uid="{D5A53C73-7E34-420F-A0C9-34462360F80A}"/>
    <cellStyle name="Гиперссылка 3" xfId="12151" xr:uid="{00000000-0005-0000-0000-000029410000}"/>
    <cellStyle name="Гиперссылка 3 2" xfId="49727" xr:uid="{B6CFADFA-12DD-4A90-B8E6-DA9AB047CD6D}"/>
    <cellStyle name="Гиперссылка 3 3" xfId="49726" xr:uid="{1D1F4163-E58A-4E89-AD2E-D8AF650B32E9}"/>
    <cellStyle name="Гиперссылка 4" xfId="12152" xr:uid="{00000000-0005-0000-0000-00002A410000}"/>
    <cellStyle name="Гиперссылка 4 2" xfId="49729" xr:uid="{E2C995A0-F656-4EF9-81ED-7DD2E0BA94E3}"/>
    <cellStyle name="Гиперссылка 4 3" xfId="49728" xr:uid="{9FFC092E-3990-4D34-A627-BD40E1AABC7D}"/>
    <cellStyle name="Гиперссылка 5" xfId="12153" xr:uid="{00000000-0005-0000-0000-00002B410000}"/>
    <cellStyle name="Гиперссылка 5 2" xfId="49730" xr:uid="{8F87E984-128D-4A63-85E5-31D17CD0A912}"/>
    <cellStyle name="Гиперссылка 6" xfId="12154" xr:uid="{00000000-0005-0000-0000-00002C410000}"/>
    <cellStyle name="Гиперссылка 6 2" xfId="49731" xr:uid="{A9CDDB0F-6D11-4812-92B9-556CF3B53746}"/>
    <cellStyle name="Гиперссылка 7" xfId="13456" xr:uid="{00000000-0005-0000-0000-00002D410000}"/>
    <cellStyle name="Гиперссылка 7 2" xfId="49732" xr:uid="{6E7F9717-DBE1-4F6B-B152-10C1C76D9CB0}"/>
    <cellStyle name="Гиперссылка 8" xfId="12598" xr:uid="{00000000-0005-0000-0000-00002E410000}"/>
    <cellStyle name="Гиперссылка 8 2" xfId="49733" xr:uid="{653DB364-A502-4846-8FA6-3A9C5619DD76}"/>
    <cellStyle name="Гиперссылка 9" xfId="9454" xr:uid="{00000000-0005-0000-0000-00002F410000}"/>
    <cellStyle name="Гиперссылка 9 2" xfId="49734" xr:uid="{3F2C74AE-4D63-4F12-8DA1-C4EC21FC221F}"/>
    <cellStyle name="Обычный_2++" xfId="3336" xr:uid="{00000000-0005-0000-0000-000030410000}"/>
    <cellStyle name="已访问的超链接" xfId="283" xr:uid="{00000000-0005-0000-0000-000031410000}"/>
    <cellStyle name="已访问的超链接 10" xfId="49735" xr:uid="{89CEDA75-4F42-4276-8004-57DBC25EAD0F}"/>
    <cellStyle name="已访问的超链接 2" xfId="12155" xr:uid="{00000000-0005-0000-0000-000032410000}"/>
    <cellStyle name="已访问的超链接 2 2" xfId="49736" xr:uid="{54B7F992-8B7A-45C9-AAD5-8D9DD0C29B21}"/>
    <cellStyle name="已访问的超链接 3" xfId="12156" xr:uid="{00000000-0005-0000-0000-000033410000}"/>
    <cellStyle name="已访问的超链接 3 2" xfId="49737" xr:uid="{422D1EED-DB8B-4FE1-A1A1-490787AA8D66}"/>
    <cellStyle name="已访问的超链接 4" xfId="12157" xr:uid="{00000000-0005-0000-0000-000034410000}"/>
    <cellStyle name="已访问的超链接 4 2" xfId="49738" xr:uid="{35E9D1EB-AD56-43DD-9B77-3BC4D4911873}"/>
    <cellStyle name="已访问的超链接 5" xfId="12158" xr:uid="{00000000-0005-0000-0000-000035410000}"/>
    <cellStyle name="已访问的超链接 5 2" xfId="49739" xr:uid="{030F1B77-6EE2-45C6-96A0-C2E2C0251062}"/>
    <cellStyle name="已访问的超链接 6" xfId="12159" xr:uid="{00000000-0005-0000-0000-000036410000}"/>
    <cellStyle name="已访问的超链接 6 2" xfId="49740" xr:uid="{7ED296AC-8BC4-4248-84FB-C64A264126F1}"/>
    <cellStyle name="已访问的超链接 7" xfId="12369" xr:uid="{00000000-0005-0000-0000-000037410000}"/>
    <cellStyle name="已访问的超链接 7 2" xfId="49741" xr:uid="{79DAEC1E-34F2-4624-A127-427F353F76A7}"/>
    <cellStyle name="已访问的超链接 8" xfId="13465" xr:uid="{00000000-0005-0000-0000-000038410000}"/>
    <cellStyle name="已访问的超链接 8 2" xfId="49742" xr:uid="{8E17CDCD-EF83-447B-822B-B35BF519F478}"/>
    <cellStyle name="已访问的超链接 9" xfId="9455" xr:uid="{00000000-0005-0000-0000-000039410000}"/>
    <cellStyle name="已访问的超链接 9 2" xfId="49743" xr:uid="{F7B2B866-4173-4653-8991-305BA3C18D89}"/>
  </cellStyles>
  <dxfs count="0"/>
  <tableStyles count="0" defaultTableStyle="TableStyleMedium9" defaultPivotStyle="PivotStyleLight16"/>
  <colors>
    <mruColors>
      <color rgb="FFBCE2D7"/>
      <color rgb="FFDFF1EC"/>
      <color rgb="FFFF9797"/>
      <color rgb="FFFF0066"/>
      <color rgb="FFFF0000"/>
      <color rgb="FFCCFFFF"/>
      <color rgb="FFFF7757"/>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21772</xdr:colOff>
      <xdr:row>28</xdr:row>
      <xdr:rowOff>65314</xdr:rowOff>
    </xdr:from>
    <xdr:to>
      <xdr:col>11</xdr:col>
      <xdr:colOff>533400</xdr:colOff>
      <xdr:row>41</xdr:row>
      <xdr:rowOff>54429</xdr:rowOff>
    </xdr:to>
    <xdr:sp macro="" textlink="">
      <xdr:nvSpPr>
        <xdr:cNvPr id="2" name="TextBox 1">
          <a:extLst>
            <a:ext uri="{FF2B5EF4-FFF2-40B4-BE49-F238E27FC236}">
              <a16:creationId xmlns:a16="http://schemas.microsoft.com/office/drawing/2014/main" id="{5530D107-81E1-48C6-82C0-EA448DE3427A}"/>
            </a:ext>
          </a:extLst>
        </xdr:cNvPr>
        <xdr:cNvSpPr txBox="1"/>
      </xdr:nvSpPr>
      <xdr:spPr>
        <a:xfrm>
          <a:off x="14717486" y="5148943"/>
          <a:ext cx="4321628" cy="24057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 DO</a:t>
          </a:r>
        </a:p>
        <a:p>
          <a:r>
            <a:rPr lang="en-GB" sz="1100"/>
            <a:t> - maybe add storage cost</a:t>
          </a:r>
          <a:r>
            <a:rPr lang="en-GB" sz="1100" baseline="0"/>
            <a:t> to decentralized H2 for RSD and COM and IND</a:t>
          </a:r>
        </a:p>
        <a:p>
          <a:r>
            <a:rPr lang="en-GB" sz="1100" baseline="0"/>
            <a:t> - include underground storage?</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153</xdr:col>
      <xdr:colOff>0</xdr:colOff>
      <xdr:row>60</xdr:row>
      <xdr:rowOff>0</xdr:rowOff>
    </xdr:from>
    <xdr:to>
      <xdr:col>154</xdr:col>
      <xdr:colOff>244475</xdr:colOff>
      <xdr:row>61</xdr:row>
      <xdr:rowOff>19050</xdr:rowOff>
    </xdr:to>
    <xdr:pic>
      <xdr:nvPicPr>
        <xdr:cNvPr id="2" name="Picture 1">
          <a:extLst>
            <a:ext uri="{FF2B5EF4-FFF2-40B4-BE49-F238E27FC236}">
              <a16:creationId xmlns:a16="http://schemas.microsoft.com/office/drawing/2014/main" id="{690C3C41-5F6B-43CC-925A-C742A75FF590}"/>
            </a:ext>
          </a:extLst>
        </xdr:cNvPr>
        <xdr:cNvPicPr>
          <a:picLocks noChangeAspect="1" noChangeArrowheads="1"/>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94811850" y="8229600"/>
          <a:ext cx="854075" cy="18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TIMES Portugal" id="{2D0469D2-126A-4A16-829D-F884E6277EEB}" userId="0ec4ab6a20162f60" providerId="Windows Live"/>
  <person displayName="pas11067@FCT.UNL.PT" id="{CA551A3F-8363-497C-AB60-4E98112BB9F5}" userId="pas11067@FCT.UNL.PT" providerId="None"/>
  <person displayName="Patricia Alexandra Fortes da Silva" id="{C9C8C244-D3CD-49A2-A137-4DBAD0B01123}" userId="Patricia Alexandra Fortes da Silva"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30" dT="2020-05-11T09:17:31.05" personId="{CA551A3F-8363-497C-AB60-4E98112BB9F5}" id="{86E7EEE3-6666-4091-94B4-E7C28EFEE40E}">
    <text>Source: Development of Water Electrolysis in the European
Union, Final Report
eff
2020: 64%
2030: 69%
2050: 74%</text>
  </threadedComment>
  <threadedComment ref="E33" dT="2020-05-11T10:36:14.51" personId="{CA551A3F-8363-497C-AB60-4E98112BB9F5}" id="{65C17E70-0262-46E2-9C63-A680FFEB0C44}">
    <text>=median of onshore fields is 20MW</text>
  </threadedComment>
  <threadedComment ref="X37" dT="2020-05-12T09:08:00.11" personId="{C9C8C244-D3CD-49A2-A137-4DBAD0B01123}" id="{174DA295-633A-47ED-9170-4B6AA76A8E3D}">
    <text>IEA, doláres de 2017 para Euros 2000</text>
  </threadedComment>
  <threadedComment ref="Z37" dT="2020-05-12T09:08:00.11" personId="{C9C8C244-D3CD-49A2-A137-4DBAD0B01123}" id="{C71348BF-1DB3-4770-A648-59323924D460}">
    <text>IEA, doláres de 2017 para Euros 2000</text>
  </threadedComment>
  <threadedComment ref="AA37" dT="2020-05-12T09:08:00.11" personId="{C9C8C244-D3CD-49A2-A137-4DBAD0B01123}" id="{9FB27F18-C0C4-49AC-B29C-0AA7953B0C9F}">
    <text>IEA, doláres de 2017 para Euros 2000</text>
  </threadedComment>
</ThreadedComments>
</file>

<file path=xl/threadedComments/threadedComment2.xml><?xml version="1.0" encoding="utf-8"?>
<ThreadedComments xmlns="http://schemas.microsoft.com/office/spreadsheetml/2018/threadedcomments" xmlns:x="http://schemas.openxmlformats.org/spreadsheetml/2006/main">
  <threadedComment ref="I75" dT="2020-07-10T15:44:11.69" personId="{CA551A3F-8363-497C-AB60-4E98112BB9F5}" id="{B7304B05-C2EF-4FA7-860E-E0C2EE3B2E3A}">
    <text>De 30 para 80 bar: 0,018 PJ/PJ</text>
  </threadedComment>
  <threadedComment ref="F296" dT="2020-06-17T00:30:41.35" personId="{2D0469D2-126A-4A16-829D-F884E6277EEB}" id="{712A7DA5-E7AA-4CE0-8F0F-738685F94261}">
    <text>0.018 está associado à compressão de 30 para 80bar</text>
  </threadedComment>
</ThreadedComments>
</file>

<file path=xl/threadedComments/threadedComment3.xml><?xml version="1.0" encoding="utf-8"?>
<ThreadedComments xmlns="http://schemas.microsoft.com/office/spreadsheetml/2018/threadedcomments" xmlns:x="http://schemas.openxmlformats.org/spreadsheetml/2006/main">
  <threadedComment ref="V39" dT="2020-04-02T14:47:35.71" personId="{CA551A3F-8363-497C-AB60-4E98112BB9F5}" id="{F09D59D2-BDC0-4880-91FE-4D6DB1006BF3}">
    <text>Foi considerado 50 porque 30 e 35 anos parece muito pouco</text>
  </threadedComment>
  <threadedComment ref="O51" dT="2020-10-12T13:56:04.48" personId="{CA551A3F-8363-497C-AB60-4E98112BB9F5}" id="{3D480A48-99BA-4AEC-AF9B-DE5550B297BA}">
    <text>12% do truck + 2% do trailer assumindo que o truck tem um capex 185 e o trailer 650. IEA the future of H2, 2019</text>
  </threadedComment>
  <threadedComment ref="S51" dT="2020-10-12T10:32:26.13" personId="{CA551A3F-8363-497C-AB60-4E98112BB9F5}" id="{5F7F2FBA-8138-4D6F-BFDF-989A926822FB}">
    <text>45% como o Paul Dodds</text>
  </threadedComment>
  <threadedComment ref="S128" dT="2020-10-11T13:56:20.33" personId="{CA551A3F-8363-497C-AB60-4E98112BB9F5}" id="{F9E27CC6-A02C-4747-8C90-5C11D60817A7}">
    <text>86% distribution costs, 0.022 €/GJ I6 and 0.69 deflator pib</text>
  </threadedComment>
</ThreadedComments>
</file>

<file path=xl/threadedComments/threadedComment4.xml><?xml version="1.0" encoding="utf-8"?>
<ThreadedComments xmlns="http://schemas.microsoft.com/office/spreadsheetml/2018/threadedcomments" xmlns:x="http://schemas.openxmlformats.org/spreadsheetml/2006/main">
  <threadedComment ref="D3" dT="2020-04-10T23:23:54.07" personId="{CA551A3F-8363-497C-AB60-4E98112BB9F5}" id="{2CECA4F9-FD69-4F00-9346-0B4F6CA63499}">
    <text>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ext>
  </threadedComment>
  <threadedComment ref="L3" dT="2020-04-10T23:23:54.07" personId="{CA551A3F-8363-497C-AB60-4E98112BB9F5}" id="{A800C78D-52AC-4D61-8F61-B64A6BF8A18B}">
    <text>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ext>
  </threadedComment>
  <threadedComment ref="T3" dT="2020-04-10T23:23:54.07" personId="{CA551A3F-8363-497C-AB60-4E98112BB9F5}" id="{CAD12870-3ED2-4C0F-AC42-F535AE66B39F}">
    <text>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ext>
  </threadedComment>
  <threadedComment ref="X3" dT="2020-04-10T23:23:54.07" personId="{CA551A3F-8363-497C-AB60-4E98112BB9F5}" id="{9554EEFC-F05D-422A-8B80-B348B1369DD1}">
    <text>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ext>
  </threadedComment>
  <threadedComment ref="AH3" dT="2020-04-10T23:23:54.07" personId="{CA551A3F-8363-497C-AB60-4E98112BB9F5}" id="{5DD6A267-69DD-44A6-ADBE-E05FAB2A86EE}">
    <text>Delivery pathway 2
The delivery pathway 2, shown in Fig. 5, includes underground gas storage between a large-scale hydrogen production facility and a liquefaction terminal [117]. However, underground gas storage requires extra compression before storing the hydrogen gas. It also needs a transmission pipeline to send the hydrogen gas to the liquefaction plant. After liquefaction and the liquid hydrogen storage stage, short distance road transportation of the liquefied hydrogen is selected for the hydrogen delivery to the refuelling station. The main reason for using short distance road transportation (distribution) instead of long distance road transportation (transmission) in this pathway is that liquefaction plants are generally planned to be placed at the city gates unless they are co-located with the hydrogen production facilities [120].</text>
  </threadedComment>
  <threadedComment ref="BJ3" dT="2020-04-15T22:35:07.95" personId="{CA551A3F-8363-497C-AB60-4E98112BB9F5}" id="{817DA234-89EB-4B65-8E92-E37B19DFF936}">
    <text>pipeline to transport H2 to storage place and then, pipeline to transport H2 for the distribution.
And about UAG?
We need to see how much is consumed only by pipeline, without road transport</text>
  </threadedComment>
  <threadedComment ref="CF3" dT="2020-04-15T22:35:07.95" personId="{CA551A3F-8363-497C-AB60-4E98112BB9F5}" id="{E628DEAD-13D5-4268-A593-E5F74543B8E2}">
    <text>pipeline to transport H2 to storage place and then, pipeline to transport H2 for the distribution.
And about UAG?
We need to see how much is consumed only by pipeline, without road transport</text>
  </threadedComment>
  <threadedComment ref="EA18" dT="2020-04-23T18:15:41.98" personId="{CA551A3F-8363-497C-AB60-4E98112BB9F5}" id="{75673069-4C2C-4FB3-B6C6-F8410BFB06C5}">
    <text>O JRC tem este valor mas parece-nos que uma pipeline estar 30% do tempo em manutenção muito elevado</text>
  </threadedComment>
  <threadedComment ref="EW18" dT="2020-04-23T18:15:41.98" personId="{CA551A3F-8363-497C-AB60-4E98112BB9F5}" id="{FC4A0060-99EC-4AFC-957E-A484F7B97143}">
    <text>O JRC tem este valor mas parece-nos que uma pipeline estar 30% do tempo em manutenção muito elevado</text>
  </threadedComment>
  <threadedComment ref="DS21" dT="2020-04-23T17:59:33.66" personId="{CA551A3F-8363-497C-AB60-4E98112BB9F5}" id="{92940441-EAAB-46B0-9EC0-8F70AF55B4ED}">
    <text>Porque é que a rede de H2 tem uma duração maior?</text>
  </threadedComment>
  <threadedComment ref="DX21" dT="2020-04-23T18:00:01.02" personId="{CA551A3F-8363-497C-AB60-4E98112BB9F5}" id="{8F91DCB0-87A9-4E56-B61F-94C5BC764BD1}">
    <text>Includes compression. Value from JRC model for: compression, distribution and distribution</text>
  </threadedComment>
  <threadedComment ref="EO21" dT="2020-04-23T17:59:33.66" personId="{CA551A3F-8363-497C-AB60-4E98112BB9F5}" id="{CCBBA962-A988-485A-A9D6-8A3CCBABD9BD}">
    <text>Porque é que a rede de H2 tem uma duração maior?</text>
  </threadedComment>
  <threadedComment ref="ET21" dT="2020-04-23T18:00:01.02" personId="{CA551A3F-8363-497C-AB60-4E98112BB9F5}" id="{4993D1DF-166A-48AB-82AF-181F97493D26}">
    <text>Includes compression. Value from JRC model for: compression, distribution and distribution</text>
  </threadedComment>
  <threadedComment ref="ER22" dT="2020-07-10T15:42:42.26" personId="{CA551A3F-8363-497C-AB60-4E98112BB9F5}" id="{58FC8645-5E50-4FA8-A451-BDDBC964434D}">
    <text>O valor a considerar para a compressão da pressão do gasoduto, 80 bar, para um volume fechado (trailer) e que ficará à pressão final de 350 bar é
0,016 PJ/PJ</text>
  </threadedComment>
  <threadedComment ref="DX29" dT="2020-04-23T18:00:01.02" personId="{CA551A3F-8363-497C-AB60-4E98112BB9F5}" id="{708C469A-3ED4-42A7-89FF-CB8CF019F544}">
    <text>Includes compression. Value from JRC model for: compression, distribution and distribution</text>
  </threadedComment>
  <threadedComment ref="DF36" dT="2020-04-25T22:55:54.99" personId="{CA551A3F-8363-497C-AB60-4E98112BB9F5}" id="{A2AB81DF-24F0-4B8E-B628-90D0768AD235}">
    <text>multiplicação pelo deflator</text>
  </threadedComment>
  <threadedComment ref="DX36" dT="2020-04-23T23:30:52.60" personId="{CA551A3F-8363-497C-AB60-4E98112BB9F5}" id="{91BA8727-B2A8-474A-A5FA-A17101593278}">
    <text>Liquefaction: A significant amount of electricity is required to liquefy hydrogen via the
liquefaction process, which currently leads to losses of 20% to 45% of the hydrogen energy
content only (Berstad et al., 2013; Cardella et al., 2017; H21 NoE, 2018, p. 21).</text>
  </threadedComment>
  <threadedComment ref="ET36" dT="2020-04-23T23:30:52.60" personId="{CA551A3F-8363-497C-AB60-4E98112BB9F5}" id="{9CFC0EC4-2334-4543-A718-AF6F1C784106}">
    <text>Liquefaction: A significant amount of electricity is required to liquefy hydrogen via the
liquefaction process, which currently leads to losses of 20% to 45% of the hydrogen energy
content only (Berstad et al., 2013; Cardella et al., 2017; H21 NoE, 2018, p. 21).</text>
  </threadedComment>
  <threadedComment ref="DF37" dT="2020-04-25T22:55:54.99" personId="{CA551A3F-8363-497C-AB60-4E98112BB9F5}" id="{F11C05FC-1F82-44A7-A52C-4FB1B60682AA}">
    <text>multiplicação pelo deflator</text>
  </threadedComment>
  <threadedComment ref="DI41" dT="2020-05-03T22:23:44.97" personId="{CA551A3F-8363-497C-AB60-4E98112BB9F5}" id="{F6ECE7DD-C6D8-4D4E-B24C-999669470874}">
    <text>OPEX = 5% CAPEX
Mail Hugo Tente 3/5/2020 subject: Re: sobre as nossas premissas para o transporte rodoviário de H2 para o OTGEN EDP</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nrel.gov/docs/fy19osti/72740.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2.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sheetPr>
  <dimension ref="A1:AO103"/>
  <sheetViews>
    <sheetView zoomScale="89" zoomScaleNormal="89" workbookViewId="0">
      <pane xSplit="6740" ySplit="1575" topLeftCell="M30" activePane="bottomRight"/>
      <selection activeCell="N47" sqref="N47"/>
      <selection pane="topRight" activeCell="AF1" sqref="AF1"/>
      <selection pane="bottomLeft" activeCell="C38" sqref="C38"/>
      <selection pane="bottomRight" activeCell="N38" sqref="N38"/>
    </sheetView>
  </sheetViews>
  <sheetFormatPr defaultColWidth="9.1328125" defaultRowHeight="14.75"/>
  <cols>
    <col min="1" max="1" width="7.40625" style="103" bestFit="1" customWidth="1"/>
    <col min="2" max="2" width="13" style="103" customWidth="1"/>
    <col min="3" max="3" width="8.40625" style="103" customWidth="1"/>
    <col min="4" max="4" width="22.26953125" style="103" customWidth="1"/>
    <col min="5" max="5" width="14" style="111" customWidth="1"/>
    <col min="6" max="6" width="1" style="103" customWidth="1"/>
    <col min="7" max="10" width="1" style="111" customWidth="1"/>
    <col min="11" max="24" width="14" style="111" customWidth="1"/>
    <col min="25" max="25" width="4.86328125" style="111" customWidth="1"/>
    <col min="26" max="38" width="14" style="111" customWidth="1"/>
    <col min="39" max="39" width="29.54296875" style="103" bestFit="1" customWidth="1"/>
    <col min="40" max="40" width="9.1328125" style="103"/>
    <col min="41" max="41" width="11.40625" style="103" customWidth="1"/>
    <col min="42" max="16384" width="9.1328125" style="103"/>
  </cols>
  <sheetData>
    <row r="1" spans="1:41" s="90" customFormat="1" ht="18.899999999999999" customHeight="1">
      <c r="A1" s="87" t="s">
        <v>47</v>
      </c>
      <c r="B1" s="87" t="s">
        <v>48</v>
      </c>
      <c r="C1" s="87" t="s">
        <v>49</v>
      </c>
      <c r="D1" s="87" t="s">
        <v>50</v>
      </c>
      <c r="E1" s="88" t="s">
        <v>60</v>
      </c>
      <c r="F1" s="88" t="s">
        <v>51</v>
      </c>
      <c r="G1" s="89" t="s">
        <v>52</v>
      </c>
      <c r="H1" s="89" t="s">
        <v>53</v>
      </c>
      <c r="I1" s="89" t="s">
        <v>54</v>
      </c>
      <c r="J1" s="89" t="s">
        <v>55</v>
      </c>
      <c r="K1" s="1600" t="s">
        <v>56</v>
      </c>
      <c r="L1" s="1600"/>
      <c r="M1" s="1600"/>
      <c r="N1" s="1600"/>
      <c r="O1" s="647"/>
      <c r="P1" s="1600" t="s">
        <v>57</v>
      </c>
      <c r="Q1" s="1600"/>
      <c r="R1" s="1600"/>
      <c r="S1" s="1600"/>
      <c r="T1" s="89" t="s">
        <v>58</v>
      </c>
      <c r="U1" s="89" t="s">
        <v>59</v>
      </c>
      <c r="V1" s="88" t="s">
        <v>38</v>
      </c>
      <c r="W1" s="1601" t="s">
        <v>762</v>
      </c>
      <c r="X1" s="1601"/>
      <c r="Y1" s="1601"/>
      <c r="Z1" s="1601"/>
      <c r="AA1" s="332"/>
      <c r="AB1" s="1601" t="s">
        <v>766</v>
      </c>
      <c r="AC1" s="1601"/>
      <c r="AD1" s="1601"/>
      <c r="AE1" s="1601"/>
      <c r="AF1" s="332"/>
      <c r="AG1" s="1601" t="s">
        <v>767</v>
      </c>
      <c r="AH1" s="1601"/>
      <c r="AI1" s="1601"/>
      <c r="AJ1" s="1601"/>
      <c r="AK1" s="88" t="s">
        <v>32</v>
      </c>
      <c r="AL1" s="88" t="s">
        <v>6</v>
      </c>
      <c r="AM1" s="87" t="s">
        <v>121</v>
      </c>
      <c r="AN1" s="90" t="s">
        <v>482</v>
      </c>
      <c r="AO1" s="87" t="s">
        <v>497</v>
      </c>
    </row>
    <row r="2" spans="1:41" s="94" customFormat="1" ht="18.899999999999999" customHeight="1">
      <c r="A2" s="91"/>
      <c r="B2" s="91"/>
      <c r="C2" s="91"/>
      <c r="D2" s="91"/>
      <c r="E2" s="92" t="s">
        <v>62</v>
      </c>
      <c r="F2" s="92" t="s">
        <v>61</v>
      </c>
      <c r="G2" s="93"/>
      <c r="H2" s="93"/>
      <c r="I2" s="93"/>
      <c r="J2" s="93"/>
      <c r="K2" s="93">
        <v>2010</v>
      </c>
      <c r="L2" s="93">
        <v>2020</v>
      </c>
      <c r="M2" s="93">
        <v>2025</v>
      </c>
      <c r="N2" s="93">
        <v>2030</v>
      </c>
      <c r="O2" s="649">
        <v>2050</v>
      </c>
      <c r="P2" s="93">
        <v>2010</v>
      </c>
      <c r="Q2" s="93">
        <v>2020</v>
      </c>
      <c r="R2" s="93">
        <v>2025</v>
      </c>
      <c r="S2" s="93">
        <v>2030</v>
      </c>
      <c r="T2" s="93"/>
      <c r="U2" s="93"/>
      <c r="V2" s="92"/>
      <c r="W2" s="92">
        <v>2010</v>
      </c>
      <c r="X2" s="92">
        <v>2020</v>
      </c>
      <c r="Y2" s="92">
        <v>2025</v>
      </c>
      <c r="Z2" s="92">
        <v>2030</v>
      </c>
      <c r="AA2" s="92">
        <v>2050</v>
      </c>
      <c r="AB2" s="92">
        <v>2010</v>
      </c>
      <c r="AC2" s="92">
        <v>2020</v>
      </c>
      <c r="AD2" s="92">
        <v>2025</v>
      </c>
      <c r="AE2" s="92">
        <v>2030</v>
      </c>
      <c r="AF2" s="92">
        <v>2050</v>
      </c>
      <c r="AG2" s="92">
        <v>2010</v>
      </c>
      <c r="AH2" s="92">
        <v>2020</v>
      </c>
      <c r="AI2" s="92">
        <v>2025</v>
      </c>
      <c r="AJ2" s="92">
        <v>2030</v>
      </c>
      <c r="AK2" s="92" t="s">
        <v>63</v>
      </c>
      <c r="AL2" s="92" t="s">
        <v>64</v>
      </c>
      <c r="AM2" s="91"/>
    </row>
    <row r="3" spans="1:41" ht="18.899999999999999" customHeight="1">
      <c r="A3" s="95" t="s">
        <v>65</v>
      </c>
      <c r="B3" s="211" t="s">
        <v>104</v>
      </c>
      <c r="C3" s="95" t="s">
        <v>304</v>
      </c>
      <c r="D3" s="95" t="s">
        <v>70</v>
      </c>
      <c r="E3" s="100">
        <v>1667.3689999999999</v>
      </c>
      <c r="F3" s="96" t="s">
        <v>66</v>
      </c>
      <c r="G3" s="97" t="s">
        <v>316</v>
      </c>
      <c r="H3" s="98" t="s">
        <v>317</v>
      </c>
      <c r="I3" s="98" t="s">
        <v>318</v>
      </c>
      <c r="J3" s="98" t="s">
        <v>29</v>
      </c>
      <c r="K3" s="96">
        <v>1.77</v>
      </c>
      <c r="L3" s="96"/>
      <c r="M3" s="96">
        <v>1.77</v>
      </c>
      <c r="N3" s="99">
        <v>1.62</v>
      </c>
      <c r="O3" s="651"/>
      <c r="P3" s="99">
        <v>7.0000000000000007E-2</v>
      </c>
      <c r="Q3" s="96"/>
      <c r="R3" s="99">
        <v>7.0000000000000007E-2</v>
      </c>
      <c r="S3" s="99">
        <v>2.3E-2</v>
      </c>
      <c r="T3" s="96">
        <v>1</v>
      </c>
      <c r="U3" s="96" t="s">
        <v>29</v>
      </c>
      <c r="V3" s="101">
        <v>0.9</v>
      </c>
      <c r="W3" s="100">
        <f>IF(EDP_Data!AZ4&gt;0,EDP_Data!AZ4,"")</f>
        <v>355.56271431122718</v>
      </c>
      <c r="X3" s="652" t="str">
        <f>IF(EDP_Data!BA4&gt;0,EDP_Data!BA4,"")</f>
        <v/>
      </c>
      <c r="Y3" s="652">
        <f>IF(EDP_Data!BB4&gt;0,EDP_Data!BB4,"")</f>
        <v>355.56271431122718</v>
      </c>
      <c r="Z3" s="652">
        <f>IF(EDP_Data!BC4&gt;0,EDP_Data!BC4,"")</f>
        <v>269.82418745603763</v>
      </c>
      <c r="AA3" s="652" t="str">
        <f>IF(EDP_Data!BD4&gt;0,EDP_Data!BD4,"")</f>
        <v/>
      </c>
      <c r="AB3" s="652">
        <f>IF(EDP_Data!BE4&gt;0,EDP_Data!BE4,"")</f>
        <v>21.140430886353105</v>
      </c>
      <c r="AC3" s="652" t="str">
        <f>IF(EDP_Data!BF4&gt;0,EDP_Data!BF4,"")</f>
        <v/>
      </c>
      <c r="AD3" s="652">
        <f>IF(EDP_Data!BG4&gt;0,EDP_Data!BG4,"")</f>
        <v>21.140430886353105</v>
      </c>
      <c r="AE3" s="652">
        <f>IF(EDP_Data!BH4&gt;0,EDP_Data!BH4,"")</f>
        <v>17.231762750307695</v>
      </c>
      <c r="AF3" s="652" t="str">
        <f>IF(EDP_Data!BI4&gt;0,EDP_Data!BI4,"")</f>
        <v/>
      </c>
      <c r="AG3" s="652">
        <f>IF(EDP_Data!BJ4&gt;0,EDP_Data!BJ4,"")</f>
        <v>0.12527577453324143</v>
      </c>
      <c r="AH3" s="652" t="str">
        <f>IF(EDP_Data!BK4&gt;0,EDP_Data!BK4,"")</f>
        <v/>
      </c>
      <c r="AI3" s="652">
        <f>IF(EDP_Data!BL4&gt;0,EDP_Data!BL4,"")</f>
        <v>0.12527577453324143</v>
      </c>
      <c r="AJ3" s="652">
        <f>IF(EDP_Data!BM4&gt;0,EDP_Data!BM4,"")</f>
        <v>9.5067431737991717E-2</v>
      </c>
      <c r="AK3" s="96">
        <v>20</v>
      </c>
      <c r="AL3" s="96">
        <v>2015</v>
      </c>
      <c r="AM3" s="102" t="s">
        <v>122</v>
      </c>
    </row>
    <row r="4" spans="1:41" s="597" customFormat="1" ht="18.899999999999999" customHeight="1">
      <c r="A4" s="536" t="s">
        <v>65</v>
      </c>
      <c r="B4" s="511" t="s">
        <v>105</v>
      </c>
      <c r="C4" s="536" t="s">
        <v>135</v>
      </c>
      <c r="D4" s="536" t="s">
        <v>71</v>
      </c>
      <c r="E4" s="614">
        <v>434.07</v>
      </c>
      <c r="F4" s="505" t="s">
        <v>66</v>
      </c>
      <c r="G4" s="603" t="s">
        <v>316</v>
      </c>
      <c r="H4" s="603" t="s">
        <v>29</v>
      </c>
      <c r="I4" s="603" t="s">
        <v>318</v>
      </c>
      <c r="J4" s="603" t="s">
        <v>317</v>
      </c>
      <c r="K4" s="505">
        <v>1.75</v>
      </c>
      <c r="L4" s="505"/>
      <c r="M4" s="505"/>
      <c r="N4" s="505"/>
      <c r="O4" s="505"/>
      <c r="P4" s="505"/>
      <c r="Q4" s="505"/>
      <c r="R4" s="505"/>
      <c r="S4" s="505"/>
      <c r="T4" s="505">
        <v>1</v>
      </c>
      <c r="U4" s="601">
        <v>0.08</v>
      </c>
      <c r="V4" s="600">
        <v>0.8</v>
      </c>
      <c r="W4" s="614">
        <f>IF(EDP_Data!AZ5&gt;0,EDP_Data!AZ5,"")</f>
        <v>440.83425572602891</v>
      </c>
      <c r="X4" s="614">
        <f>IF(EDP_Data!BA5&gt;0,EDP_Data!BA5,"")</f>
        <v>440.83425572602891</v>
      </c>
      <c r="Y4" s="614" t="str">
        <f>IF(EDP_Data!BB5&gt;0,EDP_Data!BB5,"")</f>
        <v/>
      </c>
      <c r="Z4" s="614" t="str">
        <f>IF(EDP_Data!BC5&gt;0,EDP_Data!BC5,"")</f>
        <v/>
      </c>
      <c r="AA4" s="614" t="str">
        <f>IF(EDP_Data!BD5&gt;0,EDP_Data!BD5,"")</f>
        <v/>
      </c>
      <c r="AB4" s="614">
        <f>IF(EDP_Data!BE5&gt;0,EDP_Data!BE5,"")</f>
        <v>11.020856393150723</v>
      </c>
      <c r="AC4" s="614" t="str">
        <f>IF(EDP_Data!BF5&gt;0,EDP_Data!BF5,"")</f>
        <v/>
      </c>
      <c r="AD4" s="614" t="str">
        <f>IF(EDP_Data!BG5&gt;0,EDP_Data!BG5,"")</f>
        <v/>
      </c>
      <c r="AE4" s="614" t="str">
        <f>IF(EDP_Data!BH5&gt;0,EDP_Data!BH5,"")</f>
        <v/>
      </c>
      <c r="AF4" s="614" t="str">
        <f>IF(EDP_Data!BI5&gt;0,EDP_Data!BI5,"")</f>
        <v/>
      </c>
      <c r="AG4" s="614">
        <f>IF(EDP_Data!BJ5&gt;0,EDP_Data!BJ5,"")</f>
        <v>0.17029212850263314</v>
      </c>
      <c r="AH4" s="614" t="str">
        <f>IF(EDP_Data!BK5&gt;0,EDP_Data!BK5,"")</f>
        <v/>
      </c>
      <c r="AI4" s="614" t="str">
        <f>IF(EDP_Data!BL5&gt;0,EDP_Data!BL5,"")</f>
        <v/>
      </c>
      <c r="AJ4" s="614" t="str">
        <f>IF(EDP_Data!BM5&gt;0,EDP_Data!BM5,"")</f>
        <v/>
      </c>
      <c r="AK4" s="505">
        <v>20</v>
      </c>
      <c r="AL4" s="505">
        <v>2015</v>
      </c>
      <c r="AM4" s="599" t="s">
        <v>123</v>
      </c>
    </row>
    <row r="5" spans="1:41" s="597" customFormat="1" ht="18.899999999999999" customHeight="1">
      <c r="A5" s="536" t="s">
        <v>65</v>
      </c>
      <c r="B5" s="511" t="s">
        <v>487</v>
      </c>
      <c r="C5" s="536" t="s">
        <v>136</v>
      </c>
      <c r="D5" s="536" t="s">
        <v>72</v>
      </c>
      <c r="E5" s="614">
        <v>1667.3689999999999</v>
      </c>
      <c r="F5" s="505" t="s">
        <v>66</v>
      </c>
      <c r="G5" s="603" t="s">
        <v>316</v>
      </c>
      <c r="H5" s="603" t="s">
        <v>317</v>
      </c>
      <c r="I5" s="603" t="s">
        <v>318</v>
      </c>
      <c r="J5" s="603" t="s">
        <v>29</v>
      </c>
      <c r="K5" s="505">
        <v>1.77</v>
      </c>
      <c r="L5" s="505"/>
      <c r="M5" s="505">
        <v>1.77</v>
      </c>
      <c r="N5" s="601">
        <v>1.62</v>
      </c>
      <c r="O5" s="601"/>
      <c r="P5" s="601">
        <v>0.111</v>
      </c>
      <c r="Q5" s="505"/>
      <c r="R5" s="601">
        <v>0.111</v>
      </c>
      <c r="S5" s="601">
        <v>2.3E-2</v>
      </c>
      <c r="T5" s="505">
        <v>1</v>
      </c>
      <c r="U5" s="505" t="s">
        <v>29</v>
      </c>
      <c r="V5" s="600">
        <v>0.9</v>
      </c>
      <c r="W5" s="614">
        <f>IF(EDP_Data!AZ6&gt;0,EDP_Data!AZ6,"")</f>
        <v>438.98966323649728</v>
      </c>
      <c r="X5" s="614">
        <f>IF(EDP_Data!BA6&gt;0,EDP_Data!BA6,"")</f>
        <v>400.11312532421778</v>
      </c>
      <c r="Y5" s="614">
        <f>IF(EDP_Data!BB6&gt;0,EDP_Data!BB6,"")</f>
        <v>400.11312532421778</v>
      </c>
      <c r="Z5" s="614">
        <f>IF(EDP_Data!BC6&gt;0,EDP_Data!BC6,"")</f>
        <v>279.49078607206388</v>
      </c>
      <c r="AA5" s="614" t="str">
        <f>IF(EDP_Data!BD6&gt;0,EDP_Data!BD6,"")</f>
        <v/>
      </c>
      <c r="AB5" s="614">
        <f>IF(EDP_Data!BE6&gt;0,EDP_Data!BE6,"")</f>
        <v>31.521517226172623</v>
      </c>
      <c r="AC5" s="614" t="str">
        <f>IF(EDP_Data!BF6&gt;0,EDP_Data!BF6,"")</f>
        <v/>
      </c>
      <c r="AD5" s="614">
        <f>IF(EDP_Data!BG6&gt;0,EDP_Data!BG6,"")</f>
        <v>31.521517226172623</v>
      </c>
      <c r="AE5" s="614">
        <f>IF(EDP_Data!BH6&gt;0,EDP_Data!BH6,"")</f>
        <v>17.441906198482179</v>
      </c>
      <c r="AF5" s="614" t="str">
        <f>IF(EDP_Data!BI6&gt;0,EDP_Data!BI6,"")</f>
        <v/>
      </c>
      <c r="AG5" s="614">
        <f>IF(EDP_Data!BJ6&gt;0,EDP_Data!BJ6,"")</f>
        <v>0.15466967671391332</v>
      </c>
      <c r="AH5" s="614" t="str">
        <f>IF(EDP_Data!BK6&gt;0,EDP_Data!BK6,"")</f>
        <v/>
      </c>
      <c r="AI5" s="614">
        <f>IF(EDP_Data!BL6&gt;0,EDP_Data!BL6,"")</f>
        <v>0.15466967671391332</v>
      </c>
      <c r="AJ5" s="614">
        <f>IF(EDP_Data!BM6&gt;0,EDP_Data!BM6,"")</f>
        <v>9.8473274308044381E-2</v>
      </c>
      <c r="AK5" s="505">
        <v>20</v>
      </c>
      <c r="AL5" s="505">
        <v>2015</v>
      </c>
      <c r="AM5" s="599" t="s">
        <v>122</v>
      </c>
    </row>
    <row r="6" spans="1:41" s="597" customFormat="1" ht="18.899999999999999" customHeight="1">
      <c r="A6" s="536" t="s">
        <v>65</v>
      </c>
      <c r="B6" s="511" t="s">
        <v>488</v>
      </c>
      <c r="C6" s="536" t="s">
        <v>137</v>
      </c>
      <c r="D6" s="536" t="s">
        <v>73</v>
      </c>
      <c r="E6" s="614">
        <v>442.137</v>
      </c>
      <c r="F6" s="505" t="s">
        <v>66</v>
      </c>
      <c r="G6" s="603" t="s">
        <v>316</v>
      </c>
      <c r="H6" s="603" t="s">
        <v>29</v>
      </c>
      <c r="I6" s="603" t="s">
        <v>318</v>
      </c>
      <c r="J6" s="603" t="s">
        <v>317</v>
      </c>
      <c r="K6" s="505">
        <v>1.72</v>
      </c>
      <c r="L6" s="505"/>
      <c r="M6" s="505"/>
      <c r="N6" s="505"/>
      <c r="O6" s="505"/>
      <c r="P6" s="601" t="s">
        <v>29</v>
      </c>
      <c r="Q6" s="601"/>
      <c r="R6" s="601"/>
      <c r="S6" s="601"/>
      <c r="T6" s="505">
        <v>1</v>
      </c>
      <c r="U6" s="601">
        <v>0.08</v>
      </c>
      <c r="V6" s="600">
        <v>0.8</v>
      </c>
      <c r="W6" s="614">
        <f>IF(EDP_Data!AZ7&gt;0,EDP_Data!AZ7,"")</f>
        <v>508.08015914186387</v>
      </c>
      <c r="X6" s="614">
        <f>IF(EDP_Data!BA7&gt;0,EDP_Data!BA7,"")</f>
        <v>508.08015914186387</v>
      </c>
      <c r="Y6" s="614" t="str">
        <f>IF(EDP_Data!BB7&gt;0,EDP_Data!BB7,"")</f>
        <v/>
      </c>
      <c r="Z6" s="614" t="str">
        <f>IF(EDP_Data!BC7&gt;0,EDP_Data!BC7,"")</f>
        <v/>
      </c>
      <c r="AA6" s="614" t="str">
        <f>IF(EDP_Data!BD7&gt;0,EDP_Data!BD7,"")</f>
        <v/>
      </c>
      <c r="AB6" s="614">
        <f>IF(EDP_Data!BE7&gt;0,EDP_Data!BE7,"")</f>
        <v>21.107741905525959</v>
      </c>
      <c r="AC6" s="614" t="str">
        <f>IF(EDP_Data!BF7&gt;0,EDP_Data!BF7,"")</f>
        <v/>
      </c>
      <c r="AD6" s="614" t="str">
        <f>IF(EDP_Data!BG7&gt;0,EDP_Data!BG7,"")</f>
        <v/>
      </c>
      <c r="AE6" s="614" t="str">
        <f>IF(EDP_Data!BH7&gt;0,EDP_Data!BH7,"")</f>
        <v/>
      </c>
      <c r="AF6" s="614" t="str">
        <f>IF(EDP_Data!BI7&gt;0,EDP_Data!BI7,"")</f>
        <v/>
      </c>
      <c r="AG6" s="614">
        <f>IF(EDP_Data!BJ7&gt;0,EDP_Data!BJ7,"")</f>
        <v>0.20138895196833137</v>
      </c>
      <c r="AH6" s="614" t="str">
        <f>IF(EDP_Data!BK7&gt;0,EDP_Data!BK7,"")</f>
        <v/>
      </c>
      <c r="AI6" s="614" t="str">
        <f>IF(EDP_Data!BL7&gt;0,EDP_Data!BL7,"")</f>
        <v/>
      </c>
      <c r="AJ6" s="614" t="str">
        <f>IF(EDP_Data!BM7&gt;0,EDP_Data!BM7,"")</f>
        <v/>
      </c>
      <c r="AK6" s="505">
        <v>20</v>
      </c>
      <c r="AL6" s="505">
        <v>2015</v>
      </c>
      <c r="AM6" s="599" t="s">
        <v>123</v>
      </c>
      <c r="AN6" s="598"/>
    </row>
    <row r="7" spans="1:41" ht="18.899999999999999" customHeight="1">
      <c r="A7" s="95" t="s">
        <v>65</v>
      </c>
      <c r="B7" s="208" t="s">
        <v>544</v>
      </c>
      <c r="C7" s="95" t="s">
        <v>543</v>
      </c>
      <c r="D7" s="95" t="s">
        <v>74</v>
      </c>
      <c r="E7" s="100">
        <v>0.66700000000000004</v>
      </c>
      <c r="F7" s="96" t="s">
        <v>67</v>
      </c>
      <c r="G7" s="97" t="s">
        <v>319</v>
      </c>
      <c r="H7" s="98" t="s">
        <v>317</v>
      </c>
      <c r="I7" s="98" t="s">
        <v>318</v>
      </c>
      <c r="J7" s="98" t="s">
        <v>29</v>
      </c>
      <c r="K7" s="96">
        <v>3</v>
      </c>
      <c r="L7" s="96"/>
      <c r="M7" s="96"/>
      <c r="N7" s="96"/>
      <c r="O7" s="650"/>
      <c r="P7" s="99">
        <v>0.2</v>
      </c>
      <c r="Q7" s="96"/>
      <c r="R7" s="96"/>
      <c r="S7" s="96"/>
      <c r="T7" s="96">
        <v>1</v>
      </c>
      <c r="U7" s="96" t="s">
        <v>29</v>
      </c>
      <c r="V7" s="101">
        <v>0.71</v>
      </c>
      <c r="W7" s="652">
        <f>IF(EDP_Data!AZ8&gt;0,EDP_Data!AZ8,"")</f>
        <v>3153.1323920420759</v>
      </c>
      <c r="X7" s="652">
        <f>IF(EDP_Data!BA8&gt;0,EDP_Data!BA8,"")</f>
        <v>2382.7535158160231</v>
      </c>
      <c r="Y7" s="652" t="str">
        <f>IF(EDP_Data!BB8&gt;0,EDP_Data!BB8,"")</f>
        <v/>
      </c>
      <c r="Z7" s="652" t="str">
        <f>IF(EDP_Data!BC8&gt;0,EDP_Data!BC8,"")</f>
        <v/>
      </c>
      <c r="AA7" s="652" t="str">
        <f>IF(EDP_Data!BD8&gt;0,EDP_Data!BD8,"")</f>
        <v/>
      </c>
      <c r="AB7" s="652">
        <f>IF(EDP_Data!BE8&gt;0,EDP_Data!BE8,"")</f>
        <v>62.996335908306463</v>
      </c>
      <c r="AC7" s="652" t="str">
        <f>IF(EDP_Data!BF8&gt;0,EDP_Data!BF8,"")</f>
        <v/>
      </c>
      <c r="AD7" s="652" t="str">
        <f>IF(EDP_Data!BG8&gt;0,EDP_Data!BG8,"")</f>
        <v/>
      </c>
      <c r="AE7" s="652" t="str">
        <f>IF(EDP_Data!BH8&gt;0,EDP_Data!BH8,"")</f>
        <v/>
      </c>
      <c r="AF7" s="652" t="str">
        <f>IF(EDP_Data!BI8&gt;0,EDP_Data!BI8,"")</f>
        <v/>
      </c>
      <c r="AG7" s="652">
        <f>IF(EDP_Data!BJ8&gt;0,EDP_Data!BJ8,"")</f>
        <v>1.4082418626609055</v>
      </c>
      <c r="AH7" s="652" t="str">
        <f>IF(EDP_Data!BK8&gt;0,EDP_Data!BK8,"")</f>
        <v/>
      </c>
      <c r="AI7" s="652" t="str">
        <f>IF(EDP_Data!BL8&gt;0,EDP_Data!BL8,"")</f>
        <v/>
      </c>
      <c r="AJ7" s="652" t="str">
        <f>IF(EDP_Data!BM8&gt;0,EDP_Data!BM8,"")</f>
        <v/>
      </c>
      <c r="AK7" s="96">
        <v>20</v>
      </c>
      <c r="AL7" s="96">
        <v>2015</v>
      </c>
      <c r="AM7" s="102" t="s">
        <v>124</v>
      </c>
      <c r="AN7" s="210" t="s">
        <v>483</v>
      </c>
    </row>
    <row r="8" spans="1:41" ht="18.899999999999999" customHeight="1">
      <c r="A8" s="95" t="s">
        <v>65</v>
      </c>
      <c r="B8" s="208" t="s">
        <v>545</v>
      </c>
      <c r="C8" s="95" t="s">
        <v>542</v>
      </c>
      <c r="D8" s="95" t="s">
        <v>74</v>
      </c>
      <c r="E8" s="100">
        <v>0.66700000000000004</v>
      </c>
      <c r="F8" s="96" t="s">
        <v>67</v>
      </c>
      <c r="G8" s="97" t="s">
        <v>319</v>
      </c>
      <c r="H8" s="98" t="s">
        <v>317</v>
      </c>
      <c r="I8" s="98" t="s">
        <v>318</v>
      </c>
      <c r="J8" s="98" t="s">
        <v>29</v>
      </c>
      <c r="K8" s="96">
        <v>3</v>
      </c>
      <c r="L8" s="96"/>
      <c r="M8" s="96"/>
      <c r="N8" s="96"/>
      <c r="O8" s="650"/>
      <c r="P8" s="99">
        <v>0.2</v>
      </c>
      <c r="Q8" s="96"/>
      <c r="R8" s="96"/>
      <c r="S8" s="96"/>
      <c r="T8" s="96">
        <v>1</v>
      </c>
      <c r="U8" s="96" t="s">
        <v>29</v>
      </c>
      <c r="V8" s="101">
        <v>0.71</v>
      </c>
      <c r="W8" s="652">
        <f>IF(EDP_Data!AZ9&gt;0,EDP_Data!AZ9,"")</f>
        <v>3153.1323920420759</v>
      </c>
      <c r="X8" s="652">
        <f>IF(EDP_Data!BA9&gt;0,EDP_Data!BA9,"")</f>
        <v>2382.7535158160231</v>
      </c>
      <c r="Y8" s="652" t="str">
        <f>IF(EDP_Data!BB9&gt;0,EDP_Data!BB9,"")</f>
        <v/>
      </c>
      <c r="Z8" s="652" t="str">
        <f>IF(EDP_Data!BC9&gt;0,EDP_Data!BC9,"")</f>
        <v/>
      </c>
      <c r="AA8" s="652" t="str">
        <f>IF(EDP_Data!BD9&gt;0,EDP_Data!BD9,"")</f>
        <v/>
      </c>
      <c r="AB8" s="652">
        <f>IF(EDP_Data!BE9&gt;0,EDP_Data!BE9,"")</f>
        <v>62.996335908306463</v>
      </c>
      <c r="AC8" s="652" t="str">
        <f>IF(EDP_Data!BF9&gt;0,EDP_Data!BF9,"")</f>
        <v/>
      </c>
      <c r="AD8" s="652" t="str">
        <f>IF(EDP_Data!BG9&gt;0,EDP_Data!BG9,"")</f>
        <v/>
      </c>
      <c r="AE8" s="652" t="str">
        <f>IF(EDP_Data!BH9&gt;0,EDP_Data!BH9,"")</f>
        <v/>
      </c>
      <c r="AF8" s="652" t="str">
        <f>IF(EDP_Data!BI9&gt;0,EDP_Data!BI9,"")</f>
        <v/>
      </c>
      <c r="AG8" s="652">
        <f>IF(EDP_Data!BJ9&gt;0,EDP_Data!BJ9,"")</f>
        <v>1.4082418626609055</v>
      </c>
      <c r="AH8" s="652" t="str">
        <f>IF(EDP_Data!BK9&gt;0,EDP_Data!BK9,"")</f>
        <v/>
      </c>
      <c r="AI8" s="652" t="str">
        <f>IF(EDP_Data!BL9&gt;0,EDP_Data!BL9,"")</f>
        <v/>
      </c>
      <c r="AJ8" s="652" t="str">
        <f>IF(EDP_Data!BM9&gt;0,EDP_Data!BM9,"")</f>
        <v/>
      </c>
      <c r="AK8" s="96">
        <v>20</v>
      </c>
      <c r="AL8" s="96">
        <v>2015</v>
      </c>
      <c r="AM8" s="102" t="s">
        <v>124</v>
      </c>
      <c r="AN8" s="210" t="s">
        <v>483</v>
      </c>
    </row>
    <row r="9" spans="1:41" ht="18.899999999999999" customHeight="1">
      <c r="A9" s="95" t="s">
        <v>65</v>
      </c>
      <c r="B9" s="208" t="s">
        <v>540</v>
      </c>
      <c r="C9" s="95" t="s">
        <v>538</v>
      </c>
      <c r="D9" s="95" t="s">
        <v>74</v>
      </c>
      <c r="E9" s="100">
        <v>0.66700000000000004</v>
      </c>
      <c r="F9" s="96" t="s">
        <v>67</v>
      </c>
      <c r="G9" s="97" t="s">
        <v>319</v>
      </c>
      <c r="H9" s="98" t="s">
        <v>317</v>
      </c>
      <c r="I9" s="98" t="s">
        <v>318</v>
      </c>
      <c r="J9" s="98" t="s">
        <v>29</v>
      </c>
      <c r="K9" s="96">
        <v>3</v>
      </c>
      <c r="L9" s="96"/>
      <c r="M9" s="96"/>
      <c r="N9" s="96"/>
      <c r="O9" s="650"/>
      <c r="P9" s="99">
        <v>0.2</v>
      </c>
      <c r="Q9" s="96"/>
      <c r="R9" s="96"/>
      <c r="S9" s="96"/>
      <c r="T9" s="96">
        <v>1</v>
      </c>
      <c r="U9" s="96" t="s">
        <v>29</v>
      </c>
      <c r="V9" s="101">
        <v>0.71</v>
      </c>
      <c r="W9" s="652">
        <f>IF(EDP_Data!AZ10&gt;0,EDP_Data!AZ10,"")</f>
        <v>3153.1323920420759</v>
      </c>
      <c r="X9" s="652">
        <f>IF(EDP_Data!BA10&gt;0,EDP_Data!BA10,"")</f>
        <v>2382.7535158160231</v>
      </c>
      <c r="Y9" s="652" t="str">
        <f>IF(EDP_Data!BB10&gt;0,EDP_Data!BB10,"")</f>
        <v/>
      </c>
      <c r="Z9" s="652" t="str">
        <f>IF(EDP_Data!BC10&gt;0,EDP_Data!BC10,"")</f>
        <v/>
      </c>
      <c r="AA9" s="652" t="str">
        <f>IF(EDP_Data!BD10&gt;0,EDP_Data!BD10,"")</f>
        <v/>
      </c>
      <c r="AB9" s="652">
        <f>IF(EDP_Data!BE10&gt;0,EDP_Data!BE10,"")</f>
        <v>62.996335908306463</v>
      </c>
      <c r="AC9" s="652" t="str">
        <f>IF(EDP_Data!BF10&gt;0,EDP_Data!BF10,"")</f>
        <v/>
      </c>
      <c r="AD9" s="652" t="str">
        <f>IF(EDP_Data!BG10&gt;0,EDP_Data!BG10,"")</f>
        <v/>
      </c>
      <c r="AE9" s="652" t="str">
        <f>IF(EDP_Data!BH10&gt;0,EDP_Data!BH10,"")</f>
        <v/>
      </c>
      <c r="AF9" s="652" t="str">
        <f>IF(EDP_Data!BI10&gt;0,EDP_Data!BI10,"")</f>
        <v/>
      </c>
      <c r="AG9" s="652">
        <f>IF(EDP_Data!BJ10&gt;0,EDP_Data!BJ10,"")</f>
        <v>1.4082418626609055</v>
      </c>
      <c r="AH9" s="652" t="str">
        <f>IF(EDP_Data!BK10&gt;0,EDP_Data!BK10,"")</f>
        <v/>
      </c>
      <c r="AI9" s="652" t="str">
        <f>IF(EDP_Data!BL10&gt;0,EDP_Data!BL10,"")</f>
        <v/>
      </c>
      <c r="AJ9" s="652" t="str">
        <f>IF(EDP_Data!BM10&gt;0,EDP_Data!BM10,"")</f>
        <v/>
      </c>
      <c r="AK9" s="96">
        <v>20</v>
      </c>
      <c r="AL9" s="96">
        <v>2015</v>
      </c>
      <c r="AM9" s="102" t="s">
        <v>124</v>
      </c>
      <c r="AN9" s="210" t="s">
        <v>483</v>
      </c>
    </row>
    <row r="10" spans="1:41" ht="18.899999999999999" customHeight="1">
      <c r="A10" s="95" t="s">
        <v>65</v>
      </c>
      <c r="B10" s="208" t="s">
        <v>541</v>
      </c>
      <c r="C10" s="95" t="s">
        <v>539</v>
      </c>
      <c r="D10" s="95" t="s">
        <v>74</v>
      </c>
      <c r="E10" s="100">
        <v>0.66700000000000004</v>
      </c>
      <c r="F10" s="96" t="s">
        <v>67</v>
      </c>
      <c r="G10" s="97" t="s">
        <v>319</v>
      </c>
      <c r="H10" s="98" t="s">
        <v>317</v>
      </c>
      <c r="I10" s="98" t="s">
        <v>318</v>
      </c>
      <c r="J10" s="98" t="s">
        <v>29</v>
      </c>
      <c r="K10" s="96">
        <v>3</v>
      </c>
      <c r="L10" s="96"/>
      <c r="M10" s="96"/>
      <c r="N10" s="96"/>
      <c r="O10" s="650"/>
      <c r="P10" s="99">
        <v>0.2</v>
      </c>
      <c r="Q10" s="96"/>
      <c r="R10" s="96"/>
      <c r="S10" s="96"/>
      <c r="T10" s="96">
        <v>1</v>
      </c>
      <c r="U10" s="96" t="s">
        <v>29</v>
      </c>
      <c r="V10" s="101">
        <v>0.71</v>
      </c>
      <c r="W10" s="652">
        <f>IF(EDP_Data!AZ11&gt;0,EDP_Data!AZ11,"")</f>
        <v>3153.1323920420759</v>
      </c>
      <c r="X10" s="652">
        <f>IF(EDP_Data!BA11&gt;0,EDP_Data!BA11,"")</f>
        <v>2382.7535158160231</v>
      </c>
      <c r="Y10" s="652" t="str">
        <f>IF(EDP_Data!BB11&gt;0,EDP_Data!BB11,"")</f>
        <v/>
      </c>
      <c r="Z10" s="652" t="str">
        <f>IF(EDP_Data!BC11&gt;0,EDP_Data!BC11,"")</f>
        <v/>
      </c>
      <c r="AA10" s="652" t="str">
        <f>IF(EDP_Data!BD11&gt;0,EDP_Data!BD11,"")</f>
        <v/>
      </c>
      <c r="AB10" s="652">
        <f>IF(EDP_Data!BE11&gt;0,EDP_Data!BE11,"")</f>
        <v>62.996335908306463</v>
      </c>
      <c r="AC10" s="652" t="str">
        <f>IF(EDP_Data!BF11&gt;0,EDP_Data!BF11,"")</f>
        <v/>
      </c>
      <c r="AD10" s="652" t="str">
        <f>IF(EDP_Data!BG11&gt;0,EDP_Data!BG11,"")</f>
        <v/>
      </c>
      <c r="AE10" s="652" t="str">
        <f>IF(EDP_Data!BH11&gt;0,EDP_Data!BH11,"")</f>
        <v/>
      </c>
      <c r="AF10" s="652" t="str">
        <f>IF(EDP_Data!BI11&gt;0,EDP_Data!BI11,"")</f>
        <v/>
      </c>
      <c r="AG10" s="652">
        <f>IF(EDP_Data!BJ11&gt;0,EDP_Data!BJ11,"")</f>
        <v>1.4082418626609055</v>
      </c>
      <c r="AH10" s="652" t="str">
        <f>IF(EDP_Data!BK11&gt;0,EDP_Data!BK11,"")</f>
        <v/>
      </c>
      <c r="AI10" s="652" t="str">
        <f>IF(EDP_Data!BL11&gt;0,EDP_Data!BL11,"")</f>
        <v/>
      </c>
      <c r="AJ10" s="652" t="str">
        <f>IF(EDP_Data!BM11&gt;0,EDP_Data!BM11,"")</f>
        <v/>
      </c>
      <c r="AK10" s="96">
        <v>20</v>
      </c>
      <c r="AL10" s="96">
        <v>2015</v>
      </c>
      <c r="AM10" s="102" t="s">
        <v>124</v>
      </c>
      <c r="AN10" s="210" t="s">
        <v>483</v>
      </c>
    </row>
    <row r="11" spans="1:41" s="597" customFormat="1" ht="18.899999999999999" customHeight="1">
      <c r="A11" s="536" t="s">
        <v>65</v>
      </c>
      <c r="B11" s="547" t="s">
        <v>106</v>
      </c>
      <c r="C11" s="536" t="s">
        <v>138</v>
      </c>
      <c r="D11" s="536" t="s">
        <v>75</v>
      </c>
      <c r="E11" s="614">
        <v>33.39</v>
      </c>
      <c r="F11" s="505" t="s">
        <v>66</v>
      </c>
      <c r="G11" s="603" t="s">
        <v>319</v>
      </c>
      <c r="H11" s="603" t="s">
        <v>317</v>
      </c>
      <c r="I11" s="603" t="s">
        <v>318</v>
      </c>
      <c r="J11" s="603" t="s">
        <v>29</v>
      </c>
      <c r="K11" s="505">
        <v>2.78</v>
      </c>
      <c r="L11" s="614">
        <v>1.804</v>
      </c>
      <c r="M11" s="614"/>
      <c r="N11" s="505"/>
      <c r="O11" s="505"/>
      <c r="P11" s="601">
        <v>0.19500000000000001</v>
      </c>
      <c r="Q11" s="601">
        <v>9.7000000000000003E-2</v>
      </c>
      <c r="R11" s="601"/>
      <c r="S11" s="505"/>
      <c r="T11" s="505">
        <v>1</v>
      </c>
      <c r="U11" s="505" t="s">
        <v>29</v>
      </c>
      <c r="V11" s="600">
        <v>0.9</v>
      </c>
      <c r="W11" s="614">
        <f>IF(EDP_Data!AZ12&gt;0,EDP_Data!AZ12,"")</f>
        <v>2027.8842748837717</v>
      </c>
      <c r="X11" s="614">
        <f>IF(EDP_Data!BA12&gt;0,EDP_Data!BA12,"")</f>
        <v>992.29736227991407</v>
      </c>
      <c r="Y11" s="614" t="str">
        <f>IF(EDP_Data!BB12&gt;0,EDP_Data!BB12,"")</f>
        <v/>
      </c>
      <c r="Z11" s="614" t="str">
        <f>IF(EDP_Data!BC12&gt;0,EDP_Data!BC12,"")</f>
        <v/>
      </c>
      <c r="AA11" s="614" t="str">
        <f>IF(EDP_Data!BD12&gt;0,EDP_Data!BD12,"")</f>
        <v/>
      </c>
      <c r="AB11" s="614">
        <f>IF(EDP_Data!BE12&gt;0,EDP_Data!BE12,"")</f>
        <v>101.28914202010134</v>
      </c>
      <c r="AC11" s="614">
        <f>IF(EDP_Data!BF12&gt;0,EDP_Data!BF12,"")</f>
        <v>49.593853769178253</v>
      </c>
      <c r="AD11" s="614" t="str">
        <f>IF(EDP_Data!BG12&gt;0,EDP_Data!BG12,"")</f>
        <v/>
      </c>
      <c r="AE11" s="614" t="str">
        <f>IF(EDP_Data!BH12&gt;0,EDP_Data!BH12,"")</f>
        <v/>
      </c>
      <c r="AF11" s="614" t="str">
        <f>IF(EDP_Data!BI12&gt;0,EDP_Data!BI12,"")</f>
        <v/>
      </c>
      <c r="AG11" s="614">
        <f>IF(EDP_Data!BJ12&gt;0,EDP_Data!BJ12,"")</f>
        <v>0.71448653915235205</v>
      </c>
      <c r="AH11" s="614">
        <f>IF(EDP_Data!BK12&gt;0,EDP_Data!BK12,"")</f>
        <v>0.34961714382149289</v>
      </c>
      <c r="AI11" s="614" t="str">
        <f>IF(EDP_Data!BL12&gt;0,EDP_Data!BL12,"")</f>
        <v/>
      </c>
      <c r="AJ11" s="614" t="str">
        <f>IF(EDP_Data!BM12&gt;0,EDP_Data!BM12,"")</f>
        <v/>
      </c>
      <c r="AK11" s="505">
        <v>20</v>
      </c>
      <c r="AL11" s="505">
        <v>2015</v>
      </c>
      <c r="AM11" s="599" t="s">
        <v>125</v>
      </c>
      <c r="AN11" s="598" t="s">
        <v>483</v>
      </c>
    </row>
    <row r="12" spans="1:41" s="597" customFormat="1" ht="18.899999999999999" customHeight="1">
      <c r="A12" s="536" t="s">
        <v>65</v>
      </c>
      <c r="B12" s="547" t="s">
        <v>489</v>
      </c>
      <c r="C12" s="536" t="s">
        <v>139</v>
      </c>
      <c r="D12" s="536" t="s">
        <v>76</v>
      </c>
      <c r="E12" s="614">
        <v>33.39</v>
      </c>
      <c r="F12" s="505" t="s">
        <v>66</v>
      </c>
      <c r="G12" s="603" t="s">
        <v>319</v>
      </c>
      <c r="H12" s="603" t="s">
        <v>317</v>
      </c>
      <c r="I12" s="603" t="s">
        <v>318</v>
      </c>
      <c r="J12" s="603" t="s">
        <v>29</v>
      </c>
      <c r="K12" s="505">
        <v>2.78</v>
      </c>
      <c r="L12" s="614">
        <v>1.804</v>
      </c>
      <c r="M12" s="614"/>
      <c r="N12" s="505"/>
      <c r="O12" s="505"/>
      <c r="P12" s="601">
        <v>0.27</v>
      </c>
      <c r="Q12" s="601">
        <v>0.14299999999999999</v>
      </c>
      <c r="R12" s="601"/>
      <c r="S12" s="505"/>
      <c r="T12" s="505">
        <v>1</v>
      </c>
      <c r="U12" s="505" t="s">
        <v>29</v>
      </c>
      <c r="V12" s="600">
        <v>0.9</v>
      </c>
      <c r="W12" s="614">
        <f>IF(EDP_Data!AZ13&gt;0,EDP_Data!AZ13,"")</f>
        <v>2038.3914472924964</v>
      </c>
      <c r="X12" s="614">
        <f>IF(EDP_Data!BA13&gt;0,EDP_Data!BA13,"")</f>
        <v>1006.5871167557789</v>
      </c>
      <c r="Y12" s="614" t="str">
        <f>IF(EDP_Data!BB13&gt;0,EDP_Data!BB13,"")</f>
        <v/>
      </c>
      <c r="Z12" s="614" t="str">
        <f>IF(EDP_Data!BC13&gt;0,EDP_Data!BC13,"")</f>
        <v/>
      </c>
      <c r="AA12" s="614" t="str">
        <f>IF(EDP_Data!BD13&gt;0,EDP_Data!BD13,"")</f>
        <v/>
      </c>
      <c r="AB12" s="614">
        <f>IF(EDP_Data!BE13&gt;0,EDP_Data!BE13,"")</f>
        <v>85.738526855189519</v>
      </c>
      <c r="AC12" s="614">
        <f>IF(EDP_Data!BF13&gt;0,EDP_Data!BF13,"")</f>
        <v>50.224284113701707</v>
      </c>
      <c r="AD12" s="614" t="str">
        <f>IF(EDP_Data!BG13&gt;0,EDP_Data!BG13,"")</f>
        <v/>
      </c>
      <c r="AE12" s="614" t="str">
        <f>IF(EDP_Data!BH13&gt;0,EDP_Data!BH13,"")</f>
        <v/>
      </c>
      <c r="AF12" s="614" t="str">
        <f>IF(EDP_Data!BI13&gt;0,EDP_Data!BI13,"")</f>
        <v/>
      </c>
      <c r="AG12" s="614">
        <f>IF(EDP_Data!BJ13&gt;0,EDP_Data!BJ13,"")</f>
        <v>0.71818854194588755</v>
      </c>
      <c r="AH12" s="614">
        <f>IF(EDP_Data!BK13&gt;0,EDP_Data!BK13,"")</f>
        <v>0.35465186762070117</v>
      </c>
      <c r="AI12" s="614" t="str">
        <f>IF(EDP_Data!BL13&gt;0,EDP_Data!BL13,"")</f>
        <v/>
      </c>
      <c r="AJ12" s="614" t="str">
        <f>IF(EDP_Data!BM13&gt;0,EDP_Data!BM13,"")</f>
        <v/>
      </c>
      <c r="AK12" s="505">
        <v>20</v>
      </c>
      <c r="AL12" s="505">
        <v>2015</v>
      </c>
      <c r="AM12" s="599" t="s">
        <v>122</v>
      </c>
      <c r="AN12" s="598" t="s">
        <v>483</v>
      </c>
    </row>
    <row r="13" spans="1:41" s="597" customFormat="1" ht="18.899999999999999" customHeight="1">
      <c r="A13" s="536" t="s">
        <v>65</v>
      </c>
      <c r="B13" s="511" t="s">
        <v>107</v>
      </c>
      <c r="C13" s="536" t="s">
        <v>140</v>
      </c>
      <c r="D13" s="536" t="s">
        <v>77</v>
      </c>
      <c r="E13" s="614">
        <v>18.900000000000002</v>
      </c>
      <c r="F13" s="505" t="s">
        <v>66</v>
      </c>
      <c r="G13" s="603" t="s">
        <v>320</v>
      </c>
      <c r="H13" s="603" t="s">
        <v>317</v>
      </c>
      <c r="I13" s="544" t="s">
        <v>318</v>
      </c>
      <c r="J13" s="603" t="s">
        <v>29</v>
      </c>
      <c r="K13" s="505">
        <v>1.75</v>
      </c>
      <c r="L13" s="505"/>
      <c r="M13" s="505"/>
      <c r="N13" s="505"/>
      <c r="O13" s="505"/>
      <c r="P13" s="601">
        <v>0.35</v>
      </c>
      <c r="Q13" s="505"/>
      <c r="R13" s="505"/>
      <c r="S13" s="505"/>
      <c r="T13" s="505">
        <v>1</v>
      </c>
      <c r="U13" s="505" t="s">
        <v>29</v>
      </c>
      <c r="V13" s="600">
        <v>0.9</v>
      </c>
      <c r="W13" s="614">
        <f>IF(EDP_Data!AZ14&gt;0,EDP_Data!AZ14,"")</f>
        <v>1532.5761675365129</v>
      </c>
      <c r="X13" s="614" t="str">
        <f>IF(EDP_Data!BA14&gt;0,EDP_Data!BA14,"")</f>
        <v/>
      </c>
      <c r="Y13" s="614" t="str">
        <f>IF(EDP_Data!BB14&gt;0,EDP_Data!BB14,"")</f>
        <v/>
      </c>
      <c r="Z13" s="614" t="str">
        <f>IF(EDP_Data!BC14&gt;0,EDP_Data!BC14,"")</f>
        <v/>
      </c>
      <c r="AA13" s="614" t="str">
        <f>IF(EDP_Data!BD14&gt;0,EDP_Data!BD14,"")</f>
        <v/>
      </c>
      <c r="AB13" s="614">
        <f>IF(EDP_Data!BE14&gt;0,EDP_Data!BE14,"")</f>
        <v>61.361886866949362</v>
      </c>
      <c r="AC13" s="614" t="str">
        <f>IF(EDP_Data!BF14&gt;0,EDP_Data!BF14,"")</f>
        <v/>
      </c>
      <c r="AD13" s="614" t="str">
        <f>IF(EDP_Data!BG14&gt;0,EDP_Data!BG14,"")</f>
        <v/>
      </c>
      <c r="AE13" s="614" t="str">
        <f>IF(EDP_Data!BH14&gt;0,EDP_Data!BH14,"")</f>
        <v/>
      </c>
      <c r="AF13" s="614" t="str">
        <f>IF(EDP_Data!BI14&gt;0,EDP_Data!BI14,"")</f>
        <v/>
      </c>
      <c r="AG13" s="614">
        <f>IF(EDP_Data!BJ14&gt;0,EDP_Data!BJ14,"")</f>
        <v>0.53997412746508844</v>
      </c>
      <c r="AH13" s="614" t="str">
        <f>IF(EDP_Data!BK14&gt;0,EDP_Data!BK14,"")</f>
        <v/>
      </c>
      <c r="AI13" s="614" t="str">
        <f>IF(EDP_Data!BL14&gt;0,EDP_Data!BL14,"")</f>
        <v/>
      </c>
      <c r="AJ13" s="614" t="str">
        <f>IF(EDP_Data!BM14&gt;0,EDP_Data!BM14,"")</f>
        <v/>
      </c>
      <c r="AK13" s="505">
        <v>20</v>
      </c>
      <c r="AL13" s="505">
        <v>2015</v>
      </c>
      <c r="AM13" s="599" t="s">
        <v>126</v>
      </c>
    </row>
    <row r="14" spans="1:41" s="621" customFormat="1" ht="18.899999999999999" customHeight="1">
      <c r="A14" s="620" t="s">
        <v>68</v>
      </c>
      <c r="B14" s="613" t="s">
        <v>108</v>
      </c>
      <c r="C14" s="620" t="s">
        <v>141</v>
      </c>
      <c r="D14" s="620" t="s">
        <v>78</v>
      </c>
      <c r="E14" s="593">
        <v>235</v>
      </c>
      <c r="F14" s="596" t="s">
        <v>66</v>
      </c>
      <c r="G14" s="595" t="s">
        <v>319</v>
      </c>
      <c r="H14" s="595" t="s">
        <v>317</v>
      </c>
      <c r="I14" s="603" t="s">
        <v>318</v>
      </c>
      <c r="J14" s="595" t="s">
        <v>29</v>
      </c>
      <c r="K14" s="596">
        <v>1.36</v>
      </c>
      <c r="L14" s="596"/>
      <c r="M14" s="596"/>
      <c r="N14" s="596"/>
      <c r="O14" s="596"/>
      <c r="P14" s="594">
        <v>4.3999999999999997E-2</v>
      </c>
      <c r="Q14" s="596"/>
      <c r="R14" s="596"/>
      <c r="S14" s="596"/>
      <c r="T14" s="596">
        <v>1</v>
      </c>
      <c r="U14" s="596" t="s">
        <v>29</v>
      </c>
      <c r="V14" s="592">
        <v>0.9</v>
      </c>
      <c r="W14" s="614">
        <f>IF(EDP_Data!AZ15&gt;0,EDP_Data!AZ15,"")</f>
        <v>399.27255153151987</v>
      </c>
      <c r="X14" s="614" t="str">
        <f>IF(EDP_Data!BA15&gt;0,EDP_Data!BA15,"")</f>
        <v/>
      </c>
      <c r="Y14" s="614" t="str">
        <f>IF(EDP_Data!BB15&gt;0,EDP_Data!BB15,"")</f>
        <v/>
      </c>
      <c r="Z14" s="614" t="str">
        <f>IF(EDP_Data!BC15&gt;0,EDP_Data!BC15,"")</f>
        <v/>
      </c>
      <c r="AA14" s="614" t="str">
        <f>IF(EDP_Data!BD15&gt;0,EDP_Data!BD15,"")</f>
        <v/>
      </c>
      <c r="AB14" s="614">
        <f>IF(EDP_Data!BE15&gt;0,EDP_Data!BE15,"")</f>
        <v>15.970902061260793</v>
      </c>
      <c r="AC14" s="614" t="str">
        <f>IF(EDP_Data!BF15&gt;0,EDP_Data!BF15,"")</f>
        <v/>
      </c>
      <c r="AD14" s="614" t="str">
        <f>IF(EDP_Data!BG15&gt;0,EDP_Data!BG15,"")</f>
        <v/>
      </c>
      <c r="AE14" s="614" t="str">
        <f>IF(EDP_Data!BH15&gt;0,EDP_Data!BH15,"")</f>
        <v/>
      </c>
      <c r="AF14" s="614" t="str">
        <f>IF(EDP_Data!BI15&gt;0,EDP_Data!BI15,"")</f>
        <v/>
      </c>
      <c r="AG14" s="614">
        <f>IF(EDP_Data!BJ15&gt;0,EDP_Data!BJ15,"")</f>
        <v>0.14067610615434911</v>
      </c>
      <c r="AH14" s="614" t="str">
        <f>IF(EDP_Data!BK15&gt;0,EDP_Data!BK15,"")</f>
        <v/>
      </c>
      <c r="AI14" s="614" t="str">
        <f>IF(EDP_Data!BL15&gt;0,EDP_Data!BL15,"")</f>
        <v/>
      </c>
      <c r="AJ14" s="614" t="str">
        <f>IF(EDP_Data!BM15&gt;0,EDP_Data!BM15,"")</f>
        <v/>
      </c>
      <c r="AK14" s="596">
        <v>20</v>
      </c>
      <c r="AL14" s="596">
        <v>2015</v>
      </c>
      <c r="AM14" s="502" t="s">
        <v>127</v>
      </c>
      <c r="AN14" s="506" t="s">
        <v>483</v>
      </c>
    </row>
    <row r="15" spans="1:41" s="597" customFormat="1" ht="18.899999999999999" customHeight="1">
      <c r="A15" s="536" t="s">
        <v>68</v>
      </c>
      <c r="B15" s="547" t="s">
        <v>109</v>
      </c>
      <c r="C15" s="536" t="s">
        <v>142</v>
      </c>
      <c r="D15" s="536" t="s">
        <v>79</v>
      </c>
      <c r="E15" s="614">
        <v>1530</v>
      </c>
      <c r="F15" s="505" t="s">
        <v>66</v>
      </c>
      <c r="G15" s="603" t="s">
        <v>320</v>
      </c>
      <c r="H15" s="603" t="s">
        <v>317</v>
      </c>
      <c r="I15" s="603" t="s">
        <v>318</v>
      </c>
      <c r="J15" s="603" t="s">
        <v>29</v>
      </c>
      <c r="K15" s="601">
        <v>1.32</v>
      </c>
      <c r="L15" s="505"/>
      <c r="M15" s="601">
        <v>1.32</v>
      </c>
      <c r="N15" s="601">
        <v>1.25</v>
      </c>
      <c r="O15" s="601"/>
      <c r="P15" s="601">
        <v>0.02</v>
      </c>
      <c r="Q15" s="505"/>
      <c r="R15" s="601">
        <v>0.02</v>
      </c>
      <c r="S15" s="601">
        <v>2.1000000000000001E-2</v>
      </c>
      <c r="T15" s="505">
        <v>1</v>
      </c>
      <c r="U15" s="505" t="s">
        <v>29</v>
      </c>
      <c r="V15" s="600">
        <v>0.9</v>
      </c>
      <c r="W15" s="614">
        <f>IF(EDP_Data!AZ16&gt;0,EDP_Data!AZ16,"")</f>
        <v>154.66557785642033</v>
      </c>
      <c r="X15" s="614">
        <f>IF(EDP_Data!BA16&gt;0,EDP_Data!BA16,"")</f>
        <v>154.66557785642033</v>
      </c>
      <c r="Y15" s="614">
        <f>IF(EDP_Data!BB16&gt;0,EDP_Data!BB16,"")</f>
        <v>154.66557785642033</v>
      </c>
      <c r="Z15" s="614">
        <f>IF(EDP_Data!BC16&gt;0,EDP_Data!BC16,"")</f>
        <v>121.67305649302629</v>
      </c>
      <c r="AA15" s="614" t="str">
        <f>IF(EDP_Data!BD16&gt;0,EDP_Data!BD16,"")</f>
        <v/>
      </c>
      <c r="AB15" s="614">
        <f>IF(EDP_Data!BE16&gt;0,EDP_Data!BE16,"")</f>
        <v>7.5651641342814298</v>
      </c>
      <c r="AC15" s="614" t="str">
        <f>IF(EDP_Data!BF16&gt;0,EDP_Data!BF16,"")</f>
        <v/>
      </c>
      <c r="AD15" s="614">
        <f>IF(EDP_Data!BG16&gt;0,EDP_Data!BG16,"")</f>
        <v>7.5651641342814298</v>
      </c>
      <c r="AE15" s="614">
        <f>IF(EDP_Data!BH16&gt;0,EDP_Data!BH16,"")</f>
        <v>5.8840165488855556</v>
      </c>
      <c r="AF15" s="614" t="str">
        <f>IF(EDP_Data!BI16&gt;0,EDP_Data!BI16,"")</f>
        <v/>
      </c>
      <c r="AG15" s="614">
        <f>IF(EDP_Data!BJ16&gt;0,EDP_Data!BJ16,"")</f>
        <v>5.9232044696568051E-2</v>
      </c>
      <c r="AH15" s="614" t="str">
        <f>IF(EDP_Data!BK16&gt;0,EDP_Data!BK16,"")</f>
        <v/>
      </c>
      <c r="AI15" s="614">
        <f>IF(EDP_Data!BL16&gt;0,EDP_Data!BL16,"")</f>
        <v>5.9232044696568051E-2</v>
      </c>
      <c r="AJ15" s="614">
        <f>IF(EDP_Data!BM16&gt;0,EDP_Data!BM16,"")</f>
        <v>3.7020027935355033E-2</v>
      </c>
      <c r="AK15" s="505">
        <v>20</v>
      </c>
      <c r="AL15" s="505">
        <v>2015</v>
      </c>
      <c r="AM15" s="599" t="s">
        <v>125</v>
      </c>
      <c r="AN15" s="598" t="s">
        <v>484</v>
      </c>
    </row>
    <row r="16" spans="1:41" s="597" customFormat="1" ht="18.899999999999999" customHeight="1">
      <c r="A16" s="536" t="s">
        <v>68</v>
      </c>
      <c r="B16" s="547" t="s">
        <v>110</v>
      </c>
      <c r="C16" s="536" t="s">
        <v>143</v>
      </c>
      <c r="D16" s="536" t="s">
        <v>80</v>
      </c>
      <c r="E16" s="614">
        <v>33</v>
      </c>
      <c r="F16" s="505" t="s">
        <v>66</v>
      </c>
      <c r="G16" s="603" t="s">
        <v>320</v>
      </c>
      <c r="H16" s="603" t="s">
        <v>317</v>
      </c>
      <c r="I16" s="603" t="s">
        <v>318</v>
      </c>
      <c r="J16" s="603" t="s">
        <v>29</v>
      </c>
      <c r="K16" s="601">
        <v>1.575</v>
      </c>
      <c r="L16" s="505"/>
      <c r="M16" s="601">
        <v>1.575</v>
      </c>
      <c r="N16" s="601">
        <v>1.48</v>
      </c>
      <c r="O16" s="601"/>
      <c r="P16" s="601">
        <v>0.03</v>
      </c>
      <c r="Q16" s="505"/>
      <c r="R16" s="601">
        <v>0.03</v>
      </c>
      <c r="S16" s="601">
        <v>0.02</v>
      </c>
      <c r="T16" s="505">
        <v>1</v>
      </c>
      <c r="U16" s="505" t="s">
        <v>29</v>
      </c>
      <c r="V16" s="600">
        <v>0.9</v>
      </c>
      <c r="W16" s="614">
        <f>IF(EDP_Data!AZ17&gt;0,EDP_Data!AZ17,"")</f>
        <v>332.02664811568496</v>
      </c>
      <c r="X16" s="614">
        <f>IF(EDP_Data!BA17&gt;0,EDP_Data!BA17,"")</f>
        <v>332.02664811568496</v>
      </c>
      <c r="Y16" s="614">
        <f>IF(EDP_Data!BB17&gt;0,EDP_Data!BB17,"")</f>
        <v>332.02664811568496</v>
      </c>
      <c r="Z16" s="614">
        <f>IF(EDP_Data!BC17&gt;0,EDP_Data!BC17,"")</f>
        <v>264.78074469985</v>
      </c>
      <c r="AA16" s="614" t="str">
        <f>IF(EDP_Data!BD17&gt;0,EDP_Data!BD17,"")</f>
        <v/>
      </c>
      <c r="AB16" s="614">
        <f>IF(EDP_Data!BE17&gt;0,EDP_Data!BE17,"")</f>
        <v>12.60860689046905</v>
      </c>
      <c r="AC16" s="614" t="str">
        <f>IF(EDP_Data!BF17&gt;0,EDP_Data!BF17,"")</f>
        <v/>
      </c>
      <c r="AD16" s="614">
        <f>IF(EDP_Data!BG17&gt;0,EDP_Data!BG17,"")</f>
        <v>12.60860689046905</v>
      </c>
      <c r="AE16" s="614">
        <f>IF(EDP_Data!BH17&gt;0,EDP_Data!BH17,"")</f>
        <v>9.9950605882071937</v>
      </c>
      <c r="AF16" s="614" t="str">
        <f>IF(EDP_Data!BI17&gt;0,EDP_Data!BI17,"")</f>
        <v/>
      </c>
      <c r="AG16" s="614">
        <f>IF(EDP_Data!BJ17&gt;0,EDP_Data!BJ17,"")</f>
        <v>0.11106008380606508</v>
      </c>
      <c r="AH16" s="614" t="str">
        <f>IF(EDP_Data!BK17&gt;0,EDP_Data!BK17,"")</f>
        <v/>
      </c>
      <c r="AI16" s="614">
        <f>IF(EDP_Data!BL17&gt;0,EDP_Data!BL17,"")</f>
        <v>0.11106008380606508</v>
      </c>
      <c r="AJ16" s="614">
        <f>IF(EDP_Data!BM17&gt;0,EDP_Data!BM17,"")</f>
        <v>3.7020027935355033E-2</v>
      </c>
      <c r="AK16" s="505">
        <v>20</v>
      </c>
      <c r="AL16" s="505">
        <v>2015</v>
      </c>
      <c r="AM16" s="599" t="s">
        <v>125</v>
      </c>
      <c r="AN16" s="598" t="s">
        <v>484</v>
      </c>
    </row>
    <row r="17" spans="1:41" s="597" customFormat="1" ht="18.899999999999999" customHeight="1">
      <c r="A17" s="536" t="s">
        <v>68</v>
      </c>
      <c r="B17" s="547" t="s">
        <v>485</v>
      </c>
      <c r="C17" s="536" t="s">
        <v>144</v>
      </c>
      <c r="D17" s="612" t="s">
        <v>81</v>
      </c>
      <c r="E17" s="614">
        <v>1501.74</v>
      </c>
      <c r="F17" s="505" t="s">
        <v>66</v>
      </c>
      <c r="G17" s="603" t="s">
        <v>320</v>
      </c>
      <c r="H17" s="603" t="s">
        <v>317</v>
      </c>
      <c r="I17" s="603" t="s">
        <v>318</v>
      </c>
      <c r="J17" s="603" t="s">
        <v>29</v>
      </c>
      <c r="K17" s="505">
        <v>1.52</v>
      </c>
      <c r="L17" s="505"/>
      <c r="M17" s="601">
        <v>1.52</v>
      </c>
      <c r="N17" s="601">
        <v>1.4</v>
      </c>
      <c r="O17" s="601"/>
      <c r="P17" s="601">
        <v>0.05</v>
      </c>
      <c r="Q17" s="505"/>
      <c r="R17" s="601">
        <v>0.05</v>
      </c>
      <c r="S17" s="601">
        <v>3.9E-2</v>
      </c>
      <c r="T17" s="505">
        <v>1</v>
      </c>
      <c r="U17" s="505" t="s">
        <v>29</v>
      </c>
      <c r="V17" s="600">
        <v>0.9</v>
      </c>
      <c r="W17" s="614">
        <f>IF(EDP_Data!AZ18&gt;0,EDP_Data!AZ18,"")</f>
        <v>218.89942518175434</v>
      </c>
      <c r="X17" s="614">
        <f>IF(EDP_Data!BA18&gt;0,EDP_Data!BA18,"")</f>
        <v>209.72316127813519</v>
      </c>
      <c r="Y17" s="614">
        <f>IF(EDP_Data!BB18&gt;0,EDP_Data!BB18,"")</f>
        <v>209.72316127813519</v>
      </c>
      <c r="Z17" s="614">
        <f>IF(EDP_Data!BC18&gt;0,EDP_Data!BC18,"")</f>
        <v>147.10041372213885</v>
      </c>
      <c r="AA17" s="614" t="str">
        <f>IF(EDP_Data!BD18&gt;0,EDP_Data!BD18,"")</f>
        <v/>
      </c>
      <c r="AB17" s="614">
        <f>IF(EDP_Data!BE18&gt;0,EDP_Data!BE18,"")</f>
        <v>10.927459305073176</v>
      </c>
      <c r="AC17" s="614" t="str">
        <f>IF(EDP_Data!BF18&gt;0,EDP_Data!BF18,"")</f>
        <v/>
      </c>
      <c r="AD17" s="614">
        <f>IF(EDP_Data!BG18&gt;0,EDP_Data!BG18,"")</f>
        <v>10.927459305073176</v>
      </c>
      <c r="AE17" s="614">
        <f>IF(EDP_Data!BH18&gt;0,EDP_Data!BH18,"")</f>
        <v>8.8260248233283338</v>
      </c>
      <c r="AF17" s="614" t="str">
        <f>IF(EDP_Data!BI18&gt;0,EDP_Data!BI18,"")</f>
        <v/>
      </c>
      <c r="AG17" s="614">
        <f>IF(EDP_Data!BJ18&gt;0,EDP_Data!BJ18,"")</f>
        <v>0.4072203072889054</v>
      </c>
      <c r="AH17" s="614" t="str">
        <f>IF(EDP_Data!BK18&gt;0,EDP_Data!BK18,"")</f>
        <v/>
      </c>
      <c r="AI17" s="614">
        <f>IF(EDP_Data!BL18&gt;0,EDP_Data!BL18,"")</f>
        <v>0.4072203072889054</v>
      </c>
      <c r="AJ17" s="614">
        <f>IF(EDP_Data!BM18&gt;0,EDP_Data!BM18,"")</f>
        <v>5.1828039109497036E-2</v>
      </c>
      <c r="AK17" s="505">
        <v>20</v>
      </c>
      <c r="AL17" s="505">
        <v>2015</v>
      </c>
      <c r="AM17" s="599" t="s">
        <v>125</v>
      </c>
      <c r="AN17" s="598" t="s">
        <v>484</v>
      </c>
    </row>
    <row r="18" spans="1:41" s="597" customFormat="1" ht="18.899999999999999" customHeight="1">
      <c r="A18" s="536" t="s">
        <v>68</v>
      </c>
      <c r="B18" s="547" t="s">
        <v>486</v>
      </c>
      <c r="C18" s="536" t="s">
        <v>145</v>
      </c>
      <c r="D18" s="612" t="s">
        <v>82</v>
      </c>
      <c r="E18" s="614">
        <v>33</v>
      </c>
      <c r="F18" s="505" t="s">
        <v>66</v>
      </c>
      <c r="G18" s="603" t="s">
        <v>320</v>
      </c>
      <c r="H18" s="603" t="s">
        <v>317</v>
      </c>
      <c r="I18" s="603" t="s">
        <v>318</v>
      </c>
      <c r="J18" s="603" t="s">
        <v>29</v>
      </c>
      <c r="K18" s="505">
        <v>1.65</v>
      </c>
      <c r="L18" s="505"/>
      <c r="M18" s="601">
        <v>1.65</v>
      </c>
      <c r="N18" s="601">
        <v>1.4</v>
      </c>
      <c r="O18" s="601"/>
      <c r="P18" s="601">
        <v>6.7000000000000004E-2</v>
      </c>
      <c r="Q18" s="505"/>
      <c r="R18" s="601">
        <v>6.7000000000000004E-2</v>
      </c>
      <c r="S18" s="601">
        <v>3.9E-2</v>
      </c>
      <c r="T18" s="505">
        <v>1</v>
      </c>
      <c r="U18" s="505" t="s">
        <v>29</v>
      </c>
      <c r="V18" s="600">
        <v>0.9</v>
      </c>
      <c r="W18" s="614">
        <f>IF(EDP_Data!AZ19&gt;0,EDP_Data!AZ19,"")</f>
        <v>453.90984805688578</v>
      </c>
      <c r="X18" s="614">
        <f>IF(EDP_Data!BA19&gt;0,EDP_Data!BA19,"")</f>
        <v>434.57665082483322</v>
      </c>
      <c r="Y18" s="614">
        <f>IF(EDP_Data!BB19&gt;0,EDP_Data!BB19,"")</f>
        <v>434.57665082483322</v>
      </c>
      <c r="Z18" s="614">
        <f>IF(EDP_Data!BC19&gt;0,EDP_Data!BC19,"")</f>
        <v>346.75171732934189</v>
      </c>
      <c r="AA18" s="614" t="str">
        <f>IF(EDP_Data!BD19&gt;0,EDP_Data!BD19,"")</f>
        <v/>
      </c>
      <c r="AB18" s="614">
        <f>IF(EDP_Data!BE19&gt;0,EDP_Data!BE19,"")</f>
        <v>22.695492402844287</v>
      </c>
      <c r="AC18" s="614" t="str">
        <f>IF(EDP_Data!BF19&gt;0,EDP_Data!BF19,"")</f>
        <v/>
      </c>
      <c r="AD18" s="614">
        <f>IF(EDP_Data!BG19&gt;0,EDP_Data!BG19,"")</f>
        <v>22.695492402844287</v>
      </c>
      <c r="AE18" s="614">
        <f>IF(EDP_Data!BH19&gt;0,EDP_Data!BH19,"")</f>
        <v>18.452419547459435</v>
      </c>
      <c r="AF18" s="614" t="str">
        <f>IF(EDP_Data!BI19&gt;0,EDP_Data!BI19,"")</f>
        <v/>
      </c>
      <c r="AG18" s="614">
        <f>IF(EDP_Data!BJ19&gt;0,EDP_Data!BJ19,"")</f>
        <v>0.1554841173284911</v>
      </c>
      <c r="AH18" s="614" t="str">
        <f>IF(EDP_Data!BK19&gt;0,EDP_Data!BK19,"")</f>
        <v/>
      </c>
      <c r="AI18" s="614">
        <f>IF(EDP_Data!BL19&gt;0,EDP_Data!BL19,"")</f>
        <v>0.1554841173284911</v>
      </c>
      <c r="AJ18" s="614">
        <f>IF(EDP_Data!BM19&gt;0,EDP_Data!BM19,"")</f>
        <v>5.1828039109497036E-2</v>
      </c>
      <c r="AK18" s="505">
        <v>20</v>
      </c>
      <c r="AL18" s="505">
        <v>2015</v>
      </c>
      <c r="AM18" s="599" t="s">
        <v>125</v>
      </c>
      <c r="AN18" s="598" t="s">
        <v>484</v>
      </c>
    </row>
    <row r="19" spans="1:41" s="597" customFormat="1" ht="18.899999999999999" customHeight="1">
      <c r="A19" s="536" t="s">
        <v>68</v>
      </c>
      <c r="B19" s="547" t="s">
        <v>111</v>
      </c>
      <c r="C19" s="536" t="s">
        <v>490</v>
      </c>
      <c r="D19" s="536" t="s">
        <v>83</v>
      </c>
      <c r="E19" s="614">
        <v>150</v>
      </c>
      <c r="F19" s="505" t="s">
        <v>66</v>
      </c>
      <c r="G19" s="603" t="s">
        <v>320</v>
      </c>
      <c r="H19" s="603" t="s">
        <v>321</v>
      </c>
      <c r="I19" s="603" t="s">
        <v>318</v>
      </c>
      <c r="J19" s="603" t="s">
        <v>29</v>
      </c>
      <c r="K19" s="591">
        <v>1.1499999999999999</v>
      </c>
      <c r="L19" s="505"/>
      <c r="M19" s="505"/>
      <c r="N19" s="505"/>
      <c r="O19" s="505"/>
      <c r="P19" s="590">
        <v>0.23</v>
      </c>
      <c r="Q19" s="505"/>
      <c r="R19" s="505"/>
      <c r="S19" s="505"/>
      <c r="T19" s="505">
        <v>1</v>
      </c>
      <c r="U19" s="505" t="s">
        <v>29</v>
      </c>
      <c r="V19" s="600">
        <v>0.87</v>
      </c>
      <c r="W19" s="614">
        <f>IF(EDP_Data!AZ20&gt;0,EDP_Data!AZ20,"")</f>
        <v>238.28165588504754</v>
      </c>
      <c r="X19" s="614" t="str">
        <f>IF(EDP_Data!BA20&gt;0,EDP_Data!BA20,"")</f>
        <v/>
      </c>
      <c r="Y19" s="614" t="str">
        <f>IF(EDP_Data!BB20&gt;0,EDP_Data!BB20,"")</f>
        <v/>
      </c>
      <c r="Z19" s="614" t="str">
        <f>IF(EDP_Data!BC20&gt;0,EDP_Data!BC20,"")</f>
        <v/>
      </c>
      <c r="AA19" s="614" t="str">
        <f>IF(EDP_Data!BD20&gt;0,EDP_Data!BD20,"")</f>
        <v/>
      </c>
      <c r="AB19" s="614">
        <f>IF(EDP_Data!BE20&gt;0,EDP_Data!BE20,"")</f>
        <v>16.657370658630771</v>
      </c>
      <c r="AC19" s="614" t="str">
        <f>IF(EDP_Data!BF20&gt;0,EDP_Data!BF20,"")</f>
        <v/>
      </c>
      <c r="AD19" s="614" t="str">
        <f>IF(EDP_Data!BG20&gt;0,EDP_Data!BG20,"")</f>
        <v/>
      </c>
      <c r="AE19" s="614" t="str">
        <f>IF(EDP_Data!BH20&gt;0,EDP_Data!BH20,"")</f>
        <v/>
      </c>
      <c r="AF19" s="614" t="str">
        <f>IF(EDP_Data!BI20&gt;0,EDP_Data!BI20,"")</f>
        <v/>
      </c>
      <c r="AG19" s="614">
        <f>IF(EDP_Data!BJ20&gt;0,EDP_Data!BJ20,"")</f>
        <v>8.1444061457781061E-2</v>
      </c>
      <c r="AH19" s="614" t="str">
        <f>IF(EDP_Data!BK20&gt;0,EDP_Data!BK20,"")</f>
        <v/>
      </c>
      <c r="AI19" s="614" t="str">
        <f>IF(EDP_Data!BL20&gt;0,EDP_Data!BL20,"")</f>
        <v/>
      </c>
      <c r="AJ19" s="614" t="str">
        <f>IF(EDP_Data!BM20&gt;0,EDP_Data!BM20,"")</f>
        <v/>
      </c>
      <c r="AK19" s="505">
        <v>20</v>
      </c>
      <c r="AL19" s="505">
        <v>2015</v>
      </c>
      <c r="AM19" s="599" t="s">
        <v>128</v>
      </c>
      <c r="AN19" s="598" t="s">
        <v>484</v>
      </c>
    </row>
    <row r="20" spans="1:41" ht="18.899999999999999" customHeight="1">
      <c r="A20" s="95" t="s">
        <v>68</v>
      </c>
      <c r="B20" s="208" t="s">
        <v>112</v>
      </c>
      <c r="C20" s="95" t="s">
        <v>146</v>
      </c>
      <c r="D20" s="95" t="s">
        <v>84</v>
      </c>
      <c r="E20" s="100">
        <v>2</v>
      </c>
      <c r="F20" s="96" t="s">
        <v>67</v>
      </c>
      <c r="G20" s="97" t="s">
        <v>320</v>
      </c>
      <c r="H20" s="98" t="s">
        <v>317</v>
      </c>
      <c r="I20" s="98" t="s">
        <v>318</v>
      </c>
      <c r="J20" s="98" t="s">
        <v>29</v>
      </c>
      <c r="K20" s="96">
        <v>1.36</v>
      </c>
      <c r="L20" s="99">
        <v>1.36</v>
      </c>
      <c r="M20" s="213">
        <v>1.36</v>
      </c>
      <c r="N20" s="96"/>
      <c r="O20" s="650"/>
      <c r="P20" s="99">
        <v>0.25</v>
      </c>
      <c r="Q20" s="99">
        <v>0.25</v>
      </c>
      <c r="R20" s="99">
        <v>6.7000000000000004E-2</v>
      </c>
      <c r="S20" s="96"/>
      <c r="T20" s="96">
        <v>1</v>
      </c>
      <c r="U20" s="96" t="s">
        <v>29</v>
      </c>
      <c r="V20" s="101">
        <v>0.86</v>
      </c>
      <c r="W20" s="652">
        <f>IF(EDP_Data!AZ21&gt;0,EDP_Data!AZ21,"")</f>
        <v>373.49495522211646</v>
      </c>
      <c r="X20" s="652">
        <f>IF(EDP_Data!BA21&gt;0,EDP_Data!BA21,"")</f>
        <v>373.49495522211646</v>
      </c>
      <c r="Y20" s="652">
        <f>IF(EDP_Data!BB21&gt;0,EDP_Data!BB21,"")</f>
        <v>373.49495522211646</v>
      </c>
      <c r="Z20" s="652" t="str">
        <f>IF(EDP_Data!BC21&gt;0,EDP_Data!BC21,"")</f>
        <v/>
      </c>
      <c r="AA20" s="652" t="str">
        <f>IF(EDP_Data!BD21&gt;0,EDP_Data!BD21,"")</f>
        <v/>
      </c>
      <c r="AB20" s="652">
        <f>IF(EDP_Data!BE21&gt;0,EDP_Data!BE21,"")</f>
        <v>21.686803851606758</v>
      </c>
      <c r="AC20" s="652">
        <f>IF(EDP_Data!BF21&gt;0,EDP_Data!BF21,"")</f>
        <v>21.686803851606758</v>
      </c>
      <c r="AD20" s="652">
        <f>IF(EDP_Data!BG21&gt;0,EDP_Data!BG21,"")</f>
        <v>32.128598298676685</v>
      </c>
      <c r="AE20" s="652" t="str">
        <f>IF(EDP_Data!BH21&gt;0,EDP_Data!BH21,"")</f>
        <v/>
      </c>
      <c r="AF20" s="652" t="str">
        <f>IF(EDP_Data!BI21&gt;0,EDP_Data!BI21,"")</f>
        <v/>
      </c>
      <c r="AG20" s="652">
        <f>IF(EDP_Data!BJ21&gt;0,EDP_Data!BJ21,"")</f>
        <v>3.4058425700526626E-2</v>
      </c>
      <c r="AH20" s="652">
        <f>IF(EDP_Data!BK21&gt;0,EDP_Data!BK21,"")</f>
        <v>3.4058425700526626E-2</v>
      </c>
      <c r="AI20" s="652">
        <f>IF(EDP_Data!BL21&gt;0,EDP_Data!BL21,"")</f>
        <v>3.3318025141819523E-2</v>
      </c>
      <c r="AJ20" s="652" t="str">
        <f>IF(EDP_Data!BM21&gt;0,EDP_Data!BM21,"")</f>
        <v/>
      </c>
      <c r="AK20" s="96">
        <v>20</v>
      </c>
      <c r="AL20" s="96">
        <v>2015</v>
      </c>
      <c r="AM20" s="102" t="s">
        <v>128</v>
      </c>
      <c r="AN20" s="210" t="s">
        <v>484</v>
      </c>
    </row>
    <row r="21" spans="1:41" ht="18.899999999999999" customHeight="1">
      <c r="A21" s="95" t="s">
        <v>68</v>
      </c>
      <c r="B21" s="208" t="s">
        <v>529</v>
      </c>
      <c r="C21" s="95" t="s">
        <v>528</v>
      </c>
      <c r="D21" s="95" t="s">
        <v>84</v>
      </c>
      <c r="E21" s="100">
        <v>2</v>
      </c>
      <c r="F21" s="96" t="s">
        <v>67</v>
      </c>
      <c r="G21" s="97" t="s">
        <v>320</v>
      </c>
      <c r="H21" s="98" t="s">
        <v>317</v>
      </c>
      <c r="I21" s="98" t="s">
        <v>318</v>
      </c>
      <c r="J21" s="98" t="s">
        <v>29</v>
      </c>
      <c r="K21" s="96">
        <v>1.36</v>
      </c>
      <c r="L21" s="99">
        <v>1.36</v>
      </c>
      <c r="M21" s="213">
        <v>1.36</v>
      </c>
      <c r="N21" s="96"/>
      <c r="O21" s="650"/>
      <c r="P21" s="99">
        <v>0.25</v>
      </c>
      <c r="Q21" s="99">
        <v>0.25</v>
      </c>
      <c r="R21" s="99">
        <v>6.7000000000000004E-2</v>
      </c>
      <c r="S21" s="96"/>
      <c r="T21" s="96">
        <v>1</v>
      </c>
      <c r="U21" s="96" t="s">
        <v>29</v>
      </c>
      <c r="V21" s="101">
        <v>0.86</v>
      </c>
      <c r="W21" s="652">
        <f>IF(EDP_Data!AZ22&gt;0,EDP_Data!AZ22,"")</f>
        <v>373.49495522211646</v>
      </c>
      <c r="X21" s="652">
        <f>IF(EDP_Data!BA22&gt;0,EDP_Data!BA22,"")</f>
        <v>373.49495522211646</v>
      </c>
      <c r="Y21" s="652">
        <f>IF(EDP_Data!BB22&gt;0,EDP_Data!BB22,"")</f>
        <v>373.49495522211646</v>
      </c>
      <c r="Z21" s="652" t="str">
        <f>IF(EDP_Data!BC22&gt;0,EDP_Data!BC22,"")</f>
        <v/>
      </c>
      <c r="AA21" s="652" t="str">
        <f>IF(EDP_Data!BD22&gt;0,EDP_Data!BD22,"")</f>
        <v/>
      </c>
      <c r="AB21" s="652">
        <f>IF(EDP_Data!BE22&gt;0,EDP_Data!BE22,"")</f>
        <v>21.686803851606758</v>
      </c>
      <c r="AC21" s="652">
        <f>IF(EDP_Data!BF22&gt;0,EDP_Data!BF22,"")</f>
        <v>21.686803851606758</v>
      </c>
      <c r="AD21" s="652">
        <f>IF(EDP_Data!BG22&gt;0,EDP_Data!BG22,"")</f>
        <v>32.128598298676685</v>
      </c>
      <c r="AE21" s="652" t="str">
        <f>IF(EDP_Data!BH22&gt;0,EDP_Data!BH22,"")</f>
        <v/>
      </c>
      <c r="AF21" s="652" t="str">
        <f>IF(EDP_Data!BI22&gt;0,EDP_Data!BI22,"")</f>
        <v/>
      </c>
      <c r="AG21" s="652">
        <f>IF(EDP_Data!BJ22&gt;0,EDP_Data!BJ22,"")</f>
        <v>3.4058425700526626E-2</v>
      </c>
      <c r="AH21" s="652">
        <f>IF(EDP_Data!BK22&gt;0,EDP_Data!BK22,"")</f>
        <v>3.4058425700526626E-2</v>
      </c>
      <c r="AI21" s="652">
        <f>IF(EDP_Data!BL22&gt;0,EDP_Data!BL22,"")</f>
        <v>3.3318025141819523E-2</v>
      </c>
      <c r="AJ21" s="652" t="str">
        <f>IF(EDP_Data!BM22&gt;0,EDP_Data!BM22,"")</f>
        <v/>
      </c>
      <c r="AK21" s="96">
        <v>20</v>
      </c>
      <c r="AL21" s="96">
        <v>2015</v>
      </c>
      <c r="AM21" s="102" t="s">
        <v>128</v>
      </c>
      <c r="AN21" s="210" t="s">
        <v>484</v>
      </c>
    </row>
    <row r="22" spans="1:41" ht="18.899999999999999" customHeight="1">
      <c r="A22" s="95" t="s">
        <v>68</v>
      </c>
      <c r="B22" s="208" t="s">
        <v>530</v>
      </c>
      <c r="C22" s="95" t="s">
        <v>533</v>
      </c>
      <c r="D22" s="95" t="s">
        <v>84</v>
      </c>
      <c r="E22" s="100">
        <v>0.66600000000000004</v>
      </c>
      <c r="F22" s="96" t="s">
        <v>67</v>
      </c>
      <c r="G22" s="97" t="s">
        <v>320</v>
      </c>
      <c r="H22" s="98" t="s">
        <v>317</v>
      </c>
      <c r="I22" s="98" t="s">
        <v>318</v>
      </c>
      <c r="J22" s="98" t="s">
        <v>29</v>
      </c>
      <c r="K22" s="96">
        <v>1.81</v>
      </c>
      <c r="L22" s="96"/>
      <c r="M22" s="99">
        <v>1.81</v>
      </c>
      <c r="N22" s="99">
        <v>1.55</v>
      </c>
      <c r="O22" s="651"/>
      <c r="P22" s="99">
        <v>6.5000000000000002E-2</v>
      </c>
      <c r="Q22" s="96"/>
      <c r="R22" s="99">
        <v>6.5000000000000002E-2</v>
      </c>
      <c r="S22" s="99">
        <v>0.05</v>
      </c>
      <c r="T22" s="96">
        <v>1</v>
      </c>
      <c r="U22" s="96" t="s">
        <v>29</v>
      </c>
      <c r="V22" s="101">
        <v>0.9</v>
      </c>
      <c r="W22" s="652">
        <f>IF(EDP_Data!AZ23&gt;0,EDP_Data!AZ23,"")</f>
        <v>1420.5697096595127</v>
      </c>
      <c r="X22" s="652">
        <f>IF(EDP_Data!BA23&gt;0,EDP_Data!BA23,"")</f>
        <v>1263.1722669768239</v>
      </c>
      <c r="Y22" s="652">
        <f>IF(EDP_Data!BB23&gt;0,EDP_Data!BB23,"")</f>
        <v>1263.1722669768239</v>
      </c>
      <c r="Z22" s="652">
        <f>IF(EDP_Data!BC23&gt;0,EDP_Data!BC23,"")</f>
        <v>890.16764646711465</v>
      </c>
      <c r="AA22" s="652" t="str">
        <f>IF(EDP_Data!BD23&gt;0,EDP_Data!BD23,"")</f>
        <v/>
      </c>
      <c r="AB22" s="652">
        <f>IF(EDP_Data!BE23&gt;0,EDP_Data!BE23,"")</f>
        <v>34.253382052440912</v>
      </c>
      <c r="AC22" s="652" t="str">
        <f>IF(EDP_Data!BF23&gt;0,EDP_Data!BF23,"")</f>
        <v/>
      </c>
      <c r="AD22" s="652">
        <f>IF(EDP_Data!BG23&gt;0,EDP_Data!BG23,"")</f>
        <v>34.253382052440912</v>
      </c>
      <c r="AE22" s="652">
        <f>IF(EDP_Data!BH23&gt;0,EDP_Data!BH23,"")</f>
        <v>17.652049646656668</v>
      </c>
      <c r="AF22" s="652" t="str">
        <f>IF(EDP_Data!BI23&gt;0,EDP_Data!BI23,"")</f>
        <v/>
      </c>
      <c r="AG22" s="652">
        <f>IF(EDP_Data!BJ23&gt;0,EDP_Data!BJ23,"")</f>
        <v>0.4960683743337575</v>
      </c>
      <c r="AH22" s="652" t="str">
        <f>IF(EDP_Data!BK23&gt;0,EDP_Data!BK23,"")</f>
        <v/>
      </c>
      <c r="AI22" s="652">
        <f>IF(EDP_Data!BL23&gt;0,EDP_Data!BL23,"")</f>
        <v>0.4960683743337575</v>
      </c>
      <c r="AJ22" s="652">
        <f>IF(EDP_Data!BM23&gt;0,EDP_Data!BM23,"")</f>
        <v>0.3109682346569822</v>
      </c>
      <c r="AK22" s="96">
        <v>20</v>
      </c>
      <c r="AL22" s="96">
        <v>2015</v>
      </c>
      <c r="AM22" s="102" t="s">
        <v>125</v>
      </c>
      <c r="AN22" s="210" t="s">
        <v>483</v>
      </c>
    </row>
    <row r="23" spans="1:41" s="110" customFormat="1" ht="18.899999999999999" customHeight="1">
      <c r="A23" s="106" t="s">
        <v>68</v>
      </c>
      <c r="B23" s="657" t="s">
        <v>531</v>
      </c>
      <c r="C23" s="106" t="s">
        <v>532</v>
      </c>
      <c r="D23" s="106" t="s">
        <v>84</v>
      </c>
      <c r="E23" s="1019">
        <v>0.66600000000000004</v>
      </c>
      <c r="F23" s="107" t="s">
        <v>67</v>
      </c>
      <c r="G23" s="104" t="s">
        <v>320</v>
      </c>
      <c r="H23" s="105" t="s">
        <v>317</v>
      </c>
      <c r="I23" s="105" t="s">
        <v>318</v>
      </c>
      <c r="J23" s="105" t="s">
        <v>29</v>
      </c>
      <c r="K23" s="107">
        <v>1.81</v>
      </c>
      <c r="L23" s="107"/>
      <c r="M23" s="1020">
        <v>1.81</v>
      </c>
      <c r="N23" s="1020">
        <v>1.55</v>
      </c>
      <c r="O23" s="1020"/>
      <c r="P23" s="1020">
        <v>6.5000000000000002E-2</v>
      </c>
      <c r="Q23" s="107"/>
      <c r="R23" s="1020">
        <v>6.5000000000000002E-2</v>
      </c>
      <c r="S23" s="1020">
        <v>0.05</v>
      </c>
      <c r="T23" s="107">
        <v>1</v>
      </c>
      <c r="U23" s="107" t="s">
        <v>29</v>
      </c>
      <c r="V23" s="108">
        <v>0.9</v>
      </c>
      <c r="W23" s="1019">
        <f>IF(EDP_Data!AZ24&gt;0,EDP_Data!AZ24,"")</f>
        <v>1420.5697096595127</v>
      </c>
      <c r="X23" s="1019">
        <f>IF(EDP_Data!BA24&gt;0,EDP_Data!BA24,"")</f>
        <v>1263.1722669768239</v>
      </c>
      <c r="Y23" s="1019">
        <f>IF(EDP_Data!BB24&gt;0,EDP_Data!BB24,"")</f>
        <v>1263.1722669768239</v>
      </c>
      <c r="Z23" s="1019">
        <f>IF(EDP_Data!BC24&gt;0,EDP_Data!BC24,"")</f>
        <v>890.16764646711465</v>
      </c>
      <c r="AA23" s="1019" t="str">
        <f>IF(EDP_Data!BD24&gt;0,EDP_Data!BD24,"")</f>
        <v/>
      </c>
      <c r="AB23" s="1019">
        <f>IF(EDP_Data!BE24&gt;0,EDP_Data!BE24,"")</f>
        <v>34.253382052440912</v>
      </c>
      <c r="AC23" s="1019" t="str">
        <f>IF(EDP_Data!BF24&gt;0,EDP_Data!BF24,"")</f>
        <v/>
      </c>
      <c r="AD23" s="1019">
        <f>IF(EDP_Data!BG24&gt;0,EDP_Data!BG24,"")</f>
        <v>34.253382052440912</v>
      </c>
      <c r="AE23" s="1019">
        <f>IF(EDP_Data!BH24&gt;0,EDP_Data!BH24,"")</f>
        <v>17.652049646656668</v>
      </c>
      <c r="AF23" s="1019" t="str">
        <f>IF(EDP_Data!BI24&gt;0,EDP_Data!BI24,"")</f>
        <v/>
      </c>
      <c r="AG23" s="1019">
        <f>IF(EDP_Data!BJ24&gt;0,EDP_Data!BJ24,"")</f>
        <v>0.4960683743337575</v>
      </c>
      <c r="AH23" s="1019" t="str">
        <f>IF(EDP_Data!BK24&gt;0,EDP_Data!BK24,"")</f>
        <v/>
      </c>
      <c r="AI23" s="1019">
        <f>IF(EDP_Data!BL24&gt;0,EDP_Data!BL24,"")</f>
        <v>0.4960683743337575</v>
      </c>
      <c r="AJ23" s="1019">
        <f>IF(EDP_Data!BM24&gt;0,EDP_Data!BM24,"")</f>
        <v>0.3109682346569822</v>
      </c>
      <c r="AK23" s="107">
        <v>20</v>
      </c>
      <c r="AL23" s="107">
        <v>2015</v>
      </c>
      <c r="AM23" s="109" t="s">
        <v>125</v>
      </c>
      <c r="AN23" s="214" t="s">
        <v>483</v>
      </c>
    </row>
    <row r="24" spans="1:41" s="110" customFormat="1" ht="18.899999999999999" customHeight="1">
      <c r="A24" s="106" t="s">
        <v>68</v>
      </c>
      <c r="B24" s="657" t="s">
        <v>549</v>
      </c>
      <c r="C24" s="1021" t="s">
        <v>547</v>
      </c>
      <c r="D24" s="106" t="s">
        <v>85</v>
      </c>
      <c r="E24" s="1019">
        <v>0.66600000000000004</v>
      </c>
      <c r="F24" s="107" t="s">
        <v>67</v>
      </c>
      <c r="G24" s="104" t="s">
        <v>320</v>
      </c>
      <c r="H24" s="105" t="s">
        <v>317</v>
      </c>
      <c r="I24" s="105" t="s">
        <v>318</v>
      </c>
      <c r="J24" s="105" t="s">
        <v>29</v>
      </c>
      <c r="K24" s="107">
        <v>1.81</v>
      </c>
      <c r="L24" s="107"/>
      <c r="M24" s="1020">
        <v>1.81</v>
      </c>
      <c r="N24" s="1020">
        <v>1.55</v>
      </c>
      <c r="O24" s="1020"/>
      <c r="P24" s="1020">
        <v>6.5000000000000002E-2</v>
      </c>
      <c r="Q24" s="107"/>
      <c r="R24" s="1020">
        <v>6.5000000000000002E-2</v>
      </c>
      <c r="S24" s="1020">
        <v>0.05</v>
      </c>
      <c r="T24" s="107">
        <v>1</v>
      </c>
      <c r="U24" s="107" t="s">
        <v>29</v>
      </c>
      <c r="V24" s="108">
        <v>0.9</v>
      </c>
      <c r="W24" s="1019">
        <f>IF(EDP_Data!AZ25&gt;0,EDP_Data!AZ25,"")</f>
        <v>1420.5697096595127</v>
      </c>
      <c r="X24" s="1019">
        <f>IF(EDP_Data!BA25&gt;0,EDP_Data!BA25,"")</f>
        <v>1263.1722669768239</v>
      </c>
      <c r="Y24" s="1019">
        <f>IF(EDP_Data!BB25&gt;0,EDP_Data!BB25,"")</f>
        <v>1263.1722669768239</v>
      </c>
      <c r="Z24" s="1019">
        <f>IF(EDP_Data!BC25&gt;0,EDP_Data!BC25,"")</f>
        <v>890.16764646711465</v>
      </c>
      <c r="AA24" s="1019" t="str">
        <f>IF(EDP_Data!BD25&gt;0,EDP_Data!BD25,"")</f>
        <v/>
      </c>
      <c r="AB24" s="1019">
        <f>IF(EDP_Data!BE25&gt;0,EDP_Data!BE25,"")</f>
        <v>34.253382052440912</v>
      </c>
      <c r="AC24" s="1019" t="str">
        <f>IF(EDP_Data!BF25&gt;0,EDP_Data!BF25,"")</f>
        <v/>
      </c>
      <c r="AD24" s="1019">
        <f>IF(EDP_Data!BG25&gt;0,EDP_Data!BG25,"")</f>
        <v>34.253382052440912</v>
      </c>
      <c r="AE24" s="1019">
        <f>IF(EDP_Data!BH25&gt;0,EDP_Data!BH25,"")</f>
        <v>17.652049646656668</v>
      </c>
      <c r="AF24" s="1019" t="str">
        <f>IF(EDP_Data!BI25&gt;0,EDP_Data!BI25,"")</f>
        <v/>
      </c>
      <c r="AG24" s="1019">
        <f>IF(EDP_Data!BJ25&gt;0,EDP_Data!BJ25,"")</f>
        <v>0.4960683743337575</v>
      </c>
      <c r="AH24" s="1019" t="str">
        <f>IF(EDP_Data!BK25&gt;0,EDP_Data!BK25,"")</f>
        <v/>
      </c>
      <c r="AI24" s="1019">
        <f>IF(EDP_Data!BL25&gt;0,EDP_Data!BL25,"")</f>
        <v>0.4960683743337575</v>
      </c>
      <c r="AJ24" s="1019">
        <f>IF(EDP_Data!BM25&gt;0,EDP_Data!BM25,"")</f>
        <v>0.3109682346569822</v>
      </c>
      <c r="AK24" s="107">
        <v>20</v>
      </c>
      <c r="AL24" s="107">
        <v>2015</v>
      </c>
      <c r="AM24" s="109" t="s">
        <v>125</v>
      </c>
      <c r="AN24" s="214" t="s">
        <v>483</v>
      </c>
    </row>
    <row r="25" spans="1:41" s="110" customFormat="1" ht="18.899999999999999" customHeight="1">
      <c r="A25" s="106" t="s">
        <v>68</v>
      </c>
      <c r="B25" s="657" t="s">
        <v>550</v>
      </c>
      <c r="C25" s="1021" t="s">
        <v>548</v>
      </c>
      <c r="D25" s="106" t="s">
        <v>85</v>
      </c>
      <c r="E25" s="1019">
        <v>0.66600000000000004</v>
      </c>
      <c r="F25" s="107" t="s">
        <v>67</v>
      </c>
      <c r="G25" s="104" t="s">
        <v>320</v>
      </c>
      <c r="H25" s="105" t="s">
        <v>317</v>
      </c>
      <c r="I25" s="105" t="s">
        <v>318</v>
      </c>
      <c r="J25" s="105" t="s">
        <v>29</v>
      </c>
      <c r="K25" s="107">
        <v>1.81</v>
      </c>
      <c r="L25" s="107"/>
      <c r="M25" s="1020">
        <v>1.81</v>
      </c>
      <c r="N25" s="1020">
        <v>1.55</v>
      </c>
      <c r="O25" s="1020"/>
      <c r="P25" s="1020">
        <v>6.5000000000000002E-2</v>
      </c>
      <c r="Q25" s="107"/>
      <c r="R25" s="1020">
        <v>6.5000000000000002E-2</v>
      </c>
      <c r="S25" s="1020">
        <v>0.05</v>
      </c>
      <c r="T25" s="107">
        <v>1</v>
      </c>
      <c r="U25" s="107" t="s">
        <v>29</v>
      </c>
      <c r="V25" s="108">
        <v>0.9</v>
      </c>
      <c r="W25" s="1019">
        <f>IF(EDP_Data!AZ26&gt;0,EDP_Data!AZ26,"")</f>
        <v>1420.5697096595127</v>
      </c>
      <c r="X25" s="1019">
        <f>IF(EDP_Data!BA26&gt;0,EDP_Data!BA26,"")</f>
        <v>1263.1722669768239</v>
      </c>
      <c r="Y25" s="1019">
        <f>IF(EDP_Data!BB26&gt;0,EDP_Data!BB26,"")</f>
        <v>1263.1722669768239</v>
      </c>
      <c r="Z25" s="1019">
        <f>IF(EDP_Data!BC26&gt;0,EDP_Data!BC26,"")</f>
        <v>890.16764646711465</v>
      </c>
      <c r="AA25" s="1019" t="str">
        <f>IF(EDP_Data!BD26&gt;0,EDP_Data!BD26,"")</f>
        <v/>
      </c>
      <c r="AB25" s="1019">
        <f>IF(EDP_Data!BE26&gt;0,EDP_Data!BE26,"")</f>
        <v>34.253382052440912</v>
      </c>
      <c r="AC25" s="1019" t="str">
        <f>IF(EDP_Data!BF26&gt;0,EDP_Data!BF26,"")</f>
        <v/>
      </c>
      <c r="AD25" s="1019">
        <f>IF(EDP_Data!BG26&gt;0,EDP_Data!BG26,"")</f>
        <v>34.253382052440912</v>
      </c>
      <c r="AE25" s="1019">
        <f>IF(EDP_Data!BH26&gt;0,EDP_Data!BH26,"")</f>
        <v>17.652049646656668</v>
      </c>
      <c r="AF25" s="1019" t="str">
        <f>IF(EDP_Data!BI26&gt;0,EDP_Data!BI26,"")</f>
        <v/>
      </c>
      <c r="AG25" s="1019">
        <f>IF(EDP_Data!BJ26&gt;0,EDP_Data!BJ26,"")</f>
        <v>0.4960683743337575</v>
      </c>
      <c r="AH25" s="1019" t="str">
        <f>IF(EDP_Data!BK26&gt;0,EDP_Data!BK26,"")</f>
        <v/>
      </c>
      <c r="AI25" s="1019">
        <f>IF(EDP_Data!BL26&gt;0,EDP_Data!BL26,"")</f>
        <v>0.4960683743337575</v>
      </c>
      <c r="AJ25" s="1019">
        <f>IF(EDP_Data!BM26&gt;0,EDP_Data!BM26,"")</f>
        <v>0.3109682346569822</v>
      </c>
      <c r="AK25" s="107">
        <v>20</v>
      </c>
      <c r="AL25" s="107">
        <v>2015</v>
      </c>
      <c r="AM25" s="109" t="s">
        <v>125</v>
      </c>
      <c r="AN25" s="214" t="s">
        <v>483</v>
      </c>
    </row>
    <row r="26" spans="1:41" s="110" customFormat="1" ht="18.899999999999999" customHeight="1">
      <c r="A26" s="106" t="s">
        <v>68</v>
      </c>
      <c r="B26" s="1022" t="s">
        <v>348</v>
      </c>
      <c r="C26" s="106" t="s">
        <v>147</v>
      </c>
      <c r="D26" s="106" t="s">
        <v>86</v>
      </c>
      <c r="E26" s="1019">
        <v>1.0500000000000001E-2</v>
      </c>
      <c r="F26" s="107" t="s">
        <v>67</v>
      </c>
      <c r="G26" s="104" t="s">
        <v>322</v>
      </c>
      <c r="H26" s="105" t="s">
        <v>317</v>
      </c>
      <c r="I26" s="105" t="s">
        <v>318</v>
      </c>
      <c r="J26" s="105" t="s">
        <v>29</v>
      </c>
      <c r="K26" s="1020">
        <f>2.37/0.0268</f>
        <v>88.432835820895519</v>
      </c>
      <c r="L26" s="107"/>
      <c r="M26" s="107"/>
      <c r="N26" s="107"/>
      <c r="O26" s="107"/>
      <c r="P26" s="1020">
        <v>0.17699999999999999</v>
      </c>
      <c r="Q26" s="107"/>
      <c r="R26" s="107"/>
      <c r="S26" s="107"/>
      <c r="T26" s="107">
        <v>1</v>
      </c>
      <c r="U26" s="107" t="s">
        <v>29</v>
      </c>
      <c r="V26" s="108">
        <v>0.9</v>
      </c>
      <c r="W26" s="1019">
        <f>IF(EDP_Data!AZ27&gt;0,EDP_Data!AZ27,"")</f>
        <v>5673.8731007110709</v>
      </c>
      <c r="X26" s="1019" t="str">
        <f>IF(EDP_Data!BA27&gt;0,EDP_Data!BA27,"")</f>
        <v/>
      </c>
      <c r="Y26" s="1019" t="str">
        <f>IF(EDP_Data!BB27&gt;0,EDP_Data!BB27,"")</f>
        <v/>
      </c>
      <c r="Z26" s="1019" t="str">
        <f>IF(EDP_Data!BC27&gt;0,EDP_Data!BC27,"")</f>
        <v/>
      </c>
      <c r="AA26" s="1019" t="str">
        <f>IF(EDP_Data!BD27&gt;0,EDP_Data!BD27,"")</f>
        <v/>
      </c>
      <c r="AB26" s="1019" t="str">
        <f>IF(EDP_Data!BE27&gt;0,EDP_Data!BE27,"")</f>
        <v/>
      </c>
      <c r="AC26" s="1019" t="str">
        <f>IF(EDP_Data!BF27&gt;0,EDP_Data!BF27,"")</f>
        <v/>
      </c>
      <c r="AD26" s="1019" t="str">
        <f>IF(EDP_Data!BG27&gt;0,EDP_Data!BG27,"")</f>
        <v/>
      </c>
      <c r="AE26" s="1019" t="str">
        <f>IF(EDP_Data!BH27&gt;0,EDP_Data!BH27,"")</f>
        <v/>
      </c>
      <c r="AF26" s="1019" t="str">
        <f>IF(EDP_Data!BI27&gt;0,EDP_Data!BI27,"")</f>
        <v/>
      </c>
      <c r="AG26" s="1019">
        <f>IF(EDP_Data!BJ27&gt;0,EDP_Data!BJ27,"")</f>
        <v>15.104171397624851</v>
      </c>
      <c r="AH26" s="1019" t="str">
        <f>IF(EDP_Data!BK27&gt;0,EDP_Data!BK27,"")</f>
        <v/>
      </c>
      <c r="AI26" s="1019" t="str">
        <f>IF(EDP_Data!BL27&gt;0,EDP_Data!BL27,"")</f>
        <v/>
      </c>
      <c r="AJ26" s="1019" t="str">
        <f>IF(EDP_Data!BM27&gt;0,EDP_Data!BM27,"")</f>
        <v/>
      </c>
      <c r="AK26" s="107">
        <v>10</v>
      </c>
      <c r="AL26" s="107">
        <v>2015</v>
      </c>
      <c r="AM26" s="109" t="s">
        <v>129</v>
      </c>
    </row>
    <row r="27" spans="1:41" s="110" customFormat="1" ht="18.899999999999999" customHeight="1">
      <c r="A27" s="1021" t="s">
        <v>68</v>
      </c>
      <c r="B27" s="1022" t="s">
        <v>113</v>
      </c>
      <c r="D27" s="1021" t="s">
        <v>87</v>
      </c>
      <c r="E27" s="1019">
        <v>0.127</v>
      </c>
      <c r="F27" s="1023" t="s">
        <v>67</v>
      </c>
      <c r="G27" s="104" t="s">
        <v>320</v>
      </c>
      <c r="H27" s="105" t="s">
        <v>321</v>
      </c>
      <c r="I27" s="105" t="s">
        <v>318</v>
      </c>
      <c r="J27" s="105" t="s">
        <v>29</v>
      </c>
      <c r="K27" s="107">
        <v>1.72</v>
      </c>
      <c r="L27" s="107"/>
      <c r="M27" s="107"/>
      <c r="N27" s="107"/>
      <c r="O27" s="107"/>
      <c r="P27" s="1020">
        <v>0.23400000000000001</v>
      </c>
      <c r="Q27" s="107"/>
      <c r="R27" s="107"/>
      <c r="S27" s="107"/>
      <c r="T27" s="107">
        <v>1</v>
      </c>
      <c r="U27" s="107" t="s">
        <v>29</v>
      </c>
      <c r="V27" s="108">
        <v>0.33</v>
      </c>
      <c r="W27" s="1019">
        <f>IF(EDP_Data!AZ28&gt;0,EDP_Data!AZ28,"")</f>
        <v>654.94708014380888</v>
      </c>
      <c r="X27" s="1019" t="str">
        <f>IF(EDP_Data!BA28&gt;0,EDP_Data!BA28,"")</f>
        <v/>
      </c>
      <c r="Y27" s="1019" t="str">
        <f>IF(EDP_Data!BB28&gt;0,EDP_Data!BB28,"")</f>
        <v/>
      </c>
      <c r="Z27" s="1019" t="str">
        <f>IF(EDP_Data!BC28&gt;0,EDP_Data!BC28,"")</f>
        <v/>
      </c>
      <c r="AA27" s="1019" t="str">
        <f>IF(EDP_Data!BD28&gt;0,EDP_Data!BD28,"")</f>
        <v/>
      </c>
      <c r="AB27" s="1019">
        <f>IF(EDP_Data!BE28&gt;0,EDP_Data!BE28,"")</f>
        <v>13.175994200540153</v>
      </c>
      <c r="AC27" s="1019" t="str">
        <f>IF(EDP_Data!BF28&gt;0,EDP_Data!BF28,"")</f>
        <v/>
      </c>
      <c r="AD27" s="1019" t="str">
        <f>IF(EDP_Data!BG28&gt;0,EDP_Data!BG28,"")</f>
        <v/>
      </c>
      <c r="AE27" s="1019" t="str">
        <f>IF(EDP_Data!BH28&gt;0,EDP_Data!BH28,"")</f>
        <v/>
      </c>
      <c r="AF27" s="1019" t="str">
        <f>IF(EDP_Data!BI28&gt;0,EDP_Data!BI28,"")</f>
        <v/>
      </c>
      <c r="AG27" s="1019" t="str">
        <f>IF(EDP_Data!BJ28&gt;0,EDP_Data!BJ28,"")</f>
        <v/>
      </c>
      <c r="AH27" s="1019" t="str">
        <f>IF(EDP_Data!BK28&gt;0,EDP_Data!BK28,"")</f>
        <v/>
      </c>
      <c r="AI27" s="1019" t="str">
        <f>IF(EDP_Data!BL28&gt;0,EDP_Data!BL28,"")</f>
        <v/>
      </c>
      <c r="AJ27" s="1019" t="str">
        <f>IF(EDP_Data!BM28&gt;0,EDP_Data!BM28,"")</f>
        <v/>
      </c>
      <c r="AK27" s="107">
        <v>20</v>
      </c>
      <c r="AL27" s="107">
        <v>2015</v>
      </c>
      <c r="AM27" s="109" t="s">
        <v>130</v>
      </c>
    </row>
    <row r="28" spans="1:41" s="611" customFormat="1" ht="18.899999999999999" customHeight="1">
      <c r="A28" s="589" t="s">
        <v>68</v>
      </c>
      <c r="B28" s="1024" t="s">
        <v>114</v>
      </c>
      <c r="C28" s="589" t="s">
        <v>149</v>
      </c>
      <c r="D28" s="589" t="s">
        <v>69</v>
      </c>
      <c r="E28" s="1025">
        <v>300</v>
      </c>
      <c r="F28" s="588" t="s">
        <v>66</v>
      </c>
      <c r="G28" s="515" t="s">
        <v>323</v>
      </c>
      <c r="H28" s="515" t="s">
        <v>317</v>
      </c>
      <c r="I28" s="515" t="s">
        <v>318</v>
      </c>
      <c r="J28" s="515"/>
      <c r="K28" s="507">
        <v>1.3</v>
      </c>
      <c r="L28" s="588"/>
      <c r="M28" s="588"/>
      <c r="N28" s="588"/>
      <c r="O28" s="588"/>
      <c r="P28" s="507">
        <v>6.3E-2</v>
      </c>
      <c r="Q28" s="588"/>
      <c r="R28" s="588"/>
      <c r="S28" s="588"/>
      <c r="T28" s="588">
        <v>1</v>
      </c>
      <c r="U28" s="588" t="s">
        <v>29</v>
      </c>
      <c r="V28" s="586">
        <v>0.9</v>
      </c>
      <c r="W28" s="1025">
        <f>IF(EDP_Data!AZ29&gt;0,EDP_Data!AZ29,"")</f>
        <v>332.02664811568496</v>
      </c>
      <c r="X28" s="1025" t="str">
        <f>IF(EDP_Data!BA29&gt;0,EDP_Data!BA29,"")</f>
        <v/>
      </c>
      <c r="Y28" s="1025" t="str">
        <f>IF(EDP_Data!BB29&gt;0,EDP_Data!BB29,"")</f>
        <v/>
      </c>
      <c r="Z28" s="1025" t="str">
        <f>IF(EDP_Data!BC29&gt;0,EDP_Data!BC29,"")</f>
        <v/>
      </c>
      <c r="AA28" s="1025" t="str">
        <f>IF(EDP_Data!BD29&gt;0,EDP_Data!BD29,"")</f>
        <v/>
      </c>
      <c r="AB28" s="1025">
        <f>IF(EDP_Data!BE29&gt;0,EDP_Data!BE29,"")</f>
        <v>16.601332405784245</v>
      </c>
      <c r="AC28" s="1025" t="str">
        <f>IF(EDP_Data!BF29&gt;0,EDP_Data!BF29,"")</f>
        <v/>
      </c>
      <c r="AD28" s="1025" t="str">
        <f>IF(EDP_Data!BG29&gt;0,EDP_Data!BG29,"")</f>
        <v/>
      </c>
      <c r="AE28" s="1025" t="str">
        <f>IF(EDP_Data!BH29&gt;0,EDP_Data!BH29,"")</f>
        <v/>
      </c>
      <c r="AF28" s="1025" t="str">
        <f>IF(EDP_Data!BI29&gt;0,EDP_Data!BI29,"")</f>
        <v/>
      </c>
      <c r="AG28" s="1025">
        <f>IF(EDP_Data!BJ29&gt;0,EDP_Data!BJ29,"")</f>
        <v>0.11106008380606508</v>
      </c>
      <c r="AH28" s="1025" t="str">
        <f>IF(EDP_Data!BK29&gt;0,EDP_Data!BK29,"")</f>
        <v/>
      </c>
      <c r="AI28" s="1025" t="str">
        <f>IF(EDP_Data!BL29&gt;0,EDP_Data!BL29,"")</f>
        <v/>
      </c>
      <c r="AJ28" s="1025" t="str">
        <f>IF(EDP_Data!BM29&gt;0,EDP_Data!BM29,"")</f>
        <v/>
      </c>
      <c r="AK28" s="1026">
        <v>25</v>
      </c>
      <c r="AL28" s="588">
        <v>2015</v>
      </c>
      <c r="AM28" s="1027" t="s">
        <v>126</v>
      </c>
    </row>
    <row r="29" spans="1:41" s="621" customFormat="1" ht="18.899999999999999" customHeight="1">
      <c r="A29" s="620" t="s">
        <v>503</v>
      </c>
      <c r="B29" s="613" t="s">
        <v>115</v>
      </c>
      <c r="C29" s="620" t="s">
        <v>491</v>
      </c>
      <c r="D29" s="620" t="s">
        <v>88</v>
      </c>
      <c r="E29" s="1142">
        <v>100</v>
      </c>
      <c r="F29" s="596" t="s">
        <v>66</v>
      </c>
      <c r="G29" s="595" t="s">
        <v>317</v>
      </c>
      <c r="H29" s="595" t="s">
        <v>29</v>
      </c>
      <c r="I29" s="595" t="s">
        <v>318</v>
      </c>
      <c r="J29" s="595" t="s">
        <v>29</v>
      </c>
      <c r="K29" s="594"/>
      <c r="L29" s="596"/>
      <c r="M29" s="1143"/>
      <c r="N29" s="1144">
        <f>EDP_Data!AH8</f>
        <v>1.5384615384615383</v>
      </c>
      <c r="O29" s="1144">
        <f>EDP_Data!AI8</f>
        <v>1.4285714285714286</v>
      </c>
      <c r="P29" s="1144">
        <f>EDP_Data!AI8</f>
        <v>1.4285714285714286</v>
      </c>
      <c r="Q29" s="596"/>
      <c r="R29" s="596"/>
      <c r="S29" s="596"/>
      <c r="T29" s="596">
        <v>1</v>
      </c>
      <c r="U29" s="596" t="s">
        <v>29</v>
      </c>
      <c r="V29" s="592">
        <v>0.9</v>
      </c>
      <c r="W29" s="1145"/>
      <c r="X29" s="1145"/>
      <c r="Y29" s="1145"/>
      <c r="Z29" s="1146">
        <f>EDP_Data!G8*0.724269</f>
        <v>253.87383289211391</v>
      </c>
      <c r="AA29" s="1146">
        <f>EDP_Data!H8*0.724269</f>
        <v>126.93691644605696</v>
      </c>
      <c r="AB29" s="1143"/>
      <c r="AC29" s="1143"/>
      <c r="AD29" s="1143"/>
      <c r="AE29" s="1144">
        <f>Z29*1.5%</f>
        <v>3.8081074933817085</v>
      </c>
      <c r="AF29" s="1144">
        <f>AA29*1.5%</f>
        <v>1.9040537466908543</v>
      </c>
      <c r="AG29" s="593">
        <f>IF(EDP_Data!BJ30&gt;0,EDP_Data!BJ30,"")</f>
        <v>4.6131048868648591E-2</v>
      </c>
      <c r="AH29" s="593" t="str">
        <f>IF(EDP_Data!BK30&gt;0,EDP_Data!BK30,"")</f>
        <v/>
      </c>
      <c r="AI29" s="593">
        <f>IF(EDP_Data!BL30&gt;0,EDP_Data!BL30,"")</f>
        <v>4.8866436874668642E-2</v>
      </c>
      <c r="AJ29" s="593" t="str">
        <f>IF(EDP_Data!BM30&gt;0,EDP_Data!BM30,"")</f>
        <v/>
      </c>
      <c r="AK29" s="596">
        <v>20</v>
      </c>
      <c r="AL29" s="1147">
        <v>2030</v>
      </c>
      <c r="AM29" s="502" t="s">
        <v>128</v>
      </c>
      <c r="AN29" s="506" t="s">
        <v>483</v>
      </c>
    </row>
    <row r="30" spans="1:41" s="611" customFormat="1" ht="18.899999999999999" customHeight="1">
      <c r="A30" s="589" t="s">
        <v>503</v>
      </c>
      <c r="B30" s="1029" t="s">
        <v>116</v>
      </c>
      <c r="C30" s="589" t="s">
        <v>150</v>
      </c>
      <c r="D30" s="589" t="s">
        <v>89</v>
      </c>
      <c r="E30" s="1028">
        <v>20</v>
      </c>
      <c r="F30" s="588" t="s">
        <v>66</v>
      </c>
      <c r="G30" s="515" t="s">
        <v>317</v>
      </c>
      <c r="H30" s="515" t="s">
        <v>29</v>
      </c>
      <c r="I30" s="515" t="s">
        <v>318</v>
      </c>
      <c r="J30" s="515" t="s">
        <v>29</v>
      </c>
      <c r="K30" s="604">
        <f>L30</f>
        <v>1.5873015873015872</v>
      </c>
      <c r="L30" s="584">
        <f>L31</f>
        <v>1.5873015873015872</v>
      </c>
      <c r="M30" s="604"/>
      <c r="N30" s="584">
        <f>N31</f>
        <v>1.5384615384615383</v>
      </c>
      <c r="O30" s="584">
        <f>O31</f>
        <v>1.4285714285714286</v>
      </c>
      <c r="P30" s="584">
        <f>P31</f>
        <v>1.4285714285714286</v>
      </c>
      <c r="Q30" s="588"/>
      <c r="R30" s="588"/>
      <c r="S30" s="588"/>
      <c r="T30" s="588">
        <v>1</v>
      </c>
      <c r="U30" s="588" t="s">
        <v>29</v>
      </c>
      <c r="V30" s="1030">
        <v>0.9</v>
      </c>
      <c r="W30" s="1031">
        <f>W31*0.9</f>
        <v>542.65531780689344</v>
      </c>
      <c r="X30" s="1031">
        <f>X31*0.9</f>
        <v>357.0100775045351</v>
      </c>
      <c r="Y30" s="1028"/>
      <c r="Z30" s="1031">
        <f>Z31*0.9</f>
        <v>357.0100775045351</v>
      </c>
      <c r="AA30" s="1031">
        <f>AA31*0.9</f>
        <v>257.04725580326533</v>
      </c>
      <c r="AB30" s="604"/>
      <c r="AC30" s="1032">
        <f>X30*2.5%</f>
        <v>8.9252519376133783</v>
      </c>
      <c r="AD30" s="1032"/>
      <c r="AE30" s="1032">
        <f>Z30*2.5%</f>
        <v>8.9252519376133783</v>
      </c>
      <c r="AF30" s="1032">
        <f>AA30*2.5%</f>
        <v>6.4261813950816338</v>
      </c>
      <c r="AG30" s="1025">
        <f>IF(EDP_Data!BJ31&gt;0,EDP_Data!BJ31,"")</f>
        <v>0.11532762217162147</v>
      </c>
      <c r="AH30" s="1025" t="str">
        <f>IF(EDP_Data!BK31&gt;0,EDP_Data!BK31,"")</f>
        <v/>
      </c>
      <c r="AI30" s="1025">
        <f>IF(EDP_Data!BL31&gt;0,EDP_Data!BL31,"")</f>
        <v>4.4424033522426028E-2</v>
      </c>
      <c r="AJ30" s="1025" t="str">
        <f>IF(EDP_Data!BM31&gt;0,EDP_Data!BM31,"")</f>
        <v/>
      </c>
      <c r="AK30" s="588">
        <v>20</v>
      </c>
      <c r="AL30" s="588">
        <v>2015</v>
      </c>
      <c r="AM30" s="516" t="s">
        <v>492</v>
      </c>
      <c r="AN30" s="616" t="s">
        <v>483</v>
      </c>
      <c r="AO30" s="1033">
        <v>80000</v>
      </c>
    </row>
    <row r="31" spans="1:41" s="611" customFormat="1" ht="18.899999999999999" customHeight="1">
      <c r="A31" s="589" t="s">
        <v>503</v>
      </c>
      <c r="B31" s="1029" t="s">
        <v>495</v>
      </c>
      <c r="C31" s="589" t="s">
        <v>151</v>
      </c>
      <c r="D31" s="589" t="s">
        <v>89</v>
      </c>
      <c r="E31" s="587">
        <v>5</v>
      </c>
      <c r="F31" s="588" t="s">
        <v>66</v>
      </c>
      <c r="G31" s="515" t="s">
        <v>317</v>
      </c>
      <c r="H31" s="515" t="s">
        <v>29</v>
      </c>
      <c r="I31" s="515" t="s">
        <v>318</v>
      </c>
      <c r="J31" s="515" t="s">
        <v>29</v>
      </c>
      <c r="K31" s="604">
        <f t="shared" ref="K31:K42" si="0">L31</f>
        <v>1.5873015873015872</v>
      </c>
      <c r="L31" s="585">
        <f>EDP_Data!AG7</f>
        <v>1.5873015873015872</v>
      </c>
      <c r="M31" s="1034"/>
      <c r="N31" s="585">
        <f>EDP_Data!AH7</f>
        <v>1.5384615384615383</v>
      </c>
      <c r="O31" s="585">
        <f>EDP_Data!AI7</f>
        <v>1.4285714285714286</v>
      </c>
      <c r="P31" s="585">
        <f>EDP_Data!AI7</f>
        <v>1.4285714285714286</v>
      </c>
      <c r="Q31" s="588"/>
      <c r="R31" s="588"/>
      <c r="S31" s="588"/>
      <c r="T31" s="588">
        <v>1</v>
      </c>
      <c r="U31" s="588" t="s">
        <v>29</v>
      </c>
      <c r="V31" s="586">
        <v>0.9</v>
      </c>
      <c r="W31" s="587">
        <f>EDP_Data!F7*0.724269</f>
        <v>602.95035311877052</v>
      </c>
      <c r="X31" s="587">
        <f>EDP_Data!G7*0.724269</f>
        <v>396.67786389392791</v>
      </c>
      <c r="Y31" s="1028"/>
      <c r="Z31" s="583">
        <f>EDP_Data!G7*0.724269</f>
        <v>396.67786389392791</v>
      </c>
      <c r="AA31" s="583">
        <f>EDP_Data!H7*0.724269</f>
        <v>285.60806200362816</v>
      </c>
      <c r="AB31" s="604"/>
      <c r="AC31" s="1032">
        <f>W31*2.5%</f>
        <v>15.073758827969264</v>
      </c>
      <c r="AD31" s="1032"/>
      <c r="AE31" s="1032">
        <f>Z31*2.5%</f>
        <v>9.9169465973481987</v>
      </c>
      <c r="AF31" s="1032">
        <f>AA31*2.5%</f>
        <v>7.1402015500907048</v>
      </c>
      <c r="AG31" s="1025">
        <f>IF(EDP_Data!BJ32&gt;0,EDP_Data!BJ32,"")</f>
        <v>0.11532762217162147</v>
      </c>
      <c r="AH31" s="1025" t="str">
        <f>IF(EDP_Data!BK32&gt;0,EDP_Data!BK32,"")</f>
        <v/>
      </c>
      <c r="AI31" s="1025">
        <f>IF(EDP_Data!BL32&gt;0,EDP_Data!BL32,"")</f>
        <v>4.4424033522426028E-2</v>
      </c>
      <c r="AJ31" s="1025" t="str">
        <f>IF(EDP_Data!BM32&gt;0,EDP_Data!BM32,"")</f>
        <v/>
      </c>
      <c r="AK31" s="588">
        <v>20</v>
      </c>
      <c r="AL31" s="588">
        <v>2015</v>
      </c>
      <c r="AM31" s="516" t="s">
        <v>492</v>
      </c>
      <c r="AN31" s="616" t="s">
        <v>483</v>
      </c>
      <c r="AO31" s="1033">
        <v>80000</v>
      </c>
    </row>
    <row r="32" spans="1:41" s="1051" customFormat="1" ht="18.899999999999999" customHeight="1">
      <c r="A32" s="1035" t="s">
        <v>503</v>
      </c>
      <c r="B32" s="1036" t="s">
        <v>984</v>
      </c>
      <c r="C32" s="1035" t="s">
        <v>768</v>
      </c>
      <c r="D32" s="1035" t="s">
        <v>90</v>
      </c>
      <c r="E32" s="1037">
        <v>1</v>
      </c>
      <c r="F32" s="1038" t="s">
        <v>67</v>
      </c>
      <c r="G32" s="1039" t="s">
        <v>317</v>
      </c>
      <c r="H32" s="1039" t="s">
        <v>29</v>
      </c>
      <c r="I32" s="1039" t="s">
        <v>318</v>
      </c>
      <c r="J32" s="1039" t="s">
        <v>29</v>
      </c>
      <c r="K32" s="1040">
        <f t="shared" si="0"/>
        <v>1.5873015873015872</v>
      </c>
      <c r="L32" s="1041">
        <f>EDP_Data!AG6</f>
        <v>1.5873015873015872</v>
      </c>
      <c r="M32" s="1042"/>
      <c r="N32" s="1041">
        <f>EDP_Data!AH6</f>
        <v>1.5384615384615383</v>
      </c>
      <c r="O32" s="1041">
        <f>EDP_Data!AI6</f>
        <v>1.4285714285714286</v>
      </c>
      <c r="P32" s="1038" t="s">
        <v>29</v>
      </c>
      <c r="Q32" s="1038"/>
      <c r="R32" s="1038"/>
      <c r="S32" s="1038"/>
      <c r="T32" s="1038">
        <v>1</v>
      </c>
      <c r="U32" s="1038" t="s">
        <v>29</v>
      </c>
      <c r="V32" s="1043">
        <v>0.9</v>
      </c>
      <c r="W32" s="1037">
        <f>EDP_Data!F6*0.724269</f>
        <v>888.55841512239863</v>
      </c>
      <c r="X32" s="1037">
        <f>EDP_Data!G6*0.724269</f>
        <v>539.48189489574213</v>
      </c>
      <c r="Y32" s="1044"/>
      <c r="Z32" s="965">
        <f>EDP_Data!G6*0.724269</f>
        <v>539.48189489574213</v>
      </c>
      <c r="AA32" s="965">
        <f>EDP_Data!H6*0.724269</f>
        <v>444.27920756119931</v>
      </c>
      <c r="AB32" s="1040"/>
      <c r="AC32" s="1045">
        <f>X32*4.5%</f>
        <v>24.276685270308395</v>
      </c>
      <c r="AD32" s="1046"/>
      <c r="AE32" s="1045">
        <f>Z32*4.5%</f>
        <v>24.276685270308395</v>
      </c>
      <c r="AF32" s="1045">
        <f>AA32*4.5%</f>
        <v>19.992564340253967</v>
      </c>
      <c r="AG32" s="1047">
        <f>IF(EDP_Data!BJ33&gt;0,EDP_Data!BJ33,"")</f>
        <v>0.74040055870710064</v>
      </c>
      <c r="AH32" s="1047" t="str">
        <f>IF(EDP_Data!BK33&gt;0,EDP_Data!BK33,"")</f>
        <v/>
      </c>
      <c r="AI32" s="1047">
        <f>IF(EDP_Data!BL33&gt;0,EDP_Data!BL33,"")</f>
        <v>0.74040055870710064</v>
      </c>
      <c r="AJ32" s="1047">
        <f>IF(EDP_Data!BM33&gt;0,EDP_Data!BM33,"")</f>
        <v>0.13327210056727809</v>
      </c>
      <c r="AK32" s="1038">
        <v>20</v>
      </c>
      <c r="AL32" s="1038">
        <v>2015</v>
      </c>
      <c r="AM32" s="1048" t="s">
        <v>492</v>
      </c>
      <c r="AN32" s="1049" t="s">
        <v>483</v>
      </c>
      <c r="AO32" s="1050">
        <v>80000</v>
      </c>
    </row>
    <row r="33" spans="1:41" s="1064" customFormat="1" ht="18.899999999999999" customHeight="1">
      <c r="A33" s="1052" t="s">
        <v>503</v>
      </c>
      <c r="B33" s="1053" t="s">
        <v>496</v>
      </c>
      <c r="C33" s="1052" t="s">
        <v>509</v>
      </c>
      <c r="D33" s="1052"/>
      <c r="E33" s="1054">
        <v>20</v>
      </c>
      <c r="F33" s="1055" t="s">
        <v>66</v>
      </c>
      <c r="G33" s="1056" t="s">
        <v>521</v>
      </c>
      <c r="H33" s="1056"/>
      <c r="I33" s="1056" t="s">
        <v>318</v>
      </c>
      <c r="J33" s="1056" t="s">
        <v>29</v>
      </c>
      <c r="K33" s="1057">
        <f t="shared" si="0"/>
        <v>1.5873015873015872</v>
      </c>
      <c r="L33" s="1057">
        <f>L30</f>
        <v>1.5873015873015872</v>
      </c>
      <c r="M33" s="1058"/>
      <c r="N33" s="1057">
        <f>N30</f>
        <v>1.5384615384615383</v>
      </c>
      <c r="O33" s="1057">
        <f>O30</f>
        <v>1.4285714285714286</v>
      </c>
      <c r="P33" s="1055"/>
      <c r="Q33" s="1055"/>
      <c r="R33" s="1055"/>
      <c r="S33" s="1055"/>
      <c r="T33" s="1055">
        <v>1</v>
      </c>
      <c r="U33" s="1055" t="s">
        <v>29</v>
      </c>
      <c r="V33" s="1059">
        <v>0.27</v>
      </c>
      <c r="W33" s="1060">
        <f>W30</f>
        <v>542.65531780689344</v>
      </c>
      <c r="X33" s="1060">
        <f>X30</f>
        <v>357.0100775045351</v>
      </c>
      <c r="Y33" s="1060" t="str">
        <f>IF(EDP_Data!BB34&gt;0,EDP_Data!BB34,"")</f>
        <v/>
      </c>
      <c r="Z33" s="1060">
        <f>Z30</f>
        <v>357.0100775045351</v>
      </c>
      <c r="AA33" s="1060">
        <f>AA30</f>
        <v>257.04725580326533</v>
      </c>
      <c r="AB33" s="1060"/>
      <c r="AC33" s="1060">
        <f>AC30</f>
        <v>8.9252519376133783</v>
      </c>
      <c r="AD33" s="1060"/>
      <c r="AE33" s="1060">
        <f>AE30</f>
        <v>8.9252519376133783</v>
      </c>
      <c r="AF33" s="1060">
        <f>AF30</f>
        <v>6.4261813950816338</v>
      </c>
      <c r="AG33" s="1060">
        <f>IF(EDP_Data!BJ34&gt;0,EDP_Data!BJ34,"")</f>
        <v>0.11532762217162147</v>
      </c>
      <c r="AH33" s="1060" t="str">
        <f>IF(EDP_Data!BK34&gt;0,EDP_Data!BK34,"")</f>
        <v/>
      </c>
      <c r="AI33" s="1060">
        <f>IF(EDP_Data!BL34&gt;0,EDP_Data!BL34,"")</f>
        <v>4.4424033522426028E-2</v>
      </c>
      <c r="AJ33" s="1060" t="str">
        <f>IF(EDP_Data!BM34&gt;0,EDP_Data!BM34,"")</f>
        <v/>
      </c>
      <c r="AK33" s="1055">
        <v>30</v>
      </c>
      <c r="AL33" s="1055">
        <v>2015</v>
      </c>
      <c r="AM33" s="1061" t="s">
        <v>511</v>
      </c>
      <c r="AN33" s="1062" t="s">
        <v>483</v>
      </c>
      <c r="AO33" s="1063"/>
    </row>
    <row r="34" spans="1:41" s="1077" customFormat="1" ht="18.899999999999999" customHeight="1">
      <c r="A34" s="1065" t="s">
        <v>503</v>
      </c>
      <c r="B34" s="1066" t="s">
        <v>498</v>
      </c>
      <c r="C34" s="1065" t="s">
        <v>510</v>
      </c>
      <c r="D34" s="1065"/>
      <c r="E34" s="1067">
        <v>20</v>
      </c>
      <c r="F34" s="1068" t="s">
        <v>66</v>
      </c>
      <c r="G34" s="1069" t="s">
        <v>523</v>
      </c>
      <c r="H34" s="1069"/>
      <c r="I34" s="1069" t="s">
        <v>318</v>
      </c>
      <c r="J34" s="1069" t="s">
        <v>29</v>
      </c>
      <c r="K34" s="1070">
        <f t="shared" si="0"/>
        <v>1.5873015873015872</v>
      </c>
      <c r="L34" s="1070">
        <f>L30</f>
        <v>1.5873015873015872</v>
      </c>
      <c r="M34" s="1071"/>
      <c r="N34" s="1070">
        <f>N30</f>
        <v>1.5384615384615383</v>
      </c>
      <c r="O34" s="1070">
        <f>O30</f>
        <v>1.4285714285714286</v>
      </c>
      <c r="P34" s="1068"/>
      <c r="Q34" s="1068"/>
      <c r="R34" s="1068"/>
      <c r="S34" s="1068"/>
      <c r="T34" s="1068">
        <v>1</v>
      </c>
      <c r="U34" s="1068" t="s">
        <v>29</v>
      </c>
      <c r="V34" s="1072">
        <v>0.15</v>
      </c>
      <c r="W34" s="1073">
        <f>W30</f>
        <v>542.65531780689344</v>
      </c>
      <c r="X34" s="1073">
        <f>X30</f>
        <v>357.0100775045351</v>
      </c>
      <c r="Y34" s="1073" t="str">
        <f>IF(EDP_Data!BB35&gt;0,EDP_Data!BB35,"")</f>
        <v/>
      </c>
      <c r="Z34" s="1073">
        <f>Z30</f>
        <v>357.0100775045351</v>
      </c>
      <c r="AA34" s="1073">
        <f>AA30</f>
        <v>257.04725580326533</v>
      </c>
      <c r="AB34" s="1073"/>
      <c r="AC34" s="1073">
        <f>AC30</f>
        <v>8.9252519376133783</v>
      </c>
      <c r="AD34" s="1073"/>
      <c r="AE34" s="1073">
        <f>AE30</f>
        <v>8.9252519376133783</v>
      </c>
      <c r="AF34" s="1073">
        <f>AF30</f>
        <v>6.4261813950816338</v>
      </c>
      <c r="AG34" s="1073">
        <f>IF(EDP_Data!BJ35&gt;0,EDP_Data!BJ35,"")</f>
        <v>0.11532762217162147</v>
      </c>
      <c r="AH34" s="1073" t="str">
        <f>IF(EDP_Data!BK35&gt;0,EDP_Data!BK35,"")</f>
        <v/>
      </c>
      <c r="AI34" s="1073">
        <f>IF(EDP_Data!BL35&gt;0,EDP_Data!BL35,"")</f>
        <v>4.4424033522426028E-2</v>
      </c>
      <c r="AJ34" s="1073" t="str">
        <f>IF(EDP_Data!BM35&gt;0,EDP_Data!BM35,"")</f>
        <v/>
      </c>
      <c r="AK34" s="1068">
        <v>30</v>
      </c>
      <c r="AL34" s="1068">
        <v>2015</v>
      </c>
      <c r="AM34" s="1074" t="s">
        <v>511</v>
      </c>
      <c r="AN34" s="1075" t="s">
        <v>483</v>
      </c>
      <c r="AO34" s="1076"/>
    </row>
    <row r="35" spans="1:41" s="110" customFormat="1" ht="18.899999999999999" customHeight="1">
      <c r="A35" s="106" t="s">
        <v>503</v>
      </c>
      <c r="B35" s="686" t="s">
        <v>987</v>
      </c>
      <c r="C35" s="106" t="s">
        <v>551</v>
      </c>
      <c r="D35" s="106" t="s">
        <v>90</v>
      </c>
      <c r="E35" s="246">
        <v>1</v>
      </c>
      <c r="F35" s="107" t="s">
        <v>67</v>
      </c>
      <c r="G35" s="104" t="s">
        <v>317</v>
      </c>
      <c r="H35" s="105" t="s">
        <v>29</v>
      </c>
      <c r="I35" s="105" t="s">
        <v>318</v>
      </c>
      <c r="J35" s="105" t="s">
        <v>29</v>
      </c>
      <c r="K35" s="658">
        <f>K32</f>
        <v>1.5873015873015872</v>
      </c>
      <c r="L35" s="658">
        <f>L32</f>
        <v>1.5873015873015872</v>
      </c>
      <c r="M35" s="658"/>
      <c r="N35" s="658">
        <f t="shared" ref="N35:O35" si="1">N32</f>
        <v>1.5384615384615383</v>
      </c>
      <c r="O35" s="658">
        <f t="shared" si="1"/>
        <v>1.4285714285714286</v>
      </c>
      <c r="P35" s="107" t="s">
        <v>29</v>
      </c>
      <c r="Q35" s="107"/>
      <c r="R35" s="107"/>
      <c r="S35" s="107"/>
      <c r="T35" s="107">
        <v>1</v>
      </c>
      <c r="U35" s="107" t="s">
        <v>29</v>
      </c>
      <c r="V35" s="108">
        <v>0.9</v>
      </c>
      <c r="W35" s="1019">
        <f>W32</f>
        <v>888.55841512239863</v>
      </c>
      <c r="X35" s="1019">
        <f>X32</f>
        <v>539.48189489574213</v>
      </c>
      <c r="Y35" s="1019" t="str">
        <f>IF(EDP_Data!BB36&gt;0,EDP_Data!BB36,"")</f>
        <v/>
      </c>
      <c r="Z35" s="1019">
        <f t="shared" ref="Z35:AA35" si="2">Z32</f>
        <v>539.48189489574213</v>
      </c>
      <c r="AA35" s="1019">
        <f t="shared" si="2"/>
        <v>444.27920756119931</v>
      </c>
      <c r="AB35" s="1019"/>
      <c r="AC35" s="1078">
        <f>AC32</f>
        <v>24.276685270308395</v>
      </c>
      <c r="AD35" s="1078"/>
      <c r="AE35" s="1078">
        <f t="shared" ref="AE35:AF35" si="3">AE32</f>
        <v>24.276685270308395</v>
      </c>
      <c r="AF35" s="1078">
        <f t="shared" si="3"/>
        <v>19.992564340253967</v>
      </c>
      <c r="AG35" s="1019">
        <f>IF(EDP_Data!BJ36&gt;0,EDP_Data!BJ36,"")</f>
        <v>0.74040055870710064</v>
      </c>
      <c r="AH35" s="1019" t="str">
        <f>IF(EDP_Data!BK36&gt;0,EDP_Data!BK36,"")</f>
        <v/>
      </c>
      <c r="AI35" s="1019">
        <f>IF(EDP_Data!BL36&gt;0,EDP_Data!BL36,"")</f>
        <v>0.74040055870710064</v>
      </c>
      <c r="AJ35" s="1019">
        <f>IF(EDP_Data!BM36&gt;0,EDP_Data!BM36,"")</f>
        <v>0.13327210056727809</v>
      </c>
      <c r="AK35" s="107">
        <v>20</v>
      </c>
      <c r="AL35" s="107">
        <v>2015</v>
      </c>
      <c r="AM35" s="109" t="s">
        <v>505</v>
      </c>
      <c r="AN35" s="214" t="s">
        <v>483</v>
      </c>
      <c r="AO35" s="247"/>
    </row>
    <row r="36" spans="1:41" s="110" customFormat="1" ht="18.899999999999999" customHeight="1">
      <c r="A36" s="106" t="s">
        <v>503</v>
      </c>
      <c r="B36" s="686" t="s">
        <v>986</v>
      </c>
      <c r="C36" s="106" t="s">
        <v>552</v>
      </c>
      <c r="D36" s="106" t="s">
        <v>90</v>
      </c>
      <c r="E36" s="246">
        <v>1</v>
      </c>
      <c r="F36" s="107" t="s">
        <v>67</v>
      </c>
      <c r="G36" s="104" t="s">
        <v>317</v>
      </c>
      <c r="H36" s="105" t="s">
        <v>29</v>
      </c>
      <c r="I36" s="105" t="s">
        <v>318</v>
      </c>
      <c r="J36" s="105" t="s">
        <v>29</v>
      </c>
      <c r="K36" s="658">
        <f>K32</f>
        <v>1.5873015873015872</v>
      </c>
      <c r="L36" s="658">
        <f>L32</f>
        <v>1.5873015873015872</v>
      </c>
      <c r="M36" s="658"/>
      <c r="N36" s="658">
        <f t="shared" ref="N36:O36" si="4">N32</f>
        <v>1.5384615384615383</v>
      </c>
      <c r="O36" s="658">
        <f t="shared" si="4"/>
        <v>1.4285714285714286</v>
      </c>
      <c r="P36" s="107" t="s">
        <v>29</v>
      </c>
      <c r="Q36" s="107"/>
      <c r="R36" s="107"/>
      <c r="S36" s="107"/>
      <c r="T36" s="107">
        <v>1</v>
      </c>
      <c r="U36" s="107" t="s">
        <v>29</v>
      </c>
      <c r="V36" s="108">
        <v>0.9</v>
      </c>
      <c r="W36" s="1019">
        <f>W32</f>
        <v>888.55841512239863</v>
      </c>
      <c r="X36" s="1019">
        <f>X32</f>
        <v>539.48189489574213</v>
      </c>
      <c r="Y36" s="1019" t="str">
        <f>IF(EDP_Data!BB37&gt;0,EDP_Data!BB37,"")</f>
        <v/>
      </c>
      <c r="Z36" s="1019">
        <f t="shared" ref="Z36:AA36" si="5">Z32</f>
        <v>539.48189489574213</v>
      </c>
      <c r="AA36" s="1019">
        <f t="shared" si="5"/>
        <v>444.27920756119931</v>
      </c>
      <c r="AB36" s="1019"/>
      <c r="AC36" s="1078">
        <f>AC32</f>
        <v>24.276685270308395</v>
      </c>
      <c r="AD36" s="1078"/>
      <c r="AE36" s="1078">
        <f t="shared" ref="AE36:AF36" si="6">AE32</f>
        <v>24.276685270308395</v>
      </c>
      <c r="AF36" s="1078">
        <f t="shared" si="6"/>
        <v>19.992564340253967</v>
      </c>
      <c r="AG36" s="1019">
        <f>IF(EDP_Data!BJ37&gt;0,EDP_Data!BJ37,"")</f>
        <v>0.74040055870710064</v>
      </c>
      <c r="AH36" s="1019" t="str">
        <f>IF(EDP_Data!BK37&gt;0,EDP_Data!BK37,"")</f>
        <v/>
      </c>
      <c r="AI36" s="1019">
        <f>IF(EDP_Data!BL37&gt;0,EDP_Data!BL37,"")</f>
        <v>0.74040055870710064</v>
      </c>
      <c r="AJ36" s="1019">
        <f>IF(EDP_Data!BM37&gt;0,EDP_Data!BM37,"")</f>
        <v>0.13327210056727809</v>
      </c>
      <c r="AK36" s="107">
        <v>20</v>
      </c>
      <c r="AL36" s="107">
        <v>2015</v>
      </c>
      <c r="AM36" s="109" t="s">
        <v>505</v>
      </c>
      <c r="AN36" s="214" t="s">
        <v>483</v>
      </c>
      <c r="AO36" s="247"/>
    </row>
    <row r="37" spans="1:41" s="1161" customFormat="1" ht="18.899999999999999" customHeight="1">
      <c r="A37" s="1148" t="s">
        <v>517</v>
      </c>
      <c r="B37" s="1149" t="s">
        <v>979</v>
      </c>
      <c r="C37" s="1148" t="s">
        <v>518</v>
      </c>
      <c r="D37" s="1148" t="s">
        <v>90</v>
      </c>
      <c r="E37" s="1150">
        <v>100</v>
      </c>
      <c r="F37" s="1151" t="s">
        <v>66</v>
      </c>
      <c r="G37" s="1152" t="s">
        <v>317</v>
      </c>
      <c r="H37" s="1153" t="s">
        <v>29</v>
      </c>
      <c r="I37" s="1153" t="s">
        <v>318</v>
      </c>
      <c r="J37" s="1153" t="s">
        <v>29</v>
      </c>
      <c r="K37" s="1154">
        <f>L37</f>
        <v>2.19</v>
      </c>
      <c r="L37" s="1155">
        <v>2.19</v>
      </c>
      <c r="M37" s="1154">
        <v>2.19</v>
      </c>
      <c r="N37" s="1154">
        <v>2.19</v>
      </c>
      <c r="O37" s="1154">
        <v>2.19</v>
      </c>
      <c r="P37" s="1151" t="s">
        <v>29</v>
      </c>
      <c r="Q37" s="1151"/>
      <c r="R37" s="1151"/>
      <c r="S37" s="1151"/>
      <c r="T37" s="1151">
        <v>1</v>
      </c>
      <c r="U37" s="1151" t="s">
        <v>29</v>
      </c>
      <c r="V37" s="1156">
        <v>0.45</v>
      </c>
      <c r="W37" s="1157" t="str">
        <f>IF(EDP_Data!AZ44&gt;0,EDP_Data!AZ44,"")</f>
        <v/>
      </c>
      <c r="X37" s="1157">
        <f>((2800+5600)/2)*1.04*0.892882*0.724269/1.048968</f>
        <v>2692.8635937711583</v>
      </c>
      <c r="Y37" s="1157"/>
      <c r="Z37" s="1157">
        <f>((800+2800)/2)*1.04*0.892882*0.724269/1.048968</f>
        <v>1154.0843973304964</v>
      </c>
      <c r="AA37" s="1157">
        <f>((500+1000)/2)*1.04*0.892882*0.724269/1.048968</f>
        <v>480.86849888770683</v>
      </c>
      <c r="AB37" s="1157" t="str">
        <f>IF(EDP_Data!BE44&gt;0,EDP_Data!BE44,"")</f>
        <v/>
      </c>
      <c r="AC37" s="1157">
        <f>IF(EDP_Data!BF44&gt;0,EDP_Data!BF44,"")</f>
        <v>64.391255712488658</v>
      </c>
      <c r="AD37" s="1157" t="str">
        <f>IF(EDP_Data!BG44&gt;0,EDP_Data!BG44,"")</f>
        <v/>
      </c>
      <c r="AE37" s="1157">
        <f>IF(EDP_Data!BH44&gt;0,EDP_Data!BH44,"")</f>
        <v>64.391255712488658</v>
      </c>
      <c r="AF37" s="1157" t="str">
        <f>IF(EDP_Data!BI44&gt;0,EDP_Data!BI44,"")</f>
        <v/>
      </c>
      <c r="AG37" s="1157">
        <f>IF(EDP_Data!BJ44&gt;0,EDP_Data!BJ44,"")</f>
        <v>0.74040055870710064</v>
      </c>
      <c r="AH37" s="1157" t="str">
        <f>IF(EDP_Data!BK44&gt;0,EDP_Data!BK44,"")</f>
        <v/>
      </c>
      <c r="AI37" s="1157">
        <f>IF(EDP_Data!BL44&gt;0,EDP_Data!BL44,"")</f>
        <v>0.74040055870710064</v>
      </c>
      <c r="AJ37" s="1157">
        <f>IF(EDP_Data!BM44&gt;0,EDP_Data!BM44,"")</f>
        <v>0.13327210056727809</v>
      </c>
      <c r="AK37" s="1151">
        <v>20</v>
      </c>
      <c r="AL37" s="1151">
        <v>2020</v>
      </c>
      <c r="AM37" s="1158" t="s">
        <v>514</v>
      </c>
      <c r="AN37" s="1159" t="s">
        <v>483</v>
      </c>
      <c r="AO37" s="1160">
        <v>1000</v>
      </c>
    </row>
    <row r="38" spans="1:41" s="1161" customFormat="1" ht="18.899999999999999" customHeight="1">
      <c r="A38" s="1148" t="s">
        <v>504</v>
      </c>
      <c r="B38" s="1149" t="s">
        <v>978</v>
      </c>
      <c r="C38" s="1148" t="s">
        <v>501</v>
      </c>
      <c r="D38" s="1148" t="s">
        <v>89</v>
      </c>
      <c r="E38" s="1162">
        <v>100</v>
      </c>
      <c r="F38" s="1163" t="s">
        <v>66</v>
      </c>
      <c r="G38" s="1152" t="s">
        <v>317</v>
      </c>
      <c r="H38" s="1153" t="s">
        <v>29</v>
      </c>
      <c r="I38" s="1153" t="s">
        <v>318</v>
      </c>
      <c r="J38" s="1153" t="s">
        <v>29</v>
      </c>
      <c r="K38" s="1154">
        <f t="shared" si="0"/>
        <v>0</v>
      </c>
      <c r="L38" s="1164"/>
      <c r="M38" s="1154"/>
      <c r="N38" s="1165">
        <f>1/EDP_Data!AA17</f>
        <v>1.4705882352941175</v>
      </c>
      <c r="O38" s="1165">
        <f>1/EDP_Data!AB17</f>
        <v>1.3513513513513513</v>
      </c>
      <c r="P38" s="1151" t="s">
        <v>29</v>
      </c>
      <c r="Q38" s="1151"/>
      <c r="R38" s="1151"/>
      <c r="S38" s="1151"/>
      <c r="T38" s="1151">
        <v>1</v>
      </c>
      <c r="U38" s="1151" t="s">
        <v>29</v>
      </c>
      <c r="V38" s="1156">
        <v>0.9</v>
      </c>
      <c r="W38" s="1150"/>
      <c r="X38" s="1150"/>
      <c r="Y38" s="1150"/>
      <c r="Z38" s="1162">
        <f>EDP_Data!G17*0.724269</f>
        <v>412.544978449685</v>
      </c>
      <c r="AA38" s="1162">
        <f>EDP_Data!H17*0.724269</f>
        <v>126.93691644605696</v>
      </c>
      <c r="AB38" s="1143"/>
      <c r="AC38" s="1143"/>
      <c r="AD38" s="1143"/>
      <c r="AE38" s="1144">
        <f>Z38*EDP_Data!M17</f>
        <v>6.188174676745275</v>
      </c>
      <c r="AF38" s="1144">
        <f>AA38*EDP_Data!N17</f>
        <v>1.9040537466908543</v>
      </c>
      <c r="AG38" s="1157">
        <f>IF(EDP_Data!BJ38&gt;0,EDP_Data!BJ38,"")</f>
        <v>0.11532762217162147</v>
      </c>
      <c r="AH38" s="1157" t="str">
        <f>IF(EDP_Data!BK38&gt;0,EDP_Data!BK38,"")</f>
        <v/>
      </c>
      <c r="AI38" s="1157">
        <f>IF(EDP_Data!BL38&gt;0,EDP_Data!BL38,"")</f>
        <v>4.4424033522426028E-2</v>
      </c>
      <c r="AJ38" s="1157" t="str">
        <f>IF(EDP_Data!BM38&gt;0,EDP_Data!BM38,"")</f>
        <v/>
      </c>
      <c r="AK38" s="1151">
        <v>20</v>
      </c>
      <c r="AL38" s="1151">
        <v>2015</v>
      </c>
      <c r="AM38" s="1158" t="s">
        <v>492</v>
      </c>
      <c r="AN38" s="1159" t="s">
        <v>483</v>
      </c>
      <c r="AO38" s="1160">
        <v>40000</v>
      </c>
    </row>
    <row r="39" spans="1:41" s="110" customFormat="1" ht="18.899999999999999" customHeight="1">
      <c r="A39" s="106" t="s">
        <v>504</v>
      </c>
      <c r="B39" s="686" t="s">
        <v>980</v>
      </c>
      <c r="C39" s="106" t="s">
        <v>502</v>
      </c>
      <c r="D39" s="106" t="s">
        <v>89</v>
      </c>
      <c r="E39" s="1079">
        <v>5</v>
      </c>
      <c r="F39" s="1023" t="s">
        <v>66</v>
      </c>
      <c r="G39" s="104" t="s">
        <v>317</v>
      </c>
      <c r="H39" s="105" t="s">
        <v>29</v>
      </c>
      <c r="I39" s="105" t="s">
        <v>318</v>
      </c>
      <c r="J39" s="105" t="s">
        <v>29</v>
      </c>
      <c r="K39" s="658">
        <f t="shared" si="0"/>
        <v>1.6666666666666667</v>
      </c>
      <c r="L39" s="1080">
        <f>1/EDP_Data!Z15</f>
        <v>1.6666666666666667</v>
      </c>
      <c r="M39" s="1081"/>
      <c r="N39" s="1080">
        <f>1/EDP_Data!AA15</f>
        <v>1.4705882352941175</v>
      </c>
      <c r="O39" s="1080">
        <f>1/EDP_Data!AB15</f>
        <v>1.3513513513513513</v>
      </c>
      <c r="P39" s="107" t="s">
        <v>29</v>
      </c>
      <c r="Q39" s="107"/>
      <c r="R39" s="107"/>
      <c r="S39" s="107"/>
      <c r="T39" s="107">
        <v>1</v>
      </c>
      <c r="U39" s="107" t="s">
        <v>29</v>
      </c>
      <c r="V39" s="108">
        <v>0.9</v>
      </c>
      <c r="W39" s="246"/>
      <c r="X39" s="1079">
        <f>EDP_Data!F15*0.724269</f>
        <v>920.29264423391282</v>
      </c>
      <c r="Y39" s="246"/>
      <c r="Z39" s="1079">
        <f>EDP_Data!G15*0.724269</f>
        <v>682.28592589755613</v>
      </c>
      <c r="AA39" s="1079">
        <f>EDP_Data!H15*0.724269</f>
        <v>349.07652022665661</v>
      </c>
      <c r="AB39" s="604"/>
      <c r="AC39" s="1032">
        <f>X39*EDP_Data!L15</f>
        <v>23.007316105847821</v>
      </c>
      <c r="AD39" s="1032"/>
      <c r="AE39" s="1032">
        <f>Z39*EDP_Data!M15</f>
        <v>17.057148147438905</v>
      </c>
      <c r="AF39" s="1032">
        <f>AA39*EDP_Data!N15</f>
        <v>8.7269130056664164</v>
      </c>
      <c r="AG39" s="1019">
        <f>IF(EDP_Data!BJ39&gt;0,EDP_Data!BJ39,"")</f>
        <v>0.11532762217162147</v>
      </c>
      <c r="AH39" s="1019" t="str">
        <f>IF(EDP_Data!BK39&gt;0,EDP_Data!BK39,"")</f>
        <v/>
      </c>
      <c r="AI39" s="1019">
        <f>IF(EDP_Data!BL39&gt;0,EDP_Data!BL39,"")</f>
        <v>4.4424033522426028E-2</v>
      </c>
      <c r="AJ39" s="1019" t="str">
        <f>IF(EDP_Data!BM39&gt;0,EDP_Data!BM39,"")</f>
        <v/>
      </c>
      <c r="AK39" s="107">
        <v>20</v>
      </c>
      <c r="AL39" s="107">
        <v>2015</v>
      </c>
      <c r="AM39" s="109" t="s">
        <v>492</v>
      </c>
      <c r="AN39" s="214" t="s">
        <v>483</v>
      </c>
      <c r="AO39" s="247">
        <v>40000</v>
      </c>
    </row>
    <row r="40" spans="1:41" s="1095" customFormat="1" ht="18.899999999999999" customHeight="1">
      <c r="A40" s="1082" t="s">
        <v>504</v>
      </c>
      <c r="B40" s="1083" t="s">
        <v>985</v>
      </c>
      <c r="C40" s="1082" t="s">
        <v>769</v>
      </c>
      <c r="D40" s="1082" t="s">
        <v>90</v>
      </c>
      <c r="E40" s="1084">
        <v>1</v>
      </c>
      <c r="F40" s="1085" t="s">
        <v>67</v>
      </c>
      <c r="G40" s="1086" t="s">
        <v>317</v>
      </c>
      <c r="H40" s="1086" t="s">
        <v>29</v>
      </c>
      <c r="I40" s="1086" t="s">
        <v>318</v>
      </c>
      <c r="J40" s="1086" t="s">
        <v>29</v>
      </c>
      <c r="K40" s="658">
        <f t="shared" si="0"/>
        <v>1.6666666666666667</v>
      </c>
      <c r="L40" s="1080">
        <f>EDP_Data!AG12</f>
        <v>1.6666666666666667</v>
      </c>
      <c r="M40" s="1087"/>
      <c r="N40" s="1080">
        <f>1/EDP_Data!AA12</f>
        <v>1.4705882352941175</v>
      </c>
      <c r="O40" s="1080">
        <f>1/EDP_Data!AB12</f>
        <v>1.3513513513513513</v>
      </c>
      <c r="P40" s="1085" t="s">
        <v>29</v>
      </c>
      <c r="Q40" s="1085"/>
      <c r="R40" s="1085"/>
      <c r="S40" s="1085"/>
      <c r="T40" s="1085">
        <v>1</v>
      </c>
      <c r="U40" s="1085" t="s">
        <v>29</v>
      </c>
      <c r="V40" s="1088">
        <v>0.9</v>
      </c>
      <c r="W40" s="1089"/>
      <c r="X40" s="1084">
        <f>EDP_Data!F12*0.724269</f>
        <v>1142.4322480145127</v>
      </c>
      <c r="Y40" s="246"/>
      <c r="Z40" s="1084">
        <f>EDP_Data!G12*0.724269</f>
        <v>952.02687334542713</v>
      </c>
      <c r="AA40" s="1084">
        <f>EDP_Data!H12*0.724269</f>
        <v>571.21612400725633</v>
      </c>
      <c r="AB40" s="658"/>
      <c r="AC40" s="1090">
        <f>X40*EDP_Data!L12</f>
        <v>51.40945116065307</v>
      </c>
      <c r="AD40" s="1091"/>
      <c r="AE40" s="1090">
        <f>Z40*EDP_Data!M12</f>
        <v>42.841209300544222</v>
      </c>
      <c r="AF40" s="1090">
        <f>AA40*EDP_Data!N12</f>
        <v>25.704725580326535</v>
      </c>
      <c r="AG40" s="1019">
        <f>IF(EDP_Data!BJ40&gt;0,EDP_Data!BJ40,"")</f>
        <v>0.74040055870710064</v>
      </c>
      <c r="AH40" s="1019" t="str">
        <f>IF(EDP_Data!BK40&gt;0,EDP_Data!BK40,"")</f>
        <v/>
      </c>
      <c r="AI40" s="1019">
        <f>IF(EDP_Data!BL40&gt;0,EDP_Data!BL40,"")</f>
        <v>0.74040055870710064</v>
      </c>
      <c r="AJ40" s="1019">
        <f>IF(EDP_Data!BM40&gt;0,EDP_Data!BM40,"")</f>
        <v>0.13327210056727809</v>
      </c>
      <c r="AK40" s="1085">
        <v>20</v>
      </c>
      <c r="AL40" s="1085">
        <v>2015</v>
      </c>
      <c r="AM40" s="1092" t="s">
        <v>611</v>
      </c>
      <c r="AN40" s="1093" t="s">
        <v>483</v>
      </c>
      <c r="AO40" s="1094">
        <v>40000</v>
      </c>
    </row>
    <row r="41" spans="1:41" s="1106" customFormat="1" ht="18.899999999999999" customHeight="1">
      <c r="A41" s="1096" t="s">
        <v>504</v>
      </c>
      <c r="B41" s="1096" t="s">
        <v>609</v>
      </c>
      <c r="C41" s="1096" t="s">
        <v>607</v>
      </c>
      <c r="D41" s="1096"/>
      <c r="E41" s="1097">
        <v>4</v>
      </c>
      <c r="F41" s="1098"/>
      <c r="G41" s="1099"/>
      <c r="H41" s="1099"/>
      <c r="I41" s="1099"/>
      <c r="J41" s="1099"/>
      <c r="K41" s="658">
        <f t="shared" si="0"/>
        <v>1.8360000000000001</v>
      </c>
      <c r="L41" s="1100">
        <v>1.8360000000000001</v>
      </c>
      <c r="M41" s="1101"/>
      <c r="N41" s="1101">
        <v>1.5449999999999999</v>
      </c>
      <c r="O41" s="1101"/>
      <c r="P41" s="1098"/>
      <c r="Q41" s="1098"/>
      <c r="R41" s="1098"/>
      <c r="S41" s="1098"/>
      <c r="T41" s="1098">
        <v>1</v>
      </c>
      <c r="U41" s="1098"/>
      <c r="V41" s="1102">
        <v>0.9</v>
      </c>
      <c r="W41" s="1019">
        <f>IF(EDP_Data!AZ41&gt;0,EDP_Data!AZ41,"")</f>
        <v>1090.999305743539</v>
      </c>
      <c r="X41" s="1019">
        <f>IF(EDP_Data!BA41&gt;0,EDP_Data!BA41,"")</f>
        <v>1001.0437604496743</v>
      </c>
      <c r="Y41" s="1019" t="str">
        <f>IF(EDP_Data!BB41&gt;0,EDP_Data!BB41,"")</f>
        <v/>
      </c>
      <c r="Z41" s="1019">
        <f>IF(EDP_Data!BC41&gt;0,EDP_Data!BC41,"")</f>
        <v>705.80504769032348</v>
      </c>
      <c r="AA41" s="1019">
        <f>IF(EDP_Data!BD41&gt;0,EDP_Data!BD41,"")</f>
        <v>564.33649782646773</v>
      </c>
      <c r="AB41" s="1019">
        <f>IF(EDP_Data!BE41&gt;0,EDP_Data!BE41,"")</f>
        <v>54.588407827900831</v>
      </c>
      <c r="AC41" s="1019">
        <f>IF(EDP_Data!BF41&gt;0,EDP_Data!BF41,"")</f>
        <v>49.97530294103597</v>
      </c>
      <c r="AD41" s="1019" t="str">
        <f>IF(EDP_Data!BG41&gt;0,EDP_Data!BG41,"")</f>
        <v/>
      </c>
      <c r="AE41" s="1019">
        <f>IF(EDP_Data!BH41&gt;0,EDP_Data!BH41,"")</f>
        <v>35.367137465963921</v>
      </c>
      <c r="AF41" s="1019">
        <f>IF(EDP_Data!BI41&gt;0,EDP_Data!BI41,"")</f>
        <v>28.44748013566663</v>
      </c>
      <c r="AG41" s="1019">
        <f>IF(EDP_Data!BJ41&gt;0,EDP_Data!BJ41,"")</f>
        <v>0.11532762217162147</v>
      </c>
      <c r="AH41" s="1019" t="str">
        <f>IF(EDP_Data!BK41&gt;0,EDP_Data!BK41,"")</f>
        <v/>
      </c>
      <c r="AI41" s="1019">
        <f>IF(EDP_Data!BL41&gt;0,EDP_Data!BL41,"")</f>
        <v>4.4424033522426028E-2</v>
      </c>
      <c r="AJ41" s="1019" t="str">
        <f>IF(EDP_Data!BM41&gt;0,EDP_Data!BM41,"")</f>
        <v/>
      </c>
      <c r="AK41" s="1098">
        <v>20</v>
      </c>
      <c r="AL41" s="1098">
        <v>2015</v>
      </c>
      <c r="AM41" s="1103" t="s">
        <v>606</v>
      </c>
      <c r="AN41" s="1104"/>
      <c r="AO41" s="1105"/>
    </row>
    <row r="42" spans="1:41" s="1106" customFormat="1" ht="18.899999999999999" customHeight="1">
      <c r="A42" s="1096" t="s">
        <v>504</v>
      </c>
      <c r="B42" s="1096" t="s">
        <v>610</v>
      </c>
      <c r="C42" s="1096" t="s">
        <v>608</v>
      </c>
      <c r="D42" s="1096"/>
      <c r="E42" s="1097">
        <v>15</v>
      </c>
      <c r="F42" s="1098"/>
      <c r="G42" s="1099"/>
      <c r="H42" s="1099"/>
      <c r="I42" s="1099"/>
      <c r="J42" s="1099"/>
      <c r="K42" s="658">
        <f t="shared" si="0"/>
        <v>1.8360000000000001</v>
      </c>
      <c r="L42" s="1100">
        <v>1.8360000000000001</v>
      </c>
      <c r="M42" s="1101"/>
      <c r="N42" s="1101">
        <v>1.5449999999999999</v>
      </c>
      <c r="O42" s="1101"/>
      <c r="P42" s="1098"/>
      <c r="Q42" s="1098"/>
      <c r="R42" s="1098"/>
      <c r="S42" s="1098"/>
      <c r="T42" s="1098">
        <v>1</v>
      </c>
      <c r="U42" s="1098"/>
      <c r="V42" s="1102">
        <v>0.9</v>
      </c>
      <c r="W42" s="1019">
        <f>IF(EDP_Data!AZ42&gt;0,EDP_Data!AZ42,"")</f>
        <v>952.60615913759341</v>
      </c>
      <c r="X42" s="1019">
        <f>IF(EDP_Data!BA42&gt;0,EDP_Data!BA42,"")</f>
        <v>852.65555325552145</v>
      </c>
      <c r="Y42" s="1019" t="str">
        <f>IF(EDP_Data!BB42&gt;0,EDP_Data!BB42,"")</f>
        <v/>
      </c>
      <c r="Z42" s="1019">
        <f>IF(EDP_Data!BC42&gt;0,EDP_Data!BC42,"")</f>
        <v>545.1152274645309</v>
      </c>
      <c r="AA42" s="1019">
        <f>IF(EDP_Data!BD42&gt;0,EDP_Data!BD42,"")</f>
        <v>436.70726262320665</v>
      </c>
      <c r="AB42" s="1019">
        <f>IF(EDP_Data!BE42&gt;0,EDP_Data!BE42,"")</f>
        <v>47.66875049760354</v>
      </c>
      <c r="AC42" s="1019">
        <f>IF(EDP_Data!BF42&gt;0,EDP_Data!BF42,"")</f>
        <v>42.286794796261205</v>
      </c>
      <c r="AD42" s="1019" t="str">
        <f>IF(EDP_Data!BG42&gt;0,EDP_Data!BG42,"")</f>
        <v/>
      </c>
      <c r="AE42" s="1019">
        <f>IF(EDP_Data!BH42&gt;0,EDP_Data!BH42,"")</f>
        <v>26.909778506711675</v>
      </c>
      <c r="AF42" s="1019">
        <f>IF(EDP_Data!BI42&gt;0,EDP_Data!BI42,"")</f>
        <v>21.527822805369343</v>
      </c>
      <c r="AG42" s="1019">
        <f>IF(EDP_Data!BJ42&gt;0,EDP_Data!BJ42,"")</f>
        <v>0.11532762217162147</v>
      </c>
      <c r="AH42" s="1019" t="str">
        <f>IF(EDP_Data!BK42&gt;0,EDP_Data!BK42,"")</f>
        <v/>
      </c>
      <c r="AI42" s="1019">
        <f>IF(EDP_Data!BL42&gt;0,EDP_Data!BL42,"")</f>
        <v>4.4424033522426028E-2</v>
      </c>
      <c r="AJ42" s="1019" t="str">
        <f>IF(EDP_Data!BM42&gt;0,EDP_Data!BM42,"")</f>
        <v/>
      </c>
      <c r="AK42" s="1098">
        <v>20</v>
      </c>
      <c r="AL42" s="1098">
        <v>2015</v>
      </c>
      <c r="AM42" s="1103" t="s">
        <v>606</v>
      </c>
      <c r="AN42" s="1104"/>
      <c r="AO42" s="1105"/>
    </row>
    <row r="43" spans="1:41" s="1018" customFormat="1" ht="18.899999999999999" customHeight="1">
      <c r="A43" s="1008" t="s">
        <v>504</v>
      </c>
      <c r="B43" s="1009" t="s">
        <v>981</v>
      </c>
      <c r="C43" s="1008" t="s">
        <v>513</v>
      </c>
      <c r="D43" s="1008" t="s">
        <v>90</v>
      </c>
      <c r="E43" s="1010">
        <v>100</v>
      </c>
      <c r="F43" s="1011" t="s">
        <v>66</v>
      </c>
      <c r="G43" s="1012" t="s">
        <v>522</v>
      </c>
      <c r="H43" s="1012" t="s">
        <v>29</v>
      </c>
      <c r="I43" s="1012" t="s">
        <v>318</v>
      </c>
      <c r="J43" s="1012" t="s">
        <v>29</v>
      </c>
      <c r="K43" s="1107"/>
      <c r="L43" s="1108"/>
      <c r="M43" s="1013"/>
      <c r="N43" s="1013">
        <f>N38</f>
        <v>1.4705882352941175</v>
      </c>
      <c r="O43" s="1013">
        <f>O38</f>
        <v>1.3513513513513513</v>
      </c>
      <c r="P43" s="1011" t="s">
        <v>29</v>
      </c>
      <c r="Q43" s="1011"/>
      <c r="R43" s="1011"/>
      <c r="S43" s="1011"/>
      <c r="T43" s="1011">
        <v>1</v>
      </c>
      <c r="U43" s="1011" t="s">
        <v>29</v>
      </c>
      <c r="V43" s="1014"/>
      <c r="W43" s="1109"/>
      <c r="X43" s="1109"/>
      <c r="Y43" s="1109" t="str">
        <f>IF(EDP_Data!BB43&gt;0,EDP_Data!BB43,"")</f>
        <v/>
      </c>
      <c r="Z43" s="1109">
        <f>Z38</f>
        <v>412.544978449685</v>
      </c>
      <c r="AA43" s="1109">
        <f>AA38</f>
        <v>126.93691644605696</v>
      </c>
      <c r="AB43" s="1109" t="str">
        <f>IF(EDP_Data!BE43&gt;0,EDP_Data!BE43,"")</f>
        <v/>
      </c>
      <c r="AC43" s="1109"/>
      <c r="AD43" s="1109" t="str">
        <f>IF(EDP_Data!BG43&gt;0,EDP_Data!BG43,"")</f>
        <v/>
      </c>
      <c r="AE43" s="1109">
        <f t="shared" ref="AE43:AF43" si="7">AE38</f>
        <v>6.188174676745275</v>
      </c>
      <c r="AF43" s="1109">
        <f t="shared" si="7"/>
        <v>1.9040537466908543</v>
      </c>
      <c r="AG43" s="1109">
        <f>IF(EDP_Data!BJ43&gt;0,EDP_Data!BJ43,"")</f>
        <v>0.74040055870710064</v>
      </c>
      <c r="AH43" s="1109" t="str">
        <f>IF(EDP_Data!BK43&gt;0,EDP_Data!BK43,"")</f>
        <v/>
      </c>
      <c r="AI43" s="1109">
        <f>IF(EDP_Data!BL43&gt;0,EDP_Data!BL43,"")</f>
        <v>0.74040055870710064</v>
      </c>
      <c r="AJ43" s="1109">
        <f>IF(EDP_Data!BM43&gt;0,EDP_Data!BM43,"")</f>
        <v>0.13327210056727809</v>
      </c>
      <c r="AK43" s="1011">
        <v>20</v>
      </c>
      <c r="AL43" s="1011">
        <v>2020</v>
      </c>
      <c r="AM43" s="1015" t="s">
        <v>613</v>
      </c>
      <c r="AN43" s="1016" t="s">
        <v>483</v>
      </c>
      <c r="AO43" s="1017">
        <v>40000</v>
      </c>
    </row>
    <row r="44" spans="1:41" s="1125" customFormat="1" ht="18.899999999999999" customHeight="1">
      <c r="A44" s="1110" t="s">
        <v>504</v>
      </c>
      <c r="B44" s="1111" t="s">
        <v>982</v>
      </c>
      <c r="C44" s="1110" t="s">
        <v>976</v>
      </c>
      <c r="D44" s="1110" t="s">
        <v>89</v>
      </c>
      <c r="E44" s="1112">
        <v>5</v>
      </c>
      <c r="F44" s="1113" t="s">
        <v>66</v>
      </c>
      <c r="G44" s="1114" t="s">
        <v>317</v>
      </c>
      <c r="H44" s="1114" t="s">
        <v>29</v>
      </c>
      <c r="I44" s="1114" t="s">
        <v>318</v>
      </c>
      <c r="J44" s="1114" t="s">
        <v>29</v>
      </c>
      <c r="K44" s="1115">
        <f t="shared" ref="K44" si="8">L44</f>
        <v>1.6666666666666667</v>
      </c>
      <c r="L44" s="1116">
        <f>L39</f>
        <v>1.6666666666666667</v>
      </c>
      <c r="M44" s="1117"/>
      <c r="N44" s="1116">
        <f>N39</f>
        <v>1.4705882352941175</v>
      </c>
      <c r="O44" s="1116">
        <f>O39</f>
        <v>1.3513513513513513</v>
      </c>
      <c r="P44" s="1113" t="s">
        <v>29</v>
      </c>
      <c r="Q44" s="1113"/>
      <c r="R44" s="1113"/>
      <c r="S44" s="1113"/>
      <c r="T44" s="1113">
        <v>1</v>
      </c>
      <c r="U44" s="1113" t="s">
        <v>29</v>
      </c>
      <c r="V44" s="1118">
        <v>0.9</v>
      </c>
      <c r="W44" s="1119"/>
      <c r="X44" s="1116">
        <f>X39</f>
        <v>920.29264423391282</v>
      </c>
      <c r="Y44" s="1119"/>
      <c r="Z44" s="1116">
        <f>Z39</f>
        <v>682.28592589755613</v>
      </c>
      <c r="AA44" s="1116">
        <f>AA39</f>
        <v>349.07652022665661</v>
      </c>
      <c r="AB44" s="1115"/>
      <c r="AC44" s="1116">
        <f>AC39</f>
        <v>23.007316105847821</v>
      </c>
      <c r="AD44" s="1120"/>
      <c r="AE44" s="1116">
        <f>AE39</f>
        <v>17.057148147438905</v>
      </c>
      <c r="AF44" s="1116">
        <f>AF39</f>
        <v>8.7269130056664164</v>
      </c>
      <c r="AG44" s="1121">
        <f>IF(EDP_Data!BJ44&gt;0,EDP_Data!BJ44,"")</f>
        <v>0.74040055870710064</v>
      </c>
      <c r="AH44" s="1121" t="str">
        <f>IF(EDP_Data!BK44&gt;0,EDP_Data!BK44,"")</f>
        <v/>
      </c>
      <c r="AI44" s="1121">
        <f>IF(EDP_Data!BL44&gt;0,EDP_Data!BL44,"")</f>
        <v>0.74040055870710064</v>
      </c>
      <c r="AJ44" s="1121">
        <f>IF(EDP_Data!BM44&gt;0,EDP_Data!BM44,"")</f>
        <v>0.13327210056727809</v>
      </c>
      <c r="AK44" s="1113">
        <v>20</v>
      </c>
      <c r="AL44" s="1113">
        <v>2015</v>
      </c>
      <c r="AM44" s="1122" t="s">
        <v>492</v>
      </c>
      <c r="AN44" s="1123" t="s">
        <v>483</v>
      </c>
      <c r="AO44" s="1124">
        <v>40000</v>
      </c>
    </row>
    <row r="45" spans="1:41" s="1141" customFormat="1" ht="18.899999999999999" customHeight="1">
      <c r="A45" s="1126" t="s">
        <v>504</v>
      </c>
      <c r="B45" s="1127" t="s">
        <v>983</v>
      </c>
      <c r="C45" s="1126" t="s">
        <v>977</v>
      </c>
      <c r="D45" s="1126" t="s">
        <v>89</v>
      </c>
      <c r="E45" s="1128">
        <v>5</v>
      </c>
      <c r="F45" s="1129" t="s">
        <v>66</v>
      </c>
      <c r="G45" s="1130" t="s">
        <v>317</v>
      </c>
      <c r="H45" s="1130" t="s">
        <v>29</v>
      </c>
      <c r="I45" s="1130" t="s">
        <v>318</v>
      </c>
      <c r="J45" s="1130" t="s">
        <v>29</v>
      </c>
      <c r="K45" s="1131">
        <f t="shared" ref="K45" si="9">L45</f>
        <v>1.6666666666666667</v>
      </c>
      <c r="L45" s="1132">
        <f>L39</f>
        <v>1.6666666666666667</v>
      </c>
      <c r="M45" s="1133"/>
      <c r="N45" s="1132">
        <f>N39</f>
        <v>1.4705882352941175</v>
      </c>
      <c r="O45" s="1132">
        <f>O39</f>
        <v>1.3513513513513513</v>
      </c>
      <c r="P45" s="1129" t="s">
        <v>29</v>
      </c>
      <c r="Q45" s="1129"/>
      <c r="R45" s="1129"/>
      <c r="S45" s="1129"/>
      <c r="T45" s="1129">
        <v>1</v>
      </c>
      <c r="U45" s="1129" t="s">
        <v>29</v>
      </c>
      <c r="V45" s="1134">
        <v>0.9</v>
      </c>
      <c r="W45" s="1135"/>
      <c r="X45" s="1132">
        <f>X39</f>
        <v>920.29264423391282</v>
      </c>
      <c r="Y45" s="1135"/>
      <c r="Z45" s="1132">
        <f>Z39</f>
        <v>682.28592589755613</v>
      </c>
      <c r="AA45" s="1132">
        <f>AA39</f>
        <v>349.07652022665661</v>
      </c>
      <c r="AB45" s="1131"/>
      <c r="AC45" s="1132">
        <f>AC39</f>
        <v>23.007316105847821</v>
      </c>
      <c r="AD45" s="1136"/>
      <c r="AE45" s="1132">
        <f>AE39</f>
        <v>17.057148147438905</v>
      </c>
      <c r="AF45" s="1132">
        <f>AF39</f>
        <v>8.7269130056664164</v>
      </c>
      <c r="AG45" s="1137">
        <f>IF(EDP_Data!BJ45&gt;0,EDP_Data!BJ45,"")</f>
        <v>0.74040055870710064</v>
      </c>
      <c r="AH45" s="1137" t="str">
        <f>IF(EDP_Data!BK45&gt;0,EDP_Data!BK45,"")</f>
        <v/>
      </c>
      <c r="AI45" s="1137">
        <f>IF(EDP_Data!BL45&gt;0,EDP_Data!BL45,"")</f>
        <v>0.74040055870710064</v>
      </c>
      <c r="AJ45" s="1137">
        <f>IF(EDP_Data!BM45&gt;0,EDP_Data!BM45,"")</f>
        <v>0.13327210056727809</v>
      </c>
      <c r="AK45" s="1129">
        <v>20</v>
      </c>
      <c r="AL45" s="1129">
        <v>2015</v>
      </c>
      <c r="AM45" s="1138" t="s">
        <v>492</v>
      </c>
      <c r="AN45" s="1139" t="s">
        <v>483</v>
      </c>
      <c r="AO45" s="1140">
        <v>40000</v>
      </c>
    </row>
    <row r="46" spans="1:41" ht="18.899999999999999" customHeight="1">
      <c r="E46" s="103"/>
      <c r="G46" s="103"/>
      <c r="H46" s="103"/>
      <c r="I46" s="103"/>
      <c r="J46" s="103"/>
      <c r="K46" s="103"/>
      <c r="L46" s="103"/>
      <c r="M46" s="103"/>
      <c r="N46" s="103"/>
      <c r="O46" s="103"/>
      <c r="P46" s="103"/>
      <c r="Q46" s="103"/>
      <c r="R46" s="103"/>
      <c r="S46" s="103"/>
      <c r="T46" s="103"/>
      <c r="U46" s="103"/>
      <c r="V46" s="103"/>
    </row>
    <row r="47" spans="1:41" ht="18.899999999999999" customHeight="1">
      <c r="E47" s="103"/>
      <c r="G47" s="103"/>
      <c r="H47" s="103"/>
      <c r="I47" s="103"/>
      <c r="J47" s="103"/>
      <c r="K47" s="103"/>
      <c r="L47" s="103"/>
      <c r="M47" s="103"/>
      <c r="N47" s="103"/>
      <c r="O47" s="103"/>
      <c r="P47" s="103"/>
      <c r="Q47" s="103"/>
      <c r="R47" s="103"/>
      <c r="S47" s="103"/>
      <c r="T47" s="103"/>
      <c r="U47" s="103"/>
      <c r="V47" s="103"/>
    </row>
    <row r="48" spans="1:41">
      <c r="E48" s="103"/>
      <c r="G48" s="103"/>
      <c r="H48" s="103"/>
      <c r="I48" s="103"/>
      <c r="J48" s="103"/>
      <c r="K48" s="103"/>
      <c r="L48" s="103"/>
      <c r="M48" s="103"/>
      <c r="N48" s="103"/>
      <c r="O48" s="103"/>
      <c r="P48" s="103"/>
      <c r="Q48" s="103"/>
      <c r="R48" s="103"/>
      <c r="S48" s="103"/>
      <c r="T48" s="103"/>
      <c r="U48" s="103"/>
      <c r="V48" s="103"/>
      <c r="Z48" s="123" t="s">
        <v>349</v>
      </c>
      <c r="AA48" s="130"/>
      <c r="AB48" s="123"/>
      <c r="AC48" s="123"/>
      <c r="AD48" s="123"/>
      <c r="AE48" s="123"/>
      <c r="AF48" s="130"/>
      <c r="AG48" s="123"/>
      <c r="AH48" s="123"/>
      <c r="AI48" s="123"/>
      <c r="AJ48" s="123"/>
      <c r="AK48" s="123"/>
      <c r="AL48" s="123"/>
      <c r="AM48" s="123"/>
      <c r="AN48" s="123"/>
      <c r="AO48" s="123"/>
    </row>
    <row r="49" spans="2:41">
      <c r="E49" s="103"/>
      <c r="G49" s="103"/>
      <c r="H49" s="103"/>
      <c r="I49" s="103"/>
      <c r="J49" s="103"/>
      <c r="K49" s="103"/>
      <c r="L49" s="103"/>
      <c r="M49" s="103"/>
      <c r="N49" s="103"/>
      <c r="O49" s="103"/>
      <c r="P49" s="103"/>
      <c r="Q49" s="103"/>
      <c r="R49" s="103"/>
      <c r="S49" s="103"/>
      <c r="T49" s="103"/>
      <c r="U49" s="103"/>
      <c r="V49" s="103"/>
      <c r="Z49" s="127" t="s">
        <v>350</v>
      </c>
      <c r="AA49" s="127"/>
      <c r="AB49" s="127" t="s">
        <v>351</v>
      </c>
      <c r="AC49" s="127" t="s">
        <v>352</v>
      </c>
      <c r="AD49" s="127" t="s">
        <v>353</v>
      </c>
      <c r="AE49" s="127" t="s">
        <v>354</v>
      </c>
      <c r="AF49" s="127"/>
      <c r="AG49" s="127" t="s">
        <v>355</v>
      </c>
      <c r="AH49" s="127" t="s">
        <v>356</v>
      </c>
      <c r="AI49" s="127" t="s">
        <v>357</v>
      </c>
      <c r="AJ49" s="127" t="s">
        <v>358</v>
      </c>
      <c r="AK49" s="127" t="s">
        <v>359</v>
      </c>
      <c r="AL49" s="127" t="s">
        <v>360</v>
      </c>
      <c r="AM49" s="127" t="s">
        <v>361</v>
      </c>
      <c r="AN49" s="127" t="s">
        <v>362</v>
      </c>
      <c r="AO49" s="125">
        <v>2013</v>
      </c>
    </row>
    <row r="50" spans="2:41">
      <c r="E50" s="103"/>
      <c r="G50" s="103"/>
      <c r="H50" s="103"/>
      <c r="I50" s="103"/>
      <c r="J50" s="103"/>
      <c r="K50" s="103"/>
      <c r="L50" s="103"/>
      <c r="M50" s="103"/>
      <c r="N50" s="103"/>
      <c r="O50" s="103"/>
      <c r="P50" s="103"/>
      <c r="Q50" s="103"/>
      <c r="R50" s="103"/>
      <c r="S50" s="103"/>
      <c r="T50" s="103"/>
      <c r="U50" s="103"/>
      <c r="V50" s="103"/>
      <c r="Z50" s="127" t="s">
        <v>363</v>
      </c>
      <c r="AA50" s="127"/>
      <c r="AB50" s="124">
        <v>1.2932665148063782</v>
      </c>
      <c r="AC50" s="124">
        <v>1.2668817341408991</v>
      </c>
      <c r="AD50" s="124">
        <v>1.2425871808233455</v>
      </c>
      <c r="AE50" s="124">
        <v>1.2180858193706581</v>
      </c>
      <c r="AF50" s="124"/>
      <c r="AG50" s="124">
        <v>1.1922623999999999</v>
      </c>
      <c r="AH50" s="124">
        <v>1.1686555577337778</v>
      </c>
      <c r="AI50" s="124">
        <v>1.1399391911272587</v>
      </c>
      <c r="AJ50" s="124">
        <v>1.0996701715550636</v>
      </c>
      <c r="AK50" s="124">
        <v>1.0889235546625264</v>
      </c>
      <c r="AL50" s="124">
        <v>1.0667105663415943</v>
      </c>
      <c r="AM50" s="124">
        <v>1.034680551939599</v>
      </c>
      <c r="AN50" s="124">
        <v>1.008</v>
      </c>
      <c r="AO50" s="126">
        <v>1</v>
      </c>
    </row>
    <row r="51" spans="2:41">
      <c r="B51" s="209"/>
      <c r="C51" s="210" t="s">
        <v>480</v>
      </c>
      <c r="E51" s="103"/>
      <c r="G51" s="103"/>
      <c r="H51" s="103"/>
      <c r="I51" s="103"/>
      <c r="J51" s="103"/>
      <c r="K51" s="103"/>
      <c r="L51" s="103"/>
      <c r="M51" s="103"/>
      <c r="N51" s="103"/>
      <c r="O51" s="103"/>
      <c r="P51" s="103"/>
      <c r="Q51" s="103"/>
      <c r="R51" s="103"/>
      <c r="S51" s="103"/>
      <c r="T51" s="103"/>
      <c r="U51" s="103"/>
      <c r="V51" s="103"/>
    </row>
    <row r="52" spans="2:41">
      <c r="B52" s="212"/>
      <c r="C52" s="210" t="s">
        <v>481</v>
      </c>
      <c r="E52" s="103"/>
      <c r="G52" s="103"/>
      <c r="H52" s="103"/>
      <c r="I52" s="103"/>
      <c r="J52" s="103"/>
      <c r="K52" s="103"/>
      <c r="L52" s="103"/>
      <c r="M52" s="103"/>
      <c r="N52" s="103"/>
      <c r="O52" s="103"/>
      <c r="P52" s="103"/>
      <c r="Q52" s="103"/>
      <c r="R52" s="103"/>
      <c r="S52" s="103"/>
      <c r="T52" s="103"/>
      <c r="U52" s="103"/>
      <c r="V52" s="103"/>
    </row>
    <row r="53" spans="2:41">
      <c r="B53" s="215"/>
      <c r="C53" s="210" t="s">
        <v>494</v>
      </c>
      <c r="E53" s="103"/>
      <c r="G53" s="103"/>
      <c r="H53" s="103"/>
      <c r="I53" s="103"/>
      <c r="J53" s="103"/>
      <c r="K53" s="103"/>
      <c r="L53" s="103"/>
      <c r="M53" s="103"/>
      <c r="N53" s="103"/>
      <c r="O53" s="103"/>
      <c r="P53" s="103"/>
      <c r="Q53" s="103"/>
      <c r="R53" s="103"/>
      <c r="S53" s="103"/>
      <c r="T53" s="103"/>
      <c r="U53" s="103"/>
      <c r="V53" s="103"/>
    </row>
    <row r="54" spans="2:41">
      <c r="B54" s="498"/>
      <c r="C54" s="499" t="s">
        <v>763</v>
      </c>
      <c r="E54" s="103"/>
      <c r="G54" s="103"/>
      <c r="H54" s="103"/>
      <c r="I54" s="103"/>
      <c r="J54" s="103"/>
      <c r="K54" s="103"/>
      <c r="L54" s="103"/>
      <c r="M54" s="103"/>
      <c r="N54" s="103"/>
      <c r="O54" s="103"/>
      <c r="P54" s="103"/>
      <c r="Q54" s="103"/>
      <c r="R54" s="103"/>
      <c r="S54" s="103"/>
      <c r="T54" s="103"/>
      <c r="U54" s="103"/>
      <c r="V54" s="103"/>
    </row>
    <row r="55" spans="2:41">
      <c r="B55" s="500"/>
      <c r="C55" s="499" t="s">
        <v>764</v>
      </c>
      <c r="E55" s="103"/>
      <c r="G55" s="103"/>
      <c r="H55" s="103"/>
      <c r="I55" s="103"/>
      <c r="J55" s="103"/>
      <c r="K55" s="103"/>
      <c r="L55" s="103"/>
      <c r="M55" s="103"/>
      <c r="N55" s="103"/>
      <c r="O55" s="103"/>
      <c r="P55" s="103"/>
      <c r="Q55" s="103"/>
      <c r="R55" s="103"/>
      <c r="S55" s="103"/>
      <c r="T55" s="103"/>
      <c r="U55" s="103"/>
      <c r="V55" s="103"/>
    </row>
    <row r="56" spans="2:41">
      <c r="E56" s="103"/>
      <c r="G56" s="103"/>
      <c r="H56" s="103"/>
      <c r="I56" s="103"/>
      <c r="J56" s="103"/>
      <c r="K56" s="103"/>
      <c r="L56" s="103"/>
      <c r="M56" s="103"/>
      <c r="N56" s="103"/>
      <c r="O56" s="103"/>
      <c r="P56" s="103"/>
      <c r="Q56" s="103"/>
      <c r="R56" s="103"/>
      <c r="S56" s="103"/>
      <c r="T56" s="103"/>
      <c r="U56" s="103"/>
      <c r="V56" s="103"/>
    </row>
    <row r="57" spans="2:41">
      <c r="E57" s="103"/>
      <c r="G57" s="103"/>
      <c r="H57" s="103"/>
      <c r="I57" s="103"/>
      <c r="J57" s="103"/>
      <c r="K57" s="103"/>
      <c r="L57" s="103"/>
      <c r="M57" s="103"/>
      <c r="N57" s="103"/>
      <c r="O57" s="103"/>
      <c r="P57" s="103"/>
      <c r="Q57" s="103"/>
      <c r="R57" s="103"/>
      <c r="S57" s="103"/>
      <c r="T57" s="103"/>
      <c r="U57" s="103"/>
      <c r="V57" s="103"/>
    </row>
    <row r="58" spans="2:41">
      <c r="E58" s="103"/>
      <c r="G58" s="103"/>
      <c r="H58" s="103"/>
      <c r="I58" s="103"/>
      <c r="J58" s="103"/>
      <c r="K58" s="103"/>
      <c r="L58" s="103"/>
      <c r="M58" s="103"/>
      <c r="N58" s="103"/>
      <c r="O58" s="103"/>
      <c r="P58" s="103"/>
      <c r="Q58" s="103"/>
      <c r="R58" s="103"/>
      <c r="S58" s="103"/>
      <c r="T58" s="103"/>
      <c r="U58" s="103"/>
      <c r="V58" s="103"/>
    </row>
    <row r="59" spans="2:41">
      <c r="E59" s="103"/>
      <c r="G59" s="103"/>
      <c r="H59" s="103"/>
      <c r="I59" s="103"/>
      <c r="J59" s="103"/>
      <c r="K59" s="103"/>
      <c r="L59" s="103"/>
      <c r="M59" s="103"/>
      <c r="N59" s="103"/>
      <c r="O59" s="103"/>
      <c r="P59" s="103"/>
      <c r="Q59" s="103"/>
      <c r="R59" s="103"/>
      <c r="S59" s="103"/>
      <c r="T59" s="103"/>
      <c r="U59" s="103"/>
      <c r="V59" s="103"/>
    </row>
    <row r="60" spans="2:41">
      <c r="E60" s="103"/>
      <c r="G60" s="103"/>
      <c r="H60" s="103"/>
      <c r="I60" s="103"/>
      <c r="J60" s="103"/>
      <c r="K60" s="103"/>
      <c r="L60" s="103"/>
      <c r="M60" s="103"/>
      <c r="N60" s="103"/>
      <c r="O60" s="103"/>
      <c r="P60" s="103"/>
      <c r="Q60" s="103"/>
      <c r="R60" s="103"/>
      <c r="S60" s="103"/>
      <c r="T60" s="103"/>
      <c r="U60" s="103"/>
      <c r="V60" s="103"/>
    </row>
    <row r="61" spans="2:41">
      <c r="E61" s="103"/>
      <c r="G61" s="103"/>
      <c r="H61" s="103"/>
      <c r="I61" s="103"/>
      <c r="J61" s="103"/>
      <c r="K61" s="103"/>
      <c r="L61" s="103"/>
      <c r="M61" s="103"/>
      <c r="N61" s="103"/>
      <c r="O61" s="103"/>
      <c r="P61" s="103"/>
      <c r="Q61" s="103"/>
      <c r="R61" s="103"/>
      <c r="S61" s="103"/>
      <c r="T61" s="103"/>
      <c r="U61" s="103"/>
      <c r="V61" s="103"/>
    </row>
    <row r="62" spans="2:41">
      <c r="E62" s="103"/>
      <c r="G62" s="103"/>
      <c r="H62" s="103"/>
      <c r="I62" s="103"/>
      <c r="J62" s="103"/>
      <c r="K62" s="103"/>
      <c r="L62" s="103"/>
      <c r="M62" s="103"/>
      <c r="N62" s="103"/>
      <c r="O62" s="103"/>
      <c r="P62" s="103"/>
      <c r="Q62" s="103"/>
      <c r="R62" s="103"/>
      <c r="S62" s="103"/>
      <c r="T62" s="103"/>
      <c r="U62" s="103"/>
      <c r="V62" s="103"/>
    </row>
    <row r="63" spans="2:41">
      <c r="E63" s="103"/>
      <c r="G63" s="103"/>
      <c r="H63" s="103"/>
      <c r="I63" s="103"/>
      <c r="J63" s="103"/>
      <c r="K63" s="103"/>
      <c r="L63" s="103"/>
      <c r="M63" s="103"/>
      <c r="N63" s="103"/>
      <c r="O63" s="103"/>
      <c r="P63" s="103"/>
      <c r="Q63" s="103"/>
      <c r="R63" s="103"/>
      <c r="S63" s="103"/>
      <c r="T63" s="103"/>
      <c r="U63" s="103"/>
      <c r="V63" s="103"/>
    </row>
    <row r="64" spans="2:41">
      <c r="E64" s="103"/>
      <c r="G64" s="103"/>
      <c r="H64" s="103"/>
      <c r="I64" s="103"/>
      <c r="J64" s="103"/>
      <c r="K64" s="103"/>
      <c r="L64" s="103"/>
      <c r="M64" s="103"/>
      <c r="N64" s="103"/>
      <c r="O64" s="103"/>
      <c r="P64" s="103"/>
      <c r="Q64" s="103"/>
      <c r="R64" s="103"/>
      <c r="S64" s="103"/>
      <c r="T64" s="103"/>
      <c r="U64" s="103"/>
      <c r="V64" s="103"/>
    </row>
    <row r="101" spans="10:13">
      <c r="K101" s="111">
        <v>2020</v>
      </c>
      <c r="L101" s="111">
        <v>2030</v>
      </c>
      <c r="M101" s="111">
        <v>2050</v>
      </c>
    </row>
    <row r="102" spans="10:13">
      <c r="J102" s="963" t="s">
        <v>974</v>
      </c>
      <c r="K102" s="111">
        <v>64</v>
      </c>
      <c r="L102" s="111">
        <v>69</v>
      </c>
      <c r="M102" s="111">
        <v>74</v>
      </c>
    </row>
    <row r="103" spans="10:13">
      <c r="K103" s="111">
        <f>1/(K102/100)</f>
        <v>1.5625</v>
      </c>
      <c r="L103" s="111">
        <f t="shared" ref="L103:M103" si="10">1/(L102/100)</f>
        <v>1.4492753623188408</v>
      </c>
      <c r="M103" s="111">
        <f t="shared" si="10"/>
        <v>1.3513513513513513</v>
      </c>
    </row>
  </sheetData>
  <mergeCells count="5">
    <mergeCell ref="K1:N1"/>
    <mergeCell ref="P1:S1"/>
    <mergeCell ref="W1:Z1"/>
    <mergeCell ref="AB1:AE1"/>
    <mergeCell ref="AG1:AJ1"/>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14525-7196-48C5-888D-76D9743334FC}">
  <sheetPr codeName="Sheet1">
    <tabColor rgb="FFFFFF00"/>
  </sheetPr>
  <dimension ref="A1:CK47"/>
  <sheetViews>
    <sheetView tabSelected="1" topLeftCell="A15" workbookViewId="0">
      <pane xSplit="8085" topLeftCell="Y1" activePane="topRight"/>
      <selection activeCell="F12" sqref="F12"/>
      <selection pane="topRight" activeCell="Z23" sqref="Z23"/>
    </sheetView>
  </sheetViews>
  <sheetFormatPr defaultRowHeight="13"/>
  <cols>
    <col min="21" max="22" width="8.7265625" style="622"/>
    <col min="29" max="29" width="8.86328125" style="622" bestFit="1" customWidth="1"/>
    <col min="30" max="32" width="8.7265625" style="622"/>
    <col min="36" max="36" width="15.54296875" bestFit="1" customWidth="1"/>
    <col min="52" max="66" width="8.7265625" style="622"/>
    <col min="75" max="76" width="8.86328125" bestFit="1" customWidth="1"/>
    <col min="77" max="77" width="7.36328125" bestFit="1" customWidth="1"/>
    <col min="78" max="78" width="6.953125" bestFit="1" customWidth="1"/>
    <col min="83" max="83" width="8.7265625" style="1494"/>
  </cols>
  <sheetData>
    <row r="1" spans="1:89">
      <c r="U1" s="26" t="s">
        <v>975</v>
      </c>
      <c r="AM1" t="s">
        <v>765</v>
      </c>
      <c r="BB1" s="622" t="s">
        <v>765</v>
      </c>
    </row>
    <row r="2" spans="1:89" ht="14.75">
      <c r="A2" s="488"/>
      <c r="B2" s="488"/>
      <c r="C2" s="488"/>
      <c r="D2" s="489" t="s">
        <v>736</v>
      </c>
      <c r="E2" s="962" t="s">
        <v>737</v>
      </c>
      <c r="F2" s="488"/>
      <c r="G2" s="488"/>
      <c r="H2" s="488"/>
      <c r="I2" s="488"/>
      <c r="J2" s="489" t="s">
        <v>371</v>
      </c>
      <c r="K2" s="488" t="s">
        <v>738</v>
      </c>
      <c r="L2" s="488"/>
      <c r="M2" s="488"/>
      <c r="N2" s="488"/>
      <c r="O2" s="488"/>
      <c r="P2" s="489" t="s">
        <v>739</v>
      </c>
      <c r="Q2" s="488" t="s">
        <v>737</v>
      </c>
      <c r="R2" s="488"/>
      <c r="S2" s="488"/>
      <c r="T2" s="488"/>
      <c r="U2" s="488"/>
      <c r="V2" s="488"/>
      <c r="W2" s="488"/>
      <c r="X2" s="489" t="s">
        <v>740</v>
      </c>
      <c r="Y2" s="488" t="s">
        <v>737</v>
      </c>
      <c r="Z2" s="488"/>
      <c r="AA2" s="488"/>
      <c r="AB2" s="488"/>
      <c r="AC2" s="488"/>
      <c r="AD2" s="488"/>
      <c r="AE2" s="488"/>
      <c r="AF2" s="488"/>
      <c r="AJ2" s="646" t="s">
        <v>48</v>
      </c>
      <c r="AK2" s="1602" t="s">
        <v>221</v>
      </c>
      <c r="AL2" s="1602"/>
      <c r="AM2" s="1602"/>
      <c r="AN2" s="1602"/>
      <c r="AO2" s="542"/>
      <c r="AP2" s="1602" t="s">
        <v>222</v>
      </c>
      <c r="AQ2" s="1602"/>
      <c r="AR2" s="1602"/>
      <c r="AS2" s="1602"/>
      <c r="AT2" s="542"/>
      <c r="AU2" s="1602" t="s">
        <v>134</v>
      </c>
      <c r="AV2" s="1602"/>
      <c r="AW2" s="1602"/>
      <c r="AX2" s="1602"/>
      <c r="AY2" s="542" t="s">
        <v>32</v>
      </c>
      <c r="AZ2" s="1602" t="s">
        <v>762</v>
      </c>
      <c r="BA2" s="1602"/>
      <c r="BB2" s="1602"/>
      <c r="BC2" s="1602"/>
      <c r="BD2" s="542"/>
      <c r="BE2" s="1602" t="s">
        <v>766</v>
      </c>
      <c r="BF2" s="1602"/>
      <c r="BG2" s="1602"/>
      <c r="BH2" s="1602"/>
      <c r="BI2" s="542"/>
      <c r="BJ2" s="1602" t="s">
        <v>767</v>
      </c>
      <c r="BK2" s="1602"/>
      <c r="BL2" s="1602"/>
      <c r="BM2" s="1602"/>
      <c r="BN2" s="542" t="s">
        <v>32</v>
      </c>
    </row>
    <row r="3" spans="1:89" ht="14.75">
      <c r="A3" s="488"/>
      <c r="B3" s="488"/>
      <c r="C3" s="488"/>
      <c r="D3" s="489" t="s">
        <v>5</v>
      </c>
      <c r="E3" s="489">
        <v>2015</v>
      </c>
      <c r="F3" s="489">
        <v>2020</v>
      </c>
      <c r="G3" s="489">
        <v>2030</v>
      </c>
      <c r="H3" s="489">
        <v>2050</v>
      </c>
      <c r="I3" s="488"/>
      <c r="J3" s="489" t="s">
        <v>5</v>
      </c>
      <c r="K3" s="489">
        <v>2015</v>
      </c>
      <c r="L3" s="489">
        <v>2020</v>
      </c>
      <c r="M3" s="489">
        <v>2030</v>
      </c>
      <c r="N3" s="489">
        <v>2050</v>
      </c>
      <c r="O3" s="488"/>
      <c r="P3" s="489" t="s">
        <v>5</v>
      </c>
      <c r="Q3" s="489">
        <v>2015</v>
      </c>
      <c r="R3" s="489">
        <v>2020</v>
      </c>
      <c r="S3" s="489">
        <v>2030</v>
      </c>
      <c r="T3" s="489">
        <v>2050</v>
      </c>
      <c r="U3" s="489">
        <v>2020</v>
      </c>
      <c r="V3" s="489">
        <v>2030</v>
      </c>
      <c r="W3" s="489">
        <v>2050</v>
      </c>
      <c r="X3" s="489" t="s">
        <v>5</v>
      </c>
      <c r="Y3" s="489">
        <v>2015</v>
      </c>
      <c r="Z3" s="489">
        <v>2020</v>
      </c>
      <c r="AA3" s="489">
        <v>2030</v>
      </c>
      <c r="AB3" s="489">
        <v>2050</v>
      </c>
      <c r="AC3" s="489"/>
      <c r="AD3" s="489"/>
      <c r="AE3" s="489"/>
      <c r="AF3" s="489"/>
      <c r="AJ3" s="648"/>
      <c r="AK3" s="537">
        <v>2010</v>
      </c>
      <c r="AL3" s="537">
        <v>2020</v>
      </c>
      <c r="AM3" s="537">
        <v>2025</v>
      </c>
      <c r="AN3" s="537">
        <v>2030</v>
      </c>
      <c r="AO3" s="537">
        <v>2050</v>
      </c>
      <c r="AP3" s="537">
        <v>2010</v>
      </c>
      <c r="AQ3" s="537">
        <v>2020</v>
      </c>
      <c r="AR3" s="537">
        <v>2025</v>
      </c>
      <c r="AS3" s="537">
        <v>2030</v>
      </c>
      <c r="AT3" s="537">
        <v>2050</v>
      </c>
      <c r="AU3" s="537">
        <v>2010</v>
      </c>
      <c r="AV3" s="537">
        <v>2020</v>
      </c>
      <c r="AW3" s="537">
        <v>2025</v>
      </c>
      <c r="AX3" s="537">
        <v>2030</v>
      </c>
      <c r="AY3" s="537" t="s">
        <v>63</v>
      </c>
      <c r="AZ3" s="537">
        <v>2010</v>
      </c>
      <c r="BA3" s="537">
        <v>2020</v>
      </c>
      <c r="BB3" s="537">
        <v>2025</v>
      </c>
      <c r="BC3" s="537">
        <v>2030</v>
      </c>
      <c r="BD3" s="537">
        <v>2050</v>
      </c>
      <c r="BE3" s="537">
        <v>2010</v>
      </c>
      <c r="BF3" s="537">
        <v>2020</v>
      </c>
      <c r="BG3" s="537">
        <v>2025</v>
      </c>
      <c r="BH3" s="537">
        <v>2030</v>
      </c>
      <c r="BI3" s="537">
        <v>2050</v>
      </c>
      <c r="BJ3" s="537">
        <v>2010</v>
      </c>
      <c r="BK3" s="537">
        <v>2020</v>
      </c>
      <c r="BL3" s="537">
        <v>2025</v>
      </c>
      <c r="BM3" s="537">
        <v>2030</v>
      </c>
      <c r="BN3" s="537" t="s">
        <v>63</v>
      </c>
    </row>
    <row r="4" spans="1:89" ht="31.5">
      <c r="A4" s="1603" t="s">
        <v>741</v>
      </c>
      <c r="B4" s="490" t="s">
        <v>742</v>
      </c>
      <c r="C4" s="491"/>
      <c r="D4" s="492" t="s">
        <v>743</v>
      </c>
      <c r="E4" s="497"/>
      <c r="F4" s="497"/>
      <c r="G4" s="497"/>
      <c r="H4" s="497"/>
      <c r="I4" s="488"/>
      <c r="J4" s="492" t="s">
        <v>744</v>
      </c>
      <c r="K4" s="497"/>
      <c r="L4" s="497"/>
      <c r="M4" s="497"/>
      <c r="N4" s="497"/>
      <c r="O4" s="488"/>
      <c r="P4" s="492" t="s">
        <v>745</v>
      </c>
      <c r="Q4" s="497"/>
      <c r="R4" s="497"/>
      <c r="S4" s="497"/>
      <c r="T4" s="497"/>
      <c r="U4" s="497"/>
      <c r="V4" s="497"/>
      <c r="W4" s="488"/>
      <c r="X4" s="492" t="s">
        <v>746</v>
      </c>
      <c r="Y4" s="497"/>
      <c r="Z4" s="497"/>
      <c r="AA4" s="497"/>
      <c r="AB4" s="497"/>
      <c r="AC4" s="497"/>
      <c r="AD4" s="497"/>
      <c r="AE4" s="497"/>
      <c r="AF4" s="497"/>
      <c r="AJ4" s="655" t="s">
        <v>104</v>
      </c>
      <c r="AK4" s="534">
        <v>462.45995662093873</v>
      </c>
      <c r="AL4" s="533"/>
      <c r="AM4" s="534">
        <v>462.45995662093873</v>
      </c>
      <c r="AN4" s="534">
        <v>350.94478977617331</v>
      </c>
      <c r="AO4" s="534"/>
      <c r="AP4" s="532">
        <v>27.496141628880871</v>
      </c>
      <c r="AQ4" s="532"/>
      <c r="AR4" s="532">
        <v>27.496141628880871</v>
      </c>
      <c r="AS4" s="532">
        <v>22.412361963898917</v>
      </c>
      <c r="AT4" s="532"/>
      <c r="AU4" s="532">
        <v>0.16293898916967511</v>
      </c>
      <c r="AV4" s="532"/>
      <c r="AW4" s="531">
        <v>0.16293898916967511</v>
      </c>
      <c r="AX4" s="532">
        <v>0.12364873646209389</v>
      </c>
      <c r="AY4" s="533">
        <v>20</v>
      </c>
      <c r="AZ4" s="534">
        <f>AK4*0.724269/0.942015</f>
        <v>355.56271431122718</v>
      </c>
      <c r="BA4" s="534">
        <f t="shared" ref="BA4:BM4" si="0">AL4*0.724269/0.942015</f>
        <v>0</v>
      </c>
      <c r="BB4" s="534">
        <f t="shared" si="0"/>
        <v>355.56271431122718</v>
      </c>
      <c r="BC4" s="534">
        <f t="shared" si="0"/>
        <v>269.82418745603763</v>
      </c>
      <c r="BD4" s="534">
        <f t="shared" si="0"/>
        <v>0</v>
      </c>
      <c r="BE4" s="534">
        <f t="shared" si="0"/>
        <v>21.140430886353105</v>
      </c>
      <c r="BF4" s="534">
        <f t="shared" si="0"/>
        <v>0</v>
      </c>
      <c r="BG4" s="534">
        <f t="shared" si="0"/>
        <v>21.140430886353105</v>
      </c>
      <c r="BH4" s="534">
        <f t="shared" si="0"/>
        <v>17.231762750307695</v>
      </c>
      <c r="BI4" s="534">
        <f t="shared" si="0"/>
        <v>0</v>
      </c>
      <c r="BJ4" s="534">
        <f t="shared" si="0"/>
        <v>0.12527577453324143</v>
      </c>
      <c r="BK4" s="534">
        <f t="shared" si="0"/>
        <v>0</v>
      </c>
      <c r="BL4" s="534">
        <f t="shared" si="0"/>
        <v>0.12527577453324143</v>
      </c>
      <c r="BM4" s="534">
        <f t="shared" si="0"/>
        <v>9.5067431737991717E-2</v>
      </c>
      <c r="BN4" s="533">
        <v>20</v>
      </c>
    </row>
    <row r="5" spans="1:89" ht="31.5">
      <c r="A5" s="1603"/>
      <c r="B5" s="490" t="s">
        <v>747</v>
      </c>
      <c r="C5" s="491"/>
      <c r="D5" s="492" t="s">
        <v>743</v>
      </c>
      <c r="E5" s="497"/>
      <c r="F5" s="497"/>
      <c r="G5" s="497"/>
      <c r="H5" s="497"/>
      <c r="I5" s="488"/>
      <c r="J5" s="492" t="s">
        <v>744</v>
      </c>
      <c r="K5" s="497"/>
      <c r="L5" s="497"/>
      <c r="M5" s="497"/>
      <c r="N5" s="497"/>
      <c r="O5" s="488"/>
      <c r="P5" s="492" t="s">
        <v>745</v>
      </c>
      <c r="Q5" s="497"/>
      <c r="R5" s="497"/>
      <c r="S5" s="497"/>
      <c r="T5" s="497"/>
      <c r="U5" s="497"/>
      <c r="V5" s="497"/>
      <c r="W5" s="488"/>
      <c r="X5" s="492" t="s">
        <v>746</v>
      </c>
      <c r="Y5" s="497"/>
      <c r="Z5" s="497"/>
      <c r="AA5" s="497"/>
      <c r="AB5" s="497"/>
      <c r="AC5" s="497"/>
      <c r="AD5" s="497"/>
      <c r="AE5" s="497"/>
      <c r="AF5" s="497"/>
      <c r="AJ5" s="655" t="s">
        <v>105</v>
      </c>
      <c r="AK5" s="534">
        <v>573.36774238267151</v>
      </c>
      <c r="AL5" s="534">
        <v>573.36774238267151</v>
      </c>
      <c r="AM5" s="534"/>
      <c r="AN5" s="534"/>
      <c r="AO5" s="534"/>
      <c r="AP5" s="532">
        <v>14.334193559566787</v>
      </c>
      <c r="AQ5" s="532"/>
      <c r="AR5" s="532"/>
      <c r="AS5" s="534"/>
      <c r="AT5" s="534"/>
      <c r="AU5" s="532">
        <v>0.22148916967509027</v>
      </c>
      <c r="AV5" s="532"/>
      <c r="AW5" s="532"/>
      <c r="AX5" s="534"/>
      <c r="AY5" s="533">
        <v>20</v>
      </c>
      <c r="AZ5" s="534">
        <f t="shared" ref="AZ5:AZ45" si="1">AK5*0.724269/0.942015</f>
        <v>440.83425572602891</v>
      </c>
      <c r="BA5" s="534">
        <f t="shared" ref="BA5:BA45" si="2">AL5*0.724269/0.942015</f>
        <v>440.83425572602891</v>
      </c>
      <c r="BB5" s="534">
        <f t="shared" ref="BB5:BB45" si="3">AM5*0.724269/0.942015</f>
        <v>0</v>
      </c>
      <c r="BC5" s="534">
        <f t="shared" ref="BC5:BC45" si="4">AN5*0.724269/0.942015</f>
        <v>0</v>
      </c>
      <c r="BD5" s="534">
        <f t="shared" ref="BD5:BD45" si="5">AO5*0.724269/0.942015</f>
        <v>0</v>
      </c>
      <c r="BE5" s="534">
        <f t="shared" ref="BE5:BE45" si="6">AP5*0.724269/0.942015</f>
        <v>11.020856393150723</v>
      </c>
      <c r="BF5" s="534">
        <f t="shared" ref="BF5:BF45" si="7">AQ5*0.724269/0.942015</f>
        <v>0</v>
      </c>
      <c r="BG5" s="534">
        <f t="shared" ref="BG5:BG45" si="8">AR5*0.724269/0.942015</f>
        <v>0</v>
      </c>
      <c r="BH5" s="534">
        <f t="shared" ref="BH5:BH45" si="9">AS5*0.724269/0.942015</f>
        <v>0</v>
      </c>
      <c r="BI5" s="534">
        <f t="shared" ref="BI5:BI45" si="10">AT5*0.724269/0.942015</f>
        <v>0</v>
      </c>
      <c r="BJ5" s="534">
        <f t="shared" ref="BJ5:BJ45" si="11">AU5*0.724269/0.942015</f>
        <v>0.17029212850263314</v>
      </c>
      <c r="BK5" s="534">
        <f t="shared" ref="BK5:BK45" si="12">AV5*0.724269/0.942015</f>
        <v>0</v>
      </c>
      <c r="BL5" s="534">
        <f t="shared" ref="BL5:BL45" si="13">AW5*0.724269/0.942015</f>
        <v>0</v>
      </c>
      <c r="BM5" s="534">
        <f t="shared" ref="BM5:BM45" si="14">AX5*0.724269/0.942015</f>
        <v>0</v>
      </c>
      <c r="BN5" s="533">
        <v>20</v>
      </c>
    </row>
    <row r="6" spans="1:89" ht="31.5">
      <c r="A6" s="1603"/>
      <c r="B6" s="490" t="s">
        <v>748</v>
      </c>
      <c r="C6" s="491"/>
      <c r="D6" s="492" t="s">
        <v>743</v>
      </c>
      <c r="E6" s="488"/>
      <c r="F6" s="494">
        <v>1226.8348018794102</v>
      </c>
      <c r="G6" s="494">
        <v>744.8639868553563</v>
      </c>
      <c r="H6" s="494">
        <v>613.41740093970509</v>
      </c>
      <c r="I6" s="488"/>
      <c r="J6" s="492" t="s">
        <v>744</v>
      </c>
      <c r="K6" s="488"/>
      <c r="L6" s="495">
        <v>4.4999999999999998E-2</v>
      </c>
      <c r="M6" s="495">
        <v>4.4999999999999998E-2</v>
      </c>
      <c r="N6" s="495">
        <v>4.4999999999999998E-2</v>
      </c>
      <c r="O6" s="488"/>
      <c r="P6" s="492" t="s">
        <v>745</v>
      </c>
      <c r="Q6" s="488"/>
      <c r="R6" s="493">
        <v>75000</v>
      </c>
      <c r="S6" s="493">
        <v>95000</v>
      </c>
      <c r="T6" s="493">
        <v>125000</v>
      </c>
      <c r="U6" s="493">
        <f>R6/(365*24*(5000/8760))</f>
        <v>15</v>
      </c>
      <c r="V6" s="493">
        <f t="shared" ref="V6:W6" si="15">S6/(365*24*(5000/8760))</f>
        <v>19</v>
      </c>
      <c r="W6" s="493">
        <f t="shared" si="15"/>
        <v>25</v>
      </c>
      <c r="X6" s="492" t="s">
        <v>746</v>
      </c>
      <c r="Y6" s="488"/>
      <c r="Z6" s="496">
        <v>0.63</v>
      </c>
      <c r="AA6" s="496">
        <v>0.65</v>
      </c>
      <c r="AB6" s="496">
        <v>0.7</v>
      </c>
      <c r="AG6">
        <f>1/Z6</f>
        <v>1.5873015873015872</v>
      </c>
      <c r="AH6" s="622">
        <f>1/AA6</f>
        <v>1.5384615384615383</v>
      </c>
      <c r="AI6" s="622">
        <f>1/AB6</f>
        <v>1.4285714285714286</v>
      </c>
      <c r="AJ6" s="655" t="s">
        <v>487</v>
      </c>
      <c r="AK6" s="534">
        <v>570.96858710469314</v>
      </c>
      <c r="AL6" s="534">
        <v>520.40411194223827</v>
      </c>
      <c r="AM6" s="534">
        <v>520.40411194223827</v>
      </c>
      <c r="AN6" s="534">
        <v>363.51757819494588</v>
      </c>
      <c r="AO6" s="534"/>
      <c r="AP6" s="532">
        <v>40.998223104693146</v>
      </c>
      <c r="AQ6" s="532"/>
      <c r="AR6" s="532">
        <v>40.998223104693146</v>
      </c>
      <c r="AS6" s="532">
        <v>22.685683451263539</v>
      </c>
      <c r="AT6" s="532"/>
      <c r="AU6" s="532">
        <v>0.20116994584837547</v>
      </c>
      <c r="AV6" s="532"/>
      <c r="AW6" s="531">
        <v>0.20116994584837547</v>
      </c>
      <c r="AX6" s="532">
        <v>0.12807851985559568</v>
      </c>
      <c r="AY6" s="533">
        <v>20</v>
      </c>
      <c r="AZ6" s="534">
        <f t="shared" si="1"/>
        <v>438.98966323649728</v>
      </c>
      <c r="BA6" s="534">
        <f t="shared" si="2"/>
        <v>400.11312532421778</v>
      </c>
      <c r="BB6" s="534">
        <f t="shared" si="3"/>
        <v>400.11312532421778</v>
      </c>
      <c r="BC6" s="534">
        <f t="shared" si="4"/>
        <v>279.49078607206388</v>
      </c>
      <c r="BD6" s="534">
        <f t="shared" si="5"/>
        <v>0</v>
      </c>
      <c r="BE6" s="534">
        <f t="shared" si="6"/>
        <v>31.521517226172623</v>
      </c>
      <c r="BF6" s="534">
        <f t="shared" si="7"/>
        <v>0</v>
      </c>
      <c r="BG6" s="534">
        <f t="shared" si="8"/>
        <v>31.521517226172623</v>
      </c>
      <c r="BH6" s="534">
        <f t="shared" si="9"/>
        <v>17.441906198482179</v>
      </c>
      <c r="BI6" s="534">
        <f t="shared" si="10"/>
        <v>0</v>
      </c>
      <c r="BJ6" s="534">
        <f t="shared" si="11"/>
        <v>0.15466967671391332</v>
      </c>
      <c r="BK6" s="534">
        <f t="shared" si="12"/>
        <v>0</v>
      </c>
      <c r="BL6" s="534">
        <f t="shared" si="13"/>
        <v>0.15466967671391332</v>
      </c>
      <c r="BM6" s="534">
        <f t="shared" si="14"/>
        <v>9.8473274308044381E-2</v>
      </c>
      <c r="BN6" s="533">
        <v>20</v>
      </c>
      <c r="BW6" s="1493">
        <f t="shared" ref="BW6:BY8" si="16">1/Z6*F6</f>
        <v>1947.3568283800159</v>
      </c>
      <c r="BX6" s="1493">
        <f t="shared" si="16"/>
        <v>1145.9445951620864</v>
      </c>
      <c r="BY6" s="1493">
        <f t="shared" si="16"/>
        <v>876.31057277100729</v>
      </c>
      <c r="BZ6" s="1493">
        <f>1/BW6*I6</f>
        <v>0</v>
      </c>
      <c r="CB6" s="1463">
        <f t="shared" ref="CB6:CD6" si="17">BW6/F6</f>
        <v>1.5873015873015872</v>
      </c>
      <c r="CC6" s="1463">
        <f t="shared" si="17"/>
        <v>1.5384615384615383</v>
      </c>
      <c r="CD6" s="1463">
        <f t="shared" si="17"/>
        <v>1.4285714285714286</v>
      </c>
      <c r="CE6" s="1495">
        <f>BW6*L6</f>
        <v>87.631057277100709</v>
      </c>
      <c r="CF6" s="1495">
        <f t="shared" ref="CF6:CG6" si="18">BX6*M6</f>
        <v>51.56750678229389</v>
      </c>
      <c r="CG6" s="1495">
        <f t="shared" si="18"/>
        <v>39.433975774695327</v>
      </c>
      <c r="CI6" s="1463">
        <f>CE6/(L6*F6)</f>
        <v>1.587301587301587</v>
      </c>
      <c r="CJ6" s="1463">
        <f t="shared" ref="CJ6:CK6" si="19">CF6/(M6*G6)</f>
        <v>1.5384615384615383</v>
      </c>
      <c r="CK6" s="1463">
        <f t="shared" si="19"/>
        <v>1.4285714285714286</v>
      </c>
    </row>
    <row r="7" spans="1:89" s="331" customFormat="1" ht="31.5">
      <c r="A7" s="1603"/>
      <c r="B7" s="948" t="s">
        <v>749</v>
      </c>
      <c r="C7" s="949"/>
      <c r="D7" s="950" t="s">
        <v>743</v>
      </c>
      <c r="E7" s="951"/>
      <c r="F7" s="952">
        <v>832.495044132457</v>
      </c>
      <c r="G7" s="952">
        <v>547.69410798187948</v>
      </c>
      <c r="H7" s="952">
        <v>394.3397577469533</v>
      </c>
      <c r="I7" s="951"/>
      <c r="J7" s="950" t="s">
        <v>744</v>
      </c>
      <c r="K7" s="951"/>
      <c r="L7" s="953">
        <v>2.5000000000000001E-2</v>
      </c>
      <c r="M7" s="953">
        <v>2.5000000000000001E-2</v>
      </c>
      <c r="N7" s="953">
        <v>2.5000000000000001E-2</v>
      </c>
      <c r="O7" s="951"/>
      <c r="P7" s="950" t="s">
        <v>745</v>
      </c>
      <c r="Q7" s="951"/>
      <c r="R7" s="954">
        <v>75000</v>
      </c>
      <c r="S7" s="954">
        <v>95000</v>
      </c>
      <c r="T7" s="954">
        <v>125000</v>
      </c>
      <c r="U7" s="493">
        <f t="shared" ref="U7:U8" si="20">R7/(365*24*(5000/8760))</f>
        <v>15</v>
      </c>
      <c r="V7" s="493">
        <f t="shared" ref="V7:V8" si="21">S7/(365*24*(5000/8760))</f>
        <v>19</v>
      </c>
      <c r="W7" s="493">
        <f t="shared" ref="W7:W8" si="22">T7/(365*24*(5000/8760))</f>
        <v>25</v>
      </c>
      <c r="X7" s="950" t="s">
        <v>746</v>
      </c>
      <c r="Y7" s="951"/>
      <c r="Z7" s="955">
        <v>0.63</v>
      </c>
      <c r="AA7" s="955">
        <v>0.65</v>
      </c>
      <c r="AB7" s="955">
        <v>0.7</v>
      </c>
      <c r="AG7" s="331">
        <f t="shared" ref="AG7:AG8" si="23">1/Z7</f>
        <v>1.5873015873015872</v>
      </c>
      <c r="AH7" s="331">
        <f t="shared" ref="AH7:AH8" si="24">1/AA7</f>
        <v>1.5384615384615383</v>
      </c>
      <c r="AI7" s="331">
        <f>1/AB7</f>
        <v>1.4285714285714286</v>
      </c>
      <c r="AJ7" s="956" t="s">
        <v>488</v>
      </c>
      <c r="AK7" s="957">
        <v>660.83061833935028</v>
      </c>
      <c r="AL7" s="957">
        <v>660.83061833935028</v>
      </c>
      <c r="AM7" s="957"/>
      <c r="AN7" s="957"/>
      <c r="AO7" s="957"/>
      <c r="AP7" s="958">
        <v>27.453624953068594</v>
      </c>
      <c r="AQ7" s="958"/>
      <c r="AR7" s="958"/>
      <c r="AS7" s="958"/>
      <c r="AT7" s="958"/>
      <c r="AU7" s="958">
        <v>0.26193501805054153</v>
      </c>
      <c r="AV7" s="958"/>
      <c r="AW7" s="958"/>
      <c r="AX7" s="958"/>
      <c r="AY7" s="959">
        <v>20</v>
      </c>
      <c r="AZ7" s="957">
        <f t="shared" si="1"/>
        <v>508.08015914186387</v>
      </c>
      <c r="BA7" s="957">
        <f t="shared" si="2"/>
        <v>508.08015914186387</v>
      </c>
      <c r="BB7" s="957">
        <f t="shared" si="3"/>
        <v>0</v>
      </c>
      <c r="BC7" s="957">
        <f t="shared" si="4"/>
        <v>0</v>
      </c>
      <c r="BD7" s="957">
        <f t="shared" si="5"/>
        <v>0</v>
      </c>
      <c r="BE7" s="957">
        <f t="shared" si="6"/>
        <v>21.107741905525959</v>
      </c>
      <c r="BF7" s="957">
        <f t="shared" si="7"/>
        <v>0</v>
      </c>
      <c r="BG7" s="957">
        <f t="shared" si="8"/>
        <v>0</v>
      </c>
      <c r="BH7" s="957">
        <f t="shared" si="9"/>
        <v>0</v>
      </c>
      <c r="BI7" s="957">
        <f t="shared" si="10"/>
        <v>0</v>
      </c>
      <c r="BJ7" s="957">
        <f t="shared" si="11"/>
        <v>0.20138895196833137</v>
      </c>
      <c r="BK7" s="957">
        <f t="shared" si="12"/>
        <v>0</v>
      </c>
      <c r="BL7" s="957">
        <f t="shared" si="13"/>
        <v>0</v>
      </c>
      <c r="BM7" s="957">
        <f t="shared" si="14"/>
        <v>0</v>
      </c>
      <c r="BN7" s="959">
        <v>20</v>
      </c>
      <c r="BW7" s="1493">
        <f t="shared" si="16"/>
        <v>1321.420704972154</v>
      </c>
      <c r="BX7" s="1493">
        <f t="shared" si="16"/>
        <v>842.60631997212215</v>
      </c>
      <c r="BY7" s="1493">
        <f t="shared" si="16"/>
        <v>563.3425110670762</v>
      </c>
      <c r="BZ7" s="1493">
        <f>1/BW7*I7</f>
        <v>0</v>
      </c>
      <c r="CB7" s="1463">
        <f t="shared" ref="CB7:CB8" si="25">BW7/F7</f>
        <v>1.5873015873015874</v>
      </c>
      <c r="CC7" s="1463">
        <f t="shared" ref="CC7:CC8" si="26">BX7/G7</f>
        <v>1.5384615384615383</v>
      </c>
      <c r="CD7" s="1463">
        <f t="shared" ref="CD7:CD8" si="27">BY7/H7</f>
        <v>1.4285714285714288</v>
      </c>
      <c r="CE7" s="1495">
        <f t="shared" ref="CE7:CE8" si="28">BW7*L7</f>
        <v>33.03551762430385</v>
      </c>
      <c r="CF7" s="1495">
        <f t="shared" ref="CF7:CF8" si="29">BX7*M7</f>
        <v>21.065157999303054</v>
      </c>
      <c r="CG7" s="1495">
        <f t="shared" ref="CG7:CG8" si="30">BY7*N7</f>
        <v>14.083562776676906</v>
      </c>
      <c r="CI7" s="1463">
        <f t="shared" ref="CI7:CI8" si="31">CE7/(L7*F7)</f>
        <v>1.5873015873015872</v>
      </c>
      <c r="CJ7" s="1463">
        <f t="shared" ref="CJ7:CJ8" si="32">CF7/(M7*G7)</f>
        <v>1.5384615384615383</v>
      </c>
      <c r="CK7" s="1463">
        <f t="shared" ref="CK7:CK8" si="33">CG7/(N7*H7)</f>
        <v>1.4285714285714288</v>
      </c>
    </row>
    <row r="8" spans="1:89" ht="31.5">
      <c r="A8" s="1603"/>
      <c r="B8" s="490" t="s">
        <v>750</v>
      </c>
      <c r="C8" s="491"/>
      <c r="D8" s="492" t="s">
        <v>743</v>
      </c>
      <c r="E8" s="488"/>
      <c r="F8" s="494"/>
      <c r="G8" s="494">
        <v>350.52422910840295</v>
      </c>
      <c r="H8" s="494">
        <v>175.26211455420147</v>
      </c>
      <c r="I8" s="488"/>
      <c r="J8" s="492" t="s">
        <v>744</v>
      </c>
      <c r="K8" s="488"/>
      <c r="L8" s="495"/>
      <c r="M8" s="495">
        <v>1.4999999999999999E-2</v>
      </c>
      <c r="N8" s="495">
        <v>1.4999999999999999E-2</v>
      </c>
      <c r="O8" s="488"/>
      <c r="P8" s="492" t="s">
        <v>745</v>
      </c>
      <c r="Q8" s="488"/>
      <c r="R8" s="493"/>
      <c r="S8" s="493">
        <v>95000</v>
      </c>
      <c r="T8" s="493">
        <v>125000</v>
      </c>
      <c r="U8" s="493">
        <f t="shared" si="20"/>
        <v>0</v>
      </c>
      <c r="V8" s="493">
        <f t="shared" si="21"/>
        <v>19</v>
      </c>
      <c r="W8" s="493">
        <f t="shared" si="22"/>
        <v>25</v>
      </c>
      <c r="X8" s="492" t="s">
        <v>746</v>
      </c>
      <c r="Y8" s="488"/>
      <c r="Z8" s="496"/>
      <c r="AA8" s="496">
        <v>0.65</v>
      </c>
      <c r="AB8" s="496">
        <v>0.7</v>
      </c>
      <c r="AG8" s="622" t="e">
        <f t="shared" si="23"/>
        <v>#DIV/0!</v>
      </c>
      <c r="AH8" s="622">
        <f t="shared" si="24"/>
        <v>1.5384615384615383</v>
      </c>
      <c r="AI8" s="622">
        <f>1/AB8</f>
        <v>1.4285714285714286</v>
      </c>
      <c r="AJ8" s="654" t="s">
        <v>544</v>
      </c>
      <c r="AK8" s="534">
        <v>4101.0978107436822</v>
      </c>
      <c r="AL8" s="534">
        <v>3099.1103487812275</v>
      </c>
      <c r="AM8" s="534"/>
      <c r="AN8" s="534"/>
      <c r="AO8" s="534"/>
      <c r="AP8" s="532">
        <v>81.935708101083037</v>
      </c>
      <c r="AQ8" s="532"/>
      <c r="AR8" s="532"/>
      <c r="AS8" s="532"/>
      <c r="AT8" s="532"/>
      <c r="AU8" s="532">
        <v>1.8316191335740073</v>
      </c>
      <c r="AV8" s="532"/>
      <c r="AW8" s="532"/>
      <c r="AX8" s="532"/>
      <c r="AY8" s="533">
        <v>20</v>
      </c>
      <c r="AZ8" s="534">
        <f t="shared" si="1"/>
        <v>3153.1323920420759</v>
      </c>
      <c r="BA8" s="534">
        <f t="shared" si="2"/>
        <v>2382.7535158160231</v>
      </c>
      <c r="BB8" s="534">
        <f t="shared" si="3"/>
        <v>0</v>
      </c>
      <c r="BC8" s="534">
        <f t="shared" si="4"/>
        <v>0</v>
      </c>
      <c r="BD8" s="534">
        <f t="shared" si="5"/>
        <v>0</v>
      </c>
      <c r="BE8" s="534">
        <f t="shared" si="6"/>
        <v>62.996335908306463</v>
      </c>
      <c r="BF8" s="534">
        <f t="shared" si="7"/>
        <v>0</v>
      </c>
      <c r="BG8" s="534">
        <f t="shared" si="8"/>
        <v>0</v>
      </c>
      <c r="BH8" s="534">
        <f t="shared" si="9"/>
        <v>0</v>
      </c>
      <c r="BI8" s="534">
        <f t="shared" si="10"/>
        <v>0</v>
      </c>
      <c r="BJ8" s="534">
        <f t="shared" si="11"/>
        <v>1.4082418626609055</v>
      </c>
      <c r="BK8" s="534">
        <f t="shared" si="12"/>
        <v>0</v>
      </c>
      <c r="BL8" s="534">
        <f t="shared" si="13"/>
        <v>0</v>
      </c>
      <c r="BM8" s="534">
        <f t="shared" si="14"/>
        <v>0</v>
      </c>
      <c r="BN8" s="533">
        <v>20</v>
      </c>
      <c r="BW8" s="1493" t="e">
        <f t="shared" si="16"/>
        <v>#DIV/0!</v>
      </c>
      <c r="BX8" s="1493">
        <f t="shared" si="16"/>
        <v>539.26804478215831</v>
      </c>
      <c r="BY8" s="1493">
        <f t="shared" si="16"/>
        <v>250.37444936314498</v>
      </c>
      <c r="BZ8" s="1493" t="e">
        <f>1/BW8*I8</f>
        <v>#DIV/0!</v>
      </c>
      <c r="CB8" s="1463" t="e">
        <f t="shared" si="25"/>
        <v>#DIV/0!</v>
      </c>
      <c r="CC8" s="1463">
        <f t="shared" si="26"/>
        <v>1.5384615384615383</v>
      </c>
      <c r="CD8" s="1463">
        <f t="shared" si="27"/>
        <v>1.4285714285714286</v>
      </c>
      <c r="CE8" s="1495" t="e">
        <f t="shared" si="28"/>
        <v>#DIV/0!</v>
      </c>
      <c r="CF8" s="1495">
        <f t="shared" si="29"/>
        <v>8.0890206717323743</v>
      </c>
      <c r="CG8" s="1495">
        <f t="shared" si="30"/>
        <v>3.7556167404471745</v>
      </c>
      <c r="CI8" s="1463" t="e">
        <f t="shared" si="31"/>
        <v>#DIV/0!</v>
      </c>
      <c r="CJ8" s="1463">
        <f t="shared" si="32"/>
        <v>1.5384615384615381</v>
      </c>
      <c r="CK8" s="1463">
        <f t="shared" si="33"/>
        <v>1.4285714285714286</v>
      </c>
    </row>
    <row r="9" spans="1:89" ht="31.5">
      <c r="A9" s="1603"/>
      <c r="B9" s="490" t="s">
        <v>751</v>
      </c>
      <c r="C9" s="491"/>
      <c r="D9" s="492" t="s">
        <v>743</v>
      </c>
      <c r="E9" s="497"/>
      <c r="F9" s="497"/>
      <c r="G9" s="497"/>
      <c r="H9" s="497"/>
      <c r="I9" s="488"/>
      <c r="J9" s="492" t="s">
        <v>744</v>
      </c>
      <c r="K9" s="497"/>
      <c r="L9" s="497"/>
      <c r="M9" s="497"/>
      <c r="N9" s="497"/>
      <c r="O9" s="488"/>
      <c r="P9" s="492" t="s">
        <v>745</v>
      </c>
      <c r="Q9" s="497"/>
      <c r="R9" s="497"/>
      <c r="S9" s="497"/>
      <c r="T9" s="497"/>
      <c r="U9" s="497"/>
      <c r="V9" s="497"/>
      <c r="W9" s="488"/>
      <c r="X9" s="492" t="s">
        <v>746</v>
      </c>
      <c r="Y9" s="497"/>
      <c r="Z9" s="497"/>
      <c r="AA9" s="497"/>
      <c r="AB9" s="497"/>
      <c r="AC9" s="497"/>
      <c r="AD9" s="497"/>
      <c r="AE9" s="497"/>
      <c r="AF9" s="497"/>
      <c r="AJ9" s="654" t="s">
        <v>545</v>
      </c>
      <c r="AK9" s="534">
        <v>4101.0978107436822</v>
      </c>
      <c r="AL9" s="534">
        <v>3099.1103487812275</v>
      </c>
      <c r="AM9" s="534"/>
      <c r="AN9" s="534"/>
      <c r="AO9" s="534"/>
      <c r="AP9" s="532">
        <v>81.935708101083037</v>
      </c>
      <c r="AQ9" s="532"/>
      <c r="AR9" s="532"/>
      <c r="AS9" s="532"/>
      <c r="AT9" s="532"/>
      <c r="AU9" s="532">
        <v>1.8316191335740073</v>
      </c>
      <c r="AV9" s="532"/>
      <c r="AW9" s="532"/>
      <c r="AX9" s="532"/>
      <c r="AY9" s="533">
        <v>20</v>
      </c>
      <c r="AZ9" s="534">
        <f t="shared" si="1"/>
        <v>3153.1323920420759</v>
      </c>
      <c r="BA9" s="534">
        <f t="shared" si="2"/>
        <v>2382.7535158160231</v>
      </c>
      <c r="BB9" s="534">
        <f t="shared" si="3"/>
        <v>0</v>
      </c>
      <c r="BC9" s="534">
        <f t="shared" si="4"/>
        <v>0</v>
      </c>
      <c r="BD9" s="534">
        <f t="shared" si="5"/>
        <v>0</v>
      </c>
      <c r="BE9" s="534">
        <f t="shared" si="6"/>
        <v>62.996335908306463</v>
      </c>
      <c r="BF9" s="534">
        <f t="shared" si="7"/>
        <v>0</v>
      </c>
      <c r="BG9" s="534">
        <f t="shared" si="8"/>
        <v>0</v>
      </c>
      <c r="BH9" s="534">
        <f t="shared" si="9"/>
        <v>0</v>
      </c>
      <c r="BI9" s="534">
        <f t="shared" si="10"/>
        <v>0</v>
      </c>
      <c r="BJ9" s="534">
        <f t="shared" si="11"/>
        <v>1.4082418626609055</v>
      </c>
      <c r="BK9" s="534">
        <f t="shared" si="12"/>
        <v>0</v>
      </c>
      <c r="BL9" s="534">
        <f t="shared" si="13"/>
        <v>0</v>
      </c>
      <c r="BM9" s="534">
        <f t="shared" si="14"/>
        <v>0</v>
      </c>
      <c r="BN9" s="533">
        <v>20</v>
      </c>
      <c r="BW9" s="1493" t="e">
        <f t="shared" ref="BW9:BW45" si="34">1/Z9*F9</f>
        <v>#DIV/0!</v>
      </c>
      <c r="BX9" s="1493" t="e">
        <f t="shared" ref="BX9:BX45" si="35">1/AA9*G9</f>
        <v>#DIV/0!</v>
      </c>
      <c r="BY9" s="1493" t="e">
        <f t="shared" ref="BY9:BY45" si="36">1/AB9*H9</f>
        <v>#DIV/0!</v>
      </c>
      <c r="BZ9" s="1493" t="e">
        <f t="shared" ref="BZ9:BZ45" si="37">1/BW9*I9</f>
        <v>#DIV/0!</v>
      </c>
    </row>
    <row r="10" spans="1:89" ht="31.5">
      <c r="A10" s="1603"/>
      <c r="B10" s="490" t="s">
        <v>752</v>
      </c>
      <c r="C10" s="491"/>
      <c r="D10" s="492" t="s">
        <v>743</v>
      </c>
      <c r="E10" s="497"/>
      <c r="F10" s="497"/>
      <c r="G10" s="497"/>
      <c r="H10" s="497"/>
      <c r="I10" s="488"/>
      <c r="J10" s="492" t="s">
        <v>744</v>
      </c>
      <c r="K10" s="497"/>
      <c r="L10" s="497"/>
      <c r="M10" s="497"/>
      <c r="N10" s="497"/>
      <c r="O10" s="488"/>
      <c r="P10" s="492" t="s">
        <v>745</v>
      </c>
      <c r="Q10" s="497"/>
      <c r="R10" s="497"/>
      <c r="S10" s="497"/>
      <c r="T10" s="497"/>
      <c r="U10" s="497"/>
      <c r="V10" s="497"/>
      <c r="W10" s="488"/>
      <c r="X10" s="492" t="s">
        <v>746</v>
      </c>
      <c r="Y10" s="497"/>
      <c r="Z10" s="497"/>
      <c r="AA10" s="497"/>
      <c r="AB10" s="497"/>
      <c r="AC10" s="497"/>
      <c r="AD10" s="497"/>
      <c r="AE10" s="497"/>
      <c r="AF10" s="497"/>
      <c r="AJ10" s="654" t="s">
        <v>540</v>
      </c>
      <c r="AK10" s="534">
        <v>4101.0978107436822</v>
      </c>
      <c r="AL10" s="534">
        <v>3099.1103487812275</v>
      </c>
      <c r="AM10" s="534"/>
      <c r="AN10" s="534"/>
      <c r="AO10" s="534"/>
      <c r="AP10" s="532">
        <v>81.935708101083037</v>
      </c>
      <c r="AQ10" s="532"/>
      <c r="AR10" s="532"/>
      <c r="AS10" s="532"/>
      <c r="AT10" s="532"/>
      <c r="AU10" s="532">
        <v>1.8316191335740073</v>
      </c>
      <c r="AV10" s="532"/>
      <c r="AW10" s="532"/>
      <c r="AX10" s="532"/>
      <c r="AY10" s="533">
        <v>20</v>
      </c>
      <c r="AZ10" s="534">
        <f t="shared" si="1"/>
        <v>3153.1323920420759</v>
      </c>
      <c r="BA10" s="534">
        <f t="shared" si="2"/>
        <v>2382.7535158160231</v>
      </c>
      <c r="BB10" s="534">
        <f t="shared" si="3"/>
        <v>0</v>
      </c>
      <c r="BC10" s="534">
        <f t="shared" si="4"/>
        <v>0</v>
      </c>
      <c r="BD10" s="534">
        <f t="shared" si="5"/>
        <v>0</v>
      </c>
      <c r="BE10" s="534">
        <f t="shared" si="6"/>
        <v>62.996335908306463</v>
      </c>
      <c r="BF10" s="534">
        <f t="shared" si="7"/>
        <v>0</v>
      </c>
      <c r="BG10" s="534">
        <f t="shared" si="8"/>
        <v>0</v>
      </c>
      <c r="BH10" s="534">
        <f t="shared" si="9"/>
        <v>0</v>
      </c>
      <c r="BI10" s="534">
        <f t="shared" si="10"/>
        <v>0</v>
      </c>
      <c r="BJ10" s="534">
        <f t="shared" si="11"/>
        <v>1.4082418626609055</v>
      </c>
      <c r="BK10" s="534">
        <f t="shared" si="12"/>
        <v>0</v>
      </c>
      <c r="BL10" s="534">
        <f t="shared" si="13"/>
        <v>0</v>
      </c>
      <c r="BM10" s="534">
        <f t="shared" si="14"/>
        <v>0</v>
      </c>
      <c r="BN10" s="533">
        <v>20</v>
      </c>
      <c r="BW10" s="1493" t="e">
        <f t="shared" si="34"/>
        <v>#DIV/0!</v>
      </c>
      <c r="BX10" s="1493" t="e">
        <f t="shared" si="35"/>
        <v>#DIV/0!</v>
      </c>
      <c r="BY10" s="1493" t="e">
        <f t="shared" si="36"/>
        <v>#DIV/0!</v>
      </c>
      <c r="BZ10" s="1493" t="e">
        <f t="shared" si="37"/>
        <v>#DIV/0!</v>
      </c>
    </row>
    <row r="11" spans="1:89" ht="31.5">
      <c r="A11" s="1603"/>
      <c r="B11" s="490" t="s">
        <v>753</v>
      </c>
      <c r="C11" s="491"/>
      <c r="D11" s="492" t="s">
        <v>743</v>
      </c>
      <c r="E11" s="497"/>
      <c r="F11" s="497"/>
      <c r="G11" s="497"/>
      <c r="H11" s="497"/>
      <c r="I11" s="488"/>
      <c r="J11" s="492" t="s">
        <v>744</v>
      </c>
      <c r="K11" s="497"/>
      <c r="L11" s="497"/>
      <c r="M11" s="497"/>
      <c r="N11" s="497"/>
      <c r="O11" s="488"/>
      <c r="P11" s="492" t="s">
        <v>745</v>
      </c>
      <c r="Q11" s="497"/>
      <c r="R11" s="497"/>
      <c r="S11" s="497"/>
      <c r="T11" s="497"/>
      <c r="U11" s="497"/>
      <c r="V11" s="497"/>
      <c r="W11" s="488"/>
      <c r="X11" s="492" t="s">
        <v>746</v>
      </c>
      <c r="Y11" s="497"/>
      <c r="Z11" s="497"/>
      <c r="AA11" s="497"/>
      <c r="AB11" s="497"/>
      <c r="AC11" s="497"/>
      <c r="AD11" s="497"/>
      <c r="AE11" s="497"/>
      <c r="AF11" s="497"/>
      <c r="AJ11" s="654" t="s">
        <v>541</v>
      </c>
      <c r="AK11" s="534">
        <v>4101.0978107436822</v>
      </c>
      <c r="AL11" s="534">
        <v>3099.1103487812275</v>
      </c>
      <c r="AM11" s="534"/>
      <c r="AN11" s="534"/>
      <c r="AO11" s="534"/>
      <c r="AP11" s="532">
        <v>81.935708101083037</v>
      </c>
      <c r="AQ11" s="532"/>
      <c r="AR11" s="532"/>
      <c r="AS11" s="532"/>
      <c r="AT11" s="532"/>
      <c r="AU11" s="532">
        <v>1.8316191335740073</v>
      </c>
      <c r="AV11" s="532"/>
      <c r="AW11" s="532"/>
      <c r="AX11" s="532"/>
      <c r="AY11" s="533">
        <v>20</v>
      </c>
      <c r="AZ11" s="534">
        <f t="shared" si="1"/>
        <v>3153.1323920420759</v>
      </c>
      <c r="BA11" s="534">
        <f t="shared" si="2"/>
        <v>2382.7535158160231</v>
      </c>
      <c r="BB11" s="534">
        <f t="shared" si="3"/>
        <v>0</v>
      </c>
      <c r="BC11" s="534">
        <f t="shared" si="4"/>
        <v>0</v>
      </c>
      <c r="BD11" s="534">
        <f t="shared" si="5"/>
        <v>0</v>
      </c>
      <c r="BE11" s="534">
        <f t="shared" si="6"/>
        <v>62.996335908306463</v>
      </c>
      <c r="BF11" s="534">
        <f t="shared" si="7"/>
        <v>0</v>
      </c>
      <c r="BG11" s="534">
        <f t="shared" si="8"/>
        <v>0</v>
      </c>
      <c r="BH11" s="534">
        <f t="shared" si="9"/>
        <v>0</v>
      </c>
      <c r="BI11" s="534">
        <f t="shared" si="10"/>
        <v>0</v>
      </c>
      <c r="BJ11" s="534">
        <f t="shared" si="11"/>
        <v>1.4082418626609055</v>
      </c>
      <c r="BK11" s="534">
        <f t="shared" si="12"/>
        <v>0</v>
      </c>
      <c r="BL11" s="534">
        <f t="shared" si="13"/>
        <v>0</v>
      </c>
      <c r="BM11" s="534">
        <f t="shared" si="14"/>
        <v>0</v>
      </c>
      <c r="BN11" s="533">
        <v>20</v>
      </c>
      <c r="BW11" s="1493" t="e">
        <f t="shared" si="34"/>
        <v>#DIV/0!</v>
      </c>
      <c r="BX11" s="1493" t="e">
        <f t="shared" si="35"/>
        <v>#DIV/0!</v>
      </c>
      <c r="BY11" s="1493" t="e">
        <f t="shared" si="36"/>
        <v>#DIV/0!</v>
      </c>
      <c r="BZ11" s="1493" t="e">
        <f t="shared" si="37"/>
        <v>#DIV/0!</v>
      </c>
    </row>
    <row r="12" spans="1:89" s="173" customFormat="1" ht="31.5">
      <c r="A12" s="1603" t="s">
        <v>754</v>
      </c>
      <c r="B12" s="996" t="s">
        <v>755</v>
      </c>
      <c r="C12" s="997"/>
      <c r="D12" s="998" t="s">
        <v>743</v>
      </c>
      <c r="E12" s="999"/>
      <c r="F12" s="1000">
        <v>1577.3590309878132</v>
      </c>
      <c r="G12" s="1000">
        <v>1314.465859156511</v>
      </c>
      <c r="H12" s="1000">
        <v>788.67951549390659</v>
      </c>
      <c r="I12" s="999"/>
      <c r="J12" s="998" t="s">
        <v>744</v>
      </c>
      <c r="K12" s="999"/>
      <c r="L12" s="1001">
        <v>4.4999999999999998E-2</v>
      </c>
      <c r="M12" s="1001">
        <v>4.4999999999999998E-2</v>
      </c>
      <c r="N12" s="1001">
        <v>4.4999999999999998E-2</v>
      </c>
      <c r="O12" s="999"/>
      <c r="P12" s="998" t="s">
        <v>745</v>
      </c>
      <c r="Q12" s="999"/>
      <c r="R12" s="1002">
        <v>60000</v>
      </c>
      <c r="S12" s="1002">
        <v>75000</v>
      </c>
      <c r="T12" s="1002">
        <v>125000</v>
      </c>
      <c r="U12" s="1002"/>
      <c r="V12" s="1002"/>
      <c r="W12" s="999"/>
      <c r="X12" s="998" t="s">
        <v>746</v>
      </c>
      <c r="Y12" s="999"/>
      <c r="Z12" s="1003">
        <v>0.6</v>
      </c>
      <c r="AA12" s="1003">
        <v>0.68</v>
      </c>
      <c r="AB12" s="1003">
        <v>0.74</v>
      </c>
      <c r="AC12" s="1003"/>
      <c r="AD12" s="1003"/>
      <c r="AE12" s="1003"/>
      <c r="AF12" s="1003"/>
      <c r="AG12" s="173">
        <f>1/Z12</f>
        <v>1.6666666666666667</v>
      </c>
      <c r="AH12" s="173">
        <f t="shared" ref="AH12" si="38">1/AA12</f>
        <v>1.4705882352941175</v>
      </c>
      <c r="AI12" s="173">
        <f t="shared" ref="AI12" si="39">1/AB12</f>
        <v>1.3513513513513513</v>
      </c>
      <c r="AJ12" s="1004" t="s">
        <v>106</v>
      </c>
      <c r="AK12" s="1005">
        <v>2637.5523530685923</v>
      </c>
      <c r="AL12" s="1006">
        <v>1290.6240633357402</v>
      </c>
      <c r="AM12" s="1006"/>
      <c r="AN12" s="1005"/>
      <c r="AO12" s="1005"/>
      <c r="AP12" s="1006">
        <v>131.7409569097473</v>
      </c>
      <c r="AQ12" s="1006">
        <v>64.503871018050546</v>
      </c>
      <c r="AR12" s="1006"/>
      <c r="AS12" s="1006"/>
      <c r="AT12" s="1006"/>
      <c r="AU12" s="1006">
        <v>0.92929151624548734</v>
      </c>
      <c r="AV12" s="1006">
        <v>0.45472689530685922</v>
      </c>
      <c r="AW12" s="1006"/>
      <c r="AX12" s="1006"/>
      <c r="AY12" s="1007">
        <v>20</v>
      </c>
      <c r="AZ12" s="1005">
        <f t="shared" si="1"/>
        <v>2027.8842748837717</v>
      </c>
      <c r="BA12" s="1005">
        <f t="shared" si="2"/>
        <v>992.29736227991407</v>
      </c>
      <c r="BB12" s="1005">
        <f t="shared" si="3"/>
        <v>0</v>
      </c>
      <c r="BC12" s="1005">
        <f t="shared" si="4"/>
        <v>0</v>
      </c>
      <c r="BD12" s="1005">
        <f t="shared" si="5"/>
        <v>0</v>
      </c>
      <c r="BE12" s="1005">
        <f t="shared" si="6"/>
        <v>101.28914202010134</v>
      </c>
      <c r="BF12" s="1005">
        <f t="shared" si="7"/>
        <v>49.593853769178253</v>
      </c>
      <c r="BG12" s="1005">
        <f t="shared" si="8"/>
        <v>0</v>
      </c>
      <c r="BH12" s="1005">
        <f t="shared" si="9"/>
        <v>0</v>
      </c>
      <c r="BI12" s="1005">
        <f t="shared" si="10"/>
        <v>0</v>
      </c>
      <c r="BJ12" s="1005">
        <f t="shared" si="11"/>
        <v>0.71448653915235205</v>
      </c>
      <c r="BK12" s="1005">
        <f t="shared" si="12"/>
        <v>0.34961714382149289</v>
      </c>
      <c r="BL12" s="1005">
        <f t="shared" si="13"/>
        <v>0</v>
      </c>
      <c r="BM12" s="1005">
        <f t="shared" si="14"/>
        <v>0</v>
      </c>
      <c r="BN12" s="1007">
        <v>20</v>
      </c>
      <c r="BW12" s="1493">
        <f t="shared" si="34"/>
        <v>2628.931718313022</v>
      </c>
      <c r="BX12" s="1493">
        <f t="shared" si="35"/>
        <v>1933.0380281713394</v>
      </c>
      <c r="BY12" s="1493">
        <f t="shared" si="36"/>
        <v>1065.7831290458196</v>
      </c>
      <c r="BZ12" s="1493">
        <f t="shared" si="37"/>
        <v>0</v>
      </c>
      <c r="CB12" s="1463">
        <f>BW12/F12</f>
        <v>1.6666666666666667</v>
      </c>
      <c r="CC12" s="1463">
        <f t="shared" ref="CC12" si="40">BX12/G12</f>
        <v>1.4705882352941175</v>
      </c>
      <c r="CD12" s="1463">
        <f t="shared" ref="CD12" si="41">BY12/H12</f>
        <v>1.3513513513513511</v>
      </c>
      <c r="CE12" s="1495">
        <f>BW12*L12</f>
        <v>118.30192732408598</v>
      </c>
      <c r="CF12" s="1495">
        <f t="shared" ref="CF12" si="42">BX12*M12</f>
        <v>86.986711267710277</v>
      </c>
      <c r="CG12" s="1495">
        <f t="shared" ref="CG12" si="43">BY12*N12</f>
        <v>47.960240807061879</v>
      </c>
      <c r="CI12" s="1463">
        <f>CE12/(L12*F12)</f>
        <v>1.6666666666666667</v>
      </c>
      <c r="CJ12" s="1463">
        <f t="shared" ref="CJ12" si="44">CF12/(M12*G12)</f>
        <v>1.4705882352941175</v>
      </c>
      <c r="CK12" s="1463">
        <f t="shared" ref="CK12" si="45">CG12/(N12*H12)</f>
        <v>1.3513513513513513</v>
      </c>
    </row>
    <row r="13" spans="1:89" ht="31.5">
      <c r="A13" s="1603"/>
      <c r="B13" s="490" t="s">
        <v>756</v>
      </c>
      <c r="C13" s="491"/>
      <c r="D13" s="492" t="s">
        <v>743</v>
      </c>
      <c r="E13" s="497"/>
      <c r="F13" s="497"/>
      <c r="G13" s="497"/>
      <c r="H13" s="497"/>
      <c r="I13" s="488"/>
      <c r="J13" s="492" t="s">
        <v>744</v>
      </c>
      <c r="K13" s="497"/>
      <c r="L13" s="497"/>
      <c r="M13" s="497"/>
      <c r="N13" s="497"/>
      <c r="O13" s="488"/>
      <c r="P13" s="492" t="s">
        <v>745</v>
      </c>
      <c r="Q13" s="497"/>
      <c r="R13" s="497"/>
      <c r="S13" s="497"/>
      <c r="T13" s="497"/>
      <c r="U13" s="497"/>
      <c r="V13" s="497"/>
      <c r="W13" s="488"/>
      <c r="X13" s="492" t="s">
        <v>746</v>
      </c>
      <c r="Y13" s="497"/>
      <c r="Z13" s="497"/>
      <c r="AA13" s="497"/>
      <c r="AB13" s="497"/>
      <c r="AC13" s="497"/>
      <c r="AD13" s="497"/>
      <c r="AE13" s="497"/>
      <c r="AF13" s="497"/>
      <c r="AG13" s="622"/>
      <c r="AH13" s="622"/>
      <c r="AI13" s="622"/>
      <c r="AJ13" s="654" t="s">
        <v>489</v>
      </c>
      <c r="AK13" s="534">
        <v>2651.2184274368237</v>
      </c>
      <c r="AL13" s="532">
        <v>1309.2099244765343</v>
      </c>
      <c r="AM13" s="532"/>
      <c r="AN13" s="534"/>
      <c r="AO13" s="534"/>
      <c r="AP13" s="532">
        <v>111.51516684476535</v>
      </c>
      <c r="AQ13" s="532">
        <v>65.32383548014441</v>
      </c>
      <c r="AR13" s="532"/>
      <c r="AS13" s="532"/>
      <c r="AT13" s="532"/>
      <c r="AU13" s="532">
        <v>0.93410649819494584</v>
      </c>
      <c r="AV13" s="532">
        <v>0.46127527075812275</v>
      </c>
      <c r="AW13" s="532"/>
      <c r="AX13" s="532"/>
      <c r="AY13" s="533">
        <v>20</v>
      </c>
      <c r="AZ13" s="534">
        <f t="shared" si="1"/>
        <v>2038.3914472924964</v>
      </c>
      <c r="BA13" s="534">
        <f t="shared" si="2"/>
        <v>1006.5871167557789</v>
      </c>
      <c r="BB13" s="534">
        <f t="shared" si="3"/>
        <v>0</v>
      </c>
      <c r="BC13" s="534">
        <f t="shared" si="4"/>
        <v>0</v>
      </c>
      <c r="BD13" s="534">
        <f t="shared" si="5"/>
        <v>0</v>
      </c>
      <c r="BE13" s="534">
        <f t="shared" si="6"/>
        <v>85.738526855189519</v>
      </c>
      <c r="BF13" s="534">
        <f t="shared" si="7"/>
        <v>50.224284113701707</v>
      </c>
      <c r="BG13" s="534">
        <f t="shared" si="8"/>
        <v>0</v>
      </c>
      <c r="BH13" s="534">
        <f t="shared" si="9"/>
        <v>0</v>
      </c>
      <c r="BI13" s="534">
        <f t="shared" si="10"/>
        <v>0</v>
      </c>
      <c r="BJ13" s="534">
        <f t="shared" si="11"/>
        <v>0.71818854194588755</v>
      </c>
      <c r="BK13" s="534">
        <f t="shared" si="12"/>
        <v>0.35465186762070117</v>
      </c>
      <c r="BL13" s="534">
        <f t="shared" si="13"/>
        <v>0</v>
      </c>
      <c r="BM13" s="534">
        <f t="shared" si="14"/>
        <v>0</v>
      </c>
      <c r="BN13" s="533">
        <v>20</v>
      </c>
      <c r="BW13" s="1493" t="e">
        <f t="shared" si="34"/>
        <v>#DIV/0!</v>
      </c>
      <c r="BX13" s="1493" t="e">
        <f t="shared" si="35"/>
        <v>#DIV/0!</v>
      </c>
      <c r="BY13" s="1493" t="e">
        <f t="shared" si="36"/>
        <v>#DIV/0!</v>
      </c>
      <c r="BZ13" s="1493" t="e">
        <f t="shared" si="37"/>
        <v>#DIV/0!</v>
      </c>
      <c r="CE13" s="1495"/>
      <c r="CF13" s="1495"/>
      <c r="CG13" s="1495"/>
      <c r="CI13" s="1463"/>
      <c r="CJ13" s="1463"/>
      <c r="CK13" s="1463"/>
    </row>
    <row r="14" spans="1:89" ht="31.5">
      <c r="A14" s="1603"/>
      <c r="B14" s="490" t="s">
        <v>757</v>
      </c>
      <c r="C14" s="491"/>
      <c r="D14" s="492" t="s">
        <v>743</v>
      </c>
      <c r="E14" s="497"/>
      <c r="F14" s="497"/>
      <c r="G14" s="497"/>
      <c r="H14" s="497"/>
      <c r="I14" s="488"/>
      <c r="J14" s="492" t="s">
        <v>744</v>
      </c>
      <c r="K14" s="497"/>
      <c r="L14" s="497"/>
      <c r="M14" s="497"/>
      <c r="N14" s="497"/>
      <c r="O14" s="488"/>
      <c r="P14" s="492" t="s">
        <v>745</v>
      </c>
      <c r="Q14" s="497"/>
      <c r="R14" s="497"/>
      <c r="S14" s="497"/>
      <c r="T14" s="497"/>
      <c r="U14" s="497"/>
      <c r="V14" s="497"/>
      <c r="W14" s="488"/>
      <c r="X14" s="492" t="s">
        <v>746</v>
      </c>
      <c r="Y14" s="497"/>
      <c r="Z14" s="497"/>
      <c r="AA14" s="497"/>
      <c r="AB14" s="497"/>
      <c r="AC14" s="497"/>
      <c r="AD14" s="497"/>
      <c r="AE14" s="497"/>
      <c r="AF14" s="497"/>
      <c r="AG14" s="622"/>
      <c r="AH14" s="622"/>
      <c r="AI14" s="622"/>
      <c r="AJ14" s="655" t="s">
        <v>107</v>
      </c>
      <c r="AK14" s="534">
        <v>1993.333607350181</v>
      </c>
      <c r="AL14" s="534"/>
      <c r="AM14" s="534"/>
      <c r="AN14" s="534"/>
      <c r="AO14" s="534"/>
      <c r="AP14" s="532">
        <v>79.809874310469311</v>
      </c>
      <c r="AQ14" s="532"/>
      <c r="AR14" s="532"/>
      <c r="AS14" s="532"/>
      <c r="AT14" s="532"/>
      <c r="AU14" s="532">
        <v>0.70231326714801456</v>
      </c>
      <c r="AV14" s="532"/>
      <c r="AW14" s="532"/>
      <c r="AX14" s="532"/>
      <c r="AY14" s="533">
        <v>20</v>
      </c>
      <c r="AZ14" s="534">
        <f t="shared" si="1"/>
        <v>1532.5761675365129</v>
      </c>
      <c r="BA14" s="534">
        <f t="shared" si="2"/>
        <v>0</v>
      </c>
      <c r="BB14" s="534">
        <f t="shared" si="3"/>
        <v>0</v>
      </c>
      <c r="BC14" s="534">
        <f t="shared" si="4"/>
        <v>0</v>
      </c>
      <c r="BD14" s="534">
        <f t="shared" si="5"/>
        <v>0</v>
      </c>
      <c r="BE14" s="534">
        <f t="shared" si="6"/>
        <v>61.361886866949362</v>
      </c>
      <c r="BF14" s="534">
        <f t="shared" si="7"/>
        <v>0</v>
      </c>
      <c r="BG14" s="534">
        <f t="shared" si="8"/>
        <v>0</v>
      </c>
      <c r="BH14" s="534">
        <f t="shared" si="9"/>
        <v>0</v>
      </c>
      <c r="BI14" s="534">
        <f t="shared" si="10"/>
        <v>0</v>
      </c>
      <c r="BJ14" s="534">
        <f t="shared" si="11"/>
        <v>0.53997412746508844</v>
      </c>
      <c r="BK14" s="534">
        <f t="shared" si="12"/>
        <v>0</v>
      </c>
      <c r="BL14" s="534">
        <f t="shared" si="13"/>
        <v>0</v>
      </c>
      <c r="BM14" s="534">
        <f t="shared" si="14"/>
        <v>0</v>
      </c>
      <c r="BN14" s="533">
        <v>20</v>
      </c>
      <c r="BW14" s="1493" t="e">
        <f t="shared" si="34"/>
        <v>#DIV/0!</v>
      </c>
      <c r="BX14" s="1493" t="e">
        <f t="shared" si="35"/>
        <v>#DIV/0!</v>
      </c>
      <c r="BY14" s="1493" t="e">
        <f t="shared" si="36"/>
        <v>#DIV/0!</v>
      </c>
      <c r="BZ14" s="1493" t="e">
        <f t="shared" si="37"/>
        <v>#DIV/0!</v>
      </c>
      <c r="CE14" s="1495"/>
      <c r="CF14" s="1495"/>
      <c r="CG14" s="1495"/>
      <c r="CI14" s="1463"/>
      <c r="CJ14" s="1463"/>
      <c r="CK14" s="1463"/>
    </row>
    <row r="15" spans="1:89" s="331" customFormat="1" ht="31.5">
      <c r="A15" s="1603"/>
      <c r="B15" s="948" t="s">
        <v>758</v>
      </c>
      <c r="C15" s="949"/>
      <c r="D15" s="950" t="s">
        <v>743</v>
      </c>
      <c r="E15" s="951"/>
      <c r="F15" s="952">
        <v>1270.6503305179606</v>
      </c>
      <c r="G15" s="952">
        <v>942.03386572883289</v>
      </c>
      <c r="H15" s="952">
        <v>481.97081502405405</v>
      </c>
      <c r="I15" s="951"/>
      <c r="J15" s="950" t="s">
        <v>744</v>
      </c>
      <c r="K15" s="951"/>
      <c r="L15" s="953">
        <v>2.5000000000000001E-2</v>
      </c>
      <c r="M15" s="953">
        <v>2.5000000000000001E-2</v>
      </c>
      <c r="N15" s="953">
        <v>2.5000000000000001E-2</v>
      </c>
      <c r="O15" s="951"/>
      <c r="P15" s="950" t="s">
        <v>745</v>
      </c>
      <c r="Q15" s="951"/>
      <c r="R15" s="960">
        <v>60000</v>
      </c>
      <c r="S15" s="960">
        <v>75000</v>
      </c>
      <c r="T15" s="960">
        <v>125000</v>
      </c>
      <c r="U15" s="960"/>
      <c r="V15" s="960"/>
      <c r="W15" s="951"/>
      <c r="X15" s="950" t="s">
        <v>746</v>
      </c>
      <c r="Y15" s="951"/>
      <c r="Z15" s="955">
        <v>0.6</v>
      </c>
      <c r="AA15" s="1003">
        <v>0.68</v>
      </c>
      <c r="AB15" s="1003">
        <v>0.74</v>
      </c>
      <c r="AC15" s="1003"/>
      <c r="AD15" s="1003"/>
      <c r="AE15" s="1003"/>
      <c r="AF15" s="1003"/>
      <c r="AG15" s="331">
        <f t="shared" ref="AG15:AG17" si="46">1/Z15</f>
        <v>1.6666666666666667</v>
      </c>
      <c r="AH15" s="331">
        <f t="shared" ref="AH15:AH17" si="47">1/AA15</f>
        <v>1.4705882352941175</v>
      </c>
      <c r="AI15" s="331">
        <f t="shared" ref="AI15:AI17" si="48">1/AB15</f>
        <v>1.3513513513513513</v>
      </c>
      <c r="AJ15" s="961" t="s">
        <v>108</v>
      </c>
      <c r="AK15" s="957">
        <v>519.31082599277988</v>
      </c>
      <c r="AL15" s="957"/>
      <c r="AM15" s="957"/>
      <c r="AN15" s="957"/>
      <c r="AO15" s="957"/>
      <c r="AP15" s="958">
        <v>20.772433039711192</v>
      </c>
      <c r="AQ15" s="958"/>
      <c r="AR15" s="958"/>
      <c r="AS15" s="958"/>
      <c r="AT15" s="958"/>
      <c r="AU15" s="958">
        <v>0.18296931407942238</v>
      </c>
      <c r="AV15" s="958"/>
      <c r="AW15" s="958"/>
      <c r="AX15" s="958"/>
      <c r="AY15" s="959">
        <v>20</v>
      </c>
      <c r="AZ15" s="957">
        <f t="shared" si="1"/>
        <v>399.27255153151987</v>
      </c>
      <c r="BA15" s="957">
        <f t="shared" si="2"/>
        <v>0</v>
      </c>
      <c r="BB15" s="957">
        <f t="shared" si="3"/>
        <v>0</v>
      </c>
      <c r="BC15" s="957">
        <f t="shared" si="4"/>
        <v>0</v>
      </c>
      <c r="BD15" s="957">
        <f t="shared" si="5"/>
        <v>0</v>
      </c>
      <c r="BE15" s="957">
        <f t="shared" si="6"/>
        <v>15.970902061260793</v>
      </c>
      <c r="BF15" s="957">
        <f t="shared" si="7"/>
        <v>0</v>
      </c>
      <c r="BG15" s="957">
        <f t="shared" si="8"/>
        <v>0</v>
      </c>
      <c r="BH15" s="957">
        <f t="shared" si="9"/>
        <v>0</v>
      </c>
      <c r="BI15" s="957">
        <f t="shared" si="10"/>
        <v>0</v>
      </c>
      <c r="BJ15" s="957">
        <f t="shared" si="11"/>
        <v>0.14067610615434911</v>
      </c>
      <c r="BK15" s="957">
        <f t="shared" si="12"/>
        <v>0</v>
      </c>
      <c r="BL15" s="957">
        <f t="shared" si="13"/>
        <v>0</v>
      </c>
      <c r="BM15" s="957">
        <f t="shared" si="14"/>
        <v>0</v>
      </c>
      <c r="BN15" s="959">
        <v>20</v>
      </c>
      <c r="BW15" s="1493">
        <f t="shared" si="34"/>
        <v>2117.7505508632676</v>
      </c>
      <c r="BX15" s="1493">
        <f t="shared" si="35"/>
        <v>1385.3439201894601</v>
      </c>
      <c r="BY15" s="1493">
        <f t="shared" si="36"/>
        <v>651.31191219466757</v>
      </c>
      <c r="BZ15" s="1493">
        <f t="shared" si="37"/>
        <v>0</v>
      </c>
      <c r="CB15" s="1463">
        <f>BW15/F15</f>
        <v>1.6666666666666665</v>
      </c>
      <c r="CC15" s="1463">
        <f t="shared" ref="CC15:CC17" si="49">BX15/G15</f>
        <v>1.4705882352941175</v>
      </c>
      <c r="CD15" s="1463">
        <f t="shared" ref="CD15:CD17" si="50">BY15/H15</f>
        <v>1.3513513513513513</v>
      </c>
      <c r="CE15" s="1495">
        <f>BW15*L15</f>
        <v>52.943763771581693</v>
      </c>
      <c r="CF15" s="1495">
        <f t="shared" ref="CF15" si="51">BX15*M15</f>
        <v>34.633598004736506</v>
      </c>
      <c r="CG15" s="1495">
        <f t="shared" ref="CG15" si="52">BY15*N15</f>
        <v>16.282797804866689</v>
      </c>
      <c r="CI15" s="1463">
        <f>CE15/(L15*F15)</f>
        <v>1.6666666666666667</v>
      </c>
      <c r="CJ15" s="1463">
        <f t="shared" ref="CJ15:CJ17" si="53">CF15/(M15*G15)</f>
        <v>1.4705882352941178</v>
      </c>
      <c r="CK15" s="1463">
        <f t="shared" ref="CK15:CK17" si="54">CG15/(N15*H15)</f>
        <v>1.3513513513513511</v>
      </c>
    </row>
    <row r="16" spans="1:89" ht="31.5">
      <c r="A16" s="1603"/>
      <c r="B16" s="490" t="s">
        <v>759</v>
      </c>
      <c r="C16" s="491"/>
      <c r="D16" s="492" t="s">
        <v>743</v>
      </c>
      <c r="E16" s="497"/>
      <c r="F16" s="497"/>
      <c r="G16" s="497"/>
      <c r="H16" s="497"/>
      <c r="I16" s="488"/>
      <c r="J16" s="492" t="s">
        <v>744</v>
      </c>
      <c r="K16" s="497"/>
      <c r="L16" s="497"/>
      <c r="M16" s="497"/>
      <c r="N16" s="497"/>
      <c r="O16" s="488"/>
      <c r="P16" s="492" t="s">
        <v>745</v>
      </c>
      <c r="Q16" s="497"/>
      <c r="R16" s="497"/>
      <c r="S16" s="497"/>
      <c r="T16" s="497"/>
      <c r="U16" s="497"/>
      <c r="V16" s="497"/>
      <c r="W16" s="488"/>
      <c r="X16" s="492" t="s">
        <v>746</v>
      </c>
      <c r="Y16" s="497"/>
      <c r="Z16" s="497"/>
      <c r="AA16" s="497"/>
      <c r="AB16" s="497"/>
      <c r="AC16" s="497"/>
      <c r="AD16" s="497"/>
      <c r="AE16" s="497"/>
      <c r="AF16" s="497"/>
      <c r="AG16" s="622"/>
      <c r="AH16" s="622"/>
      <c r="AI16" s="622"/>
      <c r="AJ16" s="654" t="s">
        <v>109</v>
      </c>
      <c r="AK16" s="534">
        <v>201.16461470036103</v>
      </c>
      <c r="AL16" s="534">
        <v>201.16461470036103</v>
      </c>
      <c r="AM16" s="534">
        <v>201.16461470036103</v>
      </c>
      <c r="AN16" s="534">
        <v>158.25314118411552</v>
      </c>
      <c r="AO16" s="534"/>
      <c r="AP16" s="532">
        <v>9.8395735451263562</v>
      </c>
      <c r="AQ16" s="533"/>
      <c r="AR16" s="532">
        <v>9.8395735451263562</v>
      </c>
      <c r="AS16" s="532">
        <v>7.6530016462093871</v>
      </c>
      <c r="AT16" s="532"/>
      <c r="AU16" s="532">
        <v>7.703971119133575E-2</v>
      </c>
      <c r="AV16" s="533"/>
      <c r="AW16" s="531">
        <v>7.703971119133575E-2</v>
      </c>
      <c r="AX16" s="532">
        <v>4.8149819494584842E-2</v>
      </c>
      <c r="AY16" s="533">
        <v>20</v>
      </c>
      <c r="AZ16" s="534">
        <f t="shared" si="1"/>
        <v>154.66557785642033</v>
      </c>
      <c r="BA16" s="534">
        <f t="shared" si="2"/>
        <v>154.66557785642033</v>
      </c>
      <c r="BB16" s="534">
        <f t="shared" si="3"/>
        <v>154.66557785642033</v>
      </c>
      <c r="BC16" s="534">
        <f t="shared" si="4"/>
        <v>121.67305649302629</v>
      </c>
      <c r="BD16" s="534">
        <f t="shared" si="5"/>
        <v>0</v>
      </c>
      <c r="BE16" s="534">
        <f t="shared" si="6"/>
        <v>7.5651641342814298</v>
      </c>
      <c r="BF16" s="534">
        <f t="shared" si="7"/>
        <v>0</v>
      </c>
      <c r="BG16" s="534">
        <f t="shared" si="8"/>
        <v>7.5651641342814298</v>
      </c>
      <c r="BH16" s="534">
        <f t="shared" si="9"/>
        <v>5.8840165488855556</v>
      </c>
      <c r="BI16" s="534">
        <f t="shared" si="10"/>
        <v>0</v>
      </c>
      <c r="BJ16" s="534">
        <f t="shared" si="11"/>
        <v>5.9232044696568051E-2</v>
      </c>
      <c r="BK16" s="534">
        <f t="shared" si="12"/>
        <v>0</v>
      </c>
      <c r="BL16" s="534">
        <f t="shared" si="13"/>
        <v>5.9232044696568051E-2</v>
      </c>
      <c r="BM16" s="534">
        <f t="shared" si="14"/>
        <v>3.7020027935355033E-2</v>
      </c>
      <c r="BN16" s="533">
        <v>20</v>
      </c>
      <c r="BW16" s="1493" t="e">
        <f t="shared" si="34"/>
        <v>#DIV/0!</v>
      </c>
      <c r="BX16" s="1493" t="e">
        <f t="shared" si="35"/>
        <v>#DIV/0!</v>
      </c>
      <c r="BY16" s="1493" t="e">
        <f t="shared" si="36"/>
        <v>#DIV/0!</v>
      </c>
      <c r="BZ16" s="1493" t="e">
        <f t="shared" si="37"/>
        <v>#DIV/0!</v>
      </c>
      <c r="CB16" s="1463" t="e">
        <f t="shared" ref="CB16:CB17" si="55">BW16/F16</f>
        <v>#DIV/0!</v>
      </c>
      <c r="CC16" s="1463" t="e">
        <f t="shared" si="49"/>
        <v>#DIV/0!</v>
      </c>
      <c r="CD16" s="1463" t="e">
        <f t="shared" si="50"/>
        <v>#DIV/0!</v>
      </c>
      <c r="CI16" s="1463"/>
      <c r="CJ16" s="1463"/>
      <c r="CK16" s="1463"/>
    </row>
    <row r="17" spans="1:89" s="331" customFormat="1" ht="31.5">
      <c r="A17" s="1603"/>
      <c r="B17" s="948" t="s">
        <v>760</v>
      </c>
      <c r="C17" s="949"/>
      <c r="D17" s="950" t="s">
        <v>743</v>
      </c>
      <c r="E17" s="951"/>
      <c r="F17" s="952"/>
      <c r="G17" s="952">
        <v>569.60187230115469</v>
      </c>
      <c r="H17" s="952">
        <v>175.26211455420147</v>
      </c>
      <c r="I17" s="951"/>
      <c r="J17" s="950" t="s">
        <v>744</v>
      </c>
      <c r="K17" s="951"/>
      <c r="L17" s="953"/>
      <c r="M17" s="953">
        <v>1.4999999999999999E-2</v>
      </c>
      <c r="N17" s="953">
        <v>1.4999999999999999E-2</v>
      </c>
      <c r="O17" s="951"/>
      <c r="P17" s="950" t="s">
        <v>745</v>
      </c>
      <c r="Q17" s="951"/>
      <c r="R17" s="960"/>
      <c r="S17" s="960">
        <v>75000</v>
      </c>
      <c r="T17" s="960">
        <v>125000</v>
      </c>
      <c r="U17" s="960"/>
      <c r="V17" s="960"/>
      <c r="W17" s="951"/>
      <c r="X17" s="950" t="s">
        <v>746</v>
      </c>
      <c r="Y17" s="951"/>
      <c r="Z17" s="955"/>
      <c r="AA17" s="1003">
        <v>0.68</v>
      </c>
      <c r="AB17" s="1003">
        <v>0.74</v>
      </c>
      <c r="AC17" s="1003"/>
      <c r="AD17" s="1003"/>
      <c r="AE17" s="1003"/>
      <c r="AF17" s="1003"/>
      <c r="AG17" s="331" t="e">
        <f t="shared" si="46"/>
        <v>#DIV/0!</v>
      </c>
      <c r="AH17" s="331">
        <f t="shared" si="47"/>
        <v>1.4705882352941175</v>
      </c>
      <c r="AI17" s="331">
        <f t="shared" si="48"/>
        <v>1.3513513513513513</v>
      </c>
      <c r="AJ17" s="956" t="s">
        <v>110</v>
      </c>
      <c r="AK17" s="957">
        <v>431.84795003610117</v>
      </c>
      <c r="AL17" s="957">
        <v>431.84795003610117</v>
      </c>
      <c r="AM17" s="957">
        <v>431.84795003610117</v>
      </c>
      <c r="AN17" s="957">
        <v>344.3850740794224</v>
      </c>
      <c r="AO17" s="957"/>
      <c r="AP17" s="958">
        <v>16.399289241877259</v>
      </c>
      <c r="AQ17" s="959"/>
      <c r="AR17" s="958">
        <v>16.399289241877259</v>
      </c>
      <c r="AS17" s="958">
        <v>13</v>
      </c>
      <c r="AT17" s="958"/>
      <c r="AU17" s="958">
        <v>0.14444945848375451</v>
      </c>
      <c r="AV17" s="959"/>
      <c r="AW17" s="958">
        <v>0.14444945848375451</v>
      </c>
      <c r="AX17" s="958">
        <v>4.8149819494584842E-2</v>
      </c>
      <c r="AY17" s="959">
        <v>20</v>
      </c>
      <c r="AZ17" s="957">
        <f t="shared" si="1"/>
        <v>332.02664811568496</v>
      </c>
      <c r="BA17" s="957">
        <f t="shared" si="2"/>
        <v>332.02664811568496</v>
      </c>
      <c r="BB17" s="957">
        <f t="shared" si="3"/>
        <v>332.02664811568496</v>
      </c>
      <c r="BC17" s="957">
        <f t="shared" si="4"/>
        <v>264.78074469985</v>
      </c>
      <c r="BD17" s="957">
        <f t="shared" si="5"/>
        <v>0</v>
      </c>
      <c r="BE17" s="957">
        <f t="shared" si="6"/>
        <v>12.60860689046905</v>
      </c>
      <c r="BF17" s="957">
        <f t="shared" si="7"/>
        <v>0</v>
      </c>
      <c r="BG17" s="957">
        <f t="shared" si="8"/>
        <v>12.60860689046905</v>
      </c>
      <c r="BH17" s="957">
        <f t="shared" si="9"/>
        <v>9.9950605882071937</v>
      </c>
      <c r="BI17" s="957">
        <f t="shared" si="10"/>
        <v>0</v>
      </c>
      <c r="BJ17" s="957">
        <f t="shared" si="11"/>
        <v>0.11106008380606508</v>
      </c>
      <c r="BK17" s="957">
        <f t="shared" si="12"/>
        <v>0</v>
      </c>
      <c r="BL17" s="957">
        <f t="shared" si="13"/>
        <v>0.11106008380606508</v>
      </c>
      <c r="BM17" s="957">
        <f t="shared" si="14"/>
        <v>3.7020027935355033E-2</v>
      </c>
      <c r="BN17" s="959">
        <v>20</v>
      </c>
      <c r="BW17" s="1493" t="e">
        <f t="shared" si="34"/>
        <v>#DIV/0!</v>
      </c>
      <c r="BX17" s="1493">
        <f t="shared" si="35"/>
        <v>837.64981220758034</v>
      </c>
      <c r="BY17" s="1493">
        <f t="shared" si="36"/>
        <v>236.84069534351551</v>
      </c>
      <c r="BZ17" s="1493" t="e">
        <f t="shared" si="37"/>
        <v>#DIV/0!</v>
      </c>
      <c r="CB17" s="1463" t="e">
        <f t="shared" si="55"/>
        <v>#DIV/0!</v>
      </c>
      <c r="CC17" s="1463">
        <f t="shared" si="49"/>
        <v>1.4705882352941175</v>
      </c>
      <c r="CD17" s="1463">
        <f t="shared" si="50"/>
        <v>1.3513513513513513</v>
      </c>
      <c r="CE17" s="1495" t="e">
        <f>BW17*L17</f>
        <v>#DIV/0!</v>
      </c>
      <c r="CF17" s="1495">
        <f t="shared" ref="CF17" si="56">BX17*M17</f>
        <v>12.564747183113704</v>
      </c>
      <c r="CG17" s="1495">
        <f t="shared" ref="CG17" si="57">BY17*N17</f>
        <v>3.5526104301527326</v>
      </c>
      <c r="CI17" s="1463" t="e">
        <f t="shared" ref="CI17" si="58">CE17/(L17*F17)</f>
        <v>#DIV/0!</v>
      </c>
      <c r="CJ17" s="1463">
        <f t="shared" si="53"/>
        <v>1.4705882352941175</v>
      </c>
      <c r="CK17" s="1463">
        <f t="shared" si="54"/>
        <v>1.3513513513513513</v>
      </c>
    </row>
    <row r="18" spans="1:89" ht="31.5">
      <c r="A18" s="1603"/>
      <c r="B18" s="490" t="s">
        <v>761</v>
      </c>
      <c r="C18" s="491"/>
      <c r="D18" s="492" t="s">
        <v>743</v>
      </c>
      <c r="E18" s="497"/>
      <c r="F18" s="497"/>
      <c r="G18" s="497"/>
      <c r="H18" s="497"/>
      <c r="I18" s="488"/>
      <c r="J18" s="492" t="s">
        <v>744</v>
      </c>
      <c r="K18" s="497"/>
      <c r="L18" s="497"/>
      <c r="M18" s="497"/>
      <c r="N18" s="497"/>
      <c r="O18" s="488"/>
      <c r="P18" s="492" t="s">
        <v>745</v>
      </c>
      <c r="Q18" s="497"/>
      <c r="R18" s="497"/>
      <c r="S18" s="497"/>
      <c r="T18" s="497"/>
      <c r="U18" s="497"/>
      <c r="V18" s="497"/>
      <c r="W18" s="488"/>
      <c r="X18" s="492" t="s">
        <v>746</v>
      </c>
      <c r="Y18" s="497"/>
      <c r="Z18" s="497"/>
      <c r="AA18" s="497"/>
      <c r="AB18" s="497"/>
      <c r="AC18" s="497"/>
      <c r="AD18" s="497"/>
      <c r="AE18" s="497"/>
      <c r="AF18" s="497"/>
      <c r="AG18" s="622"/>
      <c r="AH18" s="622"/>
      <c r="AI18" s="622"/>
      <c r="AJ18" s="654" t="s">
        <v>485</v>
      </c>
      <c r="AK18" s="534">
        <v>284.70988267148022</v>
      </c>
      <c r="AL18" s="534">
        <v>272.77484438989177</v>
      </c>
      <c r="AM18" s="534">
        <v>272.77484438989177</v>
      </c>
      <c r="AN18" s="530">
        <v>191.32504115523466</v>
      </c>
      <c r="AO18" s="530"/>
      <c r="AP18" s="531">
        <v>14.212717342960291</v>
      </c>
      <c r="AQ18" s="504"/>
      <c r="AR18" s="532">
        <v>14.212717342960291</v>
      </c>
      <c r="AS18" s="531">
        <v>11.479502469314081</v>
      </c>
      <c r="AT18" s="531"/>
      <c r="AU18" s="531">
        <v>0.5296480144404333</v>
      </c>
      <c r="AV18" s="504"/>
      <c r="AW18" s="531">
        <v>0.5296480144404333</v>
      </c>
      <c r="AX18" s="531">
        <v>6.7409747292418776E-2</v>
      </c>
      <c r="AY18" s="533">
        <v>20</v>
      </c>
      <c r="AZ18" s="534">
        <f t="shared" si="1"/>
        <v>218.89942518175434</v>
      </c>
      <c r="BA18" s="534">
        <f t="shared" si="2"/>
        <v>209.72316127813519</v>
      </c>
      <c r="BB18" s="534">
        <f t="shared" si="3"/>
        <v>209.72316127813519</v>
      </c>
      <c r="BC18" s="534">
        <f t="shared" si="4"/>
        <v>147.10041372213885</v>
      </c>
      <c r="BD18" s="534">
        <f t="shared" si="5"/>
        <v>0</v>
      </c>
      <c r="BE18" s="534">
        <f t="shared" si="6"/>
        <v>10.927459305073176</v>
      </c>
      <c r="BF18" s="534">
        <f t="shared" si="7"/>
        <v>0</v>
      </c>
      <c r="BG18" s="534">
        <f t="shared" si="8"/>
        <v>10.927459305073176</v>
      </c>
      <c r="BH18" s="534">
        <f t="shared" si="9"/>
        <v>8.8260248233283338</v>
      </c>
      <c r="BI18" s="534">
        <f t="shared" si="10"/>
        <v>0</v>
      </c>
      <c r="BJ18" s="534">
        <f t="shared" si="11"/>
        <v>0.4072203072889054</v>
      </c>
      <c r="BK18" s="534">
        <f t="shared" si="12"/>
        <v>0</v>
      </c>
      <c r="BL18" s="534">
        <f t="shared" si="13"/>
        <v>0.4072203072889054</v>
      </c>
      <c r="BM18" s="534">
        <f t="shared" si="14"/>
        <v>5.1828039109497036E-2</v>
      </c>
      <c r="BN18" s="533">
        <v>20</v>
      </c>
      <c r="BW18" s="1493" t="e">
        <f t="shared" si="34"/>
        <v>#DIV/0!</v>
      </c>
      <c r="BX18" s="1493" t="e">
        <f t="shared" si="35"/>
        <v>#DIV/0!</v>
      </c>
      <c r="BY18" s="1493" t="e">
        <f t="shared" si="36"/>
        <v>#DIV/0!</v>
      </c>
      <c r="BZ18" s="1493" t="e">
        <f t="shared" si="37"/>
        <v>#DIV/0!</v>
      </c>
    </row>
    <row r="19" spans="1:89" ht="14.75">
      <c r="AJ19" s="654" t="s">
        <v>486</v>
      </c>
      <c r="AK19" s="534">
        <v>590.37441270758131</v>
      </c>
      <c r="AL19" s="534">
        <v>565.22883587003616</v>
      </c>
      <c r="AM19" s="534">
        <v>565.22883587003616</v>
      </c>
      <c r="AN19" s="514">
        <v>451</v>
      </c>
      <c r="AO19" s="514"/>
      <c r="AP19" s="531">
        <v>29.518720635379065</v>
      </c>
      <c r="AQ19" s="504"/>
      <c r="AR19" s="532">
        <v>29.518720635379065</v>
      </c>
      <c r="AS19" s="501">
        <v>24</v>
      </c>
      <c r="AT19" s="501"/>
      <c r="AU19" s="531">
        <v>0.20222924187725633</v>
      </c>
      <c r="AV19" s="504"/>
      <c r="AW19" s="531">
        <v>0.20222924187725633</v>
      </c>
      <c r="AX19" s="531">
        <v>6.7409747292418776E-2</v>
      </c>
      <c r="AY19" s="533">
        <v>20</v>
      </c>
      <c r="AZ19" s="534">
        <f t="shared" si="1"/>
        <v>453.90984805688578</v>
      </c>
      <c r="BA19" s="534">
        <f t="shared" si="2"/>
        <v>434.57665082483322</v>
      </c>
      <c r="BB19" s="534">
        <f t="shared" si="3"/>
        <v>434.57665082483322</v>
      </c>
      <c r="BC19" s="534">
        <f t="shared" si="4"/>
        <v>346.75171732934189</v>
      </c>
      <c r="BD19" s="534">
        <f t="shared" si="5"/>
        <v>0</v>
      </c>
      <c r="BE19" s="534">
        <f t="shared" si="6"/>
        <v>22.695492402844287</v>
      </c>
      <c r="BF19" s="534">
        <f t="shared" si="7"/>
        <v>0</v>
      </c>
      <c r="BG19" s="534">
        <f t="shared" si="8"/>
        <v>22.695492402844287</v>
      </c>
      <c r="BH19" s="534">
        <f t="shared" si="9"/>
        <v>18.452419547459435</v>
      </c>
      <c r="BI19" s="534">
        <f t="shared" si="10"/>
        <v>0</v>
      </c>
      <c r="BJ19" s="534">
        <f t="shared" si="11"/>
        <v>0.1554841173284911</v>
      </c>
      <c r="BK19" s="534">
        <f t="shared" si="12"/>
        <v>0</v>
      </c>
      <c r="BL19" s="534">
        <f t="shared" si="13"/>
        <v>0.1554841173284911</v>
      </c>
      <c r="BM19" s="534">
        <f t="shared" si="14"/>
        <v>5.1828039109497036E-2</v>
      </c>
      <c r="BN19" s="533">
        <v>20</v>
      </c>
      <c r="BW19" s="1493" t="e">
        <f t="shared" si="34"/>
        <v>#DIV/0!</v>
      </c>
      <c r="BX19" s="1493" t="e">
        <f t="shared" si="35"/>
        <v>#DIV/0!</v>
      </c>
      <c r="BY19" s="1493" t="e">
        <f t="shared" si="36"/>
        <v>#DIV/0!</v>
      </c>
      <c r="BZ19" s="1493" t="e">
        <f t="shared" si="37"/>
        <v>#DIV/0!</v>
      </c>
    </row>
    <row r="20" spans="1:89" ht="14.75">
      <c r="Y20" s="1352" t="s">
        <v>1142</v>
      </c>
      <c r="Z20" t="s">
        <v>1141</v>
      </c>
      <c r="AJ20" s="654" t="s">
        <v>111</v>
      </c>
      <c r="AK20" s="534">
        <v>309.91923452274369</v>
      </c>
      <c r="AL20" s="534"/>
      <c r="AM20" s="534"/>
      <c r="AN20" s="534"/>
      <c r="AO20" s="534"/>
      <c r="AP20" s="532">
        <v>21.665283231768949</v>
      </c>
      <c r="AQ20" s="532"/>
      <c r="AR20" s="532"/>
      <c r="AS20" s="532"/>
      <c r="AT20" s="532"/>
      <c r="AU20" s="532">
        <v>0.10592960288808664</v>
      </c>
      <c r="AV20" s="532"/>
      <c r="AW20" s="532"/>
      <c r="AX20" s="532"/>
      <c r="AY20" s="533">
        <v>20</v>
      </c>
      <c r="AZ20" s="534">
        <f t="shared" si="1"/>
        <v>238.28165588504754</v>
      </c>
      <c r="BA20" s="534">
        <f t="shared" si="2"/>
        <v>0</v>
      </c>
      <c r="BB20" s="534">
        <f t="shared" si="3"/>
        <v>0</v>
      </c>
      <c r="BC20" s="534">
        <f t="shared" si="4"/>
        <v>0</v>
      </c>
      <c r="BD20" s="534">
        <f t="shared" si="5"/>
        <v>0</v>
      </c>
      <c r="BE20" s="534">
        <f t="shared" si="6"/>
        <v>16.657370658630771</v>
      </c>
      <c r="BF20" s="534">
        <f t="shared" si="7"/>
        <v>0</v>
      </c>
      <c r="BG20" s="534">
        <f t="shared" si="8"/>
        <v>0</v>
      </c>
      <c r="BH20" s="534">
        <f t="shared" si="9"/>
        <v>0</v>
      </c>
      <c r="BI20" s="534">
        <f t="shared" si="10"/>
        <v>0</v>
      </c>
      <c r="BJ20" s="534">
        <f t="shared" si="11"/>
        <v>8.1444061457781061E-2</v>
      </c>
      <c r="BK20" s="534">
        <f t="shared" si="12"/>
        <v>0</v>
      </c>
      <c r="BL20" s="534">
        <f t="shared" si="13"/>
        <v>0</v>
      </c>
      <c r="BM20" s="534">
        <f t="shared" si="14"/>
        <v>0</v>
      </c>
      <c r="BN20" s="533">
        <v>20</v>
      </c>
      <c r="BW20" s="1493" t="e">
        <f t="shared" si="34"/>
        <v>#VALUE!</v>
      </c>
      <c r="BX20" s="1493" t="e">
        <f t="shared" si="35"/>
        <v>#DIV/0!</v>
      </c>
      <c r="BY20" s="1493" t="e">
        <f t="shared" si="36"/>
        <v>#DIV/0!</v>
      </c>
      <c r="BZ20" s="1493" t="e">
        <f t="shared" si="37"/>
        <v>#VALUE!</v>
      </c>
    </row>
    <row r="21" spans="1:89" ht="14.75">
      <c r="AJ21" s="654" t="s">
        <v>112</v>
      </c>
      <c r="AK21" s="534">
        <v>485.78339020938637</v>
      </c>
      <c r="AL21" s="534">
        <v>485.78339020938637</v>
      </c>
      <c r="AM21" s="514">
        <v>485.78339020938637</v>
      </c>
      <c r="AN21" s="533"/>
      <c r="AO21" s="533"/>
      <c r="AP21" s="532">
        <v>28.206777496028881</v>
      </c>
      <c r="AQ21" s="532">
        <v>28.206777496028881</v>
      </c>
      <c r="AR21" s="532">
        <v>41.787818512635383</v>
      </c>
      <c r="AS21" s="533"/>
      <c r="AT21" s="533"/>
      <c r="AU21" s="532">
        <v>4.4297833935018051E-2</v>
      </c>
      <c r="AV21" s="532">
        <v>4.4297833935018051E-2</v>
      </c>
      <c r="AW21" s="532">
        <v>4.3334837545126355E-2</v>
      </c>
      <c r="AX21" s="533"/>
      <c r="AY21" s="533">
        <v>20</v>
      </c>
      <c r="AZ21" s="534">
        <f t="shared" si="1"/>
        <v>373.49495522211646</v>
      </c>
      <c r="BA21" s="534">
        <f t="shared" si="2"/>
        <v>373.49495522211646</v>
      </c>
      <c r="BB21" s="534">
        <f t="shared" si="3"/>
        <v>373.49495522211646</v>
      </c>
      <c r="BC21" s="534">
        <f t="shared" si="4"/>
        <v>0</v>
      </c>
      <c r="BD21" s="534">
        <f t="shared" si="5"/>
        <v>0</v>
      </c>
      <c r="BE21" s="534">
        <f t="shared" si="6"/>
        <v>21.686803851606758</v>
      </c>
      <c r="BF21" s="534">
        <f t="shared" si="7"/>
        <v>21.686803851606758</v>
      </c>
      <c r="BG21" s="534">
        <f t="shared" si="8"/>
        <v>32.128598298676685</v>
      </c>
      <c r="BH21" s="534">
        <f t="shared" si="9"/>
        <v>0</v>
      </c>
      <c r="BI21" s="534">
        <f t="shared" si="10"/>
        <v>0</v>
      </c>
      <c r="BJ21" s="534">
        <f t="shared" si="11"/>
        <v>3.4058425700526626E-2</v>
      </c>
      <c r="BK21" s="534">
        <f t="shared" si="12"/>
        <v>3.4058425700526626E-2</v>
      </c>
      <c r="BL21" s="534">
        <f t="shared" si="13"/>
        <v>3.3318025141819523E-2</v>
      </c>
      <c r="BM21" s="534">
        <f t="shared" si="14"/>
        <v>0</v>
      </c>
      <c r="BN21" s="533">
        <v>20</v>
      </c>
      <c r="BW21" s="1493" t="e">
        <f t="shared" si="34"/>
        <v>#DIV/0!</v>
      </c>
      <c r="BX21" s="1493" t="e">
        <f t="shared" si="35"/>
        <v>#DIV/0!</v>
      </c>
      <c r="BY21" s="1493" t="e">
        <f t="shared" si="36"/>
        <v>#DIV/0!</v>
      </c>
      <c r="BZ21" s="1493" t="e">
        <f t="shared" si="37"/>
        <v>#DIV/0!</v>
      </c>
    </row>
    <row r="22" spans="1:89" ht="14.75">
      <c r="AJ22" s="654" t="s">
        <v>529</v>
      </c>
      <c r="AK22" s="534">
        <v>485.78339020938637</v>
      </c>
      <c r="AL22" s="534">
        <v>485.78339020938637</v>
      </c>
      <c r="AM22" s="514">
        <v>485.78339020938637</v>
      </c>
      <c r="AN22" s="533"/>
      <c r="AO22" s="533"/>
      <c r="AP22" s="532">
        <v>28.206777496028881</v>
      </c>
      <c r="AQ22" s="532">
        <v>28.206777496028881</v>
      </c>
      <c r="AR22" s="532">
        <v>41.787818512635383</v>
      </c>
      <c r="AS22" s="533"/>
      <c r="AT22" s="533"/>
      <c r="AU22" s="532">
        <v>4.4297833935018051E-2</v>
      </c>
      <c r="AV22" s="532">
        <v>4.4297833935018051E-2</v>
      </c>
      <c r="AW22" s="532">
        <v>4.3334837545126355E-2</v>
      </c>
      <c r="AX22" s="533"/>
      <c r="AY22" s="533">
        <v>20</v>
      </c>
      <c r="AZ22" s="534">
        <f t="shared" si="1"/>
        <v>373.49495522211646</v>
      </c>
      <c r="BA22" s="534">
        <f t="shared" si="2"/>
        <v>373.49495522211646</v>
      </c>
      <c r="BB22" s="534">
        <f t="shared" si="3"/>
        <v>373.49495522211646</v>
      </c>
      <c r="BC22" s="534">
        <f t="shared" si="4"/>
        <v>0</v>
      </c>
      <c r="BD22" s="534">
        <f t="shared" si="5"/>
        <v>0</v>
      </c>
      <c r="BE22" s="534">
        <f t="shared" si="6"/>
        <v>21.686803851606758</v>
      </c>
      <c r="BF22" s="534">
        <f t="shared" si="7"/>
        <v>21.686803851606758</v>
      </c>
      <c r="BG22" s="534">
        <f t="shared" si="8"/>
        <v>32.128598298676685</v>
      </c>
      <c r="BH22" s="534">
        <f t="shared" si="9"/>
        <v>0</v>
      </c>
      <c r="BI22" s="534">
        <f t="shared" si="10"/>
        <v>0</v>
      </c>
      <c r="BJ22" s="534">
        <f t="shared" si="11"/>
        <v>3.4058425700526626E-2</v>
      </c>
      <c r="BK22" s="534">
        <f t="shared" si="12"/>
        <v>3.4058425700526626E-2</v>
      </c>
      <c r="BL22" s="534">
        <f t="shared" si="13"/>
        <v>3.3318025141819523E-2</v>
      </c>
      <c r="BM22" s="534">
        <f t="shared" si="14"/>
        <v>0</v>
      </c>
      <c r="BN22" s="533">
        <v>20</v>
      </c>
      <c r="BW22" s="1493" t="e">
        <f t="shared" si="34"/>
        <v>#DIV/0!</v>
      </c>
      <c r="BX22" s="1493" t="e">
        <f t="shared" si="35"/>
        <v>#DIV/0!</v>
      </c>
      <c r="BY22" s="1493" t="e">
        <f t="shared" si="36"/>
        <v>#DIV/0!</v>
      </c>
      <c r="BZ22" s="1493" t="e">
        <f t="shared" si="37"/>
        <v>#DIV/0!</v>
      </c>
    </row>
    <row r="23" spans="1:89" ht="14.75">
      <c r="AJ23" s="654" t="s">
        <v>530</v>
      </c>
      <c r="AK23" s="534">
        <v>1847.6532545848377</v>
      </c>
      <c r="AL23" s="534">
        <v>1642.9354605487365</v>
      </c>
      <c r="AM23" s="534">
        <v>1642.9354605487365</v>
      </c>
      <c r="AN23" s="534">
        <v>1157.7898204765343</v>
      </c>
      <c r="AO23" s="534"/>
      <c r="AP23" s="532">
        <v>44.551402440433215</v>
      </c>
      <c r="AQ23" s="533"/>
      <c r="AR23" s="532">
        <v>44.551402440433215</v>
      </c>
      <c r="AS23" s="532">
        <v>22.959004938628162</v>
      </c>
      <c r="AT23" s="532"/>
      <c r="AU23" s="532">
        <v>0.64520758122743693</v>
      </c>
      <c r="AV23" s="533"/>
      <c r="AW23" s="532">
        <v>0.64520758122743693</v>
      </c>
      <c r="AX23" s="532">
        <v>0.40445848375451265</v>
      </c>
      <c r="AY23" s="533">
        <v>20</v>
      </c>
      <c r="AZ23" s="534">
        <f t="shared" si="1"/>
        <v>1420.5697096595127</v>
      </c>
      <c r="BA23" s="534">
        <f t="shared" si="2"/>
        <v>1263.1722669768239</v>
      </c>
      <c r="BB23" s="534">
        <f t="shared" si="3"/>
        <v>1263.1722669768239</v>
      </c>
      <c r="BC23" s="534">
        <f t="shared" si="4"/>
        <v>890.16764646711465</v>
      </c>
      <c r="BD23" s="534">
        <f t="shared" si="5"/>
        <v>0</v>
      </c>
      <c r="BE23" s="534">
        <f t="shared" si="6"/>
        <v>34.253382052440912</v>
      </c>
      <c r="BF23" s="534">
        <f t="shared" si="7"/>
        <v>0</v>
      </c>
      <c r="BG23" s="534">
        <f t="shared" si="8"/>
        <v>34.253382052440912</v>
      </c>
      <c r="BH23" s="534">
        <f t="shared" si="9"/>
        <v>17.652049646656668</v>
      </c>
      <c r="BI23" s="534">
        <f t="shared" si="10"/>
        <v>0</v>
      </c>
      <c r="BJ23" s="534">
        <f t="shared" si="11"/>
        <v>0.4960683743337575</v>
      </c>
      <c r="BK23" s="534">
        <f t="shared" si="12"/>
        <v>0</v>
      </c>
      <c r="BL23" s="534">
        <f t="shared" si="13"/>
        <v>0.4960683743337575</v>
      </c>
      <c r="BM23" s="534">
        <f t="shared" si="14"/>
        <v>0.3109682346569822</v>
      </c>
      <c r="BN23" s="533">
        <v>20</v>
      </c>
      <c r="BW23" s="1493" t="e">
        <f t="shared" si="34"/>
        <v>#DIV/0!</v>
      </c>
      <c r="BX23" s="1493" t="e">
        <f t="shared" si="35"/>
        <v>#DIV/0!</v>
      </c>
      <c r="BY23" s="1493" t="e">
        <f t="shared" si="36"/>
        <v>#DIV/0!</v>
      </c>
      <c r="BZ23" s="1493" t="e">
        <f t="shared" si="37"/>
        <v>#DIV/0!</v>
      </c>
    </row>
    <row r="24" spans="1:89" ht="14.75">
      <c r="AJ24" s="654" t="s">
        <v>531</v>
      </c>
      <c r="AK24" s="534">
        <v>1847.6532545848377</v>
      </c>
      <c r="AL24" s="534">
        <v>1642.9354605487365</v>
      </c>
      <c r="AM24" s="534">
        <v>1642.9354605487365</v>
      </c>
      <c r="AN24" s="534">
        <v>1157.7898204765343</v>
      </c>
      <c r="AO24" s="534"/>
      <c r="AP24" s="532">
        <v>44.551402440433215</v>
      </c>
      <c r="AQ24" s="533"/>
      <c r="AR24" s="532">
        <v>44.551402440433215</v>
      </c>
      <c r="AS24" s="532">
        <v>22.959004938628162</v>
      </c>
      <c r="AT24" s="532"/>
      <c r="AU24" s="532">
        <v>0.64520758122743693</v>
      </c>
      <c r="AV24" s="533"/>
      <c r="AW24" s="532">
        <v>0.64520758122743693</v>
      </c>
      <c r="AX24" s="532">
        <v>0.40445848375451265</v>
      </c>
      <c r="AY24" s="533">
        <v>20</v>
      </c>
      <c r="AZ24" s="534">
        <f t="shared" si="1"/>
        <v>1420.5697096595127</v>
      </c>
      <c r="BA24" s="534">
        <f t="shared" si="2"/>
        <v>1263.1722669768239</v>
      </c>
      <c r="BB24" s="534">
        <f t="shared" si="3"/>
        <v>1263.1722669768239</v>
      </c>
      <c r="BC24" s="534">
        <f t="shared" si="4"/>
        <v>890.16764646711465</v>
      </c>
      <c r="BD24" s="534">
        <f t="shared" si="5"/>
        <v>0</v>
      </c>
      <c r="BE24" s="534">
        <f t="shared" si="6"/>
        <v>34.253382052440912</v>
      </c>
      <c r="BF24" s="534">
        <f t="shared" si="7"/>
        <v>0</v>
      </c>
      <c r="BG24" s="534">
        <f t="shared" si="8"/>
        <v>34.253382052440912</v>
      </c>
      <c r="BH24" s="534">
        <f t="shared" si="9"/>
        <v>17.652049646656668</v>
      </c>
      <c r="BI24" s="534">
        <f t="shared" si="10"/>
        <v>0</v>
      </c>
      <c r="BJ24" s="534">
        <f t="shared" si="11"/>
        <v>0.4960683743337575</v>
      </c>
      <c r="BK24" s="534">
        <f t="shared" si="12"/>
        <v>0</v>
      </c>
      <c r="BL24" s="534">
        <f t="shared" si="13"/>
        <v>0.4960683743337575</v>
      </c>
      <c r="BM24" s="534">
        <f t="shared" si="14"/>
        <v>0.3109682346569822</v>
      </c>
      <c r="BN24" s="533">
        <v>20</v>
      </c>
      <c r="BW24" s="1493" t="e">
        <f t="shared" si="34"/>
        <v>#DIV/0!</v>
      </c>
      <c r="BX24" s="1493" t="e">
        <f t="shared" si="35"/>
        <v>#DIV/0!</v>
      </c>
      <c r="BY24" s="1493" t="e">
        <f t="shared" si="36"/>
        <v>#DIV/0!</v>
      </c>
      <c r="BZ24" s="1493" t="e">
        <f t="shared" si="37"/>
        <v>#DIV/0!</v>
      </c>
    </row>
    <row r="25" spans="1:89" ht="14.75">
      <c r="AJ25" s="654" t="s">
        <v>549</v>
      </c>
      <c r="AK25" s="534">
        <v>1847.6532545848377</v>
      </c>
      <c r="AL25" s="534">
        <v>1642.9354605487365</v>
      </c>
      <c r="AM25" s="534">
        <v>1642.9354605487365</v>
      </c>
      <c r="AN25" s="534">
        <v>1157.7898204765343</v>
      </c>
      <c r="AO25" s="534"/>
      <c r="AP25" s="532">
        <v>44.551402440433215</v>
      </c>
      <c r="AQ25" s="533"/>
      <c r="AR25" s="532">
        <v>44.551402440433215</v>
      </c>
      <c r="AS25" s="532">
        <v>22.959004938628162</v>
      </c>
      <c r="AT25" s="532"/>
      <c r="AU25" s="532">
        <v>0.64520758122743693</v>
      </c>
      <c r="AV25" s="533"/>
      <c r="AW25" s="532">
        <v>0.64520758122743693</v>
      </c>
      <c r="AX25" s="532">
        <v>0.40445848375451265</v>
      </c>
      <c r="AY25" s="533">
        <v>20</v>
      </c>
      <c r="AZ25" s="534">
        <f t="shared" si="1"/>
        <v>1420.5697096595127</v>
      </c>
      <c r="BA25" s="534">
        <f t="shared" si="2"/>
        <v>1263.1722669768239</v>
      </c>
      <c r="BB25" s="534">
        <f t="shared" si="3"/>
        <v>1263.1722669768239</v>
      </c>
      <c r="BC25" s="534">
        <f t="shared" si="4"/>
        <v>890.16764646711465</v>
      </c>
      <c r="BD25" s="534">
        <f t="shared" si="5"/>
        <v>0</v>
      </c>
      <c r="BE25" s="534">
        <f t="shared" si="6"/>
        <v>34.253382052440912</v>
      </c>
      <c r="BF25" s="534">
        <f t="shared" si="7"/>
        <v>0</v>
      </c>
      <c r="BG25" s="534">
        <f t="shared" si="8"/>
        <v>34.253382052440912</v>
      </c>
      <c r="BH25" s="534">
        <f t="shared" si="9"/>
        <v>17.652049646656668</v>
      </c>
      <c r="BI25" s="534">
        <f t="shared" si="10"/>
        <v>0</v>
      </c>
      <c r="BJ25" s="534">
        <f t="shared" si="11"/>
        <v>0.4960683743337575</v>
      </c>
      <c r="BK25" s="534">
        <f t="shared" si="12"/>
        <v>0</v>
      </c>
      <c r="BL25" s="534">
        <f t="shared" si="13"/>
        <v>0.4960683743337575</v>
      </c>
      <c r="BM25" s="534">
        <f t="shared" si="14"/>
        <v>0.3109682346569822</v>
      </c>
      <c r="BN25" s="533">
        <v>20</v>
      </c>
      <c r="BW25" s="1493" t="e">
        <f t="shared" si="34"/>
        <v>#DIV/0!</v>
      </c>
      <c r="BX25" s="1493" t="e">
        <f t="shared" si="35"/>
        <v>#DIV/0!</v>
      </c>
      <c r="BY25" s="1493" t="e">
        <f t="shared" si="36"/>
        <v>#DIV/0!</v>
      </c>
      <c r="BZ25" s="1493" t="e">
        <f t="shared" si="37"/>
        <v>#DIV/0!</v>
      </c>
    </row>
    <row r="26" spans="1:89" ht="14.75">
      <c r="AJ26" s="654" t="s">
        <v>550</v>
      </c>
      <c r="AK26" s="534">
        <v>1847.6532545848377</v>
      </c>
      <c r="AL26" s="534">
        <v>1642.9354605487365</v>
      </c>
      <c r="AM26" s="534">
        <v>1642.9354605487365</v>
      </c>
      <c r="AN26" s="534">
        <v>1157.7898204765343</v>
      </c>
      <c r="AO26" s="534"/>
      <c r="AP26" s="532">
        <v>44.551402440433215</v>
      </c>
      <c r="AQ26" s="533"/>
      <c r="AR26" s="532">
        <v>44.551402440433215</v>
      </c>
      <c r="AS26" s="532">
        <v>22.959004938628162</v>
      </c>
      <c r="AT26" s="532"/>
      <c r="AU26" s="532">
        <v>0.64520758122743693</v>
      </c>
      <c r="AV26" s="533"/>
      <c r="AW26" s="532">
        <v>0.64520758122743693</v>
      </c>
      <c r="AX26" s="532">
        <v>0.40445848375451265</v>
      </c>
      <c r="AY26" s="533">
        <v>20</v>
      </c>
      <c r="AZ26" s="534">
        <f t="shared" si="1"/>
        <v>1420.5697096595127</v>
      </c>
      <c r="BA26" s="534">
        <f t="shared" si="2"/>
        <v>1263.1722669768239</v>
      </c>
      <c r="BB26" s="534">
        <f t="shared" si="3"/>
        <v>1263.1722669768239</v>
      </c>
      <c r="BC26" s="534">
        <f t="shared" si="4"/>
        <v>890.16764646711465</v>
      </c>
      <c r="BD26" s="534">
        <f t="shared" si="5"/>
        <v>0</v>
      </c>
      <c r="BE26" s="534">
        <f t="shared" si="6"/>
        <v>34.253382052440912</v>
      </c>
      <c r="BF26" s="534">
        <f t="shared" si="7"/>
        <v>0</v>
      </c>
      <c r="BG26" s="534">
        <f t="shared" si="8"/>
        <v>34.253382052440912</v>
      </c>
      <c r="BH26" s="534">
        <f t="shared" si="9"/>
        <v>17.652049646656668</v>
      </c>
      <c r="BI26" s="534">
        <f t="shared" si="10"/>
        <v>0</v>
      </c>
      <c r="BJ26" s="534">
        <f t="shared" si="11"/>
        <v>0.4960683743337575</v>
      </c>
      <c r="BK26" s="534">
        <f t="shared" si="12"/>
        <v>0</v>
      </c>
      <c r="BL26" s="534">
        <f t="shared" si="13"/>
        <v>0.4960683743337575</v>
      </c>
      <c r="BM26" s="534">
        <f t="shared" si="14"/>
        <v>0.3109682346569822</v>
      </c>
      <c r="BN26" s="533">
        <v>20</v>
      </c>
      <c r="BW26" s="1493" t="e">
        <f t="shared" si="34"/>
        <v>#DIV/0!</v>
      </c>
      <c r="BX26" s="1493" t="e">
        <f t="shared" si="35"/>
        <v>#DIV/0!</v>
      </c>
      <c r="BY26" s="1493" t="e">
        <f t="shared" si="36"/>
        <v>#DIV/0!</v>
      </c>
      <c r="BZ26" s="1493" t="e">
        <f t="shared" si="37"/>
        <v>#DIV/0!</v>
      </c>
    </row>
    <row r="27" spans="1:89" ht="14.75">
      <c r="AJ27" s="655" t="s">
        <v>348</v>
      </c>
      <c r="AK27" s="534">
        <v>7379.6801588447661</v>
      </c>
      <c r="AL27" s="534"/>
      <c r="AM27" s="534"/>
      <c r="AN27" s="534"/>
      <c r="AO27" s="534"/>
      <c r="AP27" s="532">
        <v>0</v>
      </c>
      <c r="AQ27" s="532"/>
      <c r="AR27" s="532"/>
      <c r="AS27" s="532"/>
      <c r="AT27" s="532"/>
      <c r="AU27" s="532">
        <v>19.645126353790612</v>
      </c>
      <c r="AV27" s="532"/>
      <c r="AW27" s="532"/>
      <c r="AX27" s="532"/>
      <c r="AY27" s="533">
        <v>10</v>
      </c>
      <c r="AZ27" s="534">
        <f t="shared" si="1"/>
        <v>5673.8731007110709</v>
      </c>
      <c r="BA27" s="534">
        <f t="shared" si="2"/>
        <v>0</v>
      </c>
      <c r="BB27" s="534">
        <f t="shared" si="3"/>
        <v>0</v>
      </c>
      <c r="BC27" s="534">
        <f t="shared" si="4"/>
        <v>0</v>
      </c>
      <c r="BD27" s="534">
        <f t="shared" si="5"/>
        <v>0</v>
      </c>
      <c r="BE27" s="534">
        <f t="shared" si="6"/>
        <v>0</v>
      </c>
      <c r="BF27" s="534">
        <f t="shared" si="7"/>
        <v>0</v>
      </c>
      <c r="BG27" s="534">
        <f t="shared" si="8"/>
        <v>0</v>
      </c>
      <c r="BH27" s="534">
        <f t="shared" si="9"/>
        <v>0</v>
      </c>
      <c r="BI27" s="534">
        <f t="shared" si="10"/>
        <v>0</v>
      </c>
      <c r="BJ27" s="534">
        <f t="shared" si="11"/>
        <v>15.104171397624851</v>
      </c>
      <c r="BK27" s="534">
        <f t="shared" si="12"/>
        <v>0</v>
      </c>
      <c r="BL27" s="534">
        <f t="shared" si="13"/>
        <v>0</v>
      </c>
      <c r="BM27" s="534">
        <f t="shared" si="14"/>
        <v>0</v>
      </c>
      <c r="BN27" s="533">
        <v>10</v>
      </c>
      <c r="BW27" s="1493" t="e">
        <f t="shared" si="34"/>
        <v>#DIV/0!</v>
      </c>
      <c r="BX27" s="1493" t="e">
        <f t="shared" si="35"/>
        <v>#DIV/0!</v>
      </c>
      <c r="BY27" s="1493" t="e">
        <f t="shared" si="36"/>
        <v>#DIV/0!</v>
      </c>
      <c r="BZ27" s="1493" t="e">
        <f t="shared" si="37"/>
        <v>#DIV/0!</v>
      </c>
    </row>
    <row r="28" spans="1:89" ht="14.75">
      <c r="AJ28" s="655" t="s">
        <v>113</v>
      </c>
      <c r="AK28" s="534">
        <v>851.85196895306865</v>
      </c>
      <c r="AL28" s="534"/>
      <c r="AM28" s="534"/>
      <c r="AN28" s="534"/>
      <c r="AO28" s="534"/>
      <c r="AP28" s="532">
        <v>17.137257257761732</v>
      </c>
      <c r="AQ28" s="532"/>
      <c r="AR28" s="532"/>
      <c r="AS28" s="532"/>
      <c r="AT28" s="532"/>
      <c r="AU28" s="532"/>
      <c r="AV28" s="532"/>
      <c r="AW28" s="532"/>
      <c r="AX28" s="532"/>
      <c r="AY28" s="533">
        <v>20</v>
      </c>
      <c r="AZ28" s="534">
        <f t="shared" si="1"/>
        <v>654.94708014380888</v>
      </c>
      <c r="BA28" s="534">
        <f t="shared" si="2"/>
        <v>0</v>
      </c>
      <c r="BB28" s="534">
        <f t="shared" si="3"/>
        <v>0</v>
      </c>
      <c r="BC28" s="534">
        <f t="shared" si="4"/>
        <v>0</v>
      </c>
      <c r="BD28" s="534">
        <f t="shared" si="5"/>
        <v>0</v>
      </c>
      <c r="BE28" s="534">
        <f t="shared" si="6"/>
        <v>13.175994200540153</v>
      </c>
      <c r="BF28" s="534">
        <f t="shared" si="7"/>
        <v>0</v>
      </c>
      <c r="BG28" s="534">
        <f t="shared" si="8"/>
        <v>0</v>
      </c>
      <c r="BH28" s="534">
        <f t="shared" si="9"/>
        <v>0</v>
      </c>
      <c r="BI28" s="534">
        <f t="shared" si="10"/>
        <v>0</v>
      </c>
      <c r="BJ28" s="534">
        <f t="shared" si="11"/>
        <v>0</v>
      </c>
      <c r="BK28" s="534">
        <f t="shared" si="12"/>
        <v>0</v>
      </c>
      <c r="BL28" s="534">
        <f t="shared" si="13"/>
        <v>0</v>
      </c>
      <c r="BM28" s="534">
        <f t="shared" si="14"/>
        <v>0</v>
      </c>
      <c r="BN28" s="533">
        <v>20</v>
      </c>
      <c r="BW28" s="1493" t="e">
        <f t="shared" si="34"/>
        <v>#DIV/0!</v>
      </c>
      <c r="BX28" s="1493" t="e">
        <f t="shared" si="35"/>
        <v>#DIV/0!</v>
      </c>
      <c r="BY28" s="1493" t="e">
        <f t="shared" si="36"/>
        <v>#DIV/0!</v>
      </c>
      <c r="BZ28" s="1493" t="e">
        <f t="shared" si="37"/>
        <v>#DIV/0!</v>
      </c>
    </row>
    <row r="29" spans="1:89" ht="14.75">
      <c r="AJ29" s="656" t="s">
        <v>114</v>
      </c>
      <c r="AK29" s="534">
        <v>431.84795003610117</v>
      </c>
      <c r="AL29" s="534"/>
      <c r="AM29" s="534"/>
      <c r="AN29" s="534"/>
      <c r="AO29" s="534"/>
      <c r="AP29" s="532">
        <v>21.592397501805056</v>
      </c>
      <c r="AQ29" s="532"/>
      <c r="AR29" s="532"/>
      <c r="AS29" s="532"/>
      <c r="AT29" s="532"/>
      <c r="AU29" s="532">
        <v>0.14444945848375451</v>
      </c>
      <c r="AV29" s="532"/>
      <c r="AW29" s="532"/>
      <c r="AX29" s="532"/>
      <c r="AY29" s="538">
        <v>25</v>
      </c>
      <c r="AZ29" s="534">
        <f t="shared" si="1"/>
        <v>332.02664811568496</v>
      </c>
      <c r="BA29" s="534">
        <f t="shared" si="2"/>
        <v>0</v>
      </c>
      <c r="BB29" s="534">
        <f t="shared" si="3"/>
        <v>0</v>
      </c>
      <c r="BC29" s="534">
        <f t="shared" si="4"/>
        <v>0</v>
      </c>
      <c r="BD29" s="534">
        <f t="shared" si="5"/>
        <v>0</v>
      </c>
      <c r="BE29" s="534">
        <f t="shared" si="6"/>
        <v>16.601332405784245</v>
      </c>
      <c r="BF29" s="534">
        <f t="shared" si="7"/>
        <v>0</v>
      </c>
      <c r="BG29" s="534">
        <f t="shared" si="8"/>
        <v>0</v>
      </c>
      <c r="BH29" s="534">
        <f t="shared" si="9"/>
        <v>0</v>
      </c>
      <c r="BI29" s="534">
        <f t="shared" si="10"/>
        <v>0</v>
      </c>
      <c r="BJ29" s="534">
        <f t="shared" si="11"/>
        <v>0.11106008380606508</v>
      </c>
      <c r="BK29" s="534">
        <f t="shared" si="12"/>
        <v>0</v>
      </c>
      <c r="BL29" s="534">
        <f t="shared" si="13"/>
        <v>0</v>
      </c>
      <c r="BM29" s="534">
        <f t="shared" si="14"/>
        <v>0</v>
      </c>
      <c r="BN29" s="538">
        <v>25</v>
      </c>
      <c r="BW29" s="1493" t="e">
        <f t="shared" si="34"/>
        <v>#DIV/0!</v>
      </c>
      <c r="BX29" s="1493" t="e">
        <f t="shared" si="35"/>
        <v>#DIV/0!</v>
      </c>
      <c r="BY29" s="1493" t="e">
        <f t="shared" si="36"/>
        <v>#DIV/0!</v>
      </c>
      <c r="BZ29" s="1493" t="e">
        <f t="shared" si="37"/>
        <v>#DIV/0!</v>
      </c>
    </row>
    <row r="30" spans="1:89" ht="14.75">
      <c r="AJ30" s="657" t="s">
        <v>115</v>
      </c>
      <c r="AK30" s="514">
        <v>1779.0495612563179</v>
      </c>
      <c r="AL30" s="514">
        <v>497.71842849097476</v>
      </c>
      <c r="AM30" s="514">
        <v>497.71842849097476</v>
      </c>
      <c r="AN30" s="541">
        <v>445</v>
      </c>
      <c r="AO30" s="541"/>
      <c r="AP30" s="501">
        <v>89.922769342960294</v>
      </c>
      <c r="AQ30" s="501"/>
      <c r="AR30" s="501">
        <v>89.922769342960294</v>
      </c>
      <c r="AS30" s="529"/>
      <c r="AT30" s="529"/>
      <c r="AU30" s="532">
        <v>0.06</v>
      </c>
      <c r="AV30" s="532"/>
      <c r="AW30" s="532">
        <v>6.3557761732851992E-2</v>
      </c>
      <c r="AX30" s="529"/>
      <c r="AY30" s="533">
        <v>20</v>
      </c>
      <c r="AZ30" s="534">
        <f t="shared" si="1"/>
        <v>1367.8237041677171</v>
      </c>
      <c r="BA30" s="534">
        <f t="shared" si="2"/>
        <v>382.6712191257356</v>
      </c>
      <c r="BB30" s="534">
        <f t="shared" si="3"/>
        <v>382.6712191257356</v>
      </c>
      <c r="BC30" s="534">
        <f t="shared" si="4"/>
        <v>342.13861244247704</v>
      </c>
      <c r="BD30" s="534">
        <f t="shared" si="5"/>
        <v>0</v>
      </c>
      <c r="BE30" s="534">
        <f t="shared" si="6"/>
        <v>69.137194449405285</v>
      </c>
      <c r="BF30" s="534">
        <f t="shared" si="7"/>
        <v>0</v>
      </c>
      <c r="BG30" s="534">
        <f t="shared" si="8"/>
        <v>69.137194449405285</v>
      </c>
      <c r="BH30" s="534">
        <f t="shared" si="9"/>
        <v>0</v>
      </c>
      <c r="BI30" s="534">
        <f t="shared" si="10"/>
        <v>0</v>
      </c>
      <c r="BJ30" s="534">
        <f t="shared" si="11"/>
        <v>4.6131048868648591E-2</v>
      </c>
      <c r="BK30" s="534">
        <f t="shared" si="12"/>
        <v>0</v>
      </c>
      <c r="BL30" s="534">
        <f t="shared" si="13"/>
        <v>4.8866436874668642E-2</v>
      </c>
      <c r="BM30" s="534">
        <f t="shared" si="14"/>
        <v>0</v>
      </c>
      <c r="BN30" s="533">
        <v>20</v>
      </c>
      <c r="BW30" s="1493" t="e">
        <f t="shared" si="34"/>
        <v>#DIV/0!</v>
      </c>
      <c r="BX30" s="1493" t="e">
        <f t="shared" si="35"/>
        <v>#DIV/0!</v>
      </c>
      <c r="BY30" s="1493" t="e">
        <f t="shared" si="36"/>
        <v>#DIV/0!</v>
      </c>
      <c r="BZ30" s="1493" t="e">
        <f t="shared" si="37"/>
        <v>#DIV/0!</v>
      </c>
    </row>
    <row r="31" spans="1:89" ht="14.75">
      <c r="AJ31" s="659" t="s">
        <v>116</v>
      </c>
      <c r="AK31" s="514">
        <v>750</v>
      </c>
      <c r="AL31" s="514"/>
      <c r="AM31" s="514"/>
      <c r="AN31" s="528">
        <v>750</v>
      </c>
      <c r="AO31" s="528"/>
      <c r="AP31" s="501">
        <v>38</v>
      </c>
      <c r="AQ31" s="501"/>
      <c r="AR31" s="501"/>
      <c r="AS31" s="501">
        <v>38</v>
      </c>
      <c r="AT31" s="501"/>
      <c r="AU31" s="532">
        <v>0.15</v>
      </c>
      <c r="AV31" s="532"/>
      <c r="AW31" s="532">
        <v>5.7779783393501802E-2</v>
      </c>
      <c r="AX31" s="532"/>
      <c r="AY31" s="533">
        <v>20</v>
      </c>
      <c r="AZ31" s="534">
        <f t="shared" si="1"/>
        <v>576.63811085810744</v>
      </c>
      <c r="BA31" s="534">
        <f t="shared" si="2"/>
        <v>0</v>
      </c>
      <c r="BB31" s="534">
        <f t="shared" si="3"/>
        <v>0</v>
      </c>
      <c r="BC31" s="534">
        <f t="shared" si="4"/>
        <v>576.63811085810744</v>
      </c>
      <c r="BD31" s="534">
        <f t="shared" si="5"/>
        <v>0</v>
      </c>
      <c r="BE31" s="534">
        <f t="shared" si="6"/>
        <v>29.216330950144108</v>
      </c>
      <c r="BF31" s="534">
        <f t="shared" si="7"/>
        <v>0</v>
      </c>
      <c r="BG31" s="534">
        <f t="shared" si="8"/>
        <v>0</v>
      </c>
      <c r="BH31" s="534">
        <f t="shared" si="9"/>
        <v>29.216330950144108</v>
      </c>
      <c r="BI31" s="534">
        <f t="shared" si="10"/>
        <v>0</v>
      </c>
      <c r="BJ31" s="534">
        <f t="shared" si="11"/>
        <v>0.11532762217162147</v>
      </c>
      <c r="BK31" s="534">
        <f t="shared" si="12"/>
        <v>0</v>
      </c>
      <c r="BL31" s="534">
        <f t="shared" si="13"/>
        <v>4.4424033522426028E-2</v>
      </c>
      <c r="BM31" s="534">
        <f t="shared" si="14"/>
        <v>0</v>
      </c>
      <c r="BN31" s="533">
        <v>20</v>
      </c>
      <c r="BW31" s="1493" t="e">
        <f t="shared" si="34"/>
        <v>#DIV/0!</v>
      </c>
      <c r="BX31" s="1493" t="e">
        <f t="shared" si="35"/>
        <v>#DIV/0!</v>
      </c>
      <c r="BY31" s="1493" t="e">
        <f t="shared" si="36"/>
        <v>#DIV/0!</v>
      </c>
      <c r="BZ31" s="1493" t="e">
        <f t="shared" si="37"/>
        <v>#DIV/0!</v>
      </c>
    </row>
    <row r="32" spans="1:89" ht="14.75">
      <c r="AJ32" s="659" t="s">
        <v>495</v>
      </c>
      <c r="AK32" s="514">
        <v>830</v>
      </c>
      <c r="AL32" s="514"/>
      <c r="AM32" s="514"/>
      <c r="AN32" s="528">
        <v>830</v>
      </c>
      <c r="AO32" s="528"/>
      <c r="AP32" s="501">
        <v>41.544866079422384</v>
      </c>
      <c r="AQ32" s="501"/>
      <c r="AR32" s="501"/>
      <c r="AS32" s="501">
        <v>41.544866079422384</v>
      </c>
      <c r="AT32" s="501"/>
      <c r="AU32" s="532">
        <v>0.15</v>
      </c>
      <c r="AV32" s="532"/>
      <c r="AW32" s="532">
        <v>5.7779783393501802E-2</v>
      </c>
      <c r="AX32" s="532"/>
      <c r="AY32" s="533">
        <v>20</v>
      </c>
      <c r="AZ32" s="534">
        <f t="shared" si="1"/>
        <v>638.1461760163055</v>
      </c>
      <c r="BA32" s="534">
        <f t="shared" si="2"/>
        <v>0</v>
      </c>
      <c r="BB32" s="534">
        <f t="shared" si="3"/>
        <v>0</v>
      </c>
      <c r="BC32" s="534">
        <f t="shared" si="4"/>
        <v>638.1461760163055</v>
      </c>
      <c r="BD32" s="534">
        <f t="shared" si="5"/>
        <v>0</v>
      </c>
      <c r="BE32" s="534">
        <f t="shared" si="6"/>
        <v>31.941804122521585</v>
      </c>
      <c r="BF32" s="534">
        <f t="shared" si="7"/>
        <v>0</v>
      </c>
      <c r="BG32" s="534">
        <f t="shared" si="8"/>
        <v>0</v>
      </c>
      <c r="BH32" s="534">
        <f t="shared" si="9"/>
        <v>31.941804122521585</v>
      </c>
      <c r="BI32" s="534">
        <f t="shared" si="10"/>
        <v>0</v>
      </c>
      <c r="BJ32" s="534">
        <f t="shared" si="11"/>
        <v>0.11532762217162147</v>
      </c>
      <c r="BK32" s="534">
        <f t="shared" si="12"/>
        <v>0</v>
      </c>
      <c r="BL32" s="534">
        <f t="shared" si="13"/>
        <v>4.4424033522426028E-2</v>
      </c>
      <c r="BM32" s="534">
        <f t="shared" si="14"/>
        <v>0</v>
      </c>
      <c r="BN32" s="533">
        <v>20</v>
      </c>
      <c r="BW32" s="1493" t="e">
        <f t="shared" si="34"/>
        <v>#DIV/0!</v>
      </c>
      <c r="BX32" s="1493" t="e">
        <f t="shared" si="35"/>
        <v>#DIV/0!</v>
      </c>
      <c r="BY32" s="1493" t="e">
        <f t="shared" si="36"/>
        <v>#DIV/0!</v>
      </c>
      <c r="BZ32" s="1493" t="e">
        <f t="shared" si="37"/>
        <v>#DIV/0!</v>
      </c>
    </row>
    <row r="33" spans="36:78" ht="14.75">
      <c r="AJ33" s="659" t="s">
        <v>496</v>
      </c>
      <c r="AK33" s="514">
        <v>1200</v>
      </c>
      <c r="AL33" s="514"/>
      <c r="AM33" s="514"/>
      <c r="AN33" s="514">
        <v>1200</v>
      </c>
      <c r="AO33" s="514"/>
      <c r="AP33" s="501">
        <v>60</v>
      </c>
      <c r="AQ33" s="501"/>
      <c r="AR33" s="501"/>
      <c r="AS33" s="501">
        <v>60</v>
      </c>
      <c r="AT33" s="501"/>
      <c r="AU33" s="532">
        <v>0.96299638989169678</v>
      </c>
      <c r="AV33" s="532"/>
      <c r="AW33" s="532">
        <v>0.96299638989169678</v>
      </c>
      <c r="AX33" s="532">
        <v>0.17333935018050542</v>
      </c>
      <c r="AY33" s="533">
        <v>20</v>
      </c>
      <c r="AZ33" s="534">
        <f t="shared" si="1"/>
        <v>922.62097737297188</v>
      </c>
      <c r="BA33" s="534">
        <f t="shared" si="2"/>
        <v>0</v>
      </c>
      <c r="BB33" s="534">
        <f t="shared" si="3"/>
        <v>0</v>
      </c>
      <c r="BC33" s="534">
        <f t="shared" si="4"/>
        <v>922.62097737297188</v>
      </c>
      <c r="BD33" s="534">
        <f t="shared" si="5"/>
        <v>0</v>
      </c>
      <c r="BE33" s="534">
        <f t="shared" si="6"/>
        <v>46.131048868648591</v>
      </c>
      <c r="BF33" s="534">
        <f t="shared" si="7"/>
        <v>0</v>
      </c>
      <c r="BG33" s="534">
        <f t="shared" si="8"/>
        <v>0</v>
      </c>
      <c r="BH33" s="534">
        <f t="shared" si="9"/>
        <v>46.131048868648591</v>
      </c>
      <c r="BI33" s="534">
        <f t="shared" si="10"/>
        <v>0</v>
      </c>
      <c r="BJ33" s="534">
        <f t="shared" si="11"/>
        <v>0.74040055870710064</v>
      </c>
      <c r="BK33" s="534">
        <f t="shared" si="12"/>
        <v>0</v>
      </c>
      <c r="BL33" s="534">
        <f t="shared" si="13"/>
        <v>0.74040055870710064</v>
      </c>
      <c r="BM33" s="534">
        <f t="shared" si="14"/>
        <v>0.13327210056727809</v>
      </c>
      <c r="BN33" s="533">
        <v>20</v>
      </c>
      <c r="BW33" s="1493" t="e">
        <f t="shared" si="34"/>
        <v>#DIV/0!</v>
      </c>
      <c r="BX33" s="1493" t="e">
        <f t="shared" si="35"/>
        <v>#DIV/0!</v>
      </c>
      <c r="BY33" s="1493" t="e">
        <f t="shared" si="36"/>
        <v>#DIV/0!</v>
      </c>
      <c r="BZ33" s="1493" t="e">
        <f t="shared" si="37"/>
        <v>#DIV/0!</v>
      </c>
    </row>
    <row r="34" spans="36:78" ht="14.75">
      <c r="AJ34" s="659" t="s">
        <v>498</v>
      </c>
      <c r="AK34" s="514">
        <v>2136</v>
      </c>
      <c r="AL34" s="514"/>
      <c r="AM34" s="514"/>
      <c r="AN34" s="514">
        <v>2136</v>
      </c>
      <c r="AO34" s="514"/>
      <c r="AP34" s="501">
        <v>107</v>
      </c>
      <c r="AQ34" s="501"/>
      <c r="AR34" s="501"/>
      <c r="AS34" s="501">
        <v>107</v>
      </c>
      <c r="AT34" s="501"/>
      <c r="AU34" s="532">
        <v>0.15</v>
      </c>
      <c r="AV34" s="532"/>
      <c r="AW34" s="532">
        <v>5.7779783393501802E-2</v>
      </c>
      <c r="AX34" s="532"/>
      <c r="AY34" s="533">
        <v>30</v>
      </c>
      <c r="AZ34" s="534">
        <f t="shared" si="1"/>
        <v>1642.2653397238898</v>
      </c>
      <c r="BA34" s="534">
        <f t="shared" si="2"/>
        <v>0</v>
      </c>
      <c r="BB34" s="534">
        <f t="shared" si="3"/>
        <v>0</v>
      </c>
      <c r="BC34" s="534">
        <f t="shared" si="4"/>
        <v>1642.2653397238898</v>
      </c>
      <c r="BD34" s="534">
        <f t="shared" si="5"/>
        <v>0</v>
      </c>
      <c r="BE34" s="534">
        <f t="shared" si="6"/>
        <v>82.267037149089987</v>
      </c>
      <c r="BF34" s="534">
        <f t="shared" si="7"/>
        <v>0</v>
      </c>
      <c r="BG34" s="534">
        <f t="shared" si="8"/>
        <v>0</v>
      </c>
      <c r="BH34" s="534">
        <f t="shared" si="9"/>
        <v>82.267037149089987</v>
      </c>
      <c r="BI34" s="534">
        <f t="shared" si="10"/>
        <v>0</v>
      </c>
      <c r="BJ34" s="534">
        <f t="shared" si="11"/>
        <v>0.11532762217162147</v>
      </c>
      <c r="BK34" s="534">
        <f t="shared" si="12"/>
        <v>0</v>
      </c>
      <c r="BL34" s="534">
        <f t="shared" si="13"/>
        <v>4.4424033522426028E-2</v>
      </c>
      <c r="BM34" s="534">
        <f t="shared" si="14"/>
        <v>0</v>
      </c>
      <c r="BN34" s="533">
        <v>30</v>
      </c>
      <c r="BW34" s="1493" t="e">
        <f t="shared" si="34"/>
        <v>#DIV/0!</v>
      </c>
      <c r="BX34" s="1493" t="e">
        <f t="shared" si="35"/>
        <v>#DIV/0!</v>
      </c>
      <c r="BY34" s="1493" t="e">
        <f t="shared" si="36"/>
        <v>#DIV/0!</v>
      </c>
      <c r="BZ34" s="1493" t="e">
        <f t="shared" si="37"/>
        <v>#DIV/0!</v>
      </c>
    </row>
    <row r="35" spans="36:78" ht="14.75">
      <c r="AJ35" s="659" t="s">
        <v>499</v>
      </c>
      <c r="AK35" s="514">
        <v>2063</v>
      </c>
      <c r="AL35" s="514"/>
      <c r="AM35" s="514"/>
      <c r="AN35" s="514">
        <v>2063</v>
      </c>
      <c r="AO35" s="514"/>
      <c r="AP35" s="501">
        <v>103</v>
      </c>
      <c r="AQ35" s="501"/>
      <c r="AR35" s="501"/>
      <c r="AS35" s="501">
        <v>103</v>
      </c>
      <c r="AT35" s="501"/>
      <c r="AU35" s="532">
        <v>0.15</v>
      </c>
      <c r="AV35" s="532"/>
      <c r="AW35" s="532">
        <v>5.7779783393501802E-2</v>
      </c>
      <c r="AX35" s="532"/>
      <c r="AY35" s="533">
        <v>30</v>
      </c>
      <c r="AZ35" s="534">
        <f t="shared" si="1"/>
        <v>1586.139230267034</v>
      </c>
      <c r="BA35" s="534">
        <f t="shared" si="2"/>
        <v>0</v>
      </c>
      <c r="BB35" s="534">
        <f t="shared" si="3"/>
        <v>0</v>
      </c>
      <c r="BC35" s="534">
        <f t="shared" si="4"/>
        <v>1586.139230267034</v>
      </c>
      <c r="BD35" s="534">
        <f t="shared" si="5"/>
        <v>0</v>
      </c>
      <c r="BE35" s="534">
        <f t="shared" si="6"/>
        <v>79.191633891180089</v>
      </c>
      <c r="BF35" s="534">
        <f t="shared" si="7"/>
        <v>0</v>
      </c>
      <c r="BG35" s="534">
        <f t="shared" si="8"/>
        <v>0</v>
      </c>
      <c r="BH35" s="534">
        <f t="shared" si="9"/>
        <v>79.191633891180089</v>
      </c>
      <c r="BI35" s="534">
        <f t="shared" si="10"/>
        <v>0</v>
      </c>
      <c r="BJ35" s="534">
        <f t="shared" si="11"/>
        <v>0.11532762217162147</v>
      </c>
      <c r="BK35" s="534">
        <f t="shared" si="12"/>
        <v>0</v>
      </c>
      <c r="BL35" s="534">
        <f t="shared" si="13"/>
        <v>4.4424033522426028E-2</v>
      </c>
      <c r="BM35" s="534">
        <f t="shared" si="14"/>
        <v>0</v>
      </c>
      <c r="BN35" s="533">
        <v>30</v>
      </c>
      <c r="BW35" s="1493" t="e">
        <f t="shared" si="34"/>
        <v>#DIV/0!</v>
      </c>
      <c r="BX35" s="1493" t="e">
        <f t="shared" si="35"/>
        <v>#DIV/0!</v>
      </c>
      <c r="BY35" s="1493" t="e">
        <f t="shared" si="36"/>
        <v>#DIV/0!</v>
      </c>
      <c r="BZ35" s="1493" t="e">
        <f t="shared" si="37"/>
        <v>#DIV/0!</v>
      </c>
    </row>
    <row r="36" spans="36:78" ht="14.75">
      <c r="AJ36" s="686" t="s">
        <v>553</v>
      </c>
      <c r="AK36" s="514">
        <v>1941</v>
      </c>
      <c r="AL36" s="514">
        <v>866</v>
      </c>
      <c r="AM36" s="514"/>
      <c r="AN36" s="514">
        <v>513</v>
      </c>
      <c r="AO36" s="514"/>
      <c r="AP36" s="501">
        <v>137</v>
      </c>
      <c r="AQ36" s="501">
        <v>137</v>
      </c>
      <c r="AR36" s="501"/>
      <c r="AS36" s="501">
        <v>25</v>
      </c>
      <c r="AT36" s="501"/>
      <c r="AU36" s="532">
        <v>0.96299638989169678</v>
      </c>
      <c r="AV36" s="532"/>
      <c r="AW36" s="532">
        <v>0.96299638989169678</v>
      </c>
      <c r="AX36" s="532">
        <v>0.17333935018050542</v>
      </c>
      <c r="AY36" s="533">
        <v>20</v>
      </c>
      <c r="AZ36" s="534">
        <f t="shared" si="1"/>
        <v>1492.3394309007817</v>
      </c>
      <c r="BA36" s="534">
        <f t="shared" si="2"/>
        <v>665.82480533749469</v>
      </c>
      <c r="BB36" s="534">
        <f t="shared" si="3"/>
        <v>0</v>
      </c>
      <c r="BC36" s="534">
        <f t="shared" si="4"/>
        <v>394.42046782694541</v>
      </c>
      <c r="BD36" s="534">
        <f t="shared" si="5"/>
        <v>0</v>
      </c>
      <c r="BE36" s="534">
        <f t="shared" si="6"/>
        <v>105.33256158341429</v>
      </c>
      <c r="BF36" s="534">
        <f t="shared" si="7"/>
        <v>105.33256158341429</v>
      </c>
      <c r="BG36" s="534">
        <f t="shared" si="8"/>
        <v>0</v>
      </c>
      <c r="BH36" s="534">
        <f t="shared" si="9"/>
        <v>19.221270361936913</v>
      </c>
      <c r="BI36" s="534">
        <f t="shared" si="10"/>
        <v>0</v>
      </c>
      <c r="BJ36" s="534">
        <f t="shared" si="11"/>
        <v>0.74040055870710064</v>
      </c>
      <c r="BK36" s="534">
        <f t="shared" si="12"/>
        <v>0</v>
      </c>
      <c r="BL36" s="534">
        <f t="shared" si="13"/>
        <v>0.74040055870710064</v>
      </c>
      <c r="BM36" s="534">
        <f t="shared" si="14"/>
        <v>0.13327210056727809</v>
      </c>
      <c r="BN36" s="533">
        <v>20</v>
      </c>
      <c r="BW36" s="1493" t="e">
        <f t="shared" si="34"/>
        <v>#DIV/0!</v>
      </c>
      <c r="BX36" s="1493" t="e">
        <f t="shared" si="35"/>
        <v>#DIV/0!</v>
      </c>
      <c r="BY36" s="1493" t="e">
        <f t="shared" si="36"/>
        <v>#DIV/0!</v>
      </c>
      <c r="BZ36" s="1493" t="e">
        <f t="shared" si="37"/>
        <v>#DIV/0!</v>
      </c>
    </row>
    <row r="37" spans="36:78" ht="14.75">
      <c r="AJ37" s="660" t="s">
        <v>554</v>
      </c>
      <c r="AK37" s="514">
        <v>1941</v>
      </c>
      <c r="AL37" s="514">
        <v>866</v>
      </c>
      <c r="AM37" s="514"/>
      <c r="AN37" s="514">
        <v>513</v>
      </c>
      <c r="AO37" s="514"/>
      <c r="AP37" s="501">
        <v>137</v>
      </c>
      <c r="AQ37" s="501">
        <v>137</v>
      </c>
      <c r="AR37" s="501"/>
      <c r="AS37" s="501">
        <v>25</v>
      </c>
      <c r="AT37" s="501"/>
      <c r="AU37" s="532">
        <v>0.96299638989169678</v>
      </c>
      <c r="AV37" s="532"/>
      <c r="AW37" s="532">
        <v>0.96299638989169678</v>
      </c>
      <c r="AX37" s="532">
        <v>0.17333935018050542</v>
      </c>
      <c r="AY37" s="533">
        <v>20</v>
      </c>
      <c r="AZ37" s="534">
        <f t="shared" si="1"/>
        <v>1492.3394309007817</v>
      </c>
      <c r="BA37" s="534">
        <f t="shared" si="2"/>
        <v>665.82480533749469</v>
      </c>
      <c r="BB37" s="534">
        <f t="shared" si="3"/>
        <v>0</v>
      </c>
      <c r="BC37" s="534">
        <f t="shared" si="4"/>
        <v>394.42046782694541</v>
      </c>
      <c r="BD37" s="534">
        <f t="shared" si="5"/>
        <v>0</v>
      </c>
      <c r="BE37" s="534">
        <f t="shared" si="6"/>
        <v>105.33256158341429</v>
      </c>
      <c r="BF37" s="534">
        <f t="shared" si="7"/>
        <v>105.33256158341429</v>
      </c>
      <c r="BG37" s="534">
        <f t="shared" si="8"/>
        <v>0</v>
      </c>
      <c r="BH37" s="534">
        <f t="shared" si="9"/>
        <v>19.221270361936913</v>
      </c>
      <c r="BI37" s="534">
        <f t="shared" si="10"/>
        <v>0</v>
      </c>
      <c r="BJ37" s="534">
        <f t="shared" si="11"/>
        <v>0.74040055870710064</v>
      </c>
      <c r="BK37" s="534">
        <f t="shared" si="12"/>
        <v>0</v>
      </c>
      <c r="BL37" s="534">
        <f t="shared" si="13"/>
        <v>0.74040055870710064</v>
      </c>
      <c r="BM37" s="534">
        <f t="shared" si="14"/>
        <v>0.13327210056727809</v>
      </c>
      <c r="BN37" s="533">
        <v>20</v>
      </c>
      <c r="BW37" s="1493" t="e">
        <f t="shared" si="34"/>
        <v>#DIV/0!</v>
      </c>
      <c r="BX37" s="1493" t="e">
        <f t="shared" si="35"/>
        <v>#DIV/0!</v>
      </c>
      <c r="BY37" s="1493" t="e">
        <f t="shared" si="36"/>
        <v>#DIV/0!</v>
      </c>
      <c r="BZ37" s="1493" t="e">
        <f t="shared" si="37"/>
        <v>#DIV/0!</v>
      </c>
    </row>
    <row r="38" spans="36:78" ht="14.75">
      <c r="AJ38" s="659" t="s">
        <v>500</v>
      </c>
      <c r="AK38" s="514">
        <v>1200</v>
      </c>
      <c r="AL38" s="514"/>
      <c r="AM38" s="514"/>
      <c r="AN38" s="514">
        <v>1200</v>
      </c>
      <c r="AO38" s="514"/>
      <c r="AP38" s="501">
        <v>60</v>
      </c>
      <c r="AQ38" s="501"/>
      <c r="AR38" s="501"/>
      <c r="AS38" s="501">
        <v>60</v>
      </c>
      <c r="AT38" s="501"/>
      <c r="AU38" s="532">
        <v>0.15</v>
      </c>
      <c r="AV38" s="532"/>
      <c r="AW38" s="532">
        <v>5.7779783393501802E-2</v>
      </c>
      <c r="AX38" s="532"/>
      <c r="AY38" s="533">
        <v>20</v>
      </c>
      <c r="AZ38" s="534">
        <f t="shared" si="1"/>
        <v>922.62097737297188</v>
      </c>
      <c r="BA38" s="534">
        <f t="shared" si="2"/>
        <v>0</v>
      </c>
      <c r="BB38" s="534">
        <f t="shared" si="3"/>
        <v>0</v>
      </c>
      <c r="BC38" s="534">
        <f t="shared" si="4"/>
        <v>922.62097737297188</v>
      </c>
      <c r="BD38" s="534">
        <f t="shared" si="5"/>
        <v>0</v>
      </c>
      <c r="BE38" s="534">
        <f t="shared" si="6"/>
        <v>46.131048868648591</v>
      </c>
      <c r="BF38" s="534">
        <f t="shared" si="7"/>
        <v>0</v>
      </c>
      <c r="BG38" s="534">
        <f t="shared" si="8"/>
        <v>0</v>
      </c>
      <c r="BH38" s="534">
        <f t="shared" si="9"/>
        <v>46.131048868648591</v>
      </c>
      <c r="BI38" s="534">
        <f t="shared" si="10"/>
        <v>0</v>
      </c>
      <c r="BJ38" s="534">
        <f t="shared" si="11"/>
        <v>0.11532762217162147</v>
      </c>
      <c r="BK38" s="534">
        <f t="shared" si="12"/>
        <v>0</v>
      </c>
      <c r="BL38" s="534">
        <f t="shared" si="13"/>
        <v>4.4424033522426028E-2</v>
      </c>
      <c r="BM38" s="534">
        <f t="shared" si="14"/>
        <v>0</v>
      </c>
      <c r="BN38" s="533">
        <v>20</v>
      </c>
      <c r="BW38" s="1493" t="e">
        <f t="shared" si="34"/>
        <v>#DIV/0!</v>
      </c>
      <c r="BX38" s="1493" t="e">
        <f t="shared" si="35"/>
        <v>#DIV/0!</v>
      </c>
      <c r="BY38" s="1493" t="e">
        <f t="shared" si="36"/>
        <v>#DIV/0!</v>
      </c>
      <c r="BZ38" s="1493" t="e">
        <f t="shared" si="37"/>
        <v>#DIV/0!</v>
      </c>
    </row>
    <row r="39" spans="36:78" ht="14.75">
      <c r="AJ39" s="659" t="s">
        <v>507</v>
      </c>
      <c r="AK39" s="514">
        <v>1300</v>
      </c>
      <c r="AL39" s="514"/>
      <c r="AM39" s="514"/>
      <c r="AN39" s="514">
        <v>1300</v>
      </c>
      <c r="AO39" s="514"/>
      <c r="AP39" s="501">
        <v>65</v>
      </c>
      <c r="AQ39" s="501"/>
      <c r="AR39" s="501"/>
      <c r="AS39" s="501">
        <v>65</v>
      </c>
      <c r="AT39" s="501"/>
      <c r="AU39" s="532">
        <v>0.15</v>
      </c>
      <c r="AV39" s="532"/>
      <c r="AW39" s="532">
        <v>5.7779783393501802E-2</v>
      </c>
      <c r="AX39" s="532"/>
      <c r="AY39" s="533">
        <v>20</v>
      </c>
      <c r="AZ39" s="534">
        <f t="shared" si="1"/>
        <v>999.50605882071943</v>
      </c>
      <c r="BA39" s="534">
        <f t="shared" si="2"/>
        <v>0</v>
      </c>
      <c r="BB39" s="534">
        <f t="shared" si="3"/>
        <v>0</v>
      </c>
      <c r="BC39" s="534">
        <f t="shared" si="4"/>
        <v>999.50605882071943</v>
      </c>
      <c r="BD39" s="534">
        <f t="shared" si="5"/>
        <v>0</v>
      </c>
      <c r="BE39" s="534">
        <f t="shared" si="6"/>
        <v>49.97530294103597</v>
      </c>
      <c r="BF39" s="534">
        <f t="shared" si="7"/>
        <v>0</v>
      </c>
      <c r="BG39" s="534">
        <f t="shared" si="8"/>
        <v>0</v>
      </c>
      <c r="BH39" s="534">
        <f t="shared" si="9"/>
        <v>49.97530294103597</v>
      </c>
      <c r="BI39" s="534">
        <f t="shared" si="10"/>
        <v>0</v>
      </c>
      <c r="BJ39" s="534">
        <f t="shared" si="11"/>
        <v>0.11532762217162147</v>
      </c>
      <c r="BK39" s="534">
        <f t="shared" si="12"/>
        <v>0</v>
      </c>
      <c r="BL39" s="534">
        <f t="shared" si="13"/>
        <v>4.4424033522426028E-2</v>
      </c>
      <c r="BM39" s="534">
        <f t="shared" si="14"/>
        <v>0</v>
      </c>
      <c r="BN39" s="533">
        <v>20</v>
      </c>
      <c r="BW39" s="1493" t="e">
        <f t="shared" si="34"/>
        <v>#DIV/0!</v>
      </c>
      <c r="BX39" s="1493" t="e">
        <f t="shared" si="35"/>
        <v>#DIV/0!</v>
      </c>
      <c r="BY39" s="1493" t="e">
        <f t="shared" si="36"/>
        <v>#DIV/0!</v>
      </c>
      <c r="BZ39" s="1493" t="e">
        <f t="shared" si="37"/>
        <v>#DIV/0!</v>
      </c>
    </row>
    <row r="40" spans="36:78" ht="14.75">
      <c r="AJ40" s="698" t="s">
        <v>508</v>
      </c>
      <c r="AK40" s="527">
        <v>1643</v>
      </c>
      <c r="AL40" s="527">
        <v>1506</v>
      </c>
      <c r="AM40" s="527"/>
      <c r="AN40" s="527">
        <v>1068</v>
      </c>
      <c r="AO40" s="527">
        <v>854</v>
      </c>
      <c r="AP40" s="526">
        <v>82</v>
      </c>
      <c r="AQ40" s="526">
        <v>75</v>
      </c>
      <c r="AR40" s="526"/>
      <c r="AS40" s="526">
        <v>53</v>
      </c>
      <c r="AT40" s="526">
        <v>43</v>
      </c>
      <c r="AU40" s="525">
        <v>0.96299638989169678</v>
      </c>
      <c r="AV40" s="525"/>
      <c r="AW40" s="525">
        <v>0.96299638989169678</v>
      </c>
      <c r="AX40" s="525">
        <v>0.17333935018050542</v>
      </c>
      <c r="AY40" s="503">
        <v>20</v>
      </c>
      <c r="AZ40" s="534">
        <f t="shared" si="1"/>
        <v>1263.221888186494</v>
      </c>
      <c r="BA40" s="534">
        <f t="shared" si="2"/>
        <v>1157.8893266030798</v>
      </c>
      <c r="BB40" s="534">
        <f t="shared" si="3"/>
        <v>0</v>
      </c>
      <c r="BC40" s="534">
        <f t="shared" si="4"/>
        <v>821.13266986194492</v>
      </c>
      <c r="BD40" s="534">
        <f t="shared" si="5"/>
        <v>656.598595563765</v>
      </c>
      <c r="BE40" s="534">
        <f t="shared" si="6"/>
        <v>63.04576678715307</v>
      </c>
      <c r="BF40" s="534">
        <f t="shared" si="7"/>
        <v>57.663811085810742</v>
      </c>
      <c r="BG40" s="534">
        <f t="shared" si="8"/>
        <v>0</v>
      </c>
      <c r="BH40" s="534">
        <f t="shared" si="9"/>
        <v>40.749093167306249</v>
      </c>
      <c r="BI40" s="534">
        <f t="shared" si="10"/>
        <v>33.060585022531491</v>
      </c>
      <c r="BJ40" s="534">
        <f t="shared" si="11"/>
        <v>0.74040055870710064</v>
      </c>
      <c r="BK40" s="534">
        <f t="shared" si="12"/>
        <v>0</v>
      </c>
      <c r="BL40" s="534">
        <f t="shared" si="13"/>
        <v>0.74040055870710064</v>
      </c>
      <c r="BM40" s="534">
        <f t="shared" si="14"/>
        <v>0.13327210056727809</v>
      </c>
      <c r="BN40" s="503">
        <v>20</v>
      </c>
      <c r="BW40" s="1493" t="e">
        <f t="shared" si="34"/>
        <v>#DIV/0!</v>
      </c>
      <c r="BX40" s="1493" t="e">
        <f t="shared" si="35"/>
        <v>#DIV/0!</v>
      </c>
      <c r="BY40" s="1493" t="e">
        <f t="shared" si="36"/>
        <v>#DIV/0!</v>
      </c>
      <c r="BZ40" s="1493" t="e">
        <f t="shared" si="37"/>
        <v>#DIV/0!</v>
      </c>
    </row>
    <row r="41" spans="36:78" ht="14.75">
      <c r="AJ41" s="699" t="s">
        <v>609</v>
      </c>
      <c r="AK41" s="513">
        <v>1419</v>
      </c>
      <c r="AL41" s="513">
        <v>1302</v>
      </c>
      <c r="AM41" s="513"/>
      <c r="AN41" s="513">
        <v>918</v>
      </c>
      <c r="AO41" s="548">
        <v>734</v>
      </c>
      <c r="AP41" s="548">
        <v>71</v>
      </c>
      <c r="AQ41" s="548">
        <v>65</v>
      </c>
      <c r="AR41" s="540"/>
      <c r="AS41" s="548">
        <v>46</v>
      </c>
      <c r="AT41" s="548">
        <v>37</v>
      </c>
      <c r="AU41" s="524">
        <v>0.15</v>
      </c>
      <c r="AV41" s="524"/>
      <c r="AW41" s="524">
        <v>5.7779783393501802E-2</v>
      </c>
      <c r="AX41" s="523"/>
      <c r="AY41" s="522">
        <v>20</v>
      </c>
      <c r="AZ41" s="534">
        <f t="shared" si="1"/>
        <v>1090.999305743539</v>
      </c>
      <c r="BA41" s="534">
        <f t="shared" si="2"/>
        <v>1001.0437604496743</v>
      </c>
      <c r="BB41" s="534">
        <f t="shared" si="3"/>
        <v>0</v>
      </c>
      <c r="BC41" s="534">
        <f t="shared" si="4"/>
        <v>705.80504769032348</v>
      </c>
      <c r="BD41" s="534">
        <f t="shared" si="5"/>
        <v>564.33649782646773</v>
      </c>
      <c r="BE41" s="534">
        <f t="shared" si="6"/>
        <v>54.588407827900831</v>
      </c>
      <c r="BF41" s="534">
        <f t="shared" si="7"/>
        <v>49.97530294103597</v>
      </c>
      <c r="BG41" s="534">
        <f t="shared" si="8"/>
        <v>0</v>
      </c>
      <c r="BH41" s="534">
        <f t="shared" si="9"/>
        <v>35.367137465963921</v>
      </c>
      <c r="BI41" s="534">
        <f t="shared" si="10"/>
        <v>28.44748013566663</v>
      </c>
      <c r="BJ41" s="534">
        <f t="shared" si="11"/>
        <v>0.11532762217162147</v>
      </c>
      <c r="BK41" s="534">
        <f t="shared" si="12"/>
        <v>0</v>
      </c>
      <c r="BL41" s="534">
        <f t="shared" si="13"/>
        <v>4.4424033522426028E-2</v>
      </c>
      <c r="BM41" s="534">
        <f t="shared" si="14"/>
        <v>0</v>
      </c>
      <c r="BN41" s="522">
        <v>20</v>
      </c>
      <c r="BW41" s="1493" t="e">
        <f t="shared" si="34"/>
        <v>#DIV/0!</v>
      </c>
      <c r="BX41" s="1493" t="e">
        <f t="shared" si="35"/>
        <v>#DIV/0!</v>
      </c>
      <c r="BY41" s="1493" t="e">
        <f t="shared" si="36"/>
        <v>#DIV/0!</v>
      </c>
      <c r="BZ41" s="1493" t="e">
        <f t="shared" si="37"/>
        <v>#DIV/0!</v>
      </c>
    </row>
    <row r="42" spans="36:78" ht="14.75">
      <c r="AJ42" s="699" t="s">
        <v>610</v>
      </c>
      <c r="AK42" s="513">
        <v>1239</v>
      </c>
      <c r="AL42" s="513">
        <v>1109</v>
      </c>
      <c r="AM42" s="513"/>
      <c r="AN42" s="513">
        <v>709</v>
      </c>
      <c r="AO42" s="548">
        <v>568</v>
      </c>
      <c r="AP42" s="548">
        <v>62</v>
      </c>
      <c r="AQ42" s="548">
        <v>55</v>
      </c>
      <c r="AR42" s="540"/>
      <c r="AS42" s="548">
        <v>35</v>
      </c>
      <c r="AT42" s="548">
        <v>28</v>
      </c>
      <c r="AU42" s="524">
        <v>0.15</v>
      </c>
      <c r="AV42" s="524"/>
      <c r="AW42" s="524">
        <v>5.7779783393501802E-2</v>
      </c>
      <c r="AX42" s="523"/>
      <c r="AY42" s="522">
        <v>20</v>
      </c>
      <c r="AZ42" s="534">
        <f t="shared" si="1"/>
        <v>952.60615913759341</v>
      </c>
      <c r="BA42" s="534">
        <f t="shared" si="2"/>
        <v>852.65555325552145</v>
      </c>
      <c r="BB42" s="534">
        <f t="shared" si="3"/>
        <v>0</v>
      </c>
      <c r="BC42" s="534">
        <f t="shared" si="4"/>
        <v>545.1152274645309</v>
      </c>
      <c r="BD42" s="534">
        <f t="shared" si="5"/>
        <v>436.70726262320665</v>
      </c>
      <c r="BE42" s="534">
        <f t="shared" si="6"/>
        <v>47.66875049760354</v>
      </c>
      <c r="BF42" s="534">
        <f t="shared" si="7"/>
        <v>42.286794796261205</v>
      </c>
      <c r="BG42" s="534">
        <f t="shared" si="8"/>
        <v>0</v>
      </c>
      <c r="BH42" s="534">
        <f t="shared" si="9"/>
        <v>26.909778506711675</v>
      </c>
      <c r="BI42" s="534">
        <f t="shared" si="10"/>
        <v>21.527822805369343</v>
      </c>
      <c r="BJ42" s="534">
        <f t="shared" si="11"/>
        <v>0.11532762217162147</v>
      </c>
      <c r="BK42" s="534">
        <f t="shared" si="12"/>
        <v>0</v>
      </c>
      <c r="BL42" s="534">
        <f t="shared" si="13"/>
        <v>4.4424033522426028E-2</v>
      </c>
      <c r="BM42" s="534">
        <f t="shared" si="14"/>
        <v>0</v>
      </c>
      <c r="BN42" s="522">
        <v>20</v>
      </c>
      <c r="BW42" s="1493" t="e">
        <f t="shared" si="34"/>
        <v>#DIV/0!</v>
      </c>
      <c r="BX42" s="1493" t="e">
        <f t="shared" si="35"/>
        <v>#DIV/0!</v>
      </c>
      <c r="BY42" s="1493" t="e">
        <f t="shared" si="36"/>
        <v>#DIV/0!</v>
      </c>
      <c r="BZ42" s="1493" t="e">
        <f t="shared" si="37"/>
        <v>#DIV/0!</v>
      </c>
    </row>
    <row r="43" spans="36:78" ht="14.75">
      <c r="AJ43" s="660" t="s">
        <v>512</v>
      </c>
      <c r="AK43" s="521">
        <v>1425</v>
      </c>
      <c r="AL43" s="521">
        <v>1288</v>
      </c>
      <c r="AM43" s="521"/>
      <c r="AN43" s="521">
        <v>859</v>
      </c>
      <c r="AO43" s="521">
        <v>687</v>
      </c>
      <c r="AP43" s="501"/>
      <c r="AQ43" s="501">
        <v>64.400000000000006</v>
      </c>
      <c r="AR43" s="501"/>
      <c r="AS43" s="501">
        <v>42.95</v>
      </c>
      <c r="AT43" s="501">
        <v>34.35</v>
      </c>
      <c r="AU43" s="532">
        <v>0.96299638989169678</v>
      </c>
      <c r="AV43" s="532"/>
      <c r="AW43" s="532">
        <v>0.96299638989169678</v>
      </c>
      <c r="AX43" s="532">
        <v>0.17333935018050542</v>
      </c>
      <c r="AY43" s="533">
        <v>20</v>
      </c>
      <c r="AZ43" s="534">
        <f t="shared" si="1"/>
        <v>1095.6124106304039</v>
      </c>
      <c r="BA43" s="534">
        <f t="shared" si="2"/>
        <v>990.27984904698974</v>
      </c>
      <c r="BB43" s="534">
        <f t="shared" si="3"/>
        <v>0</v>
      </c>
      <c r="BC43" s="534">
        <f t="shared" si="4"/>
        <v>660.44284963615235</v>
      </c>
      <c r="BD43" s="534">
        <f t="shared" si="5"/>
        <v>528.2005095460263</v>
      </c>
      <c r="BE43" s="534">
        <f t="shared" si="6"/>
        <v>0</v>
      </c>
      <c r="BF43" s="534">
        <f t="shared" si="7"/>
        <v>49.513992452349491</v>
      </c>
      <c r="BG43" s="534">
        <f t="shared" si="8"/>
        <v>0</v>
      </c>
      <c r="BH43" s="534">
        <f t="shared" si="9"/>
        <v>33.022142481807613</v>
      </c>
      <c r="BI43" s="534">
        <f t="shared" si="10"/>
        <v>26.410025477301318</v>
      </c>
      <c r="BJ43" s="534">
        <f t="shared" si="11"/>
        <v>0.74040055870710064</v>
      </c>
      <c r="BK43" s="534">
        <f t="shared" si="12"/>
        <v>0</v>
      </c>
      <c r="BL43" s="534">
        <f t="shared" si="13"/>
        <v>0.74040055870710064</v>
      </c>
      <c r="BM43" s="534">
        <f t="shared" si="14"/>
        <v>0.13327210056727809</v>
      </c>
      <c r="BN43" s="533">
        <v>20</v>
      </c>
      <c r="BW43" s="1493" t="e">
        <f t="shared" si="34"/>
        <v>#DIV/0!</v>
      </c>
      <c r="BX43" s="1493" t="e">
        <f t="shared" si="35"/>
        <v>#DIV/0!</v>
      </c>
      <c r="BY43" s="1493" t="e">
        <f t="shared" si="36"/>
        <v>#DIV/0!</v>
      </c>
      <c r="BZ43" s="1493" t="e">
        <f t="shared" si="37"/>
        <v>#DIV/0!</v>
      </c>
    </row>
    <row r="44" spans="36:78" ht="14.75">
      <c r="AJ44" s="659" t="s">
        <v>519</v>
      </c>
      <c r="AK44" s="514"/>
      <c r="AL44" s="514">
        <v>1675</v>
      </c>
      <c r="AM44" s="514">
        <v>1675</v>
      </c>
      <c r="AN44" s="514">
        <v>1675</v>
      </c>
      <c r="AO44" s="514"/>
      <c r="AP44" s="501"/>
      <c r="AQ44" s="501">
        <v>83.75</v>
      </c>
      <c r="AR44" s="501"/>
      <c r="AS44" s="501">
        <v>83.75</v>
      </c>
      <c r="AT44" s="501"/>
      <c r="AU44" s="532">
        <v>0.96299638989169678</v>
      </c>
      <c r="AV44" s="532"/>
      <c r="AW44" s="532">
        <v>0.96299638989169678</v>
      </c>
      <c r="AX44" s="532">
        <v>0.17333935018050542</v>
      </c>
      <c r="AY44" s="533">
        <v>20</v>
      </c>
      <c r="AZ44" s="534">
        <f t="shared" si="1"/>
        <v>0</v>
      </c>
      <c r="BA44" s="534">
        <f t="shared" si="2"/>
        <v>1287.8251142497732</v>
      </c>
      <c r="BB44" s="534">
        <f t="shared" si="3"/>
        <v>1287.8251142497732</v>
      </c>
      <c r="BC44" s="534">
        <f t="shared" si="4"/>
        <v>1287.8251142497732</v>
      </c>
      <c r="BD44" s="534">
        <f t="shared" si="5"/>
        <v>0</v>
      </c>
      <c r="BE44" s="534">
        <f t="shared" si="6"/>
        <v>0</v>
      </c>
      <c r="BF44" s="534">
        <f t="shared" si="7"/>
        <v>64.391255712488658</v>
      </c>
      <c r="BG44" s="534">
        <f t="shared" si="8"/>
        <v>0</v>
      </c>
      <c r="BH44" s="534">
        <f t="shared" si="9"/>
        <v>64.391255712488658</v>
      </c>
      <c r="BI44" s="534">
        <f t="shared" si="10"/>
        <v>0</v>
      </c>
      <c r="BJ44" s="534">
        <f t="shared" si="11"/>
        <v>0.74040055870710064</v>
      </c>
      <c r="BK44" s="534">
        <f t="shared" si="12"/>
        <v>0</v>
      </c>
      <c r="BL44" s="534">
        <f t="shared" si="13"/>
        <v>0.74040055870710064</v>
      </c>
      <c r="BM44" s="534">
        <f t="shared" si="14"/>
        <v>0.13327210056727809</v>
      </c>
      <c r="BN44" s="533">
        <v>20</v>
      </c>
      <c r="BW44" s="1493" t="e">
        <f t="shared" si="34"/>
        <v>#DIV/0!</v>
      </c>
      <c r="BX44" s="1493" t="e">
        <f t="shared" si="35"/>
        <v>#DIV/0!</v>
      </c>
      <c r="BY44" s="1493" t="e">
        <f t="shared" si="36"/>
        <v>#DIV/0!</v>
      </c>
      <c r="BZ44" s="1493" t="e">
        <f t="shared" si="37"/>
        <v>#DIV/0!</v>
      </c>
    </row>
    <row r="45" spans="36:78" ht="14.75">
      <c r="AJ45" s="659" t="s">
        <v>520</v>
      </c>
      <c r="AK45" s="514"/>
      <c r="AL45" s="514">
        <v>11142</v>
      </c>
      <c r="AM45" s="514">
        <v>11142</v>
      </c>
      <c r="AN45" s="514">
        <v>11142</v>
      </c>
      <c r="AO45" s="514"/>
      <c r="AP45" s="501"/>
      <c r="AQ45" s="501">
        <v>233</v>
      </c>
      <c r="AR45" s="501"/>
      <c r="AS45" s="501">
        <v>233</v>
      </c>
      <c r="AT45" s="501"/>
      <c r="AU45" s="532">
        <v>0.96299638989169678</v>
      </c>
      <c r="AV45" s="532"/>
      <c r="AW45" s="532">
        <v>0.96299638989169678</v>
      </c>
      <c r="AX45" s="532">
        <v>0.17333935018050542</v>
      </c>
      <c r="AY45" s="533">
        <v>20</v>
      </c>
      <c r="AZ45" s="534">
        <f t="shared" si="1"/>
        <v>0</v>
      </c>
      <c r="BA45" s="534">
        <f t="shared" si="2"/>
        <v>8566.5357749080431</v>
      </c>
      <c r="BB45" s="534">
        <f t="shared" si="3"/>
        <v>8566.5357749080431</v>
      </c>
      <c r="BC45" s="534">
        <f t="shared" si="4"/>
        <v>8566.5357749080431</v>
      </c>
      <c r="BD45" s="534">
        <f t="shared" si="5"/>
        <v>0</v>
      </c>
      <c r="BE45" s="534">
        <f t="shared" si="6"/>
        <v>0</v>
      </c>
      <c r="BF45" s="534">
        <f t="shared" si="7"/>
        <v>179.14223977325202</v>
      </c>
      <c r="BG45" s="534">
        <f t="shared" si="8"/>
        <v>0</v>
      </c>
      <c r="BH45" s="534">
        <f t="shared" si="9"/>
        <v>179.14223977325202</v>
      </c>
      <c r="BI45" s="534">
        <f t="shared" si="10"/>
        <v>0</v>
      </c>
      <c r="BJ45" s="534">
        <f t="shared" si="11"/>
        <v>0.74040055870710064</v>
      </c>
      <c r="BK45" s="534">
        <f t="shared" si="12"/>
        <v>0</v>
      </c>
      <c r="BL45" s="534">
        <f t="shared" si="13"/>
        <v>0.74040055870710064</v>
      </c>
      <c r="BM45" s="534">
        <f t="shared" si="14"/>
        <v>0.13327210056727809</v>
      </c>
      <c r="BN45" s="533">
        <v>20</v>
      </c>
      <c r="BW45" s="1493" t="e">
        <f t="shared" si="34"/>
        <v>#DIV/0!</v>
      </c>
      <c r="BX45" s="1493" t="e">
        <f t="shared" si="35"/>
        <v>#DIV/0!</v>
      </c>
      <c r="BY45" s="1493" t="e">
        <f t="shared" si="36"/>
        <v>#DIV/0!</v>
      </c>
      <c r="BZ45" s="1493" t="e">
        <f t="shared" si="37"/>
        <v>#DIV/0!</v>
      </c>
    </row>
    <row r="47" spans="36:78">
      <c r="AQ47">
        <f>AQ44/AL44</f>
        <v>0.05</v>
      </c>
      <c r="AR47" s="622"/>
      <c r="AS47" s="622">
        <f t="shared" ref="AS47" si="59">AS44/AN44</f>
        <v>0.05</v>
      </c>
    </row>
  </sheetData>
  <mergeCells count="8">
    <mergeCell ref="AZ2:BC2"/>
    <mergeCell ref="BE2:BH2"/>
    <mergeCell ref="BJ2:BM2"/>
    <mergeCell ref="A4:A11"/>
    <mergeCell ref="A12:A18"/>
    <mergeCell ref="AK2:AN2"/>
    <mergeCell ref="AP2:AS2"/>
    <mergeCell ref="AU2:AX2"/>
  </mergeCells>
  <hyperlinks>
    <hyperlink ref="Y20" r:id="rId1" xr:uid="{4269EB95-E355-414B-A847-F8D217591E5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FF0000"/>
  </sheetPr>
  <dimension ref="A1:AA49"/>
  <sheetViews>
    <sheetView workbookViewId="0"/>
  </sheetViews>
  <sheetFormatPr defaultColWidth="9.1328125" defaultRowHeight="13"/>
  <cols>
    <col min="1" max="1" width="9.1328125" style="69"/>
    <col min="2" max="2" width="46.40625" style="69" customWidth="1"/>
    <col min="3" max="3" width="19.1328125" style="69" customWidth="1"/>
    <col min="4" max="4" width="9.1328125" style="69"/>
    <col min="5" max="5" width="18.40625" style="69" customWidth="1"/>
    <col min="6" max="6" width="11.40625" style="69" customWidth="1"/>
    <col min="7" max="7" width="20" style="69" bestFit="1" customWidth="1"/>
    <col min="8" max="8" width="10.54296875" style="69" customWidth="1"/>
    <col min="9" max="9" width="9.1328125" style="69"/>
    <col min="10" max="10" width="15.86328125" style="69" customWidth="1"/>
    <col min="11" max="16" width="9.1328125" style="69"/>
    <col min="17" max="17" width="17.40625" style="69" customWidth="1"/>
    <col min="18" max="16384" width="9.1328125" style="69"/>
  </cols>
  <sheetData>
    <row r="1" spans="1:27">
      <c r="A1" s="173"/>
      <c r="B1" s="173"/>
      <c r="C1" s="173"/>
      <c r="D1" s="173"/>
      <c r="E1" s="173"/>
      <c r="F1" s="173"/>
      <c r="G1" s="173"/>
      <c r="H1" s="173"/>
      <c r="I1" s="173"/>
      <c r="J1" s="173"/>
      <c r="K1" s="173"/>
      <c r="L1" s="173"/>
      <c r="M1" s="173"/>
      <c r="N1" s="173"/>
      <c r="O1" s="173"/>
      <c r="P1" s="156"/>
      <c r="Q1" s="156"/>
      <c r="R1" s="156"/>
      <c r="S1" s="156"/>
      <c r="T1" s="156"/>
      <c r="U1" s="156"/>
      <c r="V1" s="156"/>
      <c r="W1" s="156"/>
      <c r="X1" s="156"/>
      <c r="Y1" s="156"/>
      <c r="Z1" s="156"/>
      <c r="AA1" s="156"/>
    </row>
    <row r="2" spans="1:27">
      <c r="A2" s="173"/>
      <c r="B2" s="173"/>
      <c r="C2" s="174" t="s">
        <v>239</v>
      </c>
      <c r="D2" s="175"/>
      <c r="E2" s="175" t="s">
        <v>4</v>
      </c>
      <c r="F2" s="175"/>
      <c r="G2" s="176"/>
      <c r="H2" s="173"/>
      <c r="I2" s="173"/>
      <c r="J2" s="173"/>
      <c r="K2" s="173"/>
      <c r="L2" s="173"/>
      <c r="M2" s="173"/>
      <c r="N2" s="173"/>
      <c r="O2" s="173"/>
      <c r="P2" s="156"/>
      <c r="Q2" s="156"/>
      <c r="R2" s="156"/>
      <c r="S2" s="156"/>
      <c r="T2" s="156"/>
      <c r="U2" s="156"/>
      <c r="V2" s="156"/>
      <c r="W2" s="156"/>
      <c r="X2" s="156"/>
      <c r="Y2" s="156"/>
      <c r="Z2" s="156"/>
      <c r="AA2" s="156"/>
    </row>
    <row r="3" spans="1:27">
      <c r="A3" s="173"/>
      <c r="B3" s="173"/>
      <c r="C3" s="177" t="s">
        <v>240</v>
      </c>
      <c r="D3" s="178"/>
      <c r="E3" s="178"/>
      <c r="F3" s="178"/>
      <c r="G3" s="179" t="s">
        <v>241</v>
      </c>
      <c r="H3" s="173"/>
      <c r="I3" s="173"/>
      <c r="J3" s="173"/>
      <c r="K3" s="173"/>
      <c r="L3" s="173"/>
      <c r="M3" s="173"/>
      <c r="N3" s="173"/>
      <c r="O3" s="173"/>
      <c r="P3" s="156"/>
      <c r="Q3" s="156"/>
      <c r="R3" s="156"/>
      <c r="S3" s="156"/>
      <c r="T3" s="156"/>
      <c r="U3" s="156"/>
      <c r="V3" s="156"/>
      <c r="W3" s="156"/>
      <c r="X3" s="156"/>
      <c r="Y3" s="156"/>
      <c r="Z3" s="156"/>
      <c r="AA3" s="156"/>
    </row>
    <row r="4" spans="1:27" ht="13.75" thickBot="1">
      <c r="A4" s="173"/>
      <c r="B4" s="173"/>
      <c r="C4" s="180" t="s">
        <v>33</v>
      </c>
      <c r="D4" s="181" t="s">
        <v>242</v>
      </c>
      <c r="E4" s="180" t="s">
        <v>33</v>
      </c>
      <c r="F4" s="181" t="s">
        <v>242</v>
      </c>
      <c r="G4" s="182" t="s">
        <v>243</v>
      </c>
      <c r="H4" s="173"/>
      <c r="I4" s="173"/>
      <c r="J4" s="173"/>
      <c r="K4" s="173"/>
      <c r="L4" s="173"/>
      <c r="M4" s="173"/>
      <c r="N4" s="173"/>
      <c r="O4" s="173"/>
      <c r="P4" s="156"/>
      <c r="Q4" s="156"/>
      <c r="R4" s="156"/>
      <c r="S4" s="156"/>
      <c r="T4" s="156"/>
      <c r="U4" s="156"/>
      <c r="V4" s="156"/>
      <c r="W4" s="156"/>
      <c r="X4" s="156"/>
      <c r="Y4" s="156"/>
      <c r="Z4" s="156"/>
      <c r="AA4" s="156"/>
    </row>
    <row r="5" spans="1:27" ht="14.75">
      <c r="A5" s="173"/>
      <c r="B5" s="173" t="s">
        <v>244</v>
      </c>
      <c r="C5" s="183">
        <f t="shared" ref="C5:C8" si="0">D5*31.54</f>
        <v>504.64</v>
      </c>
      <c r="D5" s="178">
        <f>H12</f>
        <v>16</v>
      </c>
      <c r="E5" s="178">
        <f t="shared" ref="E5:E8" si="1">F5*31.54</f>
        <v>0</v>
      </c>
      <c r="F5" s="178">
        <v>0</v>
      </c>
      <c r="G5" s="182" t="s">
        <v>245</v>
      </c>
      <c r="H5" s="173"/>
      <c r="I5" s="173"/>
      <c r="J5" s="173"/>
      <c r="K5" s="173"/>
      <c r="L5" s="173"/>
      <c r="M5" s="173"/>
      <c r="N5" s="173"/>
      <c r="O5" s="173"/>
      <c r="P5" s="156"/>
      <c r="Q5" s="158" t="s">
        <v>368</v>
      </c>
      <c r="R5" s="159"/>
      <c r="S5" s="159"/>
      <c r="T5" s="160" t="s">
        <v>369</v>
      </c>
      <c r="U5" s="160"/>
      <c r="V5" s="160"/>
      <c r="W5" s="161"/>
      <c r="X5" s="161"/>
      <c r="Y5" s="161"/>
      <c r="Z5" s="162"/>
      <c r="AA5" s="156"/>
    </row>
    <row r="6" spans="1:27" ht="14.75">
      <c r="A6" s="173"/>
      <c r="B6" s="173" t="s">
        <v>246</v>
      </c>
      <c r="C6" s="183">
        <f t="shared" si="0"/>
        <v>315.39999999999998</v>
      </c>
      <c r="D6" s="178">
        <f>H13</f>
        <v>10</v>
      </c>
      <c r="E6" s="178">
        <f t="shared" si="1"/>
        <v>0</v>
      </c>
      <c r="F6" s="178">
        <v>0</v>
      </c>
      <c r="G6" s="182" t="s">
        <v>245</v>
      </c>
      <c r="H6" s="173"/>
      <c r="I6" s="173"/>
      <c r="J6" s="173"/>
      <c r="K6" s="173"/>
      <c r="L6" s="173"/>
      <c r="M6" s="173"/>
      <c r="N6" s="173"/>
      <c r="O6" s="173"/>
      <c r="P6" s="156"/>
      <c r="Q6" s="163"/>
      <c r="R6" s="157"/>
      <c r="S6" s="157"/>
      <c r="T6" s="157"/>
      <c r="U6" s="157"/>
      <c r="V6" s="157"/>
      <c r="W6" s="164"/>
      <c r="X6" s="164"/>
      <c r="Y6" s="164"/>
      <c r="Z6" s="165"/>
      <c r="AA6" s="156"/>
    </row>
    <row r="7" spans="1:27" ht="14.75">
      <c r="A7" s="173"/>
      <c r="B7" s="173" t="s">
        <v>247</v>
      </c>
      <c r="C7" s="183">
        <f t="shared" si="0"/>
        <v>3784.7999999999997</v>
      </c>
      <c r="D7" s="178">
        <f>H18</f>
        <v>120</v>
      </c>
      <c r="E7" s="178">
        <f t="shared" si="1"/>
        <v>0</v>
      </c>
      <c r="F7" s="178">
        <v>0</v>
      </c>
      <c r="G7" s="182" t="s">
        <v>245</v>
      </c>
      <c r="H7" s="173"/>
      <c r="I7" s="173"/>
      <c r="J7" s="173"/>
      <c r="K7" s="173"/>
      <c r="L7" s="173"/>
      <c r="M7" s="173"/>
      <c r="N7" s="173"/>
      <c r="O7" s="173"/>
      <c r="P7" s="156"/>
      <c r="Q7" s="166"/>
      <c r="R7" s="167"/>
      <c r="S7" s="167" t="s">
        <v>370</v>
      </c>
      <c r="T7" s="167"/>
      <c r="U7" s="167" t="s">
        <v>371</v>
      </c>
      <c r="V7" s="167"/>
      <c r="W7" s="164"/>
      <c r="X7" s="164"/>
      <c r="Y7" s="164"/>
      <c r="Z7" s="165"/>
      <c r="AA7" s="156"/>
    </row>
    <row r="8" spans="1:27" ht="14.75">
      <c r="A8" s="173"/>
      <c r="B8" s="173" t="s">
        <v>248</v>
      </c>
      <c r="C8" s="183">
        <f t="shared" si="0"/>
        <v>9872.02</v>
      </c>
      <c r="D8" s="178">
        <f>H19</f>
        <v>313</v>
      </c>
      <c r="E8" s="178">
        <f t="shared" si="1"/>
        <v>0</v>
      </c>
      <c r="F8" s="178">
        <v>0</v>
      </c>
      <c r="G8" s="182" t="s">
        <v>245</v>
      </c>
      <c r="H8" s="173"/>
      <c r="I8" s="173"/>
      <c r="J8" s="173"/>
      <c r="K8" s="173"/>
      <c r="L8" s="173"/>
      <c r="M8" s="173"/>
      <c r="N8" s="173"/>
      <c r="O8" s="173"/>
      <c r="P8" s="156"/>
      <c r="Q8" s="166"/>
      <c r="R8" s="167"/>
      <c r="S8" s="167">
        <v>2012</v>
      </c>
      <c r="T8" s="167">
        <v>2025</v>
      </c>
      <c r="U8" s="167">
        <v>2012</v>
      </c>
      <c r="V8" s="167">
        <v>2025</v>
      </c>
      <c r="W8" s="164"/>
      <c r="X8" s="164"/>
      <c r="Y8" s="164"/>
      <c r="Z8" s="165"/>
      <c r="AA8" s="156"/>
    </row>
    <row r="9" spans="1:27" ht="14.75">
      <c r="A9" s="173"/>
      <c r="B9" s="173" t="s">
        <v>249</v>
      </c>
      <c r="C9" s="184">
        <f>D9*31.54</f>
        <v>523.39978337917603</v>
      </c>
      <c r="D9" s="185">
        <f>J25</f>
        <v>16.594793385516045</v>
      </c>
      <c r="E9" s="186">
        <f>F9*31.54</f>
        <v>20.935991335167042</v>
      </c>
      <c r="F9" s="186">
        <f>H25</f>
        <v>0.66379173542064185</v>
      </c>
      <c r="G9" s="187" t="s">
        <v>245</v>
      </c>
      <c r="H9" s="173"/>
      <c r="I9" s="173"/>
      <c r="J9" s="173"/>
      <c r="K9" s="173"/>
      <c r="L9" s="173"/>
      <c r="M9" s="173"/>
      <c r="N9" s="173"/>
      <c r="O9" s="173"/>
      <c r="P9" s="156"/>
      <c r="Q9" s="166" t="s">
        <v>207</v>
      </c>
      <c r="R9" s="167" t="s">
        <v>387</v>
      </c>
      <c r="S9" s="167">
        <v>3.5260105546847997</v>
      </c>
      <c r="T9" s="167">
        <v>2.7115810613200484</v>
      </c>
      <c r="U9" s="167">
        <v>0.30252753279839995</v>
      </c>
      <c r="V9" s="167">
        <v>0.23265044608958996</v>
      </c>
      <c r="W9" s="164"/>
      <c r="X9" s="164"/>
      <c r="Y9" s="164"/>
      <c r="Z9" s="165"/>
      <c r="AA9" s="156"/>
    </row>
    <row r="10" spans="1:27" ht="14.75">
      <c r="A10" s="173"/>
      <c r="B10" s="173"/>
      <c r="C10" s="173"/>
      <c r="D10" s="173"/>
      <c r="E10" s="173"/>
      <c r="F10" s="173"/>
      <c r="G10" s="173"/>
      <c r="H10" s="173"/>
      <c r="I10" s="173"/>
      <c r="J10" s="173"/>
      <c r="K10" s="173"/>
      <c r="L10" s="173"/>
      <c r="M10" s="173"/>
      <c r="N10" s="173"/>
      <c r="O10" s="173"/>
      <c r="P10" s="156"/>
      <c r="Q10" s="171" t="s">
        <v>201</v>
      </c>
      <c r="R10" s="172" t="s">
        <v>448</v>
      </c>
      <c r="S10" s="204">
        <v>16.58101473312772</v>
      </c>
      <c r="T10" s="204">
        <v>12.973253888792026</v>
      </c>
      <c r="U10" s="204">
        <v>0.76272667772387526</v>
      </c>
      <c r="V10" s="204">
        <v>0.59676967888443322</v>
      </c>
      <c r="W10" s="164"/>
      <c r="X10" s="164"/>
      <c r="Y10" s="164"/>
      <c r="Z10" s="165"/>
      <c r="AA10" s="156"/>
    </row>
    <row r="11" spans="1:27" ht="26">
      <c r="A11" s="173"/>
      <c r="B11" s="188" t="s">
        <v>250</v>
      </c>
      <c r="C11" s="188" t="s">
        <v>121</v>
      </c>
      <c r="D11" s="188" t="s">
        <v>38</v>
      </c>
      <c r="E11" s="188" t="s">
        <v>251</v>
      </c>
      <c r="F11" s="188" t="s">
        <v>252</v>
      </c>
      <c r="G11" s="188" t="s">
        <v>253</v>
      </c>
      <c r="H11" s="189" t="s">
        <v>254</v>
      </c>
      <c r="I11" s="188" t="s">
        <v>255</v>
      </c>
      <c r="J11" s="173"/>
      <c r="K11" s="173"/>
      <c r="L11" s="173"/>
      <c r="M11" s="173"/>
      <c r="N11" s="173"/>
      <c r="O11" s="173"/>
      <c r="P11" s="156"/>
      <c r="Q11" s="171" t="s">
        <v>203</v>
      </c>
      <c r="R11" s="172" t="s">
        <v>449</v>
      </c>
      <c r="S11" s="204">
        <v>9.5452740830205478</v>
      </c>
      <c r="T11" s="204">
        <v>7.4683767013198397</v>
      </c>
      <c r="U11" s="204">
        <v>0.4390826078189452</v>
      </c>
      <c r="V11" s="204">
        <v>0.34354532826071266</v>
      </c>
      <c r="W11" s="164"/>
      <c r="X11" s="164"/>
      <c r="Y11" s="164"/>
      <c r="Z11" s="165"/>
      <c r="AA11" s="156"/>
    </row>
    <row r="12" spans="1:27" ht="14.75">
      <c r="A12" s="173"/>
      <c r="B12" s="190" t="s">
        <v>256</v>
      </c>
      <c r="C12" s="190" t="s">
        <v>257</v>
      </c>
      <c r="D12" s="190">
        <v>0.9</v>
      </c>
      <c r="E12" s="190">
        <v>25</v>
      </c>
      <c r="F12" s="190">
        <v>100</v>
      </c>
      <c r="G12" s="190" t="s">
        <v>258</v>
      </c>
      <c r="H12" s="190">
        <v>16</v>
      </c>
      <c r="I12" s="190">
        <v>30</v>
      </c>
      <c r="J12" s="173" t="s">
        <v>259</v>
      </c>
      <c r="K12" s="173"/>
      <c r="L12" s="173"/>
      <c r="M12" s="173"/>
      <c r="N12" s="173"/>
      <c r="O12" s="173"/>
      <c r="P12" s="156"/>
      <c r="Q12" s="166" t="s">
        <v>197</v>
      </c>
      <c r="R12" s="167" t="s">
        <v>390</v>
      </c>
      <c r="S12" s="167">
        <v>3.0525377250234458</v>
      </c>
      <c r="T12" s="167">
        <v>2.3474698546041322</v>
      </c>
      <c r="U12" s="167">
        <v>0.13736419762605509</v>
      </c>
      <c r="V12" s="167">
        <v>0.10563614345718594</v>
      </c>
      <c r="W12" s="164"/>
      <c r="X12" s="164"/>
      <c r="Y12" s="164"/>
      <c r="Z12" s="165"/>
      <c r="AA12" s="156"/>
    </row>
    <row r="13" spans="1:27" ht="13.75" thickBot="1">
      <c r="A13" s="173"/>
      <c r="B13" s="173" t="s">
        <v>260</v>
      </c>
      <c r="C13" s="190" t="s">
        <v>261</v>
      </c>
      <c r="D13" s="173">
        <v>0.9</v>
      </c>
      <c r="E13" s="173">
        <v>1000</v>
      </c>
      <c r="F13" s="173">
        <v>10000</v>
      </c>
      <c r="G13" s="173" t="s">
        <v>258</v>
      </c>
      <c r="H13" s="173">
        <v>10</v>
      </c>
      <c r="I13" s="173">
        <v>30</v>
      </c>
      <c r="J13" s="173" t="s">
        <v>262</v>
      </c>
      <c r="K13" s="173"/>
      <c r="L13" s="173"/>
      <c r="M13" s="173"/>
      <c r="N13" s="173"/>
      <c r="O13" s="173"/>
      <c r="P13" s="156"/>
      <c r="Q13" s="168"/>
      <c r="R13" s="169"/>
      <c r="S13" s="169"/>
      <c r="T13" s="169"/>
      <c r="U13" s="169"/>
      <c r="V13" s="169"/>
      <c r="W13" s="169"/>
      <c r="X13" s="169"/>
      <c r="Y13" s="169"/>
      <c r="Z13" s="170"/>
      <c r="AA13" s="156"/>
    </row>
    <row r="14" spans="1:27">
      <c r="A14" s="173"/>
      <c r="B14" s="173"/>
      <c r="C14" s="173"/>
      <c r="D14" s="173"/>
      <c r="E14" s="173"/>
      <c r="F14" s="173"/>
      <c r="G14" s="173"/>
      <c r="H14" s="173"/>
      <c r="I14" s="173"/>
      <c r="J14" s="173"/>
      <c r="K14" s="173"/>
      <c r="L14" s="173"/>
      <c r="M14" s="173"/>
      <c r="N14" s="173"/>
      <c r="O14" s="173"/>
      <c r="P14" s="156"/>
      <c r="Q14" s="156"/>
      <c r="R14" s="156"/>
      <c r="S14" s="156"/>
      <c r="T14" s="156"/>
      <c r="U14" s="156"/>
      <c r="V14" s="156"/>
      <c r="W14" s="156"/>
      <c r="X14" s="156"/>
      <c r="Y14" s="156"/>
      <c r="Z14" s="156"/>
      <c r="AA14" s="156"/>
    </row>
    <row r="15" spans="1:27">
      <c r="A15" s="173"/>
      <c r="B15" s="173"/>
      <c r="C15" s="173"/>
      <c r="D15" s="173"/>
      <c r="E15" s="173"/>
      <c r="F15" s="173"/>
      <c r="G15" s="173"/>
      <c r="H15" s="173"/>
      <c r="I15" s="173"/>
      <c r="J15" s="173"/>
      <c r="K15" s="173"/>
      <c r="L15" s="173"/>
      <c r="M15" s="173"/>
      <c r="N15" s="173"/>
      <c r="O15" s="173"/>
      <c r="P15" s="156"/>
      <c r="Q15" s="205" t="s">
        <v>450</v>
      </c>
      <c r="R15" s="206">
        <v>1.10992</v>
      </c>
      <c r="S15" s="206" t="s">
        <v>451</v>
      </c>
      <c r="T15" s="206"/>
      <c r="U15" s="206"/>
      <c r="V15" s="206"/>
      <c r="W15" s="206"/>
      <c r="X15" s="206"/>
      <c r="Y15" s="206"/>
      <c r="Z15" s="156"/>
      <c r="AA15" s="156"/>
    </row>
    <row r="16" spans="1:27">
      <c r="A16" s="173"/>
      <c r="B16" s="173"/>
      <c r="C16" s="173"/>
      <c r="D16" s="173"/>
      <c r="E16" s="173"/>
      <c r="F16" s="173"/>
      <c r="G16" s="173"/>
      <c r="H16" s="173"/>
      <c r="I16" s="173"/>
      <c r="J16" s="173"/>
      <c r="K16" s="173"/>
      <c r="L16" s="173"/>
      <c r="M16" s="173"/>
      <c r="N16" s="173"/>
      <c r="O16" s="173"/>
      <c r="P16" s="156"/>
      <c r="Q16" s="205" t="s">
        <v>452</v>
      </c>
      <c r="R16" s="206">
        <v>0.80463948581247202</v>
      </c>
      <c r="S16" s="205" t="s">
        <v>453</v>
      </c>
      <c r="T16" s="206"/>
      <c r="U16" s="206"/>
      <c r="V16" s="206"/>
      <c r="W16" s="206"/>
      <c r="X16" s="206"/>
      <c r="Y16" s="206"/>
      <c r="Z16" s="156"/>
      <c r="AA16" s="156"/>
    </row>
    <row r="17" spans="1:27" ht="26">
      <c r="A17" s="173"/>
      <c r="B17" s="188" t="s">
        <v>263</v>
      </c>
      <c r="C17" s="188" t="s">
        <v>121</v>
      </c>
      <c r="D17" s="188" t="s">
        <v>38</v>
      </c>
      <c r="E17" s="188" t="s">
        <v>251</v>
      </c>
      <c r="F17" s="188" t="s">
        <v>252</v>
      </c>
      <c r="G17" s="188" t="s">
        <v>253</v>
      </c>
      <c r="H17" s="189" t="s">
        <v>254</v>
      </c>
      <c r="I17" s="188" t="s">
        <v>255</v>
      </c>
      <c r="J17" s="173"/>
      <c r="K17" s="173"/>
      <c r="L17" s="173"/>
      <c r="M17" s="173"/>
      <c r="N17" s="173"/>
      <c r="O17" s="173"/>
      <c r="P17" s="156"/>
      <c r="Q17" s="205" t="s">
        <v>454</v>
      </c>
      <c r="R17" s="206">
        <f>1/1.008</f>
        <v>0.99206349206349209</v>
      </c>
      <c r="S17" s="205" t="s">
        <v>453</v>
      </c>
      <c r="T17" s="206"/>
      <c r="U17" s="206"/>
      <c r="V17" s="206"/>
      <c r="W17" s="206"/>
      <c r="X17" s="206"/>
      <c r="Y17" s="206"/>
      <c r="Z17" s="156"/>
      <c r="AA17" s="156"/>
    </row>
    <row r="18" spans="1:27" ht="14.75">
      <c r="A18" s="173"/>
      <c r="B18" s="173" t="s">
        <v>264</v>
      </c>
      <c r="C18" s="190" t="s">
        <v>261</v>
      </c>
      <c r="D18" s="173">
        <v>0.98</v>
      </c>
      <c r="E18" s="173">
        <v>0.5</v>
      </c>
      <c r="F18" s="173">
        <v>0.7</v>
      </c>
      <c r="G18" s="173" t="s">
        <v>265</v>
      </c>
      <c r="H18" s="191">
        <v>120</v>
      </c>
      <c r="I18" s="173">
        <v>22</v>
      </c>
      <c r="J18" s="173" t="s">
        <v>266</v>
      </c>
      <c r="K18" s="173"/>
      <c r="L18" s="173"/>
      <c r="M18" s="173"/>
      <c r="N18" s="173"/>
      <c r="O18" s="173"/>
      <c r="P18" s="156"/>
      <c r="Q18" s="156"/>
      <c r="R18" s="156"/>
      <c r="S18" s="156"/>
      <c r="T18" s="156"/>
      <c r="U18" s="156"/>
      <c r="V18" s="156"/>
      <c r="W18" s="156"/>
      <c r="X18" s="156"/>
      <c r="Y18" s="156"/>
      <c r="Z18" s="156"/>
      <c r="AA18" s="156"/>
    </row>
    <row r="19" spans="1:27" ht="14.75">
      <c r="A19" s="173"/>
      <c r="B19" s="173" t="s">
        <v>267</v>
      </c>
      <c r="C19" s="190" t="s">
        <v>261</v>
      </c>
      <c r="D19" s="173">
        <v>0.98</v>
      </c>
      <c r="E19" s="173">
        <v>3</v>
      </c>
      <c r="F19" s="173">
        <v>20</v>
      </c>
      <c r="G19" s="173" t="s">
        <v>265</v>
      </c>
      <c r="H19" s="191">
        <v>313</v>
      </c>
      <c r="I19" s="173">
        <v>22</v>
      </c>
      <c r="J19" s="173" t="s">
        <v>268</v>
      </c>
      <c r="K19" s="173"/>
      <c r="L19" s="173"/>
      <c r="M19" s="173"/>
      <c r="N19" s="173"/>
      <c r="O19" s="173"/>
    </row>
    <row r="20" spans="1:27" ht="14.75">
      <c r="A20" s="173"/>
      <c r="B20" s="192" t="s">
        <v>269</v>
      </c>
      <c r="C20" s="193" t="s">
        <v>261</v>
      </c>
      <c r="D20" s="192">
        <v>0.98</v>
      </c>
      <c r="E20" s="192">
        <v>6.5</v>
      </c>
      <c r="F20" s="192">
        <v>83</v>
      </c>
      <c r="G20" s="192"/>
      <c r="H20" s="192">
        <v>602</v>
      </c>
      <c r="I20" s="192">
        <v>22</v>
      </c>
      <c r="J20" s="173" t="s">
        <v>270</v>
      </c>
      <c r="K20" s="173"/>
      <c r="L20" s="173"/>
      <c r="M20" s="173"/>
      <c r="N20" s="173"/>
      <c r="O20" s="173"/>
    </row>
    <row r="21" spans="1:27">
      <c r="A21" s="173"/>
      <c r="B21" s="173"/>
      <c r="C21" s="173"/>
      <c r="D21" s="173"/>
      <c r="E21" s="173"/>
      <c r="F21" s="173"/>
      <c r="G21" s="173"/>
      <c r="H21" s="173"/>
      <c r="I21" s="173"/>
      <c r="J21" s="173"/>
      <c r="K21" s="173"/>
      <c r="L21" s="173"/>
      <c r="M21" s="173"/>
      <c r="N21" s="173"/>
      <c r="O21" s="173"/>
    </row>
    <row r="22" spans="1:27">
      <c r="A22" s="173"/>
      <c r="B22" s="173"/>
      <c r="C22" s="173"/>
      <c r="D22" s="173"/>
      <c r="E22" s="173"/>
      <c r="F22" s="173"/>
      <c r="G22" s="173"/>
      <c r="H22" s="173"/>
      <c r="I22" s="173"/>
      <c r="J22" s="173"/>
      <c r="K22" s="173"/>
      <c r="L22" s="173"/>
      <c r="M22" s="173"/>
      <c r="N22" s="173"/>
      <c r="O22" s="173"/>
    </row>
    <row r="23" spans="1:27">
      <c r="A23" s="173"/>
      <c r="B23" s="173"/>
      <c r="C23" s="173"/>
      <c r="D23" s="173"/>
      <c r="E23" s="173"/>
      <c r="F23" s="173"/>
      <c r="G23" s="173"/>
      <c r="H23" s="173"/>
      <c r="I23" s="173"/>
      <c r="J23" s="173"/>
      <c r="K23" s="173"/>
      <c r="L23" s="173"/>
      <c r="M23" s="173"/>
      <c r="N23" s="173"/>
      <c r="O23" s="173"/>
    </row>
    <row r="24" spans="1:27" ht="26">
      <c r="A24" s="173"/>
      <c r="B24" s="188" t="s">
        <v>271</v>
      </c>
      <c r="C24" s="194" t="s">
        <v>121</v>
      </c>
      <c r="D24" s="194" t="s">
        <v>2</v>
      </c>
      <c r="E24" s="194" t="s">
        <v>3</v>
      </c>
      <c r="F24" s="195" t="s">
        <v>38</v>
      </c>
      <c r="G24" s="189" t="s">
        <v>235</v>
      </c>
      <c r="H24" s="189" t="s">
        <v>4</v>
      </c>
      <c r="I24" s="196" t="s">
        <v>272</v>
      </c>
      <c r="J24" s="189" t="s">
        <v>254</v>
      </c>
      <c r="K24" s="189" t="s">
        <v>32</v>
      </c>
      <c r="L24" s="189" t="s">
        <v>6</v>
      </c>
      <c r="M24" s="173"/>
      <c r="N24" s="173"/>
      <c r="O24" s="173"/>
    </row>
    <row r="25" spans="1:27" ht="14.75">
      <c r="A25" s="173"/>
      <c r="B25" s="190" t="s">
        <v>273</v>
      </c>
      <c r="C25" s="197" t="s">
        <v>274</v>
      </c>
      <c r="D25" s="173"/>
      <c r="E25" s="173"/>
      <c r="F25" s="173"/>
      <c r="G25" s="173"/>
      <c r="H25" s="198">
        <f>0.04*J25</f>
        <v>0.66379173542064185</v>
      </c>
      <c r="I25" s="173"/>
      <c r="J25" s="199">
        <f>C39*F34</f>
        <v>16.594793385516045</v>
      </c>
      <c r="K25" s="173"/>
      <c r="L25" s="173"/>
      <c r="M25" s="173" t="s">
        <v>275</v>
      </c>
      <c r="N25" s="173"/>
      <c r="O25" s="173"/>
    </row>
    <row r="26" spans="1:27">
      <c r="A26" s="173"/>
      <c r="B26" s="173"/>
      <c r="C26" s="173"/>
      <c r="D26" s="173"/>
      <c r="E26" s="173"/>
      <c r="F26" s="173"/>
      <c r="G26" s="173"/>
      <c r="H26" s="173"/>
      <c r="I26" s="173"/>
      <c r="J26" s="173"/>
      <c r="K26" s="173"/>
      <c r="L26" s="173"/>
      <c r="M26" s="173"/>
      <c r="N26" s="173"/>
      <c r="O26" s="173"/>
    </row>
    <row r="27" spans="1:27" ht="14.75">
      <c r="A27" s="173"/>
      <c r="B27" s="173"/>
      <c r="C27" s="200" t="s">
        <v>276</v>
      </c>
      <c r="D27" s="192" t="s">
        <v>277</v>
      </c>
      <c r="E27" s="192" t="s">
        <v>278</v>
      </c>
      <c r="F27" s="192">
        <v>0.36</v>
      </c>
      <c r="G27" s="192"/>
      <c r="H27" s="192">
        <v>0.7</v>
      </c>
      <c r="I27" s="192">
        <v>0</v>
      </c>
      <c r="J27" s="192">
        <v>3.3</v>
      </c>
      <c r="K27" s="192"/>
      <c r="L27" s="192">
        <v>2006</v>
      </c>
      <c r="M27" s="173" t="s">
        <v>270</v>
      </c>
      <c r="N27" s="173"/>
      <c r="O27" s="173"/>
    </row>
    <row r="28" spans="1:27" ht="14.75">
      <c r="A28" s="173"/>
      <c r="B28" s="173"/>
      <c r="C28" s="192"/>
      <c r="D28" s="192" t="s">
        <v>279</v>
      </c>
      <c r="E28" s="192"/>
      <c r="F28" s="192"/>
      <c r="G28" s="192"/>
      <c r="H28" s="192"/>
      <c r="I28" s="192">
        <v>4.4999999999999997E-3</v>
      </c>
      <c r="J28" s="192"/>
      <c r="K28" s="192" t="s">
        <v>280</v>
      </c>
      <c r="L28" s="192"/>
      <c r="M28" s="173"/>
      <c r="N28" s="173"/>
      <c r="O28" s="173"/>
    </row>
    <row r="29" spans="1:27">
      <c r="A29" s="173"/>
      <c r="B29" s="173"/>
      <c r="C29" s="173"/>
      <c r="D29" s="173"/>
      <c r="E29" s="173"/>
      <c r="F29" s="173"/>
      <c r="G29" s="173"/>
      <c r="H29" s="173"/>
      <c r="I29" s="173"/>
      <c r="J29" s="173"/>
      <c r="K29" s="173"/>
      <c r="L29" s="173"/>
      <c r="M29" s="173"/>
      <c r="N29" s="173"/>
      <c r="O29" s="173"/>
    </row>
    <row r="30" spans="1:27" ht="14.75">
      <c r="A30" s="173"/>
      <c r="B30" s="173" t="s">
        <v>281</v>
      </c>
      <c r="C30" s="201"/>
      <c r="D30" s="173"/>
      <c r="E30" s="173"/>
      <c r="F30" s="173"/>
      <c r="G30" s="173"/>
      <c r="H30" s="173"/>
      <c r="I30" s="173"/>
      <c r="J30" s="173"/>
      <c r="K30" s="173"/>
      <c r="L30" s="173"/>
      <c r="M30" s="173"/>
      <c r="N30" s="173"/>
      <c r="O30" s="173"/>
    </row>
    <row r="31" spans="1:27">
      <c r="A31" s="173"/>
      <c r="B31" s="197" t="s">
        <v>282</v>
      </c>
      <c r="C31" s="173"/>
      <c r="D31" s="173"/>
      <c r="E31" s="173"/>
      <c r="F31" s="173"/>
      <c r="G31" s="173"/>
      <c r="H31" s="173"/>
      <c r="I31" s="173"/>
      <c r="J31" s="173"/>
      <c r="K31" s="173"/>
      <c r="L31" s="173"/>
      <c r="M31" s="173"/>
      <c r="N31" s="173"/>
      <c r="O31" s="173"/>
    </row>
    <row r="32" spans="1:27">
      <c r="A32" s="173"/>
      <c r="B32" s="173"/>
      <c r="C32" s="173"/>
      <c r="D32" s="173"/>
      <c r="E32" s="173"/>
      <c r="F32" s="173"/>
      <c r="G32" s="173"/>
      <c r="H32" s="173"/>
      <c r="I32" s="173"/>
      <c r="J32" s="173"/>
      <c r="K32" s="173"/>
      <c r="L32" s="173"/>
      <c r="M32" s="173"/>
      <c r="N32" s="173"/>
      <c r="O32" s="173"/>
    </row>
    <row r="33" spans="1:15">
      <c r="A33" s="173"/>
      <c r="B33" s="173"/>
      <c r="C33" s="173">
        <v>2960</v>
      </c>
      <c r="D33" s="173" t="s">
        <v>283</v>
      </c>
      <c r="E33" s="173"/>
      <c r="F33" s="173" t="s">
        <v>284</v>
      </c>
      <c r="G33" s="173"/>
      <c r="H33" s="173"/>
      <c r="I33" s="173"/>
      <c r="J33" s="173"/>
      <c r="K33" s="173"/>
      <c r="L33" s="173"/>
      <c r="M33" s="173"/>
      <c r="N33" s="173"/>
      <c r="O33" s="173"/>
    </row>
    <row r="34" spans="1:15">
      <c r="A34" s="173"/>
      <c r="B34" s="173"/>
      <c r="C34" s="173">
        <v>63254547</v>
      </c>
      <c r="D34" s="173" t="s">
        <v>285</v>
      </c>
      <c r="E34" s="173"/>
      <c r="F34" s="173">
        <f>1.02^3/1.3</f>
        <v>0.81631384615384606</v>
      </c>
      <c r="G34" s="173"/>
      <c r="H34" s="173"/>
      <c r="I34" s="173"/>
      <c r="J34" s="173"/>
      <c r="K34" s="173"/>
      <c r="L34" s="173"/>
      <c r="M34" s="173"/>
      <c r="N34" s="173"/>
      <c r="O34" s="173"/>
    </row>
    <row r="35" spans="1:15">
      <c r="A35" s="173"/>
      <c r="B35" s="173"/>
      <c r="C35" s="173"/>
      <c r="D35" s="173"/>
      <c r="E35" s="173"/>
      <c r="F35" s="173"/>
      <c r="G35" s="173"/>
      <c r="H35" s="173"/>
      <c r="I35" s="173"/>
      <c r="J35" s="173"/>
      <c r="K35" s="173"/>
      <c r="L35" s="173"/>
      <c r="M35" s="173"/>
      <c r="N35" s="173"/>
      <c r="O35" s="173"/>
    </row>
    <row r="36" spans="1:15">
      <c r="A36" s="173"/>
      <c r="B36" s="173"/>
      <c r="C36" s="173">
        <v>120</v>
      </c>
      <c r="D36" s="173" t="s">
        <v>286</v>
      </c>
      <c r="E36" s="173" t="s">
        <v>287</v>
      </c>
      <c r="F36" s="173"/>
      <c r="G36" s="173"/>
      <c r="H36" s="173"/>
      <c r="I36" s="173"/>
      <c r="J36" s="173"/>
      <c r="K36" s="173"/>
      <c r="L36" s="173"/>
      <c r="M36" s="173"/>
      <c r="N36" s="173"/>
      <c r="O36" s="173"/>
    </row>
    <row r="37" spans="1:15">
      <c r="A37" s="173"/>
      <c r="B37" s="173"/>
      <c r="C37" s="202">
        <f>C33*C36</f>
        <v>355200</v>
      </c>
      <c r="D37" s="173" t="s">
        <v>288</v>
      </c>
      <c r="E37" s="173"/>
      <c r="F37" s="173"/>
      <c r="G37" s="173"/>
      <c r="H37" s="173"/>
      <c r="I37" s="173"/>
      <c r="J37" s="173"/>
      <c r="K37" s="173"/>
      <c r="L37" s="173"/>
      <c r="M37" s="173"/>
      <c r="N37" s="173"/>
      <c r="O37" s="173"/>
    </row>
    <row r="38" spans="1:15">
      <c r="A38" s="173"/>
      <c r="B38" s="173"/>
      <c r="C38" s="173">
        <f>C37*8760/1000</f>
        <v>3111552</v>
      </c>
      <c r="D38" s="173" t="s">
        <v>289</v>
      </c>
      <c r="E38" s="173"/>
      <c r="F38" s="173"/>
      <c r="G38" s="173"/>
      <c r="H38" s="173"/>
      <c r="I38" s="173"/>
      <c r="J38" s="173"/>
      <c r="K38" s="173"/>
      <c r="L38" s="173"/>
      <c r="M38" s="173"/>
      <c r="N38" s="173"/>
      <c r="O38" s="173"/>
    </row>
    <row r="39" spans="1:15">
      <c r="A39" s="173"/>
      <c r="B39" s="173"/>
      <c r="C39" s="202">
        <f>C34/C38</f>
        <v>20.328937777674934</v>
      </c>
      <c r="D39" s="173" t="s">
        <v>290</v>
      </c>
      <c r="E39" s="173"/>
      <c r="F39" s="173"/>
      <c r="G39" s="173"/>
      <c r="H39" s="173"/>
      <c r="I39" s="173"/>
      <c r="J39" s="173"/>
      <c r="K39" s="173"/>
      <c r="L39" s="173"/>
      <c r="M39" s="173"/>
      <c r="N39" s="173"/>
      <c r="O39" s="173"/>
    </row>
    <row r="40" spans="1:15">
      <c r="A40" s="173"/>
      <c r="B40" s="173"/>
      <c r="C40" s="173"/>
      <c r="D40" s="173"/>
      <c r="E40" s="173"/>
      <c r="F40" s="173"/>
      <c r="G40" s="173"/>
      <c r="H40" s="173"/>
      <c r="I40" s="173"/>
      <c r="J40" s="173"/>
      <c r="K40" s="173"/>
      <c r="L40" s="173"/>
      <c r="M40" s="173"/>
      <c r="N40" s="173"/>
      <c r="O40" s="173"/>
    </row>
    <row r="41" spans="1:15">
      <c r="A41" s="173"/>
      <c r="B41" s="173" t="s">
        <v>291</v>
      </c>
      <c r="C41" s="173"/>
      <c r="D41" s="173"/>
      <c r="E41" s="173"/>
      <c r="F41" s="173"/>
      <c r="G41" s="173"/>
      <c r="H41" s="173"/>
      <c r="I41" s="173"/>
      <c r="J41" s="173"/>
      <c r="K41" s="173"/>
      <c r="L41" s="173"/>
      <c r="M41" s="173"/>
      <c r="N41" s="173"/>
      <c r="O41" s="173"/>
    </row>
    <row r="42" spans="1:15">
      <c r="A42" s="173"/>
      <c r="B42" s="173" t="s">
        <v>257</v>
      </c>
      <c r="C42" s="173">
        <v>96</v>
      </c>
      <c r="D42" s="173" t="s">
        <v>33</v>
      </c>
      <c r="E42" s="173" t="s">
        <v>292</v>
      </c>
      <c r="F42" s="173"/>
      <c r="G42" s="173"/>
      <c r="H42" s="173"/>
      <c r="I42" s="173"/>
      <c r="J42" s="173"/>
      <c r="K42" s="173"/>
      <c r="L42" s="173"/>
      <c r="M42" s="173"/>
      <c r="N42" s="173"/>
      <c r="O42" s="173"/>
    </row>
    <row r="43" spans="1:15">
      <c r="A43" s="173"/>
      <c r="B43" s="173"/>
      <c r="C43" s="203">
        <f>C42/8760/3.6*1000</f>
        <v>3.0441400304414001</v>
      </c>
      <c r="D43" s="173" t="s">
        <v>242</v>
      </c>
      <c r="E43" s="173"/>
      <c r="F43" s="173"/>
      <c r="G43" s="173"/>
      <c r="H43" s="173"/>
      <c r="I43" s="173"/>
      <c r="J43" s="173"/>
      <c r="K43" s="173"/>
      <c r="L43" s="173"/>
      <c r="M43" s="173"/>
      <c r="N43" s="173"/>
      <c r="O43" s="173"/>
    </row>
    <row r="44" spans="1:15">
      <c r="A44" s="173"/>
      <c r="B44" s="173"/>
      <c r="C44" s="203"/>
      <c r="D44" s="173" t="s">
        <v>293</v>
      </c>
      <c r="E44" s="173"/>
      <c r="F44" s="173"/>
      <c r="G44" s="173"/>
      <c r="H44" s="173"/>
      <c r="I44" s="173"/>
      <c r="J44" s="173"/>
      <c r="K44" s="173"/>
      <c r="L44" s="173"/>
      <c r="M44" s="173"/>
      <c r="N44" s="173"/>
      <c r="O44" s="173"/>
    </row>
    <row r="45" spans="1:15">
      <c r="A45" s="173"/>
      <c r="B45" s="173"/>
      <c r="C45" s="173" t="s">
        <v>294</v>
      </c>
      <c r="D45" s="173"/>
      <c r="E45" s="173"/>
      <c r="F45" s="173"/>
      <c r="G45" s="173"/>
      <c r="H45" s="173"/>
      <c r="I45" s="173"/>
      <c r="J45" s="173"/>
      <c r="K45" s="173"/>
      <c r="L45" s="173"/>
      <c r="M45" s="173"/>
      <c r="N45" s="173"/>
      <c r="O45" s="173"/>
    </row>
    <row r="46" spans="1:15">
      <c r="A46" s="173"/>
      <c r="B46" s="173"/>
      <c r="C46" s="173">
        <v>3.3</v>
      </c>
      <c r="D46" s="173" t="s">
        <v>242</v>
      </c>
      <c r="E46" s="173"/>
      <c r="F46" s="173"/>
      <c r="G46" s="173"/>
      <c r="H46" s="173"/>
      <c r="I46" s="173"/>
      <c r="J46" s="173"/>
      <c r="K46" s="173"/>
      <c r="L46" s="173"/>
      <c r="M46" s="173"/>
      <c r="N46" s="173"/>
      <c r="O46" s="173"/>
    </row>
    <row r="47" spans="1:15">
      <c r="A47" s="173"/>
      <c r="B47" s="173"/>
      <c r="C47" s="173"/>
      <c r="D47" s="173"/>
      <c r="E47" s="173"/>
      <c r="F47" s="173"/>
      <c r="G47" s="173"/>
      <c r="H47" s="173"/>
      <c r="I47" s="173"/>
      <c r="J47" s="173"/>
      <c r="K47" s="173"/>
      <c r="L47" s="173"/>
      <c r="M47" s="173"/>
      <c r="N47" s="173"/>
      <c r="O47" s="173"/>
    </row>
    <row r="48" spans="1:15">
      <c r="A48" s="173"/>
      <c r="B48" s="173"/>
      <c r="C48" s="173"/>
      <c r="D48" s="173"/>
      <c r="E48" s="173"/>
      <c r="F48" s="173"/>
      <c r="G48" s="173"/>
      <c r="H48" s="173"/>
      <c r="I48" s="173"/>
      <c r="J48" s="173"/>
      <c r="K48" s="173"/>
      <c r="L48" s="173"/>
      <c r="M48" s="173"/>
      <c r="N48" s="173"/>
      <c r="O48" s="173"/>
    </row>
    <row r="49" spans="1:15">
      <c r="A49" s="173"/>
      <c r="B49" s="173"/>
      <c r="C49" s="173"/>
      <c r="D49" s="173"/>
      <c r="E49" s="173"/>
      <c r="F49" s="173"/>
      <c r="G49" s="173"/>
      <c r="H49" s="173"/>
      <c r="I49" s="173"/>
      <c r="J49" s="173"/>
      <c r="K49" s="173"/>
      <c r="L49" s="173"/>
      <c r="M49" s="173"/>
      <c r="N49" s="173"/>
      <c r="O49" s="17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FF0000"/>
  </sheetPr>
  <dimension ref="A1:AK57"/>
  <sheetViews>
    <sheetView topLeftCell="M1" workbookViewId="0">
      <selection activeCell="P48" sqref="P48"/>
    </sheetView>
  </sheetViews>
  <sheetFormatPr defaultColWidth="9.1328125" defaultRowHeight="14.75"/>
  <cols>
    <col min="1" max="1" width="9.40625" style="74" bestFit="1" customWidth="1"/>
    <col min="2" max="2" width="17.54296875" style="74" bestFit="1" customWidth="1"/>
    <col min="3" max="3" width="108.54296875" style="74" customWidth="1"/>
    <col min="4" max="4" width="11.40625" style="74" customWidth="1"/>
    <col min="5" max="5" width="17.54296875" style="74" bestFit="1" customWidth="1"/>
    <col min="6" max="8" width="16.40625" style="75" customWidth="1"/>
    <col min="9" max="9" width="27.54296875" style="75" customWidth="1"/>
    <col min="10" max="14" width="14" style="75" customWidth="1"/>
    <col min="15" max="20" width="17.54296875" style="75" customWidth="1"/>
    <col min="21" max="22" width="14" style="75" customWidth="1"/>
    <col min="23" max="23" width="54.54296875" style="74" bestFit="1" customWidth="1"/>
    <col min="24" max="24" width="12" style="74" bestFit="1" customWidth="1"/>
    <col min="25" max="25" width="80" style="74" bestFit="1" customWidth="1"/>
    <col min="26" max="26" width="9.40625" style="74" customWidth="1"/>
    <col min="27" max="16384" width="9.1328125" style="74"/>
  </cols>
  <sheetData>
    <row r="1" spans="1:37" s="44" customFormat="1" ht="36" customHeight="1">
      <c r="A1" s="44" t="s">
        <v>47</v>
      </c>
      <c r="B1" s="44" t="s">
        <v>48</v>
      </c>
      <c r="C1" s="44" t="s">
        <v>49</v>
      </c>
      <c r="D1" s="45" t="s">
        <v>152</v>
      </c>
      <c r="E1" s="45" t="s">
        <v>51</v>
      </c>
      <c r="F1" s="46" t="s">
        <v>52</v>
      </c>
      <c r="G1" s="46" t="s">
        <v>53</v>
      </c>
      <c r="H1" s="46" t="s">
        <v>153</v>
      </c>
      <c r="I1" s="46" t="s">
        <v>154</v>
      </c>
      <c r="J1" s="46" t="s">
        <v>56</v>
      </c>
      <c r="K1" s="46" t="s">
        <v>57</v>
      </c>
      <c r="L1" s="46" t="s">
        <v>155</v>
      </c>
      <c r="M1" s="46" t="s">
        <v>156</v>
      </c>
      <c r="N1" s="45" t="s">
        <v>38</v>
      </c>
      <c r="O1" s="45" t="s">
        <v>391</v>
      </c>
      <c r="P1" s="45" t="s">
        <v>392</v>
      </c>
      <c r="Q1" s="45" t="s">
        <v>393</v>
      </c>
      <c r="R1" s="45" t="s">
        <v>394</v>
      </c>
      <c r="S1" s="45" t="s">
        <v>395</v>
      </c>
      <c r="T1" s="45" t="s">
        <v>396</v>
      </c>
      <c r="U1" s="45" t="s">
        <v>32</v>
      </c>
      <c r="V1" s="45" t="s">
        <v>6</v>
      </c>
      <c r="W1" s="44" t="s">
        <v>121</v>
      </c>
      <c r="X1" s="44" t="s">
        <v>157</v>
      </c>
      <c r="AA1" s="47"/>
      <c r="AB1" s="47"/>
      <c r="AC1" s="47"/>
      <c r="AD1" s="47"/>
      <c r="AE1" s="47"/>
      <c r="AF1" s="47"/>
      <c r="AG1" s="47"/>
      <c r="AH1" s="47"/>
      <c r="AI1" s="47"/>
      <c r="AJ1" s="47"/>
      <c r="AK1" s="47"/>
    </row>
    <row r="2" spans="1:37" s="48" customFormat="1">
      <c r="E2" s="49" t="s">
        <v>61</v>
      </c>
      <c r="F2" s="50"/>
      <c r="G2" s="50"/>
      <c r="H2" s="50"/>
      <c r="I2" s="50"/>
      <c r="J2" s="50"/>
      <c r="K2" s="50"/>
      <c r="L2" s="50"/>
      <c r="M2" s="50"/>
      <c r="N2" s="49"/>
      <c r="O2" s="49" t="s">
        <v>158</v>
      </c>
      <c r="P2" s="49" t="s">
        <v>158</v>
      </c>
      <c r="Q2" s="49" t="s">
        <v>158</v>
      </c>
      <c r="R2" s="49" t="s">
        <v>158</v>
      </c>
      <c r="S2" s="49" t="s">
        <v>158</v>
      </c>
      <c r="T2" s="49" t="s">
        <v>158</v>
      </c>
      <c r="U2" s="49" t="s">
        <v>63</v>
      </c>
      <c r="V2" s="49" t="s">
        <v>64</v>
      </c>
      <c r="AA2" s="47"/>
      <c r="AB2" s="47"/>
      <c r="AC2" s="47"/>
      <c r="AD2" s="47"/>
      <c r="AE2" s="47"/>
      <c r="AF2" s="47"/>
      <c r="AG2" s="47"/>
      <c r="AH2" s="47"/>
      <c r="AI2" s="47"/>
      <c r="AJ2" s="47"/>
      <c r="AK2" s="47"/>
    </row>
    <row r="3" spans="1:37">
      <c r="A3" s="74" t="s">
        <v>217</v>
      </c>
      <c r="B3" s="250" t="s">
        <v>159</v>
      </c>
      <c r="C3" s="74" t="s">
        <v>335</v>
      </c>
      <c r="D3" s="70" t="s">
        <v>160</v>
      </c>
      <c r="E3" s="75" t="s">
        <v>66</v>
      </c>
      <c r="F3" s="76" t="s">
        <v>318</v>
      </c>
      <c r="G3" s="77" t="s">
        <v>317</v>
      </c>
      <c r="H3" s="77" t="s">
        <v>324</v>
      </c>
      <c r="I3" s="77" t="s">
        <v>325</v>
      </c>
      <c r="J3" s="75">
        <v>1</v>
      </c>
      <c r="K3" s="267">
        <f>K5</f>
        <v>0.23599999999999999</v>
      </c>
      <c r="L3" s="263">
        <f>L5</f>
        <v>3.0000000000000001E-3</v>
      </c>
      <c r="M3" s="75">
        <v>1</v>
      </c>
      <c r="N3" s="84">
        <f t="shared" ref="N3:N4" si="0">N5</f>
        <v>0.75</v>
      </c>
      <c r="O3" s="71">
        <f>O36+O37+O38+O40+O44+O53</f>
        <v>38.71300494430448</v>
      </c>
      <c r="P3" s="71">
        <f t="shared" ref="P3:T3" si="1">P36+P37+P38+P40+P44+P53</f>
        <v>27.393052082187037</v>
      </c>
      <c r="Q3" s="71">
        <f t="shared" si="1"/>
        <v>2.0239811939759296</v>
      </c>
      <c r="R3" s="71">
        <f t="shared" si="1"/>
        <v>1.4250747902797478</v>
      </c>
      <c r="S3" s="71">
        <f t="shared" si="1"/>
        <v>0.94744099083161371</v>
      </c>
      <c r="T3" s="71">
        <f t="shared" si="1"/>
        <v>0.65215918784152604</v>
      </c>
      <c r="U3" s="75">
        <v>20</v>
      </c>
      <c r="V3" s="75">
        <v>2015</v>
      </c>
      <c r="W3" s="74" t="s">
        <v>305</v>
      </c>
      <c r="Y3" s="74" t="s">
        <v>306</v>
      </c>
      <c r="AG3" s="75"/>
    </row>
    <row r="4" spans="1:37">
      <c r="A4" s="74" t="s">
        <v>217</v>
      </c>
      <c r="B4" s="250" t="s">
        <v>162</v>
      </c>
      <c r="C4" s="74" t="s">
        <v>336</v>
      </c>
      <c r="D4" s="70" t="s">
        <v>163</v>
      </c>
      <c r="E4" s="75" t="s">
        <v>66</v>
      </c>
      <c r="F4" s="76" t="s">
        <v>318</v>
      </c>
      <c r="G4" s="77" t="s">
        <v>317</v>
      </c>
      <c r="H4" s="77" t="s">
        <v>324</v>
      </c>
      <c r="I4" s="77" t="s">
        <v>326</v>
      </c>
      <c r="J4" s="75">
        <v>1</v>
      </c>
      <c r="K4" s="267">
        <f>K6</f>
        <v>0.26019999999999999</v>
      </c>
      <c r="L4" s="263">
        <f>L6</f>
        <v>3.0000000000000001E-3</v>
      </c>
      <c r="M4" s="75">
        <v>1</v>
      </c>
      <c r="N4" s="84">
        <f t="shared" si="0"/>
        <v>0.75</v>
      </c>
      <c r="O4" s="71">
        <f>O36+O37+O38+O40+O45+O53</f>
        <v>65.689535394764718</v>
      </c>
      <c r="P4" s="71">
        <f>P36+P37+P38+P40+P45+P53</f>
        <v>45.793825667989502</v>
      </c>
      <c r="Q4" s="71">
        <f t="shared" ref="Q4:T4" si="2">Q36+Q37+Q38+Q40+Q45+Q53</f>
        <v>2.7239784265807616</v>
      </c>
      <c r="R4" s="71">
        <f t="shared" si="2"/>
        <v>1.9025450347021571</v>
      </c>
      <c r="S4" s="71">
        <f t="shared" si="2"/>
        <v>0.34333450625300077</v>
      </c>
      <c r="T4" s="71">
        <f t="shared" si="2"/>
        <v>0.24009631471335946</v>
      </c>
      <c r="U4" s="75">
        <v>20</v>
      </c>
      <c r="V4" s="75">
        <v>2015</v>
      </c>
      <c r="W4" s="74" t="s">
        <v>305</v>
      </c>
      <c r="Y4" s="74" t="s">
        <v>307</v>
      </c>
      <c r="AG4" s="75"/>
    </row>
    <row r="5" spans="1:37">
      <c r="A5" s="74" t="s">
        <v>217</v>
      </c>
      <c r="B5" s="250" t="s">
        <v>165</v>
      </c>
      <c r="C5" s="74" t="s">
        <v>337</v>
      </c>
      <c r="D5" s="75" t="s">
        <v>166</v>
      </c>
      <c r="E5" s="75" t="s">
        <v>66</v>
      </c>
      <c r="F5" s="76" t="s">
        <v>318</v>
      </c>
      <c r="G5" s="77" t="s">
        <v>317</v>
      </c>
      <c r="H5" s="77" t="s">
        <v>324</v>
      </c>
      <c r="I5" s="77" t="s">
        <v>325</v>
      </c>
      <c r="J5" s="75">
        <v>1</v>
      </c>
      <c r="K5" s="86">
        <v>0.23599999999999999</v>
      </c>
      <c r="L5" s="75">
        <v>3.0000000000000001E-3</v>
      </c>
      <c r="M5" s="75">
        <v>1</v>
      </c>
      <c r="N5" s="85">
        <v>0.75</v>
      </c>
      <c r="O5" s="78">
        <f>O3</f>
        <v>38.71300494430448</v>
      </c>
      <c r="P5" s="78">
        <f>P3</f>
        <v>27.393052082187037</v>
      </c>
      <c r="Q5" s="78">
        <f t="shared" ref="Q5:T5" si="3">Q3</f>
        <v>2.0239811939759296</v>
      </c>
      <c r="R5" s="78">
        <f t="shared" si="3"/>
        <v>1.4250747902797478</v>
      </c>
      <c r="S5" s="78">
        <f t="shared" si="3"/>
        <v>0.94744099083161371</v>
      </c>
      <c r="T5" s="78">
        <f t="shared" si="3"/>
        <v>0.65215918784152604</v>
      </c>
      <c r="U5" s="75">
        <v>20</v>
      </c>
      <c r="V5" s="75">
        <v>2015</v>
      </c>
      <c r="W5" s="74" t="s">
        <v>305</v>
      </c>
      <c r="X5" s="74" t="s">
        <v>218</v>
      </c>
      <c r="Y5" s="74" t="s">
        <v>308</v>
      </c>
      <c r="AG5" s="75"/>
    </row>
    <row r="6" spans="1:37">
      <c r="A6" s="74" t="s">
        <v>217</v>
      </c>
      <c r="B6" s="250" t="s">
        <v>167</v>
      </c>
      <c r="C6" s="74" t="s">
        <v>338</v>
      </c>
      <c r="D6" s="79" t="s">
        <v>168</v>
      </c>
      <c r="E6" s="75" t="s">
        <v>66</v>
      </c>
      <c r="F6" s="76" t="s">
        <v>318</v>
      </c>
      <c r="G6" s="77" t="s">
        <v>317</v>
      </c>
      <c r="H6" s="77" t="s">
        <v>324</v>
      </c>
      <c r="I6" s="77" t="s">
        <v>326</v>
      </c>
      <c r="J6" s="75">
        <v>1</v>
      </c>
      <c r="K6" s="86">
        <v>0.26019999999999999</v>
      </c>
      <c r="L6" s="75">
        <v>3.0000000000000001E-3</v>
      </c>
      <c r="M6" s="75">
        <v>1</v>
      </c>
      <c r="N6" s="85">
        <v>0.75</v>
      </c>
      <c r="O6" s="78">
        <f>O4</f>
        <v>65.689535394764718</v>
      </c>
      <c r="P6" s="78">
        <f>P4</f>
        <v>45.793825667989502</v>
      </c>
      <c r="Q6" s="78">
        <f t="shared" ref="Q6:T6" si="4">Q4</f>
        <v>2.7239784265807616</v>
      </c>
      <c r="R6" s="78">
        <f t="shared" si="4"/>
        <v>1.9025450347021571</v>
      </c>
      <c r="S6" s="78">
        <f t="shared" si="4"/>
        <v>0.34333450625300077</v>
      </c>
      <c r="T6" s="78">
        <f t="shared" si="4"/>
        <v>0.24009631471335946</v>
      </c>
      <c r="U6" s="75">
        <v>20</v>
      </c>
      <c r="V6" s="75">
        <v>2015</v>
      </c>
      <c r="W6" s="74" t="s">
        <v>309</v>
      </c>
      <c r="X6" s="74" t="s">
        <v>218</v>
      </c>
      <c r="Y6" s="74" t="s">
        <v>310</v>
      </c>
      <c r="AG6" s="75"/>
    </row>
    <row r="7" spans="1:37" s="302" customFormat="1">
      <c r="A7" s="302" t="s">
        <v>219</v>
      </c>
      <c r="B7" s="322" t="s">
        <v>364</v>
      </c>
      <c r="C7" s="323" t="s">
        <v>365</v>
      </c>
      <c r="D7" s="318" t="s">
        <v>170</v>
      </c>
      <c r="E7" s="304" t="s">
        <v>66</v>
      </c>
      <c r="F7" s="305" t="s">
        <v>318</v>
      </c>
      <c r="G7" s="306" t="s">
        <v>317</v>
      </c>
      <c r="H7" s="306"/>
      <c r="I7" s="324" t="s">
        <v>366</v>
      </c>
      <c r="J7" s="304">
        <v>1</v>
      </c>
      <c r="K7" s="310">
        <v>6.6000000000000003E-2</v>
      </c>
      <c r="L7" s="304"/>
      <c r="M7" s="304">
        <v>1</v>
      </c>
      <c r="N7" s="311">
        <v>0.7</v>
      </c>
      <c r="O7" s="320">
        <f>O36+O37+O42</f>
        <v>34.038440861525835</v>
      </c>
      <c r="P7" s="320">
        <f>P36+P37+P42</f>
        <v>30.290610336975277</v>
      </c>
      <c r="Q7" s="320">
        <f t="shared" ref="Q7:T7" si="5">Q36+Q37+Q42</f>
        <v>1.7813517001413752</v>
      </c>
      <c r="R7" s="320">
        <f t="shared" si="5"/>
        <v>1.5666473144920814</v>
      </c>
      <c r="S7" s="320">
        <f t="shared" si="5"/>
        <v>0.36000002022939581</v>
      </c>
      <c r="T7" s="320">
        <f t="shared" si="5"/>
        <v>0.31525013220158754</v>
      </c>
      <c r="U7" s="304">
        <v>20</v>
      </c>
      <c r="V7" s="304">
        <v>2015</v>
      </c>
      <c r="W7" s="302" t="s">
        <v>309</v>
      </c>
      <c r="X7" s="302" t="s">
        <v>218</v>
      </c>
      <c r="Y7" s="302" t="s">
        <v>311</v>
      </c>
      <c r="AG7" s="304"/>
    </row>
    <row r="8" spans="1:37">
      <c r="A8" s="74" t="s">
        <v>219</v>
      </c>
      <c r="B8" s="251" t="s">
        <v>169</v>
      </c>
      <c r="C8" s="253" t="s">
        <v>587</v>
      </c>
      <c r="D8" s="79" t="s">
        <v>170</v>
      </c>
      <c r="E8" s="75" t="s">
        <v>66</v>
      </c>
      <c r="F8" s="76" t="s">
        <v>318</v>
      </c>
      <c r="G8" s="77" t="s">
        <v>317</v>
      </c>
      <c r="H8" s="77"/>
      <c r="I8" s="77" t="s">
        <v>327</v>
      </c>
      <c r="J8" s="75">
        <v>1</v>
      </c>
      <c r="K8" s="86">
        <v>6.6000000000000003E-2</v>
      </c>
      <c r="L8" s="75">
        <v>3.0000000000000001E-3</v>
      </c>
      <c r="M8" s="75">
        <v>1</v>
      </c>
      <c r="N8" s="85">
        <v>0.7</v>
      </c>
      <c r="O8" s="78">
        <f>O36+O51+O37+O42</f>
        <v>47.290109214943357</v>
      </c>
      <c r="P8" s="78">
        <f t="shared" ref="P8:T8" si="6">P36+P51+P37+P42</f>
        <v>40.481439995802923</v>
      </c>
      <c r="Q8" s="78">
        <f t="shared" si="6"/>
        <v>2.3909284443985812</v>
      </c>
      <c r="R8" s="78">
        <f t="shared" si="6"/>
        <v>2.0354254787981532</v>
      </c>
      <c r="S8" s="78">
        <f t="shared" si="6"/>
        <v>0.36000002022939581</v>
      </c>
      <c r="T8" s="78">
        <f t="shared" si="6"/>
        <v>0.40128558399579423</v>
      </c>
      <c r="U8" s="75">
        <v>20</v>
      </c>
      <c r="V8" s="75">
        <v>2015</v>
      </c>
      <c r="W8" s="74" t="s">
        <v>309</v>
      </c>
      <c r="X8" s="74" t="s">
        <v>218</v>
      </c>
      <c r="Y8" s="74" t="s">
        <v>311</v>
      </c>
      <c r="AG8" s="75"/>
    </row>
    <row r="9" spans="1:37" s="302" customFormat="1">
      <c r="A9" s="302" t="s">
        <v>219</v>
      </c>
      <c r="B9" s="316" t="s">
        <v>585</v>
      </c>
      <c r="C9" s="317" t="s">
        <v>586</v>
      </c>
      <c r="D9" s="318" t="s">
        <v>170</v>
      </c>
      <c r="E9" s="304" t="s">
        <v>66</v>
      </c>
      <c r="F9" s="305" t="s">
        <v>318</v>
      </c>
      <c r="G9" s="306" t="s">
        <v>317</v>
      </c>
      <c r="H9" s="306"/>
      <c r="I9" s="319" t="s">
        <v>568</v>
      </c>
      <c r="J9" s="304">
        <v>1</v>
      </c>
      <c r="K9" s="310">
        <v>6.6000000000000003E-2</v>
      </c>
      <c r="L9" s="304">
        <v>3.0000000000000001E-3</v>
      </c>
      <c r="M9" s="304">
        <v>1</v>
      </c>
      <c r="N9" s="311">
        <v>0.7</v>
      </c>
      <c r="O9" s="320">
        <f>O36+O51+O37+O42</f>
        <v>47.290109214943357</v>
      </c>
      <c r="P9" s="320">
        <f t="shared" ref="P9:T9" si="7">P36+P51+P37+P42</f>
        <v>40.481439995802923</v>
      </c>
      <c r="Q9" s="320">
        <f t="shared" si="7"/>
        <v>2.3909284443985812</v>
      </c>
      <c r="R9" s="320">
        <f t="shared" si="7"/>
        <v>2.0354254787981532</v>
      </c>
      <c r="S9" s="320">
        <f t="shared" si="7"/>
        <v>0.36000002022939581</v>
      </c>
      <c r="T9" s="320">
        <f t="shared" si="7"/>
        <v>0.40128558399579423</v>
      </c>
      <c r="U9" s="304">
        <v>20</v>
      </c>
      <c r="V9" s="304">
        <v>2015</v>
      </c>
      <c r="W9" s="302" t="s">
        <v>309</v>
      </c>
      <c r="X9" s="302" t="s">
        <v>218</v>
      </c>
      <c r="Y9" s="302" t="s">
        <v>311</v>
      </c>
      <c r="AG9" s="304"/>
    </row>
    <row r="10" spans="1:37">
      <c r="A10" s="74" t="s">
        <v>219</v>
      </c>
      <c r="B10" s="259" t="s">
        <v>172</v>
      </c>
      <c r="C10" s="253" t="s">
        <v>588</v>
      </c>
      <c r="D10" s="79" t="s">
        <v>173</v>
      </c>
      <c r="E10" s="75" t="s">
        <v>66</v>
      </c>
      <c r="F10" s="76" t="s">
        <v>318</v>
      </c>
      <c r="G10" s="77" t="s">
        <v>317</v>
      </c>
      <c r="H10" s="77"/>
      <c r="I10" s="77" t="s">
        <v>326</v>
      </c>
      <c r="J10" s="75">
        <v>1</v>
      </c>
      <c r="K10" s="86">
        <v>9.0200000000000002E-2</v>
      </c>
      <c r="L10" s="75">
        <v>3.0000000000000001E-3</v>
      </c>
      <c r="M10" s="75">
        <v>1</v>
      </c>
      <c r="N10" s="85">
        <v>0.7</v>
      </c>
      <c r="O10" s="78">
        <f>O$36+O$51+O$40+AVERAGE(O$46,O$47)+O$57</f>
        <v>54.364387959036073</v>
      </c>
      <c r="P10" s="78">
        <f t="shared" ref="P10:T10" si="8">P36+P51+P40+AVERAGE(P$46,P$47)+P$57</f>
        <v>38.419542744130084</v>
      </c>
      <c r="Q10" s="78">
        <f t="shared" si="8"/>
        <v>3.98644239395855</v>
      </c>
      <c r="R10" s="78">
        <f t="shared" si="8"/>
        <v>2.8095788782017315</v>
      </c>
      <c r="S10" s="78">
        <f t="shared" si="8"/>
        <v>0.15526305825764963</v>
      </c>
      <c r="T10" s="78">
        <f t="shared" si="8"/>
        <v>0.19069929256494722</v>
      </c>
      <c r="U10" s="75">
        <v>20</v>
      </c>
      <c r="V10" s="75">
        <v>2015</v>
      </c>
      <c r="W10" s="74" t="s">
        <v>309</v>
      </c>
      <c r="X10" s="74" t="s">
        <v>218</v>
      </c>
      <c r="Y10" s="74" t="s">
        <v>312</v>
      </c>
      <c r="AG10" s="75"/>
    </row>
    <row r="11" spans="1:37">
      <c r="A11" s="74" t="s">
        <v>219</v>
      </c>
      <c r="B11" s="254" t="s">
        <v>174</v>
      </c>
      <c r="C11" s="253" t="s">
        <v>589</v>
      </c>
      <c r="D11" s="79"/>
      <c r="E11" s="75" t="s">
        <v>66</v>
      </c>
      <c r="F11" s="76" t="s">
        <v>318</v>
      </c>
      <c r="G11" s="77" t="s">
        <v>317</v>
      </c>
      <c r="H11" s="77"/>
      <c r="I11" s="77" t="s">
        <v>326</v>
      </c>
      <c r="J11" s="75">
        <v>1</v>
      </c>
      <c r="K11" s="86">
        <v>9.0200000000000002E-2</v>
      </c>
      <c r="L11" s="75">
        <v>3.0000000000000001E-3</v>
      </c>
      <c r="M11" s="75">
        <v>1</v>
      </c>
      <c r="N11" s="85">
        <v>0.7</v>
      </c>
      <c r="O11" s="78">
        <f>O$36+O$51+O$40+AVERAGE(O$46,O$47)+O$54</f>
        <v>46.697721292369408</v>
      </c>
      <c r="P11" s="78">
        <f t="shared" ref="P11:T11" si="9">P$36+P$51+P$40+AVERAGE(P$46,P$47)+P$54</f>
        <v>33.752876077463419</v>
      </c>
      <c r="Q11" s="78">
        <f t="shared" si="9"/>
        <v>3.6667757272918835</v>
      </c>
      <c r="R11" s="78">
        <f t="shared" si="9"/>
        <v>2.589912211535065</v>
      </c>
      <c r="S11" s="78">
        <f t="shared" si="9"/>
        <v>0.15526305825764963</v>
      </c>
      <c r="T11" s="78">
        <f t="shared" si="9"/>
        <v>0.19069929256494722</v>
      </c>
      <c r="U11" s="75">
        <v>20</v>
      </c>
      <c r="V11" s="75">
        <v>2015</v>
      </c>
      <c r="W11" s="74" t="s">
        <v>309</v>
      </c>
      <c r="X11" s="74" t="s">
        <v>218</v>
      </c>
      <c r="Y11" s="74" t="s">
        <v>312</v>
      </c>
      <c r="AG11" s="75"/>
    </row>
    <row r="12" spans="1:37">
      <c r="A12" s="74" t="s">
        <v>219</v>
      </c>
      <c r="B12" s="254" t="s">
        <v>175</v>
      </c>
      <c r="C12" s="253" t="s">
        <v>590</v>
      </c>
      <c r="D12" s="79" t="s">
        <v>173</v>
      </c>
      <c r="E12" s="75" t="s">
        <v>66</v>
      </c>
      <c r="F12" s="76" t="s">
        <v>318</v>
      </c>
      <c r="G12" s="77" t="s">
        <v>317</v>
      </c>
      <c r="H12" s="77"/>
      <c r="I12" s="77" t="s">
        <v>326</v>
      </c>
      <c r="J12" s="75">
        <v>1</v>
      </c>
      <c r="K12" s="86">
        <v>9.0200000000000002E-2</v>
      </c>
      <c r="M12" s="75">
        <v>1</v>
      </c>
      <c r="N12" s="85">
        <v>0.7</v>
      </c>
      <c r="O12" s="78">
        <f>O$36+O$37+O$42+O$40+AVERAGE(O$46,O$47)+O$57</f>
        <v>73.778067654154768</v>
      </c>
      <c r="P12" s="78">
        <f t="shared" ref="P12:T12" si="10">P$36+P$37+P$42+P$40+AVERAGE(P$46,P$47)+P$57</f>
        <v>57.655241404049278</v>
      </c>
      <c r="Q12" s="78">
        <f t="shared" si="10"/>
        <v>4.9620612337013448</v>
      </c>
      <c r="R12" s="78">
        <f t="shared" si="10"/>
        <v>3.7840077400693932</v>
      </c>
      <c r="S12" s="78">
        <f t="shared" si="10"/>
        <v>0.48191653874301166</v>
      </c>
      <c r="T12" s="78">
        <f t="shared" si="10"/>
        <v>0.39892912395820895</v>
      </c>
      <c r="U12" s="75">
        <v>20</v>
      </c>
      <c r="V12" s="75">
        <v>2015</v>
      </c>
      <c r="W12" s="74" t="s">
        <v>309</v>
      </c>
      <c r="X12" s="74" t="s">
        <v>218</v>
      </c>
      <c r="Y12" s="74" t="s">
        <v>312</v>
      </c>
      <c r="AG12" s="75"/>
    </row>
    <row r="13" spans="1:37" s="302" customFormat="1">
      <c r="A13" s="302" t="s">
        <v>219</v>
      </c>
      <c r="B13" s="321" t="s">
        <v>571</v>
      </c>
      <c r="C13" s="317" t="s">
        <v>591</v>
      </c>
      <c r="D13" s="318"/>
      <c r="E13" s="304" t="s">
        <v>66</v>
      </c>
      <c r="F13" s="305" t="s">
        <v>318</v>
      </c>
      <c r="G13" s="306" t="s">
        <v>317</v>
      </c>
      <c r="H13" s="306"/>
      <c r="I13" s="306" t="s">
        <v>326</v>
      </c>
      <c r="J13" s="304">
        <v>1</v>
      </c>
      <c r="K13" s="310">
        <v>9.0200000000000002E-2</v>
      </c>
      <c r="L13" s="304">
        <v>3.0000000000000001E-3</v>
      </c>
      <c r="M13" s="304">
        <v>1</v>
      </c>
      <c r="N13" s="311">
        <v>0.7</v>
      </c>
      <c r="O13" s="320">
        <f>O$36+O$37+O$42+O$40+AVERAGE(O$46,O$47)+O$54</f>
        <v>66.111400987488096</v>
      </c>
      <c r="P13" s="320">
        <f t="shared" ref="P13:T13" si="11">P$36+P$37+P$42+P$40+AVERAGE(P$46,P$47)+P$54</f>
        <v>52.988574737382613</v>
      </c>
      <c r="Q13" s="320">
        <f t="shared" si="11"/>
        <v>4.6423945670346773</v>
      </c>
      <c r="R13" s="320">
        <f t="shared" si="11"/>
        <v>3.5643410734027268</v>
      </c>
      <c r="S13" s="320">
        <f t="shared" si="11"/>
        <v>0.48191653874301166</v>
      </c>
      <c r="T13" s="320">
        <f t="shared" si="11"/>
        <v>0.39892912395820895</v>
      </c>
      <c r="U13" s="304">
        <v>20</v>
      </c>
      <c r="V13" s="304">
        <v>2015</v>
      </c>
      <c r="W13" s="302" t="s">
        <v>309</v>
      </c>
      <c r="X13" s="302" t="s">
        <v>218</v>
      </c>
      <c r="Y13" s="302" t="s">
        <v>312</v>
      </c>
      <c r="AG13" s="304"/>
    </row>
    <row r="14" spans="1:37">
      <c r="A14" s="74" t="s">
        <v>219</v>
      </c>
      <c r="B14" s="255" t="s">
        <v>176</v>
      </c>
      <c r="C14" s="74" t="s">
        <v>577</v>
      </c>
      <c r="D14" s="72" t="s">
        <v>177</v>
      </c>
      <c r="E14" s="75" t="s">
        <v>66</v>
      </c>
      <c r="F14" s="77" t="s">
        <v>320</v>
      </c>
      <c r="G14" s="76" t="s">
        <v>318</v>
      </c>
      <c r="H14" s="77" t="s">
        <v>317</v>
      </c>
      <c r="I14" s="76" t="s">
        <v>328</v>
      </c>
      <c r="J14" s="86">
        <f>1-K14</f>
        <v>0.94</v>
      </c>
      <c r="K14" s="86">
        <v>0.06</v>
      </c>
      <c r="L14" s="312">
        <f>K10</f>
        <v>9.0200000000000002E-2</v>
      </c>
      <c r="M14" s="75">
        <v>1</v>
      </c>
      <c r="N14" s="85">
        <v>0.7</v>
      </c>
      <c r="O14" s="266">
        <f>O36+O37</f>
        <v>5.8745291815258316</v>
      </c>
      <c r="P14" s="266">
        <f>P36+P37</f>
        <v>4.9191940157172702</v>
      </c>
      <c r="Q14" s="266">
        <f t="shared" ref="Q14:T14" si="12">Q36+Q37</f>
        <v>0.373156116141375</v>
      </c>
      <c r="R14" s="266">
        <f t="shared" si="12"/>
        <v>0.29807649842918088</v>
      </c>
      <c r="S14" s="266">
        <f t="shared" si="12"/>
        <v>7.836090342939582E-2</v>
      </c>
      <c r="T14" s="266">
        <f t="shared" si="12"/>
        <v>6.1535968989007483E-2</v>
      </c>
      <c r="U14" s="75">
        <v>20</v>
      </c>
      <c r="V14" s="75">
        <v>2015</v>
      </c>
      <c r="W14" s="74" t="s">
        <v>309</v>
      </c>
      <c r="Y14" s="74" t="s">
        <v>313</v>
      </c>
      <c r="AG14" s="75"/>
    </row>
    <row r="15" spans="1:37">
      <c r="A15" s="74" t="s">
        <v>219</v>
      </c>
      <c r="B15" s="256" t="s">
        <v>178</v>
      </c>
      <c r="C15" s="74" t="s">
        <v>578</v>
      </c>
      <c r="D15" s="72" t="s">
        <v>177</v>
      </c>
      <c r="E15" s="75" t="s">
        <v>66</v>
      </c>
      <c r="F15" s="77" t="s">
        <v>320</v>
      </c>
      <c r="G15" s="76" t="s">
        <v>318</v>
      </c>
      <c r="H15" s="77" t="s">
        <v>317</v>
      </c>
      <c r="I15" s="76" t="s">
        <v>329</v>
      </c>
      <c r="J15" s="86">
        <f t="shared" ref="J15:J20" si="13">1-K15</f>
        <v>0.94</v>
      </c>
      <c r="K15" s="86">
        <v>0.06</v>
      </c>
      <c r="L15" s="70">
        <f>L14</f>
        <v>9.0200000000000002E-2</v>
      </c>
      <c r="M15" s="75">
        <v>1</v>
      </c>
      <c r="N15" s="85">
        <v>0.7</v>
      </c>
      <c r="O15" s="266">
        <f t="shared" ref="O15:P20" si="14">O14</f>
        <v>5.8745291815258316</v>
      </c>
      <c r="P15" s="266">
        <f t="shared" si="14"/>
        <v>4.9191940157172702</v>
      </c>
      <c r="Q15" s="266">
        <f t="shared" ref="Q15:T20" si="15">Q14</f>
        <v>0.373156116141375</v>
      </c>
      <c r="R15" s="266">
        <f t="shared" si="15"/>
        <v>0.29807649842918088</v>
      </c>
      <c r="S15" s="266">
        <f t="shared" si="15"/>
        <v>7.836090342939582E-2</v>
      </c>
      <c r="T15" s="266">
        <f t="shared" si="15"/>
        <v>6.1535968989007483E-2</v>
      </c>
      <c r="U15" s="75">
        <v>20</v>
      </c>
      <c r="V15" s="75">
        <v>2015</v>
      </c>
      <c r="W15" s="74" t="s">
        <v>309</v>
      </c>
      <c r="Y15" s="74" t="s">
        <v>313</v>
      </c>
      <c r="AG15" s="75"/>
    </row>
    <row r="16" spans="1:37">
      <c r="A16" s="74" t="s">
        <v>219</v>
      </c>
      <c r="B16" s="256" t="s">
        <v>179</v>
      </c>
      <c r="C16" s="74" t="s">
        <v>579</v>
      </c>
      <c r="D16" s="72" t="s">
        <v>177</v>
      </c>
      <c r="E16" s="75" t="s">
        <v>66</v>
      </c>
      <c r="F16" s="77" t="s">
        <v>320</v>
      </c>
      <c r="G16" s="76" t="s">
        <v>318</v>
      </c>
      <c r="H16" s="77" t="s">
        <v>317</v>
      </c>
      <c r="I16" s="76" t="s">
        <v>330</v>
      </c>
      <c r="J16" s="86">
        <f t="shared" si="13"/>
        <v>0.94</v>
      </c>
      <c r="K16" s="86">
        <v>0.06</v>
      </c>
      <c r="L16" s="70">
        <f t="shared" ref="L16:L20" si="16">L15</f>
        <v>9.0200000000000002E-2</v>
      </c>
      <c r="M16" s="75">
        <v>1</v>
      </c>
      <c r="N16" s="85">
        <v>0.7</v>
      </c>
      <c r="O16" s="266">
        <f t="shared" si="14"/>
        <v>5.8745291815258316</v>
      </c>
      <c r="P16" s="266">
        <f t="shared" si="14"/>
        <v>4.9191940157172702</v>
      </c>
      <c r="Q16" s="266">
        <f t="shared" si="15"/>
        <v>0.373156116141375</v>
      </c>
      <c r="R16" s="266">
        <f t="shared" si="15"/>
        <v>0.29807649842918088</v>
      </c>
      <c r="S16" s="266">
        <f t="shared" si="15"/>
        <v>7.836090342939582E-2</v>
      </c>
      <c r="T16" s="266">
        <f t="shared" si="15"/>
        <v>6.1535968989007483E-2</v>
      </c>
      <c r="U16" s="75">
        <v>20</v>
      </c>
      <c r="V16" s="75">
        <v>2015</v>
      </c>
      <c r="W16" s="74" t="s">
        <v>309</v>
      </c>
      <c r="Y16" s="74" t="s">
        <v>313</v>
      </c>
      <c r="AG16" s="75"/>
    </row>
    <row r="17" spans="1:33">
      <c r="A17" s="74" t="s">
        <v>219</v>
      </c>
      <c r="B17" s="256" t="s">
        <v>180</v>
      </c>
      <c r="C17" s="74" t="s">
        <v>580</v>
      </c>
      <c r="D17" s="72" t="s">
        <v>177</v>
      </c>
      <c r="E17" s="75" t="s">
        <v>66</v>
      </c>
      <c r="F17" s="77" t="s">
        <v>320</v>
      </c>
      <c r="G17" s="76" t="s">
        <v>318</v>
      </c>
      <c r="H17" s="77" t="s">
        <v>317</v>
      </c>
      <c r="I17" s="76" t="s">
        <v>331</v>
      </c>
      <c r="J17" s="86">
        <f t="shared" si="13"/>
        <v>0.94</v>
      </c>
      <c r="K17" s="86">
        <v>0.06</v>
      </c>
      <c r="L17" s="70">
        <f t="shared" si="16"/>
        <v>9.0200000000000002E-2</v>
      </c>
      <c r="M17" s="75">
        <v>1</v>
      </c>
      <c r="N17" s="85">
        <v>0.7</v>
      </c>
      <c r="O17" s="266">
        <f t="shared" si="14"/>
        <v>5.8745291815258316</v>
      </c>
      <c r="P17" s="266">
        <f t="shared" si="14"/>
        <v>4.9191940157172702</v>
      </c>
      <c r="Q17" s="266">
        <f t="shared" si="15"/>
        <v>0.373156116141375</v>
      </c>
      <c r="R17" s="266">
        <f t="shared" si="15"/>
        <v>0.29807649842918088</v>
      </c>
      <c r="S17" s="266">
        <f t="shared" si="15"/>
        <v>7.836090342939582E-2</v>
      </c>
      <c r="T17" s="266">
        <f t="shared" si="15"/>
        <v>6.1535968989007483E-2</v>
      </c>
      <c r="U17" s="75">
        <v>20</v>
      </c>
      <c r="V17" s="75">
        <v>2015</v>
      </c>
      <c r="W17" s="74" t="s">
        <v>309</v>
      </c>
      <c r="Y17" s="74" t="s">
        <v>313</v>
      </c>
      <c r="AG17" s="75"/>
    </row>
    <row r="18" spans="1:33">
      <c r="A18" s="74" t="s">
        <v>219</v>
      </c>
      <c r="B18" s="256" t="s">
        <v>181</v>
      </c>
      <c r="C18" s="74" t="s">
        <v>581</v>
      </c>
      <c r="D18" s="72" t="s">
        <v>177</v>
      </c>
      <c r="E18" s="75" t="s">
        <v>66</v>
      </c>
      <c r="F18" s="77" t="s">
        <v>320</v>
      </c>
      <c r="G18" s="76" t="s">
        <v>318</v>
      </c>
      <c r="H18" s="77" t="s">
        <v>317</v>
      </c>
      <c r="I18" s="76" t="s">
        <v>332</v>
      </c>
      <c r="J18" s="86">
        <f t="shared" si="13"/>
        <v>0.94</v>
      </c>
      <c r="K18" s="86">
        <v>0.06</v>
      </c>
      <c r="L18" s="70">
        <f t="shared" si="16"/>
        <v>9.0200000000000002E-2</v>
      </c>
      <c r="M18" s="75">
        <v>1</v>
      </c>
      <c r="N18" s="85">
        <v>0.7</v>
      </c>
      <c r="O18" s="266">
        <f t="shared" si="14"/>
        <v>5.8745291815258316</v>
      </c>
      <c r="P18" s="266">
        <f t="shared" si="14"/>
        <v>4.9191940157172702</v>
      </c>
      <c r="Q18" s="266">
        <f t="shared" si="15"/>
        <v>0.373156116141375</v>
      </c>
      <c r="R18" s="266">
        <f t="shared" si="15"/>
        <v>0.29807649842918088</v>
      </c>
      <c r="S18" s="266">
        <f t="shared" si="15"/>
        <v>7.836090342939582E-2</v>
      </c>
      <c r="T18" s="266">
        <f t="shared" si="15"/>
        <v>6.1535968989007483E-2</v>
      </c>
      <c r="U18" s="75">
        <v>20</v>
      </c>
      <c r="V18" s="75">
        <v>2015</v>
      </c>
      <c r="W18" s="74" t="s">
        <v>309</v>
      </c>
      <c r="Y18" s="74" t="s">
        <v>313</v>
      </c>
      <c r="AG18" s="75"/>
    </row>
    <row r="19" spans="1:33">
      <c r="A19" s="74" t="s">
        <v>219</v>
      </c>
      <c r="B19" s="256" t="s">
        <v>182</v>
      </c>
      <c r="C19" s="74" t="s">
        <v>582</v>
      </c>
      <c r="D19" s="72" t="s">
        <v>177</v>
      </c>
      <c r="E19" s="75" t="s">
        <v>66</v>
      </c>
      <c r="F19" s="77" t="s">
        <v>320</v>
      </c>
      <c r="G19" s="76" t="s">
        <v>318</v>
      </c>
      <c r="H19" s="77" t="s">
        <v>317</v>
      </c>
      <c r="I19" s="76" t="s">
        <v>333</v>
      </c>
      <c r="J19" s="86">
        <f t="shared" si="13"/>
        <v>0.94</v>
      </c>
      <c r="K19" s="86">
        <v>0.06</v>
      </c>
      <c r="L19" s="70">
        <f t="shared" si="16"/>
        <v>9.0200000000000002E-2</v>
      </c>
      <c r="M19" s="75">
        <v>1</v>
      </c>
      <c r="N19" s="85">
        <v>0.7</v>
      </c>
      <c r="O19" s="266">
        <f t="shared" si="14"/>
        <v>5.8745291815258316</v>
      </c>
      <c r="P19" s="266">
        <f t="shared" si="14"/>
        <v>4.9191940157172702</v>
      </c>
      <c r="Q19" s="266">
        <f t="shared" si="15"/>
        <v>0.373156116141375</v>
      </c>
      <c r="R19" s="266">
        <f t="shared" si="15"/>
        <v>0.29807649842918088</v>
      </c>
      <c r="S19" s="266">
        <f t="shared" si="15"/>
        <v>7.836090342939582E-2</v>
      </c>
      <c r="T19" s="266">
        <f t="shared" si="15"/>
        <v>6.1535968989007483E-2</v>
      </c>
      <c r="U19" s="75">
        <v>20</v>
      </c>
      <c r="V19" s="75">
        <v>2015</v>
      </c>
      <c r="W19" s="74" t="s">
        <v>309</v>
      </c>
      <c r="Y19" s="74" t="s">
        <v>313</v>
      </c>
      <c r="AG19" s="75"/>
    </row>
    <row r="20" spans="1:33" s="302" customFormat="1">
      <c r="A20" s="302" t="s">
        <v>219</v>
      </c>
      <c r="B20" s="308" t="s">
        <v>183</v>
      </c>
      <c r="C20" s="302" t="s">
        <v>583</v>
      </c>
      <c r="D20" s="309" t="s">
        <v>177</v>
      </c>
      <c r="E20" s="304" t="s">
        <v>66</v>
      </c>
      <c r="F20" s="306" t="s">
        <v>320</v>
      </c>
      <c r="G20" s="305" t="s">
        <v>318</v>
      </c>
      <c r="H20" s="306" t="s">
        <v>317</v>
      </c>
      <c r="I20" s="305" t="s">
        <v>334</v>
      </c>
      <c r="J20" s="310">
        <f t="shared" si="13"/>
        <v>0.94</v>
      </c>
      <c r="K20" s="310">
        <v>0.06</v>
      </c>
      <c r="L20" s="303">
        <f t="shared" si="16"/>
        <v>9.0200000000000002E-2</v>
      </c>
      <c r="M20" s="304">
        <v>1</v>
      </c>
      <c r="N20" s="311">
        <v>0.7</v>
      </c>
      <c r="O20" s="307">
        <f t="shared" si="14"/>
        <v>5.8745291815258316</v>
      </c>
      <c r="P20" s="307">
        <f t="shared" si="14"/>
        <v>4.9191940157172702</v>
      </c>
      <c r="Q20" s="307">
        <f t="shared" si="15"/>
        <v>0.373156116141375</v>
      </c>
      <c r="R20" s="307">
        <f t="shared" si="15"/>
        <v>0.29807649842918088</v>
      </c>
      <c r="S20" s="307">
        <f t="shared" si="15"/>
        <v>7.836090342939582E-2</v>
      </c>
      <c r="T20" s="307">
        <f t="shared" si="15"/>
        <v>6.1535968989007483E-2</v>
      </c>
      <c r="U20" s="304">
        <v>20</v>
      </c>
      <c r="V20" s="304">
        <v>2015</v>
      </c>
      <c r="W20" s="302" t="s">
        <v>309</v>
      </c>
      <c r="Y20" s="302" t="s">
        <v>313</v>
      </c>
      <c r="AG20" s="304"/>
    </row>
    <row r="21" spans="1:33">
      <c r="A21" s="74" t="s">
        <v>220</v>
      </c>
      <c r="B21" s="74" t="s">
        <v>184</v>
      </c>
      <c r="C21" s="253" t="s">
        <v>566</v>
      </c>
      <c r="D21" s="72" t="s">
        <v>185</v>
      </c>
      <c r="E21" s="75" t="s">
        <v>67</v>
      </c>
      <c r="F21" s="76" t="s">
        <v>318</v>
      </c>
      <c r="G21" s="77" t="s">
        <v>317</v>
      </c>
      <c r="H21" s="77"/>
      <c r="I21" s="77" t="s">
        <v>327</v>
      </c>
      <c r="J21" s="75">
        <v>1</v>
      </c>
      <c r="K21" s="86">
        <v>0</v>
      </c>
      <c r="M21" s="75">
        <v>1</v>
      </c>
      <c r="N21" s="85">
        <v>0.7</v>
      </c>
      <c r="O21" s="266">
        <f t="shared" ref="O21:T21" si="17">O42+O52</f>
        <v>51.838586000490707</v>
      </c>
      <c r="P21" s="266">
        <f t="shared" si="17"/>
        <v>43.577770932156589</v>
      </c>
      <c r="Q21" s="266">
        <f t="shared" si="17"/>
        <v>2.4972306027425724</v>
      </c>
      <c r="R21" s="266">
        <f t="shared" si="17"/>
        <v>2.1060631281642355</v>
      </c>
      <c r="S21" s="266">
        <f t="shared" si="17"/>
        <v>0.28163911679999998</v>
      </c>
      <c r="T21" s="266">
        <f t="shared" si="17"/>
        <v>0.25371416321258006</v>
      </c>
      <c r="U21" s="75">
        <v>20</v>
      </c>
      <c r="V21" s="75">
        <v>2015</v>
      </c>
      <c r="W21" s="74" t="s">
        <v>309</v>
      </c>
      <c r="Y21" s="74" t="s">
        <v>314</v>
      </c>
      <c r="AG21" s="75"/>
    </row>
    <row r="22" spans="1:33">
      <c r="A22" s="74" t="s">
        <v>220</v>
      </c>
      <c r="B22" s="254" t="s">
        <v>562</v>
      </c>
      <c r="C22" s="253" t="s">
        <v>565</v>
      </c>
      <c r="D22" s="72"/>
      <c r="E22" s="75" t="s">
        <v>67</v>
      </c>
      <c r="F22" s="76" t="s">
        <v>318</v>
      </c>
      <c r="G22" s="77" t="s">
        <v>317</v>
      </c>
      <c r="H22" s="77"/>
      <c r="I22" s="77" t="s">
        <v>327</v>
      </c>
      <c r="J22" s="75">
        <v>1</v>
      </c>
      <c r="K22" s="86">
        <v>0</v>
      </c>
      <c r="M22" s="75">
        <v>1</v>
      </c>
      <c r="N22" s="85">
        <v>0.7</v>
      </c>
      <c r="O22" s="266">
        <f>O$42</f>
        <v>28.163911680000002</v>
      </c>
      <c r="P22" s="266">
        <f t="shared" ref="P22:T23" si="18">P$42</f>
        <v>25.371416321258007</v>
      </c>
      <c r="Q22" s="266">
        <f t="shared" si="18"/>
        <v>1.4081955840000002</v>
      </c>
      <c r="R22" s="266">
        <f t="shared" si="18"/>
        <v>1.2685708160629006</v>
      </c>
      <c r="S22" s="266">
        <f t="shared" si="18"/>
        <v>0.28163911679999998</v>
      </c>
      <c r="T22" s="266">
        <f t="shared" si="18"/>
        <v>0.25371416321258006</v>
      </c>
      <c r="U22" s="75">
        <v>20</v>
      </c>
      <c r="V22" s="75">
        <v>2015</v>
      </c>
      <c r="Y22" s="74" t="s">
        <v>314</v>
      </c>
      <c r="AG22" s="75"/>
    </row>
    <row r="23" spans="1:33">
      <c r="A23" s="74" t="s">
        <v>220</v>
      </c>
      <c r="B23" s="254" t="s">
        <v>563</v>
      </c>
      <c r="C23" s="253" t="s">
        <v>564</v>
      </c>
      <c r="D23" s="72"/>
      <c r="E23" s="75" t="s">
        <v>67</v>
      </c>
      <c r="F23" s="76" t="s">
        <v>318</v>
      </c>
      <c r="G23" s="77" t="s">
        <v>317</v>
      </c>
      <c r="H23" s="77"/>
      <c r="I23" s="257" t="s">
        <v>568</v>
      </c>
      <c r="J23" s="75">
        <v>1</v>
      </c>
      <c r="K23" s="86">
        <v>0</v>
      </c>
      <c r="M23" s="75">
        <v>1</v>
      </c>
      <c r="N23" s="85">
        <v>0.7</v>
      </c>
      <c r="O23" s="266">
        <f>O$42</f>
        <v>28.163911680000002</v>
      </c>
      <c r="P23" s="266">
        <f t="shared" si="18"/>
        <v>25.371416321258007</v>
      </c>
      <c r="Q23" s="266">
        <f t="shared" si="18"/>
        <v>1.4081955840000002</v>
      </c>
      <c r="R23" s="266">
        <f t="shared" si="18"/>
        <v>1.2685708160629006</v>
      </c>
      <c r="S23" s="266">
        <f t="shared" si="18"/>
        <v>0.28163911679999998</v>
      </c>
      <c r="T23" s="266">
        <f t="shared" si="18"/>
        <v>0.25371416321258006</v>
      </c>
      <c r="U23" s="75">
        <v>20</v>
      </c>
      <c r="V23" s="75">
        <v>2015</v>
      </c>
      <c r="Y23" s="74" t="s">
        <v>314</v>
      </c>
      <c r="AG23" s="75"/>
    </row>
    <row r="24" spans="1:33" s="302" customFormat="1">
      <c r="A24" s="302" t="s">
        <v>220</v>
      </c>
      <c r="B24" s="321" t="s">
        <v>567</v>
      </c>
      <c r="C24" s="317" t="s">
        <v>569</v>
      </c>
      <c r="D24" s="309"/>
      <c r="E24" s="304" t="s">
        <v>67</v>
      </c>
      <c r="F24" s="305" t="s">
        <v>318</v>
      </c>
      <c r="G24" s="306" t="s">
        <v>317</v>
      </c>
      <c r="H24" s="306"/>
      <c r="I24" s="319" t="s">
        <v>366</v>
      </c>
      <c r="J24" s="304">
        <v>1</v>
      </c>
      <c r="K24" s="310">
        <v>0</v>
      </c>
      <c r="L24" s="304"/>
      <c r="M24" s="304">
        <v>1</v>
      </c>
      <c r="N24" s="311">
        <v>0.7</v>
      </c>
      <c r="O24" s="307">
        <f>O36+O52</f>
        <v>25.047767133480331</v>
      </c>
      <c r="P24" s="307">
        <f>P36+P52</f>
        <v>19.070436629127016</v>
      </c>
      <c r="Q24" s="307">
        <f t="shared" ref="Q24:T24" si="19">Q36+Q52</f>
        <v>1.2851911348839473</v>
      </c>
      <c r="R24" s="307">
        <f t="shared" si="19"/>
        <v>0.96093260041968265</v>
      </c>
      <c r="S24" s="307">
        <f t="shared" si="19"/>
        <v>3.3346539744033746E-2</v>
      </c>
      <c r="T24" s="307">
        <f t="shared" si="19"/>
        <v>2.098484901411914E-2</v>
      </c>
      <c r="U24" s="304">
        <v>20</v>
      </c>
      <c r="V24" s="304">
        <v>2015</v>
      </c>
      <c r="Y24" s="302" t="s">
        <v>314</v>
      </c>
      <c r="AG24" s="304"/>
    </row>
    <row r="25" spans="1:33">
      <c r="A25" s="74" t="s">
        <v>220</v>
      </c>
      <c r="B25" s="251" t="s">
        <v>186</v>
      </c>
      <c r="C25" s="253" t="s">
        <v>592</v>
      </c>
      <c r="D25" s="72" t="s">
        <v>187</v>
      </c>
      <c r="E25" s="75" t="s">
        <v>67</v>
      </c>
      <c r="F25" s="76" t="s">
        <v>318</v>
      </c>
      <c r="G25" s="77" t="s">
        <v>317</v>
      </c>
      <c r="H25" s="77"/>
      <c r="I25" s="77" t="s">
        <v>326</v>
      </c>
      <c r="J25" s="75">
        <v>1</v>
      </c>
      <c r="K25" s="86">
        <v>0.125</v>
      </c>
      <c r="M25" s="75">
        <v>1</v>
      </c>
      <c r="N25" s="85">
        <v>0.7</v>
      </c>
      <c r="O25" s="266">
        <f>AVERAGE(O$46:O$47)+O$57</f>
        <v>39.377831540687247</v>
      </c>
      <c r="P25" s="266">
        <f>AVERAGE(P$46:P$47)+P$57</f>
        <v>27.038708373367175</v>
      </c>
      <c r="Q25" s="266">
        <f t="shared" ref="Q25:T25" si="20">AVERAGE(Q$46:Q$47)+Q$57</f>
        <v>3.144530008365801</v>
      </c>
      <c r="R25" s="266">
        <f t="shared" si="20"/>
        <v>2.184768156206629</v>
      </c>
      <c r="S25" s="266">
        <f t="shared" si="20"/>
        <v>0.1195422371727486</v>
      </c>
      <c r="T25" s="266">
        <f t="shared" si="20"/>
        <v>8.1540124079170342E-2</v>
      </c>
      <c r="U25" s="75">
        <v>20</v>
      </c>
      <c r="V25" s="75">
        <v>2015</v>
      </c>
      <c r="W25" s="74" t="s">
        <v>309</v>
      </c>
      <c r="Y25" s="74" t="s">
        <v>315</v>
      </c>
      <c r="AG25" s="75"/>
    </row>
    <row r="26" spans="1:33">
      <c r="A26" s="74" t="s">
        <v>220</v>
      </c>
      <c r="B26" s="258" t="s">
        <v>593</v>
      </c>
      <c r="C26" s="253" t="s">
        <v>594</v>
      </c>
      <c r="D26" s="72" t="s">
        <v>187</v>
      </c>
      <c r="E26" s="75" t="s">
        <v>67</v>
      </c>
      <c r="F26" s="76" t="s">
        <v>318</v>
      </c>
      <c r="G26" s="77" t="s">
        <v>317</v>
      </c>
      <c r="H26" s="77"/>
      <c r="I26" s="77" t="s">
        <v>326</v>
      </c>
      <c r="J26" s="75">
        <v>1</v>
      </c>
      <c r="K26" s="86">
        <v>0.125</v>
      </c>
      <c r="L26" s="75">
        <v>3.0000000000000001E-3</v>
      </c>
      <c r="M26" s="75">
        <v>1</v>
      </c>
      <c r="N26" s="85">
        <v>0.7</v>
      </c>
      <c r="O26" s="266">
        <f>AVERAGE(O$46:O$47)+O$54</f>
        <v>31.711164874020579</v>
      </c>
      <c r="P26" s="266">
        <f>AVERAGE(P$46:P$47)+P$54</f>
        <v>22.372041706700507</v>
      </c>
      <c r="Q26" s="266">
        <f t="shared" ref="Q26:T26" si="21">AVERAGE(Q$46:Q$47)+Q$54</f>
        <v>2.8248633416991344</v>
      </c>
      <c r="R26" s="266">
        <f t="shared" si="21"/>
        <v>1.9651014895399626</v>
      </c>
      <c r="S26" s="266">
        <f t="shared" si="21"/>
        <v>0.1195422371727486</v>
      </c>
      <c r="T26" s="266">
        <f t="shared" si="21"/>
        <v>8.1540124079170342E-2</v>
      </c>
      <c r="U26" s="75">
        <v>20</v>
      </c>
      <c r="V26" s="75">
        <v>2015</v>
      </c>
      <c r="W26" s="74" t="s">
        <v>309</v>
      </c>
      <c r="Y26" s="74" t="s">
        <v>315</v>
      </c>
      <c r="AG26" s="75"/>
    </row>
    <row r="28" spans="1:33">
      <c r="B28" s="209"/>
      <c r="C28" s="210" t="s">
        <v>480</v>
      </c>
    </row>
    <row r="29" spans="1:33">
      <c r="B29" s="212"/>
      <c r="C29" s="210" t="s">
        <v>481</v>
      </c>
      <c r="O29" s="78">
        <f>O36+O52+O37+O42</f>
        <v>57.713115182016537</v>
      </c>
    </row>
    <row r="30" spans="1:33">
      <c r="B30" s="215"/>
      <c r="C30" s="210" t="s">
        <v>494</v>
      </c>
    </row>
    <row r="32" spans="1:33">
      <c r="M32" s="128" t="s">
        <v>368</v>
      </c>
      <c r="N32" s="128"/>
      <c r="O32" s="128"/>
      <c r="P32" s="337" t="s">
        <v>369</v>
      </c>
      <c r="Q32" s="128"/>
      <c r="R32" s="128"/>
      <c r="S32" s="128"/>
      <c r="T32" s="128"/>
    </row>
    <row r="33" spans="2:30" ht="15.5" thickBot="1"/>
    <row r="34" spans="2:30">
      <c r="B34" s="51" t="s">
        <v>188</v>
      </c>
      <c r="C34" s="52" t="s">
        <v>49</v>
      </c>
      <c r="M34" s="128"/>
      <c r="N34" s="128"/>
      <c r="O34" s="260" t="s">
        <v>370</v>
      </c>
      <c r="P34" s="260"/>
      <c r="Q34" s="260" t="s">
        <v>371</v>
      </c>
      <c r="R34" s="260"/>
      <c r="S34" s="260" t="s">
        <v>372</v>
      </c>
      <c r="T34" s="260"/>
      <c r="W34" s="129"/>
      <c r="X34" s="129"/>
      <c r="Y34" s="129"/>
      <c r="Z34" s="129"/>
      <c r="AA34" s="129"/>
      <c r="AB34" s="129"/>
      <c r="AC34" s="129"/>
      <c r="AD34" s="129"/>
    </row>
    <row r="35" spans="2:30">
      <c r="B35" s="80" t="s">
        <v>189</v>
      </c>
      <c r="C35" s="81" t="s">
        <v>190</v>
      </c>
      <c r="M35" s="128"/>
      <c r="N35" s="128"/>
      <c r="O35" s="260">
        <v>2012</v>
      </c>
      <c r="P35" s="260">
        <v>2025</v>
      </c>
      <c r="Q35" s="260">
        <v>2012</v>
      </c>
      <c r="R35" s="260">
        <v>2025</v>
      </c>
      <c r="S35" s="260">
        <v>2012</v>
      </c>
      <c r="T35" s="260">
        <v>2025</v>
      </c>
    </row>
    <row r="36" spans="2:30">
      <c r="B36" s="80" t="s">
        <v>191</v>
      </c>
      <c r="C36" s="81" t="s">
        <v>192</v>
      </c>
      <c r="M36" s="128" t="s">
        <v>189</v>
      </c>
      <c r="N36" s="128" t="s">
        <v>373</v>
      </c>
      <c r="O36" s="252">
        <v>1.3730928129896247</v>
      </c>
      <c r="P36" s="252">
        <v>0.86408201822843511</v>
      </c>
      <c r="Q36" s="252">
        <v>0.19615611614137499</v>
      </c>
      <c r="R36" s="252">
        <v>0.12344028831834788</v>
      </c>
      <c r="S36" s="252">
        <v>3.3346539744033746E-2</v>
      </c>
      <c r="T36" s="252">
        <v>2.098484901411914E-2</v>
      </c>
      <c r="W36" s="129"/>
      <c r="X36" s="129"/>
      <c r="Y36" s="129"/>
      <c r="Z36" s="129"/>
      <c r="AA36" s="129"/>
      <c r="AB36" s="129"/>
      <c r="AC36" s="129"/>
      <c r="AD36" s="129"/>
    </row>
    <row r="37" spans="2:30">
      <c r="B37" s="80" t="s">
        <v>193</v>
      </c>
      <c r="C37" s="81" t="s">
        <v>194</v>
      </c>
      <c r="M37" s="128" t="s">
        <v>191</v>
      </c>
      <c r="N37" s="128" t="s">
        <v>374</v>
      </c>
      <c r="O37" s="252">
        <v>4.5014363685362069</v>
      </c>
      <c r="P37" s="252">
        <v>4.0551119974888348</v>
      </c>
      <c r="Q37" s="252">
        <v>0.17699999999999999</v>
      </c>
      <c r="R37" s="252">
        <v>0.174636210110833</v>
      </c>
      <c r="S37" s="252">
        <v>4.5014363685362074E-2</v>
      </c>
      <c r="T37" s="252">
        <v>4.0551119974888347E-2</v>
      </c>
      <c r="W37" s="129"/>
      <c r="X37" s="129"/>
      <c r="Y37" s="129"/>
      <c r="Z37" s="129"/>
      <c r="AA37" s="129"/>
      <c r="AB37" s="129"/>
      <c r="AC37" s="129"/>
      <c r="AD37" s="129"/>
    </row>
    <row r="38" spans="2:30">
      <c r="B38" s="80" t="s">
        <v>195</v>
      </c>
      <c r="C38" s="81" t="s">
        <v>196</v>
      </c>
      <c r="M38" s="128" t="s">
        <v>193</v>
      </c>
      <c r="N38" s="128" t="s">
        <v>375</v>
      </c>
      <c r="O38" s="252">
        <v>14.957154240273763</v>
      </c>
      <c r="P38" s="252">
        <v>9.9324885674633983</v>
      </c>
      <c r="Q38" s="252">
        <v>1.0470007968191635</v>
      </c>
      <c r="R38" s="252">
        <v>0.69527419972243798</v>
      </c>
      <c r="S38" s="252">
        <v>0.14957154240273762</v>
      </c>
      <c r="T38" s="252">
        <v>9.9324885674633989E-2</v>
      </c>
      <c r="W38" s="129"/>
      <c r="X38" s="129"/>
      <c r="Y38" s="129"/>
      <c r="Z38" s="129"/>
      <c r="AA38" s="129"/>
      <c r="AB38" s="129"/>
      <c r="AC38" s="129"/>
      <c r="AD38" s="129"/>
    </row>
    <row r="39" spans="2:30">
      <c r="B39" s="80" t="s">
        <v>197</v>
      </c>
      <c r="C39" s="81" t="s">
        <v>198</v>
      </c>
      <c r="M39" s="128" t="s">
        <v>195</v>
      </c>
      <c r="N39" s="128" t="s">
        <v>376</v>
      </c>
      <c r="O39" s="252">
        <v>106.69436691395283</v>
      </c>
      <c r="P39" s="252">
        <v>70.851751781238917</v>
      </c>
      <c r="Q39" s="252">
        <v>7.4686056839767003</v>
      </c>
      <c r="R39" s="252">
        <v>4.959622624686725</v>
      </c>
      <c r="S39" s="252">
        <v>1.0669436691395284</v>
      </c>
      <c r="T39" s="252">
        <v>0.70851751781238914</v>
      </c>
      <c r="W39" s="129"/>
      <c r="X39" s="129"/>
      <c r="Y39" s="129"/>
      <c r="Z39" s="129"/>
      <c r="AA39" s="129"/>
      <c r="AB39" s="129"/>
      <c r="AC39" s="129"/>
      <c r="AD39" s="129"/>
    </row>
    <row r="40" spans="2:30">
      <c r="B40" s="80" t="s">
        <v>199</v>
      </c>
      <c r="C40" s="81" t="s">
        <v>200</v>
      </c>
      <c r="M40" s="128" t="s">
        <v>209</v>
      </c>
      <c r="N40" s="128" t="s">
        <v>377</v>
      </c>
      <c r="O40" s="252">
        <v>0.36179525194168027</v>
      </c>
      <c r="P40" s="252">
        <v>0.32592269370682819</v>
      </c>
      <c r="Q40" s="252">
        <v>3.6179525194168026E-2</v>
      </c>
      <c r="R40" s="252">
        <v>3.2592269370682818E-2</v>
      </c>
      <c r="S40" s="252">
        <v>2.3742813408672765E-3</v>
      </c>
      <c r="T40" s="252">
        <v>2.1388676774510593E-3</v>
      </c>
      <c r="W40" s="129"/>
      <c r="X40" s="129"/>
      <c r="Y40" s="129"/>
      <c r="Z40" s="129"/>
      <c r="AA40" s="129"/>
      <c r="AB40" s="129"/>
      <c r="AC40" s="129"/>
      <c r="AD40" s="129"/>
    </row>
    <row r="41" spans="2:30">
      <c r="B41" s="80" t="s">
        <v>201</v>
      </c>
      <c r="C41" s="81" t="s">
        <v>202</v>
      </c>
      <c r="O41" s="78"/>
      <c r="P41" s="78"/>
      <c r="Q41" s="78"/>
      <c r="R41" s="78"/>
      <c r="S41" s="78"/>
      <c r="T41" s="78"/>
      <c r="W41" s="129"/>
      <c r="X41" s="129"/>
      <c r="Y41" s="129"/>
      <c r="Z41" s="129"/>
      <c r="AA41" s="129"/>
      <c r="AB41" s="129"/>
      <c r="AC41" s="129"/>
      <c r="AD41" s="129"/>
    </row>
    <row r="42" spans="2:30">
      <c r="B42" s="80" t="s">
        <v>203</v>
      </c>
      <c r="C42" s="81" t="s">
        <v>204</v>
      </c>
      <c r="M42" s="128" t="s">
        <v>215</v>
      </c>
      <c r="N42" s="128" t="s">
        <v>378</v>
      </c>
      <c r="O42" s="252">
        <v>28.163911680000002</v>
      </c>
      <c r="P42" s="252">
        <v>25.371416321258007</v>
      </c>
      <c r="Q42" s="252">
        <v>1.4081955840000002</v>
      </c>
      <c r="R42" s="252">
        <v>1.2685708160629006</v>
      </c>
      <c r="S42" s="252">
        <v>0.28163911679999998</v>
      </c>
      <c r="T42" s="252">
        <v>0.25371416321258006</v>
      </c>
      <c r="W42" s="129"/>
      <c r="X42" s="129"/>
      <c r="Y42" s="129"/>
      <c r="Z42" s="129"/>
      <c r="AA42" s="129"/>
      <c r="AB42" s="129"/>
      <c r="AC42" s="129"/>
      <c r="AD42" s="129"/>
    </row>
    <row r="43" spans="2:30">
      <c r="B43" s="80" t="s">
        <v>205</v>
      </c>
      <c r="C43" s="81" t="s">
        <v>206</v>
      </c>
      <c r="M43" s="264"/>
      <c r="N43" s="263"/>
      <c r="O43" s="78"/>
      <c r="P43" s="78"/>
      <c r="Q43" s="78"/>
      <c r="R43" s="78"/>
      <c r="S43" s="78"/>
      <c r="T43" s="78"/>
    </row>
    <row r="44" spans="2:30">
      <c r="B44" s="80" t="s">
        <v>207</v>
      </c>
      <c r="C44" s="81" t="s">
        <v>208</v>
      </c>
      <c r="M44" s="128" t="s">
        <v>379</v>
      </c>
      <c r="N44" s="128" t="s">
        <v>380</v>
      </c>
      <c r="O44" s="252">
        <v>14.466988545539753</v>
      </c>
      <c r="P44" s="252">
        <v>9.8679769506954109</v>
      </c>
      <c r="Q44" s="252">
        <v>0.43028055819516781</v>
      </c>
      <c r="R44" s="252">
        <v>0.2934956793002601</v>
      </c>
      <c r="S44" s="252">
        <v>0.71713426365861299</v>
      </c>
      <c r="T44" s="252">
        <v>0.48915946550043354</v>
      </c>
      <c r="W44" s="129"/>
      <c r="X44" s="129"/>
      <c r="Y44" s="129"/>
      <c r="Z44" s="129"/>
      <c r="AA44" s="129"/>
      <c r="AB44" s="129"/>
      <c r="AC44" s="129"/>
      <c r="AD44" s="129"/>
    </row>
    <row r="45" spans="2:30">
      <c r="B45" s="80" t="s">
        <v>209</v>
      </c>
      <c r="C45" s="81" t="s">
        <v>210</v>
      </c>
      <c r="M45" s="128" t="s">
        <v>381</v>
      </c>
      <c r="N45" s="128" t="s">
        <v>382</v>
      </c>
      <c r="O45" s="252">
        <v>41.443518995999995</v>
      </c>
      <c r="P45" s="252">
        <v>28.268750536497873</v>
      </c>
      <c r="Q45" s="252">
        <v>1.1302777907999999</v>
      </c>
      <c r="R45" s="252">
        <v>0.77096592372266937</v>
      </c>
      <c r="S45" s="252">
        <v>0.11302777908</v>
      </c>
      <c r="T45" s="252">
        <v>7.7096592372266917E-2</v>
      </c>
    </row>
    <row r="46" spans="2:30">
      <c r="B46" s="80" t="s">
        <v>211</v>
      </c>
      <c r="C46" s="81" t="s">
        <v>212</v>
      </c>
      <c r="M46" s="128" t="s">
        <v>383</v>
      </c>
      <c r="N46" s="128" t="s">
        <v>384</v>
      </c>
      <c r="O46" s="252">
        <v>12.245790149403515</v>
      </c>
      <c r="P46" s="252">
        <v>8.3528907593296449</v>
      </c>
      <c r="Q46" s="252">
        <v>1.4075620861383351</v>
      </c>
      <c r="R46" s="252">
        <v>0.96010238612984411</v>
      </c>
      <c r="S46" s="252">
        <v>4.9767373759891133E-2</v>
      </c>
      <c r="T46" s="252">
        <v>3.3946477223876635E-2</v>
      </c>
      <c r="W46" s="129"/>
      <c r="X46" s="129"/>
      <c r="Y46" s="129"/>
      <c r="Z46" s="129"/>
      <c r="AA46" s="129"/>
      <c r="AB46" s="129"/>
      <c r="AC46" s="129"/>
      <c r="AD46" s="129"/>
    </row>
    <row r="47" spans="2:30">
      <c r="B47" s="80" t="s">
        <v>213</v>
      </c>
      <c r="C47" s="81" t="s">
        <v>214</v>
      </c>
      <c r="M47" s="128" t="s">
        <v>385</v>
      </c>
      <c r="N47" s="128" t="s">
        <v>386</v>
      </c>
      <c r="O47" s="252">
        <v>46.509872931970982</v>
      </c>
      <c r="P47" s="252">
        <v>31.724525987404704</v>
      </c>
      <c r="Q47" s="252">
        <v>4.001497930593267</v>
      </c>
      <c r="R47" s="252">
        <v>2.7294339262834142</v>
      </c>
      <c r="S47" s="252">
        <v>0.18931710058560608</v>
      </c>
      <c r="T47" s="252">
        <v>0.12913377093446404</v>
      </c>
      <c r="W47" s="129"/>
      <c r="X47" s="129"/>
      <c r="Y47" s="129"/>
      <c r="Z47" s="129"/>
      <c r="AA47" s="129"/>
      <c r="AB47" s="129"/>
      <c r="AC47" s="129"/>
      <c r="AD47" s="129"/>
    </row>
    <row r="48" spans="2:30">
      <c r="B48" s="80" t="s">
        <v>215</v>
      </c>
      <c r="C48" s="81" t="s">
        <v>216</v>
      </c>
      <c r="W48" s="129"/>
      <c r="X48" s="129"/>
      <c r="Y48" s="129"/>
      <c r="Z48" s="129"/>
      <c r="AA48" s="129"/>
      <c r="AB48" s="129"/>
      <c r="AC48" s="129"/>
      <c r="AD48" s="129"/>
    </row>
    <row r="49" spans="2:30">
      <c r="B49" s="80" t="s">
        <v>296</v>
      </c>
      <c r="C49" s="81" t="s">
        <v>297</v>
      </c>
      <c r="W49" s="129"/>
      <c r="X49" s="129"/>
      <c r="Y49" s="129"/>
      <c r="Z49" s="129"/>
      <c r="AA49" s="129"/>
      <c r="AB49" s="129"/>
      <c r="AC49" s="129"/>
      <c r="AD49" s="129"/>
    </row>
    <row r="50" spans="2:30">
      <c r="B50" s="80" t="s">
        <v>298</v>
      </c>
      <c r="C50" s="81" t="s">
        <v>299</v>
      </c>
      <c r="M50" s="128" t="s">
        <v>207</v>
      </c>
      <c r="N50" s="128" t="s">
        <v>387</v>
      </c>
      <c r="O50" s="261">
        <v>3.5260105546847997</v>
      </c>
      <c r="P50" s="261">
        <v>2.7115810613200484</v>
      </c>
      <c r="Q50" s="261">
        <v>0.30252753279839995</v>
      </c>
      <c r="R50" s="261">
        <v>0.23265044608958996</v>
      </c>
      <c r="T50" s="75">
        <f>R46/P46</f>
        <v>0.11494252873563217</v>
      </c>
    </row>
    <row r="51" spans="2:30" ht="15.5" thickBot="1">
      <c r="B51" s="82" t="s">
        <v>300</v>
      </c>
      <c r="C51" s="83" t="s">
        <v>301</v>
      </c>
      <c r="L51" s="314" t="str">
        <f>C41</f>
        <v>Gas Storage Bulk</v>
      </c>
      <c r="M51" s="128" t="s">
        <v>201</v>
      </c>
      <c r="N51" s="128" t="s">
        <v>388</v>
      </c>
      <c r="O51" s="261">
        <v>13.251668353417523</v>
      </c>
      <c r="P51" s="261">
        <v>10.190829658827647</v>
      </c>
      <c r="Q51" s="261">
        <v>0.60957674425720598</v>
      </c>
      <c r="R51" s="261">
        <v>0.46877816430607172</v>
      </c>
      <c r="T51" s="75">
        <f>R47/P47</f>
        <v>8.6035451794206672E-2</v>
      </c>
    </row>
    <row r="52" spans="2:30">
      <c r="B52" s="253" t="s">
        <v>574</v>
      </c>
      <c r="C52" s="253" t="s">
        <v>570</v>
      </c>
      <c r="L52" s="314" t="str">
        <f>C42</f>
        <v>Local Gas Storage Bulk</v>
      </c>
      <c r="M52" s="128" t="s">
        <v>203</v>
      </c>
      <c r="N52" s="128" t="s">
        <v>389</v>
      </c>
      <c r="O52" s="261">
        <v>23.674674320490706</v>
      </c>
      <c r="P52" s="261">
        <v>18.206354610898583</v>
      </c>
      <c r="Q52" s="261">
        <v>1.0890350187425724</v>
      </c>
      <c r="R52" s="261">
        <v>0.83749231210133479</v>
      </c>
      <c r="W52" s="129"/>
      <c r="X52" s="129"/>
      <c r="Y52" s="129"/>
      <c r="Z52" s="129"/>
      <c r="AA52" s="129"/>
      <c r="AB52" s="129"/>
    </row>
    <row r="53" spans="2:30">
      <c r="B53" s="253" t="s">
        <v>575</v>
      </c>
      <c r="C53" s="253" t="s">
        <v>576</v>
      </c>
      <c r="L53" s="75" t="str">
        <f>C39</f>
        <v>Liquid Storage Bulk</v>
      </c>
      <c r="M53" s="128" t="s">
        <v>197</v>
      </c>
      <c r="N53" s="128" t="s">
        <v>390</v>
      </c>
      <c r="O53" s="262">
        <v>3.0525377250234458</v>
      </c>
      <c r="P53" s="262">
        <v>2.3474698546041322</v>
      </c>
      <c r="Q53" s="262">
        <v>0.13736419762605509</v>
      </c>
      <c r="R53" s="262">
        <v>0.10563614345718594</v>
      </c>
      <c r="W53" s="129"/>
      <c r="X53" s="129"/>
      <c r="Y53" s="129"/>
      <c r="Z53" s="129"/>
      <c r="AA53" s="129"/>
      <c r="AB53" s="129"/>
    </row>
    <row r="54" spans="2:30">
      <c r="L54" s="268" t="s">
        <v>572</v>
      </c>
      <c r="M54" s="264" t="str">
        <f>B52</f>
        <v>LOCGSTORTR</v>
      </c>
      <c r="N54" s="265"/>
      <c r="O54" s="313">
        <f>AVERAGE(4,2,1)</f>
        <v>2.3333333333333335</v>
      </c>
      <c r="P54" s="313">
        <f>AVERAGE(4,2,1)</f>
        <v>2.3333333333333335</v>
      </c>
      <c r="Q54" s="313">
        <f>AVERAGE(0.197,0.098,0.066)</f>
        <v>0.12033333333333335</v>
      </c>
      <c r="R54" s="313">
        <f>AVERAGE(0.197,0.098,0.066)</f>
        <v>0.12033333333333335</v>
      </c>
      <c r="W54" s="129"/>
      <c r="X54" s="129"/>
      <c r="Y54" s="129"/>
      <c r="Z54" s="129"/>
      <c r="AA54" s="129"/>
      <c r="AB54" s="129"/>
    </row>
    <row r="55" spans="2:30">
      <c r="L55" s="74"/>
      <c r="O55" s="314"/>
      <c r="P55" s="314"/>
      <c r="Q55" s="314"/>
      <c r="R55" s="314"/>
      <c r="W55" s="129"/>
      <c r="X55" s="129"/>
      <c r="Y55" s="129"/>
      <c r="Z55" s="129"/>
      <c r="AA55" s="129"/>
      <c r="AB55" s="129"/>
    </row>
    <row r="56" spans="2:30">
      <c r="L56" s="74"/>
      <c r="O56" s="314"/>
      <c r="P56" s="314"/>
      <c r="Q56" s="314"/>
      <c r="R56" s="314"/>
    </row>
    <row r="57" spans="2:30">
      <c r="L57" s="268" t="s">
        <v>573</v>
      </c>
      <c r="M57" s="265" t="str">
        <f>B53</f>
        <v>LOCGSTORTK</v>
      </c>
      <c r="N57" s="265"/>
      <c r="O57" s="315">
        <v>10</v>
      </c>
      <c r="P57" s="315">
        <v>7</v>
      </c>
      <c r="Q57" s="315">
        <v>0.44</v>
      </c>
      <c r="R57" s="315">
        <v>0.34</v>
      </c>
    </row>
  </sheetData>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theme="4"/>
  </sheetPr>
  <dimension ref="A1:AT466"/>
  <sheetViews>
    <sheetView topLeftCell="F170" zoomScaleNormal="100" workbookViewId="0">
      <selection activeCell="I180" sqref="I180"/>
    </sheetView>
  </sheetViews>
  <sheetFormatPr defaultColWidth="11.40625" defaultRowHeight="13"/>
  <cols>
    <col min="1" max="1" width="1.40625" style="2" customWidth="1"/>
    <col min="2" max="2" width="17" style="968" bestFit="1" customWidth="1"/>
    <col min="3" max="3" width="55.36328125" style="2" customWidth="1"/>
    <col min="4" max="4" width="12.08984375" style="2" customWidth="1"/>
    <col min="5" max="5" width="11.7265625" style="2" bestFit="1" customWidth="1"/>
    <col min="6" max="7" width="11.40625" style="237" customWidth="1"/>
    <col min="8" max="9" width="12" style="2" customWidth="1"/>
    <col min="10" max="10" width="10.40625" style="2" customWidth="1"/>
    <col min="11" max="11" width="14.54296875" style="2" bestFit="1" customWidth="1"/>
    <col min="12" max="15" width="14.54296875" style="624" customWidth="1"/>
    <col min="16" max="17" width="9.40625" style="2" customWidth="1"/>
    <col min="18" max="18" width="9.40625" customWidth="1"/>
    <col min="19" max="19" width="9.40625" style="2" customWidth="1"/>
    <col min="20" max="20" width="8.54296875" style="2" customWidth="1"/>
    <col min="21" max="21" width="8.40625" style="2" customWidth="1"/>
    <col min="22" max="22" width="9.54296875" customWidth="1"/>
    <col min="23" max="23" width="9.54296875" style="2" customWidth="1"/>
    <col min="24" max="24" width="9" style="2" customWidth="1"/>
    <col min="25" max="25" width="9" customWidth="1"/>
    <col min="26" max="27" width="9" style="2" customWidth="1"/>
    <col min="29" max="30" width="11.40625" style="2"/>
    <col min="32" max="34" width="11.40625" style="130"/>
    <col min="35" max="36" width="11.40625" style="2"/>
    <col min="37" max="37" width="11.40625" style="624"/>
    <col min="38" max="40" width="11.40625" style="2"/>
    <col min="41" max="42" width="11.40625" style="624"/>
    <col min="43" max="43" width="19.86328125" style="2" bestFit="1" customWidth="1"/>
    <col min="44" max="16384" width="11.40625" style="2"/>
  </cols>
  <sheetData>
    <row r="1" spans="1:46" ht="23">
      <c r="A1" s="4" t="s">
        <v>131</v>
      </c>
      <c r="D1" s="335">
        <v>2000</v>
      </c>
      <c r="F1" s="237">
        <v>1</v>
      </c>
      <c r="AA1" s="2" t="s">
        <v>1219</v>
      </c>
    </row>
    <row r="2" spans="1:46" ht="15.5">
      <c r="A2" s="5"/>
      <c r="AQ2" s="2" t="s">
        <v>972</v>
      </c>
      <c r="AR2" s="2" t="s">
        <v>973</v>
      </c>
    </row>
    <row r="3" spans="1:46">
      <c r="E3" s="7" t="s">
        <v>556</v>
      </c>
      <c r="G3" s="238"/>
      <c r="H3" s="6"/>
      <c r="I3" s="6"/>
      <c r="J3" s="6"/>
      <c r="K3" s="6"/>
      <c r="L3" s="625"/>
      <c r="M3" s="625"/>
      <c r="N3" s="625"/>
      <c r="O3" s="625"/>
      <c r="P3" s="6"/>
      <c r="R3" s="2"/>
      <c r="T3"/>
      <c r="V3" s="2"/>
      <c r="X3"/>
      <c r="Y3" s="2"/>
      <c r="AA3"/>
      <c r="AB3" s="2"/>
      <c r="AD3"/>
    </row>
    <row r="4" spans="1:46" ht="39">
      <c r="B4" s="969" t="s">
        <v>0</v>
      </c>
      <c r="C4" s="31" t="s">
        <v>103</v>
      </c>
      <c r="D4" s="1" t="s">
        <v>2</v>
      </c>
      <c r="E4" s="1" t="s">
        <v>3</v>
      </c>
      <c r="F4" s="40" t="s">
        <v>28</v>
      </c>
      <c r="G4" s="40" t="s">
        <v>91</v>
      </c>
      <c r="H4" s="40" t="s">
        <v>92</v>
      </c>
      <c r="I4" s="40" t="s">
        <v>93</v>
      </c>
      <c r="J4" s="40" t="s">
        <v>455</v>
      </c>
      <c r="K4" s="40" t="s">
        <v>36</v>
      </c>
      <c r="L4" s="40" t="s">
        <v>1070</v>
      </c>
      <c r="M4" s="40" t="s">
        <v>1071</v>
      </c>
      <c r="N4" s="40" t="s">
        <v>1072</v>
      </c>
      <c r="O4" s="40" t="s">
        <v>1076</v>
      </c>
      <c r="P4" s="40" t="s">
        <v>38</v>
      </c>
      <c r="Q4" s="40" t="s">
        <v>22</v>
      </c>
      <c r="R4" s="40" t="s">
        <v>44</v>
      </c>
      <c r="S4" s="40" t="s">
        <v>95</v>
      </c>
      <c r="T4" s="40" t="s">
        <v>94</v>
      </c>
      <c r="U4" s="40" t="s">
        <v>236</v>
      </c>
      <c r="V4" s="40" t="s">
        <v>4</v>
      </c>
      <c r="W4" s="40" t="s">
        <v>96</v>
      </c>
      <c r="X4" s="40" t="s">
        <v>97</v>
      </c>
      <c r="Y4" s="40" t="s">
        <v>98</v>
      </c>
      <c r="Z4" s="40" t="s">
        <v>237</v>
      </c>
      <c r="AA4" s="40" t="s">
        <v>21</v>
      </c>
      <c r="AB4" s="40" t="s">
        <v>99</v>
      </c>
      <c r="AC4" s="40" t="s">
        <v>100</v>
      </c>
      <c r="AD4" s="40" t="s">
        <v>101</v>
      </c>
      <c r="AE4" s="207" t="s">
        <v>32</v>
      </c>
      <c r="AF4" s="40" t="s">
        <v>477</v>
      </c>
      <c r="AG4" s="40" t="s">
        <v>478</v>
      </c>
      <c r="AH4" s="40" t="s">
        <v>479</v>
      </c>
      <c r="AI4" s="40" t="s">
        <v>102</v>
      </c>
      <c r="AJ4" s="40" t="s">
        <v>31</v>
      </c>
      <c r="AK4" s="40" t="s">
        <v>1067</v>
      </c>
      <c r="AL4" s="40" t="s">
        <v>1068</v>
      </c>
      <c r="AM4" s="40" t="s">
        <v>968</v>
      </c>
      <c r="AN4" s="40" t="s">
        <v>1069</v>
      </c>
      <c r="AO4" s="40" t="s">
        <v>1143</v>
      </c>
    </row>
    <row r="5" spans="1:46" ht="8.25" customHeight="1">
      <c r="B5" s="970" t="s">
        <v>25</v>
      </c>
      <c r="C5" s="217" t="s">
        <v>15</v>
      </c>
      <c r="D5" s="217" t="s">
        <v>19</v>
      </c>
      <c r="E5" s="217" t="s">
        <v>20</v>
      </c>
      <c r="F5" s="218"/>
      <c r="G5" s="218"/>
      <c r="H5" s="218"/>
      <c r="I5" s="218"/>
      <c r="J5" s="218"/>
      <c r="K5" s="218"/>
      <c r="L5" s="218"/>
      <c r="M5" s="218"/>
      <c r="N5" s="218"/>
      <c r="O5" s="218"/>
      <c r="P5" s="218"/>
      <c r="Q5" s="218" t="s">
        <v>33</v>
      </c>
      <c r="R5" s="218" t="s">
        <v>33</v>
      </c>
      <c r="S5" s="218" t="s">
        <v>33</v>
      </c>
      <c r="T5" s="218" t="s">
        <v>33</v>
      </c>
      <c r="U5" s="218" t="s">
        <v>33</v>
      </c>
      <c r="V5" s="218" t="s">
        <v>33</v>
      </c>
      <c r="W5" s="218" t="s">
        <v>33</v>
      </c>
      <c r="X5" s="218" t="s">
        <v>33</v>
      </c>
      <c r="Y5" s="218" t="s">
        <v>33</v>
      </c>
      <c r="Z5" s="218"/>
      <c r="AA5" s="218" t="s">
        <v>35</v>
      </c>
      <c r="AB5" s="218" t="s">
        <v>35</v>
      </c>
      <c r="AC5" s="218" t="s">
        <v>35</v>
      </c>
      <c r="AD5" s="218" t="s">
        <v>35</v>
      </c>
      <c r="AE5" s="218" t="s">
        <v>34</v>
      </c>
      <c r="AF5" s="218"/>
      <c r="AG5" s="218"/>
      <c r="AH5" s="218"/>
      <c r="AI5" s="218"/>
      <c r="AJ5" s="218"/>
      <c r="AK5" s="218"/>
      <c r="AQ5" s="947" t="s">
        <v>969</v>
      </c>
      <c r="AS5" s="2">
        <f>75/1000</f>
        <v>7.4999999999999997E-2</v>
      </c>
      <c r="AT5" s="2">
        <f>1/1000</f>
        <v>1E-3</v>
      </c>
    </row>
    <row r="6" spans="1:46" s="14" customFormat="1" ht="15.25">
      <c r="A6" s="130" t="s">
        <v>605</v>
      </c>
      <c r="B6" s="971" t="str">
        <f>C346</f>
        <v>SCOAH2GC01</v>
      </c>
      <c r="C6" s="219" t="str">
        <f>D346</f>
        <v>H2 Production-Coal Gasification, large size, centralized</v>
      </c>
      <c r="D6" s="220" t="s">
        <v>600</v>
      </c>
      <c r="E6" s="221"/>
      <c r="F6" s="222">
        <f>IF('INPUT-Data(HP)'!K3=0,"",'INPUT-Data(HP)'!K3)</f>
        <v>1.77</v>
      </c>
      <c r="G6" s="222">
        <f>F6</f>
        <v>1.77</v>
      </c>
      <c r="H6" s="222">
        <f>IF('INPUT-Data(HP)'!M3=0,"",'INPUT-Data(HP)'!M3)</f>
        <v>1.77</v>
      </c>
      <c r="I6" s="222">
        <f>IF('INPUT-Data(HP)'!N3=0,"",'INPUT-Data(HP)'!N3)</f>
        <v>1.62</v>
      </c>
      <c r="J6" s="222"/>
      <c r="K6" s="222"/>
      <c r="L6" s="665"/>
      <c r="M6" s="665"/>
      <c r="N6" s="665"/>
      <c r="O6" s="665"/>
      <c r="P6" s="223">
        <f>'INPUT-Data(HP)'!V3</f>
        <v>0.9</v>
      </c>
      <c r="Q6" s="224">
        <f>F1*IF('INPUT-Data(HP)'!W3=0,"",'INPUT-Data(HP)'!W3)</f>
        <v>355.56271431122718</v>
      </c>
      <c r="R6" s="224">
        <f t="shared" ref="R6" si="0">Q6</f>
        <v>355.56271431122718</v>
      </c>
      <c r="S6" s="224">
        <f>F1*IF('INPUT-Data(HP)'!Y3=0,"",'INPUT-Data(HP)'!Y3)</f>
        <v>355.56271431122718</v>
      </c>
      <c r="T6" s="224">
        <f>F1*IF('INPUT-Data(HP)'!Z3=0,"",'INPUT-Data(HP)'!Z3)</f>
        <v>269.82418745603763</v>
      </c>
      <c r="U6" s="224"/>
      <c r="V6" s="224">
        <f>F1*IF('INPUT-Data(HP)'!AB3=0,"",'INPUT-Data(HP)'!AB3)</f>
        <v>21.140430886353105</v>
      </c>
      <c r="W6" s="224">
        <f t="shared" ref="W6" si="1">V6</f>
        <v>21.140430886353105</v>
      </c>
      <c r="X6" s="224">
        <f>F1*IF('INPUT-Data(HP)'!AD3=0,"",'INPUT-Data(HP)'!AD3)</f>
        <v>21.140430886353105</v>
      </c>
      <c r="Y6" s="224">
        <f>F1*IF('INPUT-Data(HP)'!AE3=0,"",'INPUT-Data(HP)'!AE3)</f>
        <v>17.231762750307695</v>
      </c>
      <c r="Z6" s="224"/>
      <c r="AA6" s="225">
        <f>F1*IF('INPUT-Data(HP)'!AG3=0,"",'INPUT-Data(HP)'!AG3)</f>
        <v>0.12527577453324143</v>
      </c>
      <c r="AB6" s="225"/>
      <c r="AC6" s="225">
        <f>F1*IF('INPUT-Data(HP)'!AI3=0,"",'INPUT-Data(HP)'!AI3)</f>
        <v>0.12527577453324143</v>
      </c>
      <c r="AD6" s="225">
        <f>F1*IF('INPUT-Data(HP)'!AJ3=0,"",'INPUT-Data(HP)'!AJ3)</f>
        <v>9.5067431737991717E-2</v>
      </c>
      <c r="AE6" s="226">
        <f>IF('INPUT-Data(HP)'!AK3=0,"",'INPUT-Data(HP)'!AK3)</f>
        <v>20</v>
      </c>
      <c r="AF6" s="226"/>
      <c r="AG6" s="226"/>
      <c r="AH6" s="226"/>
      <c r="AI6" s="226">
        <f>IF('INPUT-Data(HP)'!AL3=0,"",'INPUT-Data(HP)'!AL3)</f>
        <v>2015</v>
      </c>
      <c r="AJ6" s="225">
        <v>31.536000000000001</v>
      </c>
      <c r="AK6" s="668"/>
      <c r="AO6" s="628"/>
      <c r="AP6" s="628"/>
      <c r="AQ6" s="947" t="s">
        <v>970</v>
      </c>
      <c r="AS6" s="14">
        <f>AS5/AT5</f>
        <v>75</v>
      </c>
      <c r="AT6" s="14">
        <v>1</v>
      </c>
    </row>
    <row r="7" spans="1:46" s="14" customFormat="1" ht="15.25">
      <c r="A7" s="130" t="s">
        <v>605</v>
      </c>
      <c r="B7" s="972"/>
      <c r="C7" s="220"/>
      <c r="D7" s="221" t="s">
        <v>279</v>
      </c>
      <c r="E7" s="221"/>
      <c r="F7" s="222">
        <f>IF('INPUT-Data(HP)'!P3=0,"",'INPUT-Data(HP)'!P3)</f>
        <v>7.0000000000000007E-2</v>
      </c>
      <c r="G7" s="222">
        <f>F7</f>
        <v>7.0000000000000007E-2</v>
      </c>
      <c r="H7" s="222">
        <f>IF('INPUT-Data(HP)'!R3=0,"",'INPUT-Data(HP)'!R3)</f>
        <v>7.0000000000000007E-2</v>
      </c>
      <c r="I7" s="225">
        <f>IF('INPUT-Data(HP)'!S3=0,"",'INPUT-Data(HP)'!S3)</f>
        <v>2.3E-2</v>
      </c>
      <c r="J7" s="225"/>
      <c r="K7" s="222"/>
      <c r="L7" s="665"/>
      <c r="M7" s="665"/>
      <c r="N7" s="665"/>
      <c r="O7" s="665"/>
      <c r="P7" s="220"/>
      <c r="Q7" s="227"/>
      <c r="R7" s="227"/>
      <c r="S7" s="227"/>
      <c r="T7" s="228"/>
      <c r="U7" s="228"/>
      <c r="V7" s="227"/>
      <c r="W7" s="227"/>
      <c r="X7" s="227"/>
      <c r="Y7" s="228"/>
      <c r="Z7" s="228"/>
      <c r="AA7" s="220"/>
      <c r="AB7" s="220"/>
      <c r="AC7" s="229"/>
      <c r="AD7" s="220"/>
      <c r="AE7" s="220"/>
      <c r="AF7" s="220"/>
      <c r="AG7" s="220"/>
      <c r="AH7" s="220"/>
      <c r="AI7" s="229"/>
      <c r="AJ7" s="220"/>
      <c r="AK7" s="663"/>
      <c r="AO7" s="628"/>
      <c r="AP7" s="628"/>
      <c r="AQ7" s="947" t="s">
        <v>971</v>
      </c>
    </row>
    <row r="8" spans="1:46" s="14" customFormat="1">
      <c r="A8" s="130" t="s">
        <v>605</v>
      </c>
      <c r="B8" s="972"/>
      <c r="C8" s="220"/>
      <c r="D8" s="220"/>
      <c r="E8" s="230" t="s">
        <v>663</v>
      </c>
      <c r="F8" s="222"/>
      <c r="G8" s="222"/>
      <c r="H8" s="222"/>
      <c r="I8" s="222"/>
      <c r="J8" s="222"/>
      <c r="K8" s="222">
        <f>'INPUT-Data(HP)'!T3</f>
        <v>1</v>
      </c>
      <c r="L8" s="665"/>
      <c r="M8" s="665"/>
      <c r="N8" s="665"/>
      <c r="O8" s="665"/>
      <c r="P8" s="220"/>
      <c r="Q8" s="227"/>
      <c r="R8" s="227"/>
      <c r="S8" s="227"/>
      <c r="T8" s="228"/>
      <c r="U8" s="228"/>
      <c r="V8" s="227"/>
      <c r="W8" s="227"/>
      <c r="X8" s="227"/>
      <c r="Y8" s="228"/>
      <c r="Z8" s="228"/>
      <c r="AA8" s="220"/>
      <c r="AB8" s="220"/>
      <c r="AC8" s="229"/>
      <c r="AD8" s="220"/>
      <c r="AE8" s="220"/>
      <c r="AF8" s="220"/>
      <c r="AG8" s="220"/>
      <c r="AH8" s="220"/>
      <c r="AI8" s="229"/>
      <c r="AJ8" s="220"/>
      <c r="AK8" s="663"/>
      <c r="AO8" s="628"/>
      <c r="AP8" s="628"/>
    </row>
    <row r="9" spans="1:46" s="14" customFormat="1">
      <c r="A9" s="130" t="s">
        <v>605</v>
      </c>
      <c r="B9" s="973" t="str">
        <f>C347</f>
        <v>SCOAH2GC02</v>
      </c>
      <c r="C9" s="35" t="str">
        <f>D347</f>
        <v>H2 Production-Coal Gasification, medium size, centralized</v>
      </c>
      <c r="D9" s="220" t="s">
        <v>600</v>
      </c>
      <c r="F9" s="15">
        <f>IF('INPUT-Data(HP)'!K4=0,"",'INPUT-Data(HP)'!K4)</f>
        <v>1.75</v>
      </c>
      <c r="G9" s="15">
        <f>F9</f>
        <v>1.75</v>
      </c>
      <c r="H9" s="15" t="str">
        <f>IF('INPUT-Data(HP)'!M4=0,"",'INPUT-Data(HP)'!M4)</f>
        <v/>
      </c>
      <c r="I9" s="15" t="str">
        <f>IF('INPUT-Data(HP)'!N4=0,"",'INPUT-Data(HP)'!N4)</f>
        <v/>
      </c>
      <c r="J9" s="15"/>
      <c r="K9" s="15"/>
      <c r="L9" s="629"/>
      <c r="M9" s="629"/>
      <c r="N9" s="629"/>
      <c r="O9" s="629"/>
      <c r="P9" s="21">
        <f>'INPUT-Data(HP)'!V4</f>
        <v>0.8</v>
      </c>
      <c r="Q9" s="43">
        <f>F1*IF('INPUT-Data(HP)'!W4=0,"",'INPUT-Data(HP)'!W4)</f>
        <v>440.83425572602891</v>
      </c>
      <c r="R9" s="43">
        <f>F1*IF('INPUT-Data(HP)'!X4=0,"",'INPUT-Data(HP)'!X4)</f>
        <v>440.83425572602891</v>
      </c>
      <c r="S9" s="43" t="str">
        <f>IF('INPUT-Data(HP)'!Y4=0,"",'INPUT-Data(HP)'!Y4)</f>
        <v/>
      </c>
      <c r="T9" s="43"/>
      <c r="U9" s="43"/>
      <c r="V9" s="43">
        <f>F1*IF('INPUT-Data(HP)'!AB4=0,"",'INPUT-Data(HP)'!AB4)</f>
        <v>11.020856393150723</v>
      </c>
      <c r="W9" s="43">
        <f t="shared" ref="W9" si="2">V9</f>
        <v>11.020856393150723</v>
      </c>
      <c r="X9" s="43" t="str">
        <f>IF('INPUT-Data(HP)'!AD4=0,"",'INPUT-Data(HP)'!AD4)</f>
        <v/>
      </c>
      <c r="Y9" s="43"/>
      <c r="Z9" s="43"/>
      <c r="AA9" s="23">
        <f>F1*IF('INPUT-Data(HP)'!AG4=0,"",'INPUT-Data(HP)'!AG4)</f>
        <v>0.17029212850263314</v>
      </c>
      <c r="AB9" s="23"/>
      <c r="AC9" s="23"/>
      <c r="AD9" s="23"/>
      <c r="AE9" s="20">
        <f>IF('INPUT-Data(HP)'!AK4=0,"",'INPUT-Data(HP)'!AK4)</f>
        <v>20</v>
      </c>
      <c r="AF9" s="20"/>
      <c r="AG9" s="20"/>
      <c r="AH9" s="20"/>
      <c r="AI9" s="20">
        <f>IF('INPUT-Data(HP)'!AL4=0,"",'INPUT-Data(HP)'!AL4)</f>
        <v>2015</v>
      </c>
      <c r="AJ9" s="23">
        <v>31.536000000000001</v>
      </c>
      <c r="AK9" s="634"/>
      <c r="AO9" s="628"/>
      <c r="AP9" s="628"/>
    </row>
    <row r="10" spans="1:46" s="14" customFormat="1">
      <c r="A10" s="130" t="s">
        <v>605</v>
      </c>
      <c r="B10" s="973"/>
      <c r="C10" s="35"/>
      <c r="E10" s="34" t="s">
        <v>663</v>
      </c>
      <c r="F10" s="15"/>
      <c r="G10" s="23"/>
      <c r="H10" s="23"/>
      <c r="I10" s="23"/>
      <c r="J10" s="23"/>
      <c r="K10" s="15">
        <f>'INPUT-Data(HP)'!T4</f>
        <v>1</v>
      </c>
      <c r="L10" s="629"/>
      <c r="M10" s="629"/>
      <c r="N10" s="629"/>
      <c r="O10" s="629"/>
      <c r="P10" s="21"/>
      <c r="Q10" s="43"/>
      <c r="R10" s="43"/>
      <c r="S10" s="43"/>
      <c r="T10" s="43"/>
      <c r="U10" s="43"/>
      <c r="V10" s="43"/>
      <c r="W10" s="43"/>
      <c r="X10" s="43"/>
      <c r="Y10" s="43"/>
      <c r="Z10" s="43"/>
      <c r="AA10" s="23"/>
      <c r="AB10" s="23"/>
      <c r="AC10" s="23"/>
      <c r="AD10" s="23"/>
      <c r="AE10" s="20"/>
      <c r="AF10" s="20"/>
      <c r="AG10" s="20"/>
      <c r="AH10" s="20"/>
      <c r="AI10" s="20"/>
      <c r="AJ10" s="23"/>
      <c r="AK10" s="634"/>
      <c r="AO10" s="628"/>
      <c r="AP10" s="628"/>
    </row>
    <row r="11" spans="1:46" s="14" customFormat="1">
      <c r="A11" s="130" t="s">
        <v>605</v>
      </c>
      <c r="B11" s="973"/>
      <c r="C11" s="35"/>
      <c r="E11" s="19" t="s">
        <v>339</v>
      </c>
      <c r="F11" s="23"/>
      <c r="G11" s="23"/>
      <c r="H11" s="23"/>
      <c r="I11" s="23"/>
      <c r="J11" s="23"/>
      <c r="K11" s="23">
        <f>'INPUT-Data(HP)'!U4</f>
        <v>0.08</v>
      </c>
      <c r="L11" s="634"/>
      <c r="M11" s="634"/>
      <c r="N11" s="634"/>
      <c r="O11" s="634"/>
      <c r="P11" s="21"/>
      <c r="Q11" s="43"/>
      <c r="R11" s="43"/>
      <c r="S11" s="43"/>
      <c r="T11" s="43"/>
      <c r="U11" s="43"/>
      <c r="V11" s="43"/>
      <c r="W11" s="43"/>
      <c r="X11" s="43"/>
      <c r="Y11" s="43"/>
      <c r="Z11" s="43"/>
      <c r="AA11" s="23"/>
      <c r="AB11" s="23"/>
      <c r="AC11" s="23"/>
      <c r="AD11" s="23"/>
      <c r="AE11" s="20"/>
      <c r="AF11" s="20"/>
      <c r="AG11" s="20"/>
      <c r="AH11" s="20"/>
      <c r="AI11" s="20"/>
      <c r="AJ11" s="23"/>
      <c r="AK11" s="634"/>
      <c r="AO11" s="628"/>
      <c r="AP11" s="628"/>
    </row>
    <row r="12" spans="1:46" s="14" customFormat="1">
      <c r="A12" s="130" t="s">
        <v>605</v>
      </c>
      <c r="B12" s="971" t="str">
        <f>C348</f>
        <v>SCOAH2GCCS01</v>
      </c>
      <c r="C12" s="219" t="str">
        <f>D348</f>
        <v>H2 Production-Coal Gasification + Carbon Capture, big size, centralized</v>
      </c>
      <c r="D12" s="220" t="s">
        <v>600</v>
      </c>
      <c r="E12" s="221"/>
      <c r="F12" s="222">
        <f>IF('INPUT-Data(HP)'!K5=0,"",'INPUT-Data(HP)'!K5)</f>
        <v>1.77</v>
      </c>
      <c r="G12" s="222">
        <f t="shared" ref="G12" si="3">F12</f>
        <v>1.77</v>
      </c>
      <c r="H12" s="222">
        <f>IF('INPUT-Data(HP)'!M5=0,"",'INPUT-Data(HP)'!M5)</f>
        <v>1.77</v>
      </c>
      <c r="I12" s="222">
        <f>IF('INPUT-Data(HP)'!N5=0,"",'INPUT-Data(HP)'!N5)</f>
        <v>1.62</v>
      </c>
      <c r="J12" s="222"/>
      <c r="K12" s="222"/>
      <c r="L12" s="665"/>
      <c r="M12" s="665"/>
      <c r="N12" s="665"/>
      <c r="O12" s="665"/>
      <c r="P12" s="223">
        <f>'INPUT-Data(HP)'!V5</f>
        <v>0.9</v>
      </c>
      <c r="Q12" s="224">
        <f>F1*IF('INPUT-Data(HP)'!W5=0,"",'INPUT-Data(HP)'!W5)</f>
        <v>438.98966323649728</v>
      </c>
      <c r="R12" s="224">
        <f>F1*IF('INPUT-Data(HP)'!X5=0,"",'INPUT-Data(HP)'!X5)</f>
        <v>400.11312532421778</v>
      </c>
      <c r="S12" s="224">
        <f>F1*IF('INPUT-Data(HP)'!Y5=0,"",'INPUT-Data(HP)'!Y5)</f>
        <v>400.11312532421778</v>
      </c>
      <c r="T12" s="224">
        <f>F1*IF('INPUT-Data(HP)'!Z5=0,"",'INPUT-Data(HP)'!Z5)</f>
        <v>279.49078607206388</v>
      </c>
      <c r="U12" s="224"/>
      <c r="V12" s="224">
        <f>F1*IF('INPUT-Data(HP)'!AB5=0,"",'INPUT-Data(HP)'!AB5)</f>
        <v>31.521517226172623</v>
      </c>
      <c r="W12" s="224">
        <f t="shared" ref="W12" si="4">V12</f>
        <v>31.521517226172623</v>
      </c>
      <c r="X12" s="224">
        <f>F1*IF('INPUT-Data(HP)'!AD5=0,"",'INPUT-Data(HP)'!AD5)</f>
        <v>31.521517226172623</v>
      </c>
      <c r="Y12" s="224">
        <f>F1*IF('INPUT-Data(HP)'!AE5=0,"",'INPUT-Data(HP)'!AE5)</f>
        <v>17.441906198482179</v>
      </c>
      <c r="Z12" s="224"/>
      <c r="AA12" s="225">
        <f>F1*IF('INPUT-Data(HP)'!AG5=0,"",'INPUT-Data(HP)'!AG5)</f>
        <v>0.15466967671391332</v>
      </c>
      <c r="AB12" s="225"/>
      <c r="AC12" s="225">
        <f>F1*IF('INPUT-Data(HP)'!AI5=0,"",'INPUT-Data(HP)'!AI5)</f>
        <v>0.15466967671391332</v>
      </c>
      <c r="AD12" s="225">
        <f>F1*IF('INPUT-Data(HP)'!AJ5=0,"",'INPUT-Data(HP)'!AJ5)</f>
        <v>9.8473274308044381E-2</v>
      </c>
      <c r="AE12" s="226">
        <f>IF('INPUT-Data(HP)'!AK5=0,"",'INPUT-Data(HP)'!AK5)</f>
        <v>20</v>
      </c>
      <c r="AF12" s="226"/>
      <c r="AG12" s="226"/>
      <c r="AH12" s="226"/>
      <c r="AI12" s="226">
        <f>IF('INPUT-Data(HP)'!AL5=0,"",'INPUT-Data(HP)'!AL5)</f>
        <v>2015</v>
      </c>
      <c r="AJ12" s="225">
        <v>31.536000000000001</v>
      </c>
      <c r="AK12" s="668"/>
      <c r="AO12" s="628"/>
      <c r="AP12" s="628"/>
    </row>
    <row r="13" spans="1:46" s="14" customFormat="1">
      <c r="A13" s="130" t="s">
        <v>605</v>
      </c>
      <c r="B13" s="971"/>
      <c r="C13" s="219"/>
      <c r="D13" s="221" t="s">
        <v>279</v>
      </c>
      <c r="E13" s="221"/>
      <c r="F13" s="222">
        <f>IF('INPUT-Data(HP)'!P5=0,"",'INPUT-Data(HP)'!P5)</f>
        <v>0.111</v>
      </c>
      <c r="G13" s="222">
        <f>F13</f>
        <v>0.111</v>
      </c>
      <c r="H13" s="222">
        <f>IF('INPUT-Data(HP)'!R5=0,"",'INPUT-Data(HP)'!R5)</f>
        <v>0.111</v>
      </c>
      <c r="I13" s="222">
        <f>IF('INPUT-Data(HP)'!S5=0,"",'INPUT-Data(HP)'!S5)</f>
        <v>2.3E-2</v>
      </c>
      <c r="J13" s="222"/>
      <c r="K13" s="222"/>
      <c r="L13" s="665"/>
      <c r="M13" s="665"/>
      <c r="N13" s="665"/>
      <c r="O13" s="665"/>
      <c r="P13" s="223"/>
      <c r="Q13" s="224"/>
      <c r="R13" s="224"/>
      <c r="S13" s="224"/>
      <c r="T13" s="224"/>
      <c r="U13" s="224"/>
      <c r="V13" s="224"/>
      <c r="W13" s="224"/>
      <c r="X13" s="224"/>
      <c r="Y13" s="224"/>
      <c r="Z13" s="224"/>
      <c r="AA13" s="225"/>
      <c r="AB13" s="225"/>
      <c r="AC13" s="225"/>
      <c r="AD13" s="225"/>
      <c r="AE13" s="226"/>
      <c r="AF13" s="226"/>
      <c r="AG13" s="226"/>
      <c r="AH13" s="226"/>
      <c r="AI13" s="226"/>
      <c r="AJ13" s="220"/>
      <c r="AK13" s="663"/>
      <c r="AO13" s="628"/>
      <c r="AP13" s="628"/>
    </row>
    <row r="14" spans="1:46" s="14" customFormat="1">
      <c r="A14" s="130" t="s">
        <v>605</v>
      </c>
      <c r="B14" s="971"/>
      <c r="C14" s="219"/>
      <c r="D14" s="220"/>
      <c r="E14" s="230" t="s">
        <v>663</v>
      </c>
      <c r="F14" s="222"/>
      <c r="G14" s="222"/>
      <c r="H14" s="222"/>
      <c r="I14" s="222"/>
      <c r="J14" s="222"/>
      <c r="K14" s="222">
        <f>'INPUT-Data(HP)'!T5</f>
        <v>1</v>
      </c>
      <c r="L14" s="665"/>
      <c r="M14" s="665"/>
      <c r="N14" s="665"/>
      <c r="O14" s="665"/>
      <c r="P14" s="223"/>
      <c r="Q14" s="224"/>
      <c r="R14" s="224"/>
      <c r="S14" s="224"/>
      <c r="T14" s="224"/>
      <c r="U14" s="224"/>
      <c r="V14" s="224"/>
      <c r="W14" s="224"/>
      <c r="X14" s="224"/>
      <c r="Y14" s="224"/>
      <c r="Z14" s="224"/>
      <c r="AA14" s="225"/>
      <c r="AB14" s="225"/>
      <c r="AC14" s="225"/>
      <c r="AD14" s="225"/>
      <c r="AE14" s="226"/>
      <c r="AF14" s="226"/>
      <c r="AG14" s="226"/>
      <c r="AH14" s="226"/>
      <c r="AI14" s="226"/>
      <c r="AJ14" s="220"/>
      <c r="AK14" s="663"/>
      <c r="AO14" s="628"/>
      <c r="AP14" s="628"/>
    </row>
    <row r="15" spans="1:46" s="14" customFormat="1">
      <c r="A15" s="130" t="s">
        <v>605</v>
      </c>
      <c r="B15" s="973" t="str">
        <f>C349</f>
        <v>SCOAH2GCCS02</v>
      </c>
      <c r="C15" s="35" t="str">
        <f>D349</f>
        <v>H2 Production-Coal Gasification + Carbon Capture, medium size, centralized</v>
      </c>
      <c r="D15" s="220" t="s">
        <v>600</v>
      </c>
      <c r="E15" s="19"/>
      <c r="F15" s="15">
        <f>IF('INPUT-Data(HP)'!K6=0,"",'INPUT-Data(HP)'!K6)</f>
        <v>1.72</v>
      </c>
      <c r="G15" s="15">
        <f>F15</f>
        <v>1.72</v>
      </c>
      <c r="H15" s="15" t="str">
        <f>IF('INPUT-Data(HP)'!M6=0,"",'INPUT-Data(HP)'!M6)</f>
        <v/>
      </c>
      <c r="I15" s="15" t="str">
        <f>IF('INPUT-Data(HP)'!N6=0,"",'INPUT-Data(HP)'!N6)</f>
        <v/>
      </c>
      <c r="J15" s="15"/>
      <c r="K15" s="15"/>
      <c r="L15" s="629"/>
      <c r="M15" s="629"/>
      <c r="N15" s="629"/>
      <c r="O15" s="629"/>
      <c r="P15" s="21">
        <f>'INPUT-Data(HP)'!V6</f>
        <v>0.8</v>
      </c>
      <c r="Q15" s="43">
        <f>F1*IF('INPUT-Data(HP)'!W6=0,"",'INPUT-Data(HP)'!W6)</f>
        <v>508.08015914186387</v>
      </c>
      <c r="R15" s="43">
        <f>F1*IF('INPUT-Data(HP)'!X6=0,"",'INPUT-Data(HP)'!X6)</f>
        <v>508.08015914186387</v>
      </c>
      <c r="S15" s="43"/>
      <c r="T15" s="43"/>
      <c r="U15" s="43"/>
      <c r="V15" s="43">
        <f>F1*IF('INPUT-Data(HP)'!AB6=0,"",'INPUT-Data(HP)'!AB6)</f>
        <v>21.107741905525959</v>
      </c>
      <c r="W15" s="43">
        <f t="shared" ref="W15" si="5">V15</f>
        <v>21.107741905525959</v>
      </c>
      <c r="X15" s="43" t="str">
        <f>IF('INPUT-Data(HP)'!AD6=0,"",'INPUT-Data(HP)'!AD6)</f>
        <v/>
      </c>
      <c r="Y15" s="43"/>
      <c r="Z15" s="43"/>
      <c r="AA15" s="23">
        <f>F1*IF('INPUT-Data(HP)'!AG6=0,"",'INPUT-Data(HP)'!AG6)</f>
        <v>0.20138895196833137</v>
      </c>
      <c r="AB15" s="23"/>
      <c r="AC15" s="23"/>
      <c r="AD15" s="23"/>
      <c r="AE15" s="20">
        <f>IF('INPUT-Data(HP)'!AK6=0,"",'INPUT-Data(HP)'!AK6)</f>
        <v>20</v>
      </c>
      <c r="AF15" s="20"/>
      <c r="AG15" s="20"/>
      <c r="AH15" s="20"/>
      <c r="AI15" s="20">
        <f>IF('INPUT-Data(HP)'!AL6=0,"",'INPUT-Data(HP)'!AL6)</f>
        <v>2015</v>
      </c>
      <c r="AJ15" s="23">
        <v>31.536000000000001</v>
      </c>
      <c r="AK15" s="634"/>
      <c r="AO15" s="628"/>
      <c r="AP15" s="628"/>
    </row>
    <row r="16" spans="1:46" s="14" customFormat="1">
      <c r="A16" s="130" t="s">
        <v>605</v>
      </c>
      <c r="B16" s="973"/>
      <c r="C16" s="35"/>
      <c r="E16" s="19" t="s">
        <v>663</v>
      </c>
      <c r="F16" s="15"/>
      <c r="G16" s="15"/>
      <c r="K16" s="15">
        <f>'INPUT-Data(HP)'!T6</f>
        <v>1</v>
      </c>
      <c r="L16" s="629"/>
      <c r="M16" s="629"/>
      <c r="N16" s="629"/>
      <c r="O16" s="629"/>
      <c r="P16" s="21"/>
      <c r="Q16" s="43"/>
      <c r="R16" s="43"/>
      <c r="S16" s="43"/>
      <c r="T16" s="43"/>
      <c r="U16" s="43"/>
      <c r="V16" s="43"/>
      <c r="W16" s="43"/>
      <c r="X16" s="43"/>
      <c r="Y16" s="43"/>
      <c r="Z16" s="43"/>
      <c r="AA16" s="23"/>
      <c r="AB16" s="23"/>
      <c r="AC16" s="23"/>
      <c r="AD16" s="23"/>
      <c r="AE16" s="20"/>
      <c r="AF16" s="20"/>
      <c r="AG16" s="20"/>
      <c r="AH16" s="20"/>
      <c r="AI16" s="20"/>
      <c r="AJ16" s="23"/>
      <c r="AK16" s="634"/>
      <c r="AO16" s="628"/>
      <c r="AP16" s="628"/>
    </row>
    <row r="17" spans="1:42" s="14" customFormat="1">
      <c r="A17" s="130" t="s">
        <v>605</v>
      </c>
      <c r="B17" s="973"/>
      <c r="C17" s="35"/>
      <c r="E17" s="19" t="s">
        <v>339</v>
      </c>
      <c r="F17" s="15"/>
      <c r="G17" s="15"/>
      <c r="H17" s="15"/>
      <c r="I17" s="15"/>
      <c r="J17" s="15"/>
      <c r="K17" s="23">
        <f>'INPUT-Data(HP)'!U6</f>
        <v>0.08</v>
      </c>
      <c r="L17" s="634"/>
      <c r="M17" s="634"/>
      <c r="N17" s="634"/>
      <c r="O17" s="634"/>
      <c r="P17" s="21"/>
      <c r="Q17" s="43"/>
      <c r="R17" s="43"/>
      <c r="S17" s="43"/>
      <c r="T17" s="43"/>
      <c r="U17" s="43"/>
      <c r="V17" s="43"/>
      <c r="W17" s="43"/>
      <c r="X17" s="43"/>
      <c r="Y17" s="43"/>
      <c r="Z17" s="43"/>
      <c r="AA17" s="23"/>
      <c r="AB17" s="23"/>
      <c r="AC17" s="23"/>
      <c r="AD17" s="23"/>
      <c r="AE17" s="20"/>
      <c r="AF17" s="20"/>
      <c r="AG17" s="20"/>
      <c r="AH17" s="20"/>
      <c r="AI17" s="20"/>
      <c r="AJ17" s="23"/>
      <c r="AK17" s="634"/>
      <c r="AO17" s="628"/>
      <c r="AP17" s="628"/>
    </row>
    <row r="18" spans="1:42" s="14" customFormat="1">
      <c r="B18" s="971" t="s">
        <v>730</v>
      </c>
      <c r="C18" s="219" t="str">
        <f>'INPUT-Data(HP)'!C11</f>
        <v>H2 Production-Biomass Gasification, medium size, centralized</v>
      </c>
      <c r="D18" s="220" t="s">
        <v>601</v>
      </c>
      <c r="E18" s="221"/>
      <c r="F18" s="222">
        <f>IF('INPUT-Data(HP)'!K11=0,"",'INPUT-Data(HP)'!K11)</f>
        <v>2.78</v>
      </c>
      <c r="G18" s="222">
        <f>IF('INPUT-Data(HP)'!L11=0,"",'INPUT-Data(HP)'!L11)</f>
        <v>1.804</v>
      </c>
      <c r="H18" s="222" t="str">
        <f>IF('INPUT-Data(HP)'!M11=0,"",'INPUT-Data(HP)'!M11)</f>
        <v/>
      </c>
      <c r="I18" s="222" t="str">
        <f>IF('INPUT-Data(HP)'!N11=0,"",'INPUT-Data(HP)'!N11)</f>
        <v/>
      </c>
      <c r="J18" s="222"/>
      <c r="K18" s="222"/>
      <c r="L18" s="665"/>
      <c r="M18" s="665"/>
      <c r="N18" s="665"/>
      <c r="O18" s="665"/>
      <c r="P18" s="223">
        <f>'INPUT-Data(HP)'!V11</f>
        <v>0.9</v>
      </c>
      <c r="Q18" s="224">
        <f>F1*IF('INPUT-Data(HP)'!W11=0,"",'INPUT-Data(HP)'!W11)</f>
        <v>2027.8842748837717</v>
      </c>
      <c r="R18" s="224">
        <f>F1*IF('INPUT-Data(HP)'!X11=0,"",'INPUT-Data(HP)'!X11)</f>
        <v>992.29736227991407</v>
      </c>
      <c r="S18" s="224"/>
      <c r="T18" s="224"/>
      <c r="U18" s="224"/>
      <c r="V18" s="224">
        <f>F1*IF('INPUT-Data(HP)'!AB11=0,"",'INPUT-Data(HP)'!AB11)</f>
        <v>101.28914202010134</v>
      </c>
      <c r="W18" s="224">
        <f>F1*IF('INPUT-Data(HP)'!AC11=0,"",'INPUT-Data(HP)'!AC11)</f>
        <v>49.593853769178253</v>
      </c>
      <c r="X18" s="224" t="str">
        <f>IF('INPUT-Data(HP)'!AD11=0,"",'INPUT-Data(HP)'!AD11)</f>
        <v/>
      </c>
      <c r="Y18" s="224"/>
      <c r="Z18" s="224"/>
      <c r="AA18" s="225">
        <f>F1*IF('INPUT-Data(HP)'!AG11=0,"",'INPUT-Data(HP)'!AG11)</f>
        <v>0.71448653915235205</v>
      </c>
      <c r="AB18" s="225">
        <f>F1*IF('INPUT-Data(HP)'!AH11=0,"",'INPUT-Data(HP)'!AH11)</f>
        <v>0.34961714382149289</v>
      </c>
      <c r="AC18" s="225"/>
      <c r="AD18" s="225"/>
      <c r="AE18" s="226">
        <f>IF('INPUT-Data(HP)'!AK11=0,"",'INPUT-Data(HP)'!AK11)</f>
        <v>20</v>
      </c>
      <c r="AF18" s="226"/>
      <c r="AG18" s="226"/>
      <c r="AH18" s="226"/>
      <c r="AI18" s="226">
        <f>IF('INPUT-Data(HP)'!AL11=0,"",'INPUT-Data(HP)'!AL11)</f>
        <v>2015</v>
      </c>
      <c r="AJ18" s="225">
        <v>31.536000000000001</v>
      </c>
      <c r="AK18" s="668"/>
      <c r="AO18" s="628"/>
      <c r="AP18" s="628"/>
    </row>
    <row r="19" spans="1:42" s="14" customFormat="1" ht="15.5">
      <c r="B19" s="971"/>
      <c r="C19" s="219"/>
      <c r="D19" s="221" t="s">
        <v>279</v>
      </c>
      <c r="E19" s="221"/>
      <c r="F19" s="222">
        <f>IF('INPUT-Data(HP)'!P11=0,"",'INPUT-Data(HP)'!P11)</f>
        <v>0.19500000000000001</v>
      </c>
      <c r="G19" s="222">
        <f>IF('INPUT-Data(HP)'!Q11=0,"",'INPUT-Data(HP)'!Q11)</f>
        <v>9.7000000000000003E-2</v>
      </c>
      <c r="H19" s="1476"/>
      <c r="I19" s="222" t="str">
        <f>IF('INPUT-Data(HP)'!S11=0,"",'INPUT-Data(HP)'!S11)</f>
        <v/>
      </c>
      <c r="J19" s="222"/>
      <c r="K19" s="222"/>
      <c r="L19" s="665"/>
      <c r="M19" s="665"/>
      <c r="N19" s="665"/>
      <c r="O19" s="665"/>
      <c r="P19" s="223"/>
      <c r="Q19" s="224"/>
      <c r="R19" s="224"/>
      <c r="S19" s="224"/>
      <c r="T19" s="224"/>
      <c r="U19" s="224"/>
      <c r="V19" s="224"/>
      <c r="W19" s="224"/>
      <c r="X19" s="224"/>
      <c r="Y19" s="224"/>
      <c r="Z19" s="224"/>
      <c r="AA19" s="225"/>
      <c r="AB19" s="225"/>
      <c r="AC19" s="225"/>
      <c r="AD19" s="225"/>
      <c r="AE19" s="226"/>
      <c r="AF19" s="226"/>
      <c r="AG19" s="226"/>
      <c r="AH19" s="226"/>
      <c r="AI19" s="226"/>
      <c r="AJ19" s="220"/>
      <c r="AK19" s="663"/>
      <c r="AO19" s="628"/>
      <c r="AP19" s="628"/>
    </row>
    <row r="20" spans="1:42" s="14" customFormat="1">
      <c r="B20" s="971"/>
      <c r="C20" s="219"/>
      <c r="D20" s="220"/>
      <c r="E20" s="230" t="s">
        <v>663</v>
      </c>
      <c r="F20" s="222"/>
      <c r="G20" s="222"/>
      <c r="H20" s="222"/>
      <c r="I20" s="222"/>
      <c r="J20" s="222"/>
      <c r="K20" s="222">
        <f>'INPUT-Data(HP)'!T11</f>
        <v>1</v>
      </c>
      <c r="L20" s="665"/>
      <c r="M20" s="665"/>
      <c r="N20" s="665"/>
      <c r="O20" s="665"/>
      <c r="P20" s="223"/>
      <c r="Q20" s="224"/>
      <c r="R20" s="224"/>
      <c r="S20" s="224"/>
      <c r="T20" s="224"/>
      <c r="U20" s="224"/>
      <c r="V20" s="224"/>
      <c r="W20" s="224"/>
      <c r="X20" s="224"/>
      <c r="Y20" s="224"/>
      <c r="Z20" s="224"/>
      <c r="AA20" s="225"/>
      <c r="AB20" s="225"/>
      <c r="AC20" s="225"/>
      <c r="AD20" s="225"/>
      <c r="AE20" s="226"/>
      <c r="AF20" s="226"/>
      <c r="AG20" s="226"/>
      <c r="AH20" s="226"/>
      <c r="AI20" s="226"/>
      <c r="AJ20" s="220"/>
      <c r="AK20" s="663"/>
      <c r="AO20" s="628"/>
      <c r="AP20" s="628"/>
    </row>
    <row r="21" spans="1:42" s="14" customFormat="1">
      <c r="B21" s="973" t="s">
        <v>1011</v>
      </c>
      <c r="C21" s="662" t="str">
        <f>'INPUT-Data(HP)'!C12</f>
        <v>H2 Production-Biomass Gasification + Carbon Capture, medium size, centralized</v>
      </c>
      <c r="D21" s="628" t="s">
        <v>601</v>
      </c>
      <c r="E21" s="19"/>
      <c r="F21" s="15">
        <f>IF('INPUT-Data(HP)'!K12=0,"",'INPUT-Data(HP)'!K12)</f>
        <v>2.78</v>
      </c>
      <c r="G21" s="15">
        <f>IF('INPUT-Data(HP)'!L12=0,"",'INPUT-Data(HP)'!L12)</f>
        <v>1.804</v>
      </c>
      <c r="H21" s="15" t="str">
        <f>IF('INPUT-Data(HP)'!M12=0,"",'INPUT-Data(HP)'!M12)</f>
        <v/>
      </c>
      <c r="I21" s="15" t="str">
        <f>IF('INPUT-Data(HP)'!N12=0,"",'INPUT-Data(HP)'!N12)</f>
        <v/>
      </c>
      <c r="J21" s="15"/>
      <c r="K21" s="15"/>
      <c r="L21" s="629"/>
      <c r="M21" s="629"/>
      <c r="N21" s="629"/>
      <c r="O21" s="629"/>
      <c r="P21" s="21">
        <f>'INPUT-Data(HP)'!V12</f>
        <v>0.9</v>
      </c>
      <c r="Q21" s="43">
        <f>F1*IF('INPUT-Data(HP)'!W12=0,"",'INPUT-Data(HP)'!W12)</f>
        <v>2038.3914472924964</v>
      </c>
      <c r="R21" s="43">
        <f>F1*IF('INPUT-Data(HP)'!X12=0,"",'INPUT-Data(HP)'!X12)</f>
        <v>1006.5871167557789</v>
      </c>
      <c r="S21" s="43"/>
      <c r="T21" s="43"/>
      <c r="U21" s="43"/>
      <c r="V21" s="43">
        <f>F1*IF('INPUT-Data(HP)'!AB12=0,"",'INPUT-Data(HP)'!AB12)</f>
        <v>85.738526855189519</v>
      </c>
      <c r="W21" s="43">
        <f>F1*IF('INPUT-Data(HP)'!AC12=0,"",'INPUT-Data(HP)'!AC12)</f>
        <v>50.224284113701707</v>
      </c>
      <c r="X21" s="43" t="str">
        <f>IF('INPUT-Data(HP)'!AD12=0,"",'INPUT-Data(HP)'!AD12)</f>
        <v/>
      </c>
      <c r="Y21" s="43"/>
      <c r="Z21" s="43"/>
      <c r="AA21" s="23">
        <f>F1*IF('INPUT-Data(HP)'!AG12=0,"",'INPUT-Data(HP)'!AG12)</f>
        <v>0.71818854194588755</v>
      </c>
      <c r="AB21" s="23">
        <f>F1*IF('INPUT-Data(HP)'!AH12=0,"",'INPUT-Data(HP)'!AH12)</f>
        <v>0.35465186762070117</v>
      </c>
      <c r="AC21" s="23"/>
      <c r="AD21" s="23"/>
      <c r="AE21" s="20">
        <f>IF('INPUT-Data(HP)'!AK12=0,"",'INPUT-Data(HP)'!AK12)</f>
        <v>20</v>
      </c>
      <c r="AF21" s="20"/>
      <c r="AG21" s="20"/>
      <c r="AH21" s="20"/>
      <c r="AI21" s="20">
        <f>IF('INPUT-Data(HP)'!AL12=0,"",'INPUT-Data(HP)'!AL12)</f>
        <v>2015</v>
      </c>
      <c r="AJ21" s="23">
        <v>31.536000000000001</v>
      </c>
      <c r="AK21" s="634"/>
      <c r="AO21" s="628"/>
      <c r="AP21" s="628"/>
    </row>
    <row r="22" spans="1:42" s="14" customFormat="1">
      <c r="B22" s="973"/>
      <c r="C22" s="35"/>
      <c r="D22" s="14" t="s">
        <v>279</v>
      </c>
      <c r="E22" s="19"/>
      <c r="F22" s="15">
        <f>IF('INPUT-Data(HP)'!P12=0,"",'INPUT-Data(HP)'!P12)</f>
        <v>0.27</v>
      </c>
      <c r="G22" s="15">
        <f>IF('INPUT-Data(HP)'!Q12=0,"",'INPUT-Data(HP)'!Q12)</f>
        <v>0.14299999999999999</v>
      </c>
      <c r="H22" s="14" t="str">
        <f>IF('INPUT-Data(HP)'!R12=0,"",'INPUT-Data(HP)'!R12)</f>
        <v/>
      </c>
      <c r="I22" s="14" t="str">
        <f>IF('INPUT-Data(HP)'!S12=0,"",'INPUT-Data(HP)'!S12)</f>
        <v/>
      </c>
      <c r="K22" s="15"/>
      <c r="L22" s="629"/>
      <c r="M22" s="629"/>
      <c r="N22" s="629"/>
      <c r="O22" s="629"/>
      <c r="P22" s="21"/>
      <c r="Q22" s="43"/>
      <c r="R22" s="43"/>
      <c r="S22" s="43"/>
      <c r="T22" s="43"/>
      <c r="U22" s="43"/>
      <c r="V22" s="43"/>
      <c r="W22" s="43"/>
      <c r="X22" s="43"/>
      <c r="Y22" s="43"/>
      <c r="Z22" s="43"/>
      <c r="AA22" s="23"/>
      <c r="AB22" s="23"/>
      <c r="AC22" s="23"/>
      <c r="AD22" s="23"/>
      <c r="AE22" s="20"/>
      <c r="AF22" s="20"/>
      <c r="AG22" s="20"/>
      <c r="AH22" s="20"/>
      <c r="AI22" s="20"/>
      <c r="AJ22" s="23"/>
      <c r="AK22" s="634"/>
      <c r="AO22" s="628"/>
      <c r="AP22" s="628"/>
    </row>
    <row r="23" spans="1:42" s="14" customFormat="1">
      <c r="B23" s="973"/>
      <c r="C23" s="35"/>
      <c r="E23" s="19" t="s">
        <v>663</v>
      </c>
      <c r="F23" s="15"/>
      <c r="G23" s="15"/>
      <c r="H23" s="15"/>
      <c r="I23" s="15"/>
      <c r="J23" s="15"/>
      <c r="K23" s="23">
        <f>'INPUT-Data(HP)'!T12</f>
        <v>1</v>
      </c>
      <c r="L23" s="634"/>
      <c r="M23" s="634"/>
      <c r="N23" s="634"/>
      <c r="O23" s="634"/>
      <c r="P23" s="21"/>
      <c r="Q23" s="43"/>
      <c r="R23" s="43"/>
      <c r="S23" s="43"/>
      <c r="T23" s="43"/>
      <c r="U23" s="43"/>
      <c r="V23" s="43"/>
      <c r="W23" s="43"/>
      <c r="X23" s="43"/>
      <c r="Y23" s="43"/>
      <c r="Z23" s="43"/>
      <c r="AA23" s="23"/>
      <c r="AB23" s="23"/>
      <c r="AC23" s="23"/>
      <c r="AD23" s="23"/>
      <c r="AE23" s="20"/>
      <c r="AF23" s="20"/>
      <c r="AG23" s="20"/>
      <c r="AH23" s="20"/>
      <c r="AI23" s="20"/>
      <c r="AJ23" s="23"/>
      <c r="AK23" s="634"/>
      <c r="AO23" s="628"/>
      <c r="AP23" s="628"/>
    </row>
    <row r="24" spans="1:42" s="14" customFormat="1">
      <c r="B24" s="971" t="s">
        <v>731</v>
      </c>
      <c r="C24" s="219" t="s">
        <v>140</v>
      </c>
      <c r="D24" s="220" t="s">
        <v>340</v>
      </c>
      <c r="E24" s="221"/>
      <c r="F24" s="222">
        <f>IF('INPUT-Data(HP)'!K13=0,"",'INPUT-Data(HP)'!K13)</f>
        <v>1.75</v>
      </c>
      <c r="G24" s="222">
        <f t="shared" ref="G24:G25" si="6">F24</f>
        <v>1.75</v>
      </c>
      <c r="H24" s="222"/>
      <c r="I24" s="222"/>
      <c r="J24" s="222"/>
      <c r="K24" s="222"/>
      <c r="L24" s="665"/>
      <c r="M24" s="665"/>
      <c r="N24" s="665"/>
      <c r="O24" s="665"/>
      <c r="P24" s="223">
        <f>'INPUT-Data(HP)'!V13</f>
        <v>0.9</v>
      </c>
      <c r="Q24" s="224">
        <f>F1*IF('INPUT-Data(HP)'!W13=0,"",'INPUT-Data(HP)'!W13)</f>
        <v>1532.5761675365129</v>
      </c>
      <c r="R24" s="224">
        <f t="shared" ref="R24" si="7">Q24</f>
        <v>1532.5761675365129</v>
      </c>
      <c r="S24" s="224"/>
      <c r="T24" s="224"/>
      <c r="U24" s="224"/>
      <c r="V24" s="224">
        <f>F1*IF('INPUT-Data(HP)'!AB13=0,"",'INPUT-Data(HP)'!AB13)</f>
        <v>61.361886866949362</v>
      </c>
      <c r="W24" s="224">
        <f t="shared" ref="W24" si="8">V24</f>
        <v>61.361886866949362</v>
      </c>
      <c r="X24" s="224" t="str">
        <f>IF('INPUT-Data(HP)'!AD13=0,"",'INPUT-Data(HP)'!AD13)</f>
        <v/>
      </c>
      <c r="Y24" s="224"/>
      <c r="Z24" s="224"/>
      <c r="AA24" s="225">
        <f>F1*IF('INPUT-Data(HP)'!AG13=0,"",'INPUT-Data(HP)'!AG13)</f>
        <v>0.53997412746508844</v>
      </c>
      <c r="AB24" s="225"/>
      <c r="AC24" s="225"/>
      <c r="AD24" s="225"/>
      <c r="AE24" s="226">
        <f>IF('INPUT-Data(HP)'!AK13=0,"",'INPUT-Data(HP)'!AK13)</f>
        <v>20</v>
      </c>
      <c r="AF24" s="226"/>
      <c r="AG24" s="226"/>
      <c r="AH24" s="226"/>
      <c r="AI24" s="226">
        <f>IF('INPUT-Data(HP)'!AL13=0,"",'INPUT-Data(HP)'!AL13)</f>
        <v>2015</v>
      </c>
      <c r="AJ24" s="225">
        <v>31.536000000000001</v>
      </c>
      <c r="AK24" s="668"/>
      <c r="AO24" s="628"/>
      <c r="AP24" s="628"/>
    </row>
    <row r="25" spans="1:42" s="14" customFormat="1">
      <c r="B25" s="972"/>
      <c r="C25" s="220"/>
      <c r="D25" s="221" t="s">
        <v>279</v>
      </c>
      <c r="E25" s="221"/>
      <c r="F25" s="222">
        <f>IF('INPUT-Data(HP)'!P13=0,"",'INPUT-Data(HP)'!P13)</f>
        <v>0.35</v>
      </c>
      <c r="G25" s="222">
        <f t="shared" si="6"/>
        <v>0.35</v>
      </c>
      <c r="H25" s="222" t="str">
        <f>IF('INPUT-Data(HP)'!R13=0,"",'INPUT-Data(HP)'!R13)</f>
        <v/>
      </c>
      <c r="I25" s="225" t="str">
        <f>IF('INPUT-Data(HP)'!S13=0,"",'INPUT-Data(HP)'!S13)</f>
        <v/>
      </c>
      <c r="J25" s="225"/>
      <c r="K25" s="222"/>
      <c r="L25" s="665"/>
      <c r="M25" s="665"/>
      <c r="N25" s="665"/>
      <c r="O25" s="665"/>
      <c r="P25" s="220"/>
      <c r="Q25" s="227"/>
      <c r="R25" s="227"/>
      <c r="S25" s="227"/>
      <c r="T25" s="228"/>
      <c r="U25" s="228"/>
      <c r="V25" s="227"/>
      <c r="W25" s="227"/>
      <c r="X25" s="227"/>
      <c r="Y25" s="228"/>
      <c r="Z25" s="228"/>
      <c r="AA25" s="220"/>
      <c r="AB25" s="220"/>
      <c r="AC25" s="229"/>
      <c r="AD25" s="220"/>
      <c r="AE25" s="220"/>
      <c r="AF25" s="220"/>
      <c r="AG25" s="220"/>
      <c r="AH25" s="220"/>
      <c r="AI25" s="229"/>
      <c r="AJ25" s="220"/>
      <c r="AK25" s="663"/>
      <c r="AO25" s="628"/>
      <c r="AP25" s="628"/>
    </row>
    <row r="26" spans="1:42" s="14" customFormat="1">
      <c r="B26" s="974"/>
      <c r="C26" s="231"/>
      <c r="D26" s="231"/>
      <c r="E26" s="232" t="s">
        <v>663</v>
      </c>
      <c r="F26" s="242"/>
      <c r="G26" s="242"/>
      <c r="H26" s="242"/>
      <c r="I26" s="242"/>
      <c r="J26" s="242"/>
      <c r="K26" s="242">
        <f>'INPUT-Data(HP)'!T13</f>
        <v>1</v>
      </c>
      <c r="L26" s="682"/>
      <c r="M26" s="682"/>
      <c r="N26" s="682"/>
      <c r="O26" s="682"/>
      <c r="P26" s="231"/>
      <c r="Q26" s="243"/>
      <c r="R26" s="243"/>
      <c r="S26" s="243"/>
      <c r="T26" s="244"/>
      <c r="U26" s="244"/>
      <c r="V26" s="243"/>
      <c r="W26" s="243"/>
      <c r="X26" s="243"/>
      <c r="Y26" s="244"/>
      <c r="Z26" s="244"/>
      <c r="AA26" s="231"/>
      <c r="AB26" s="231"/>
      <c r="AC26" s="245"/>
      <c r="AD26" s="231"/>
      <c r="AE26" s="231"/>
      <c r="AF26" s="231"/>
      <c r="AG26" s="231"/>
      <c r="AH26" s="231"/>
      <c r="AI26" s="245"/>
      <c r="AJ26" s="231"/>
      <c r="AK26" s="674"/>
      <c r="AO26" s="628"/>
      <c r="AP26" s="628"/>
    </row>
    <row r="27" spans="1:42" s="14" customFormat="1">
      <c r="A27" s="622" t="s">
        <v>605</v>
      </c>
      <c r="B27" s="973" t="s">
        <v>732</v>
      </c>
      <c r="C27" s="662" t="str">
        <f>'INPUT-Data(HP)'!C14</f>
        <v>H2 Production-Biomass Steam Reforming, centralized</v>
      </c>
      <c r="D27" s="628" t="s">
        <v>601</v>
      </c>
      <c r="F27" s="15">
        <f>IF('INPUT-Data(HP)'!K14=0,"",'INPUT-Data(HP)'!K14)</f>
        <v>1.36</v>
      </c>
      <c r="G27" s="15">
        <f t="shared" ref="G27:G28" si="9">F27</f>
        <v>1.36</v>
      </c>
      <c r="H27" s="15" t="str">
        <f>IF('INPUT-Data(HP)'!M14=0,"",'INPUT-Data(HP)'!M14)</f>
        <v/>
      </c>
      <c r="I27" s="15" t="str">
        <f>IF('INPUT-Data(HP)'!N14=0,"",'INPUT-Data(HP)'!N14)</f>
        <v/>
      </c>
      <c r="J27" s="15"/>
      <c r="K27" s="15"/>
      <c r="L27" s="629"/>
      <c r="M27" s="629"/>
      <c r="N27" s="629"/>
      <c r="O27" s="629"/>
      <c r="P27" s="21">
        <f>'INPUT-Data(HP)'!V14</f>
        <v>0.9</v>
      </c>
      <c r="Q27" s="43">
        <f>F1*IF('INPUT-Data(HP)'!W14=0,"",'INPUT-Data(HP)'!W14)</f>
        <v>399.27255153151987</v>
      </c>
      <c r="R27" s="43">
        <f t="shared" ref="R27" si="10">Q27</f>
        <v>399.27255153151987</v>
      </c>
      <c r="S27" s="43"/>
      <c r="T27" s="43"/>
      <c r="U27" s="43"/>
      <c r="V27" s="43">
        <f>F1*IF('INPUT-Data(HP)'!AB14=0,"",'INPUT-Data(HP)'!AB14)</f>
        <v>15.970902061260793</v>
      </c>
      <c r="W27" s="43">
        <f t="shared" ref="W27" si="11">V27</f>
        <v>15.970902061260793</v>
      </c>
      <c r="X27" s="43" t="str">
        <f>IF('INPUT-Data(HP)'!AD14=0,"",'INPUT-Data(HP)'!AD14)</f>
        <v/>
      </c>
      <c r="Y27" s="43"/>
      <c r="Z27" s="43"/>
      <c r="AA27" s="23">
        <f>F1*IF('INPUT-Data(HP)'!AG14=0,"",'INPUT-Data(HP)'!AG14)</f>
        <v>0.14067610615434911</v>
      </c>
      <c r="AB27" s="23"/>
      <c r="AC27" s="23"/>
      <c r="AD27" s="23"/>
      <c r="AE27" s="20">
        <f>IF('INPUT-Data(HP)'!AK14=0,"",'INPUT-Data(HP)'!AK14)</f>
        <v>20</v>
      </c>
      <c r="AF27" s="20"/>
      <c r="AG27" s="20"/>
      <c r="AH27" s="20"/>
      <c r="AI27" s="20">
        <f>IF('INPUT-Data(HP)'!AL14=0,"",'INPUT-Data(HP)'!AL14)</f>
        <v>2015</v>
      </c>
      <c r="AJ27" s="23">
        <v>31.536000000000001</v>
      </c>
      <c r="AK27" s="634"/>
      <c r="AO27" s="628"/>
      <c r="AP27" s="628"/>
    </row>
    <row r="28" spans="1:42" s="14" customFormat="1">
      <c r="A28" s="622" t="s">
        <v>605</v>
      </c>
      <c r="B28" s="973"/>
      <c r="C28" s="35"/>
      <c r="D28" s="14" t="s">
        <v>279</v>
      </c>
      <c r="E28" s="34"/>
      <c r="F28" s="15">
        <f>IF('INPUT-Data(HP)'!P14=0,"",'INPUT-Data(HP)'!P14)</f>
        <v>4.3999999999999997E-2</v>
      </c>
      <c r="G28" s="23">
        <f t="shared" si="9"/>
        <v>4.3999999999999997E-2</v>
      </c>
      <c r="H28" s="23" t="str">
        <f>IF('INPUT-Data(HP)'!R14=0,"",'INPUT-Data(HP)'!R14)</f>
        <v/>
      </c>
      <c r="I28" s="23" t="str">
        <f>IF('INPUT-Data(HP)'!S14=0,"",'INPUT-Data(HP)'!S14)</f>
        <v/>
      </c>
      <c r="J28" s="23"/>
      <c r="K28" s="15"/>
      <c r="L28" s="629"/>
      <c r="M28" s="629"/>
      <c r="N28" s="629"/>
      <c r="O28" s="629"/>
      <c r="P28" s="21"/>
      <c r="Q28" s="43"/>
      <c r="R28" s="43"/>
      <c r="S28" s="43"/>
      <c r="T28" s="43"/>
      <c r="U28" s="43"/>
      <c r="V28" s="43"/>
      <c r="W28" s="43"/>
      <c r="X28" s="43"/>
      <c r="Y28" s="43"/>
      <c r="Z28" s="43"/>
      <c r="AA28" s="23"/>
      <c r="AB28" s="23"/>
      <c r="AC28" s="23"/>
      <c r="AD28" s="23"/>
      <c r="AE28" s="20"/>
      <c r="AF28" s="20"/>
      <c r="AG28" s="20"/>
      <c r="AH28" s="20"/>
      <c r="AI28" s="20"/>
      <c r="AJ28" s="23"/>
      <c r="AK28" s="634"/>
      <c r="AO28" s="628"/>
      <c r="AP28" s="628"/>
    </row>
    <row r="29" spans="1:42" s="14" customFormat="1">
      <c r="A29" s="622" t="s">
        <v>605</v>
      </c>
      <c r="B29" s="973"/>
      <c r="C29" s="35"/>
      <c r="E29" s="19" t="s">
        <v>663</v>
      </c>
      <c r="F29" s="23"/>
      <c r="G29" s="23"/>
      <c r="H29" s="23"/>
      <c r="I29" s="23"/>
      <c r="J29" s="23"/>
      <c r="K29" s="23">
        <f>'INPUT-Data(HP)'!T14</f>
        <v>1</v>
      </c>
      <c r="L29" s="634"/>
      <c r="M29" s="634"/>
      <c r="N29" s="634"/>
      <c r="O29" s="634"/>
      <c r="P29" s="21"/>
      <c r="Q29" s="43"/>
      <c r="R29" s="43"/>
      <c r="S29" s="43"/>
      <c r="T29" s="43"/>
      <c r="U29" s="43"/>
      <c r="V29" s="43"/>
      <c r="W29" s="43"/>
      <c r="X29" s="43"/>
      <c r="Y29" s="43"/>
      <c r="Z29" s="43"/>
      <c r="AA29" s="23"/>
      <c r="AB29" s="23"/>
      <c r="AC29" s="23"/>
      <c r="AD29" s="23"/>
      <c r="AE29" s="20"/>
      <c r="AF29" s="20"/>
      <c r="AG29" s="20"/>
      <c r="AH29" s="20"/>
      <c r="AI29" s="20"/>
      <c r="AJ29" s="23"/>
      <c r="AK29" s="634"/>
      <c r="AO29" s="628"/>
      <c r="AP29" s="628"/>
    </row>
    <row r="30" spans="1:42" s="14" customFormat="1">
      <c r="A30" s="622"/>
      <c r="B30" s="662" t="s">
        <v>1012</v>
      </c>
      <c r="C30" s="219" t="str">
        <f>'INPUT-Data(HP)'!C15</f>
        <v>H2 Production-Methane Steam Reforming, large size, centralized</v>
      </c>
      <c r="D30" s="663" t="s">
        <v>340</v>
      </c>
      <c r="E30" s="221"/>
      <c r="F30" s="222">
        <f>IF('INPUT-Data(HP)'!K15=0,"",'INPUT-Data(HP)'!K15)</f>
        <v>1.32</v>
      </c>
      <c r="G30" s="222">
        <f t="shared" ref="G30:G31" si="12">F30</f>
        <v>1.32</v>
      </c>
      <c r="H30" s="222">
        <f>IF('INPUT-Data(HP)'!M15=0,"",'INPUT-Data(HP)'!M15)</f>
        <v>1.32</v>
      </c>
      <c r="I30" s="222">
        <f>IF('INPUT-Data(HP)'!N15=0,"",'INPUT-Data(HP)'!N15)</f>
        <v>1.25</v>
      </c>
      <c r="J30" s="222"/>
      <c r="K30" s="222"/>
      <c r="L30" s="665"/>
      <c r="M30" s="665"/>
      <c r="N30" s="665"/>
      <c r="O30" s="665"/>
      <c r="P30" s="223">
        <f>'INPUT-Data(HP)'!V15</f>
        <v>0.9</v>
      </c>
      <c r="Q30" s="224">
        <f>F1*IF('INPUT-Data(HP)'!W15=0,"",'INPUT-Data(HP)'!W15)</f>
        <v>154.66557785642033</v>
      </c>
      <c r="R30" s="224">
        <f>F1*IF('INPUT-Data(HP)'!X15=0,"",'INPUT-Data(HP)'!X15)</f>
        <v>154.66557785642033</v>
      </c>
      <c r="S30" s="224">
        <f>F1*IF('INPUT-Data(HP)'!Y15=0,"",'INPUT-Data(HP)'!Y15)</f>
        <v>154.66557785642033</v>
      </c>
      <c r="T30" s="224">
        <f>F1*IF('INPUT-Data(HP)'!Z15=0,"",'INPUT-Data(HP)'!Z15)</f>
        <v>121.67305649302629</v>
      </c>
      <c r="U30" s="224"/>
      <c r="V30" s="224">
        <f>F1*IF('INPUT-Data(HP)'!AB15=0,"",'INPUT-Data(HP)'!AB15)</f>
        <v>7.5651641342814298</v>
      </c>
      <c r="W30" s="224">
        <f t="shared" ref="W30" si="13">V30</f>
        <v>7.5651641342814298</v>
      </c>
      <c r="X30" s="224">
        <f>F1*IF('INPUT-Data(HP)'!AD15=0,"",'INPUT-Data(HP)'!AD15)</f>
        <v>7.5651641342814298</v>
      </c>
      <c r="Y30" s="224">
        <f>F1*IF('INPUT-Data(HP)'!AE15=0,"",'INPUT-Data(HP)'!AE15)</f>
        <v>5.8840165488855556</v>
      </c>
      <c r="Z30" s="224"/>
      <c r="AA30" s="225">
        <f>F1*IF('INPUT-Data(HP)'!AG15=0,"",'INPUT-Data(HP)'!AG15)</f>
        <v>5.9232044696568051E-2</v>
      </c>
      <c r="AB30" s="225"/>
      <c r="AC30" s="225">
        <f>F1*IF('INPUT-Data(HP)'!AI15=0,"",'INPUT-Data(HP)'!AI15)</f>
        <v>5.9232044696568051E-2</v>
      </c>
      <c r="AD30" s="225">
        <f>F1*IF('INPUT-Data(HP)'!AJ15=0,"",'INPUT-Data(HP)'!AJ15)</f>
        <v>3.7020027935355033E-2</v>
      </c>
      <c r="AE30" s="226">
        <f>IF('INPUT-Data(HP)'!AK15=0,"",'INPUT-Data(HP)'!AK15)</f>
        <v>20</v>
      </c>
      <c r="AF30" s="226"/>
      <c r="AG30" s="226"/>
      <c r="AH30" s="226"/>
      <c r="AI30" s="226">
        <f>IF('INPUT-Data(HP)'!AL15=0,"",'INPUT-Data(HP)'!AL15)</f>
        <v>2015</v>
      </c>
      <c r="AJ30" s="225">
        <v>31.536000000000001</v>
      </c>
      <c r="AK30" s="668"/>
      <c r="AO30" s="628"/>
      <c r="AP30" s="628"/>
    </row>
    <row r="31" spans="1:42" s="14" customFormat="1">
      <c r="A31" s="622"/>
      <c r="B31" s="971"/>
      <c r="C31" s="219"/>
      <c r="D31" s="221" t="s">
        <v>279</v>
      </c>
      <c r="E31" s="221"/>
      <c r="F31" s="222">
        <f>IF('INPUT-Data(HP)'!P15=0,"",'INPUT-Data(HP)'!P15)</f>
        <v>0.02</v>
      </c>
      <c r="G31" s="222">
        <f t="shared" si="12"/>
        <v>0.02</v>
      </c>
      <c r="H31" s="222">
        <f>IF('INPUT-Data(HP)'!R15=0,"",'INPUT-Data(HP)'!R15)</f>
        <v>0.02</v>
      </c>
      <c r="I31" s="222">
        <f>IF('INPUT-Data(HP)'!S15=0,"",'INPUT-Data(HP)'!S15)</f>
        <v>2.1000000000000001E-2</v>
      </c>
      <c r="J31" s="222"/>
      <c r="K31" s="222"/>
      <c r="L31" s="665"/>
      <c r="M31" s="665"/>
      <c r="N31" s="665"/>
      <c r="O31" s="665"/>
      <c r="P31" s="223"/>
      <c r="Q31" s="224"/>
      <c r="R31" s="224"/>
      <c r="S31" s="224"/>
      <c r="T31" s="224"/>
      <c r="U31" s="224"/>
      <c r="V31" s="224"/>
      <c r="W31" s="224"/>
      <c r="X31" s="224"/>
      <c r="Y31" s="224"/>
      <c r="Z31" s="224"/>
      <c r="AA31" s="225"/>
      <c r="AB31" s="225"/>
      <c r="AC31" s="225"/>
      <c r="AD31" s="225"/>
      <c r="AE31" s="226"/>
      <c r="AF31" s="226"/>
      <c r="AG31" s="226"/>
      <c r="AH31" s="226"/>
      <c r="AI31" s="226"/>
      <c r="AJ31" s="220"/>
      <c r="AK31" s="663"/>
      <c r="AO31" s="628"/>
      <c r="AP31" s="628"/>
    </row>
    <row r="32" spans="1:42" s="14" customFormat="1">
      <c r="A32" s="622"/>
      <c r="B32" s="971"/>
      <c r="C32" s="219"/>
      <c r="D32" s="220"/>
      <c r="E32" s="230" t="s">
        <v>663</v>
      </c>
      <c r="F32" s="222"/>
      <c r="G32" s="222"/>
      <c r="H32" s="222"/>
      <c r="I32" s="222"/>
      <c r="J32" s="222"/>
      <c r="K32" s="222">
        <f>'INPUT-Data(HP)'!T15</f>
        <v>1</v>
      </c>
      <c r="L32" s="665"/>
      <c r="M32" s="665"/>
      <c r="N32" s="665"/>
      <c r="O32" s="665"/>
      <c r="P32" s="223"/>
      <c r="Q32" s="224"/>
      <c r="R32" s="224"/>
      <c r="S32" s="224"/>
      <c r="T32" s="224"/>
      <c r="U32" s="224"/>
      <c r="V32" s="224"/>
      <c r="W32" s="224"/>
      <c r="X32" s="224"/>
      <c r="Y32" s="224"/>
      <c r="Z32" s="224"/>
      <c r="AA32" s="225"/>
      <c r="AB32" s="225"/>
      <c r="AC32" s="225"/>
      <c r="AD32" s="225"/>
      <c r="AE32" s="226"/>
      <c r="AF32" s="226"/>
      <c r="AG32" s="226"/>
      <c r="AH32" s="226"/>
      <c r="AI32" s="226"/>
      <c r="AJ32" s="220"/>
      <c r="AK32" s="663"/>
      <c r="AO32" s="628"/>
      <c r="AP32" s="628"/>
    </row>
    <row r="33" spans="1:42" s="14" customFormat="1">
      <c r="B33" s="662" t="s">
        <v>733</v>
      </c>
      <c r="C33" s="662" t="str">
        <f>'INPUT-Data(HP)'!C16</f>
        <v>H2 Production-Methane Steam Reforming, small size, centralized</v>
      </c>
      <c r="D33" s="628" t="s">
        <v>347</v>
      </c>
      <c r="E33" s="19"/>
      <c r="F33" s="15">
        <f>IF('INPUT-Data(HP)'!K16=0,"",'INPUT-Data(HP)'!K16)</f>
        <v>1.575</v>
      </c>
      <c r="G33" s="15">
        <f t="shared" ref="G33:G34" si="14">F33</f>
        <v>1.575</v>
      </c>
      <c r="H33" s="15">
        <f>IF('INPUT-Data(HP)'!M16=0,"",'INPUT-Data(HP)'!M16)</f>
        <v>1.575</v>
      </c>
      <c r="I33" s="15">
        <f>IF('INPUT-Data(HP)'!N16=0,"",'INPUT-Data(HP)'!N16)</f>
        <v>1.48</v>
      </c>
      <c r="J33" s="15"/>
      <c r="K33" s="15"/>
      <c r="L33" s="629"/>
      <c r="M33" s="629"/>
      <c r="N33" s="629"/>
      <c r="O33" s="629"/>
      <c r="P33" s="21">
        <f>'INPUT-Data(HP)'!V16</f>
        <v>0.9</v>
      </c>
      <c r="Q33" s="43">
        <f>F1*IF('INPUT-Data(HP)'!W16=0,"",'INPUT-Data(HP)'!W16)</f>
        <v>332.02664811568496</v>
      </c>
      <c r="R33" s="43">
        <f>F1*IF('INPUT-Data(HP)'!X16=0,"",'INPUT-Data(HP)'!X16)</f>
        <v>332.02664811568496</v>
      </c>
      <c r="S33" s="43">
        <f>F1*IF('INPUT-Data(HP)'!Y16=0,"",'INPUT-Data(HP)'!Y16)</f>
        <v>332.02664811568496</v>
      </c>
      <c r="T33" s="43">
        <f>F1*IF('INPUT-Data(HP)'!Z16=0,"",'INPUT-Data(HP)'!Z16)</f>
        <v>264.78074469985</v>
      </c>
      <c r="U33" s="43"/>
      <c r="V33" s="43">
        <f>F1*IF('INPUT-Data(HP)'!AB16=0,"",'INPUT-Data(HP)'!AB16)</f>
        <v>12.60860689046905</v>
      </c>
      <c r="W33" s="43">
        <f t="shared" ref="W33" si="15">V33</f>
        <v>12.60860689046905</v>
      </c>
      <c r="X33" s="43">
        <f>F1*IF('INPUT-Data(HP)'!AD16=0,"",'INPUT-Data(HP)'!AD16)</f>
        <v>12.60860689046905</v>
      </c>
      <c r="Y33" s="43">
        <f>X33*(Y30/X30)</f>
        <v>9.8066942481425929</v>
      </c>
      <c r="Z33" s="43"/>
      <c r="AA33" s="23">
        <f>F1*IF('INPUT-Data(HP)'!AG16=0,"",'INPUT-Data(HP)'!AG16)</f>
        <v>0.11106008380606508</v>
      </c>
      <c r="AB33" s="23"/>
      <c r="AC33" s="23">
        <f>F1*IF('INPUT-Data(HP)'!AI16=0,"",'INPUT-Data(HP)'!AI16)</f>
        <v>0.11106008380606508</v>
      </c>
      <c r="AD33" s="23">
        <f>F1*IF('INPUT-Data(HP)'!AJ16=0,"",'INPUT-Data(HP)'!AJ16)</f>
        <v>3.7020027935355033E-2</v>
      </c>
      <c r="AE33" s="20">
        <f>IF('INPUT-Data(HP)'!AK16=0,"",'INPUT-Data(HP)'!AK16)</f>
        <v>20</v>
      </c>
      <c r="AF33" s="20"/>
      <c r="AG33" s="20"/>
      <c r="AH33" s="20"/>
      <c r="AI33" s="20">
        <f>IF('INPUT-Data(HP)'!AL16=0,"",'INPUT-Data(HP)'!AL16)</f>
        <v>2015</v>
      </c>
      <c r="AJ33" s="23">
        <v>31.536000000000001</v>
      </c>
      <c r="AK33" s="634"/>
      <c r="AO33" s="628"/>
      <c r="AP33" s="628"/>
    </row>
    <row r="34" spans="1:42" s="14" customFormat="1">
      <c r="B34" s="973"/>
      <c r="C34" s="35"/>
      <c r="D34" s="14" t="s">
        <v>279</v>
      </c>
      <c r="E34" s="19"/>
      <c r="F34" s="15">
        <f>IF('INPUT-Data(HP)'!P16=0,"",'INPUT-Data(HP)'!P16)</f>
        <v>0.03</v>
      </c>
      <c r="G34" s="15">
        <f t="shared" si="14"/>
        <v>0.03</v>
      </c>
      <c r="H34" s="14">
        <f>IF('INPUT-Data(HP)'!R16=0,"",'INPUT-Data(HP)'!R16)</f>
        <v>0.03</v>
      </c>
      <c r="I34" s="14">
        <f>IF('INPUT-Data(HP)'!S16=0,"",'INPUT-Data(HP)'!S16)</f>
        <v>0.02</v>
      </c>
      <c r="K34" s="15"/>
      <c r="L34" s="629"/>
      <c r="M34" s="629"/>
      <c r="N34" s="629"/>
      <c r="O34" s="629"/>
      <c r="P34" s="21"/>
      <c r="Q34" s="43"/>
      <c r="R34" s="43"/>
      <c r="S34" s="43"/>
      <c r="T34" s="43"/>
      <c r="U34" s="43"/>
      <c r="V34" s="43"/>
      <c r="W34" s="43"/>
      <c r="X34" s="43"/>
      <c r="Y34" s="43"/>
      <c r="Z34" s="43"/>
      <c r="AA34" s="23"/>
      <c r="AB34" s="23"/>
      <c r="AC34" s="23"/>
      <c r="AD34" s="23"/>
      <c r="AE34" s="20"/>
      <c r="AF34" s="20"/>
      <c r="AG34" s="20"/>
      <c r="AH34" s="20"/>
      <c r="AI34" s="20"/>
      <c r="AJ34" s="23"/>
      <c r="AK34" s="634"/>
      <c r="AO34" s="628"/>
      <c r="AP34" s="628"/>
    </row>
    <row r="35" spans="1:42" s="14" customFormat="1">
      <c r="B35" s="973"/>
      <c r="C35" s="35"/>
      <c r="E35" s="19" t="s">
        <v>663</v>
      </c>
      <c r="F35" s="15"/>
      <c r="G35" s="15"/>
      <c r="H35" s="15"/>
      <c r="I35" s="15"/>
      <c r="J35" s="15"/>
      <c r="K35" s="23">
        <f>'INPUT-Data(HP)'!T16</f>
        <v>1</v>
      </c>
      <c r="L35" s="634"/>
      <c r="M35" s="634"/>
      <c r="N35" s="634"/>
      <c r="O35" s="634"/>
      <c r="P35" s="21"/>
      <c r="Q35" s="43"/>
      <c r="R35" s="43"/>
      <c r="S35" s="43"/>
      <c r="T35" s="43"/>
      <c r="U35" s="43"/>
      <c r="V35" s="43"/>
      <c r="W35" s="43"/>
      <c r="X35" s="43"/>
      <c r="Y35" s="43"/>
      <c r="Z35" s="43"/>
      <c r="AA35" s="23"/>
      <c r="AB35" s="23"/>
      <c r="AC35" s="23"/>
      <c r="AD35" s="23"/>
      <c r="AE35" s="20"/>
      <c r="AF35" s="20"/>
      <c r="AG35" s="20"/>
      <c r="AH35" s="20"/>
      <c r="AI35" s="20"/>
      <c r="AJ35" s="23"/>
      <c r="AK35" s="634"/>
      <c r="AO35" s="628"/>
      <c r="AP35" s="628"/>
    </row>
    <row r="36" spans="1:42" s="14" customFormat="1">
      <c r="B36" s="662" t="s">
        <v>1013</v>
      </c>
      <c r="C36" s="662" t="str">
        <f>'INPUT-Data(HP)'!C17</f>
        <v>H2 Production-Methane Steam Reforming + Carbon Capture, large size, centralized</v>
      </c>
      <c r="D36" s="663" t="s">
        <v>340</v>
      </c>
      <c r="E36" s="221"/>
      <c r="F36" s="222">
        <f>IF('INPUT-Data(HP)'!K17=0,"",'INPUT-Data(HP)'!K17)</f>
        <v>1.52</v>
      </c>
      <c r="G36" s="222">
        <f t="shared" ref="G36:G43" si="16">F36</f>
        <v>1.52</v>
      </c>
      <c r="H36" s="222">
        <f>IF('INPUT-Data(HP)'!M17=0,"",'INPUT-Data(HP)'!M17)</f>
        <v>1.52</v>
      </c>
      <c r="I36" s="222">
        <f>IF('INPUT-Data(HP)'!N17=0,"",'INPUT-Data(HP)'!N17)</f>
        <v>1.4</v>
      </c>
      <c r="J36" s="222"/>
      <c r="K36" s="222"/>
      <c r="L36" s="665"/>
      <c r="M36" s="665"/>
      <c r="N36" s="665"/>
      <c r="O36" s="665"/>
      <c r="P36" s="223">
        <f>'INPUT-Data(HP)'!V17</f>
        <v>0.9</v>
      </c>
      <c r="Q36" s="224">
        <f>F1*IF('INPUT-Data(HP)'!W17=0,"",'INPUT-Data(HP)'!W17)</f>
        <v>218.89942518175434</v>
      </c>
      <c r="R36" s="224">
        <f>F1*IF('INPUT-Data(HP)'!X17=0,"",'INPUT-Data(HP)'!X17)</f>
        <v>209.72316127813519</v>
      </c>
      <c r="S36" s="224">
        <f>F1*IF('INPUT-Data(HP)'!Y17=0,"",'INPUT-Data(HP)'!Y17)</f>
        <v>209.72316127813519</v>
      </c>
      <c r="T36" s="224">
        <f>F1*IF('INPUT-Data(HP)'!Z17=0,"",'INPUT-Data(HP)'!Z17)</f>
        <v>147.10041372213885</v>
      </c>
      <c r="U36" s="224"/>
      <c r="V36" s="224">
        <f>F1*IF('INPUT-Data(HP)'!AB17=0,"",'INPUT-Data(HP)'!AB17)</f>
        <v>10.927459305073176</v>
      </c>
      <c r="W36" s="224">
        <f t="shared" ref="W36" si="17">V36</f>
        <v>10.927459305073176</v>
      </c>
      <c r="X36" s="224">
        <f>F1*IF('INPUT-Data(HP)'!AD17=0,"",'INPUT-Data(HP)'!AD17)</f>
        <v>10.927459305073176</v>
      </c>
      <c r="Y36" s="224">
        <f>F1*IF('INPUT-Data(HP)'!AE17=0,"",'INPUT-Data(HP)'!AE17)</f>
        <v>8.8260248233283338</v>
      </c>
      <c r="Z36" s="224"/>
      <c r="AA36" s="225">
        <f>F1*IF('INPUT-Data(HP)'!AG17=0,"",'INPUT-Data(HP)'!AG17)</f>
        <v>0.4072203072889054</v>
      </c>
      <c r="AB36" s="225"/>
      <c r="AC36" s="225">
        <f>F1*IF('INPUT-Data(HP)'!AI17=0,"",'INPUT-Data(HP)'!AI17)</f>
        <v>0.4072203072889054</v>
      </c>
      <c r="AD36" s="225">
        <f>F1*IF('INPUT-Data(HP)'!AJ17=0,"",'INPUT-Data(HP)'!AJ17)</f>
        <v>5.1828039109497036E-2</v>
      </c>
      <c r="AE36" s="226">
        <f>IF('INPUT-Data(HP)'!AK17=0,"",'INPUT-Data(HP)'!AK17)</f>
        <v>20</v>
      </c>
      <c r="AF36" s="226"/>
      <c r="AG36" s="226"/>
      <c r="AH36" s="226"/>
      <c r="AI36" s="226">
        <f>IF('INPUT-Data(HP)'!AL17=0,"",'INPUT-Data(HP)'!AL17)</f>
        <v>2015</v>
      </c>
      <c r="AJ36" s="225">
        <v>31.536000000000001</v>
      </c>
      <c r="AK36" s="668"/>
      <c r="AO36" s="628"/>
      <c r="AP36" s="628"/>
    </row>
    <row r="37" spans="1:42" s="14" customFormat="1">
      <c r="B37" s="972"/>
      <c r="C37" s="220"/>
      <c r="D37" s="221" t="s">
        <v>279</v>
      </c>
      <c r="E37" s="221"/>
      <c r="F37" s="222">
        <f>IF('INPUT-Data(HP)'!P17=0,"",'INPUT-Data(HP)'!P17)</f>
        <v>0.05</v>
      </c>
      <c r="G37" s="222">
        <f t="shared" si="16"/>
        <v>0.05</v>
      </c>
      <c r="H37" s="222">
        <f>IF('INPUT-Data(HP)'!R17=0,"",'INPUT-Data(HP)'!R17)</f>
        <v>0.05</v>
      </c>
      <c r="I37" s="225">
        <f>IF('INPUT-Data(HP)'!S17=0,"",'INPUT-Data(HP)'!S17)</f>
        <v>3.9E-2</v>
      </c>
      <c r="J37" s="225"/>
      <c r="K37" s="222"/>
      <c r="L37" s="665"/>
      <c r="M37" s="665"/>
      <c r="N37" s="665"/>
      <c r="O37" s="665"/>
      <c r="P37" s="220"/>
      <c r="Q37" s="227"/>
      <c r="R37" s="227"/>
      <c r="S37" s="227"/>
      <c r="T37" s="228"/>
      <c r="U37" s="228"/>
      <c r="V37" s="227"/>
      <c r="W37" s="227"/>
      <c r="X37" s="227"/>
      <c r="Y37" s="228"/>
      <c r="Z37" s="228"/>
      <c r="AA37" s="220"/>
      <c r="AB37" s="220"/>
      <c r="AC37" s="229"/>
      <c r="AD37" s="220"/>
      <c r="AE37" s="220"/>
      <c r="AF37" s="220"/>
      <c r="AG37" s="220"/>
      <c r="AH37" s="220"/>
      <c r="AI37" s="229"/>
      <c r="AJ37" s="220"/>
      <c r="AK37" s="663"/>
      <c r="AO37" s="628"/>
      <c r="AP37" s="628"/>
    </row>
    <row r="38" spans="1:42" s="14" customFormat="1">
      <c r="B38" s="972"/>
      <c r="C38" s="220"/>
      <c r="D38" s="220"/>
      <c r="E38" s="230" t="s">
        <v>663</v>
      </c>
      <c r="F38" s="222"/>
      <c r="G38" s="222"/>
      <c r="H38" s="222"/>
      <c r="I38" s="222"/>
      <c r="J38" s="222"/>
      <c r="K38" s="222">
        <f>'INPUT-Data(HP)'!T17</f>
        <v>1</v>
      </c>
      <c r="L38" s="665"/>
      <c r="M38" s="665"/>
      <c r="N38" s="665"/>
      <c r="O38" s="665"/>
      <c r="P38" s="220"/>
      <c r="Q38" s="227"/>
      <c r="R38" s="227"/>
      <c r="S38" s="227"/>
      <c r="T38" s="228"/>
      <c r="U38" s="228"/>
      <c r="V38" s="227"/>
      <c r="W38" s="227"/>
      <c r="X38" s="227"/>
      <c r="Y38" s="228"/>
      <c r="Z38" s="228"/>
      <c r="AA38" s="220"/>
      <c r="AB38" s="220"/>
      <c r="AC38" s="229"/>
      <c r="AD38" s="220"/>
      <c r="AE38" s="220"/>
      <c r="AF38" s="220"/>
      <c r="AG38" s="220"/>
      <c r="AH38" s="220"/>
      <c r="AI38" s="229"/>
      <c r="AJ38" s="220"/>
      <c r="AK38" s="663"/>
      <c r="AO38" s="628"/>
      <c r="AP38" s="628"/>
    </row>
    <row r="39" spans="1:42" s="14" customFormat="1">
      <c r="B39" s="662" t="s">
        <v>1014</v>
      </c>
      <c r="C39" s="662" t="str">
        <f>'INPUT-Data(HP)'!C18</f>
        <v>H2 Production-Methane Steam Reforming + Carbon Capture, small size, centralized</v>
      </c>
      <c r="D39" s="663" t="s">
        <v>340</v>
      </c>
      <c r="F39" s="15">
        <f>IF('INPUT-Data(HP)'!K18=0,"",'INPUT-Data(HP)'!K18)</f>
        <v>1.65</v>
      </c>
      <c r="G39" s="15">
        <f t="shared" si="16"/>
        <v>1.65</v>
      </c>
      <c r="H39" s="15">
        <f>IF('INPUT-Data(HP)'!M18=0,"",'INPUT-Data(HP)'!M18)</f>
        <v>1.65</v>
      </c>
      <c r="I39" s="15">
        <f>IF('INPUT-Data(HP)'!N18=0,"",'INPUT-Data(HP)'!N18)</f>
        <v>1.4</v>
      </c>
      <c r="J39" s="15"/>
      <c r="K39" s="15"/>
      <c r="L39" s="629"/>
      <c r="M39" s="629"/>
      <c r="N39" s="629"/>
      <c r="O39" s="629"/>
      <c r="P39" s="21">
        <f>'INPUT-Data(HP)'!V18</f>
        <v>0.9</v>
      </c>
      <c r="Q39" s="43">
        <f>F1*IF('INPUT-Data(HP)'!W18=0,"",'INPUT-Data(HP)'!W18)</f>
        <v>453.90984805688578</v>
      </c>
      <c r="R39" s="43">
        <f>F1*IF('INPUT-Data(HP)'!X18=0,"",'INPUT-Data(HP)'!X18)</f>
        <v>434.57665082483322</v>
      </c>
      <c r="S39" s="43">
        <f>F1*IF('INPUT-Data(HP)'!Y18=0,"",'INPUT-Data(HP)'!Y18)</f>
        <v>434.57665082483322</v>
      </c>
      <c r="T39" s="43">
        <f>S39*(T33/S33)</f>
        <v>346.56112660714547</v>
      </c>
      <c r="U39" s="43"/>
      <c r="V39" s="43">
        <f>F1*IF('INPUT-Data(HP)'!AB18=0,"",'INPUT-Data(HP)'!AB18)</f>
        <v>22.695492402844287</v>
      </c>
      <c r="W39" s="43">
        <f>V39</f>
        <v>22.695492402844287</v>
      </c>
      <c r="X39" s="43">
        <f>F1*IF('INPUT-Data(HP)'!AD18=0,"",'INPUT-Data(HP)'!AD18)</f>
        <v>22.695492402844287</v>
      </c>
      <c r="Y39" s="43">
        <f>X39*(Y36/X36)</f>
        <v>18.330974633066539</v>
      </c>
      <c r="Z39" s="43"/>
      <c r="AA39" s="23">
        <f>F1*IF('INPUT-Data(HP)'!AG18=0,"",'INPUT-Data(HP)'!AG18)</f>
        <v>0.1554841173284911</v>
      </c>
      <c r="AB39" s="23"/>
      <c r="AC39" s="23">
        <f>F1*IF('INPUT-Data(HP)'!AI18=0,"",'INPUT-Data(HP)'!AI18)</f>
        <v>0.1554841173284911</v>
      </c>
      <c r="AD39" s="23">
        <f>F1*IF('INPUT-Data(HP)'!AJ18=0,"",'INPUT-Data(HP)'!AJ18)</f>
        <v>5.1828039109497036E-2</v>
      </c>
      <c r="AE39" s="20">
        <f>IF('INPUT-Data(HP)'!AK18=0,"",'INPUT-Data(HP)'!AK18)</f>
        <v>20</v>
      </c>
      <c r="AF39" s="20"/>
      <c r="AG39" s="20"/>
      <c r="AH39" s="20"/>
      <c r="AI39" s="20">
        <f>IF('INPUT-Data(HP)'!AL18=0,"",'INPUT-Data(HP)'!AL18)</f>
        <v>2015</v>
      </c>
      <c r="AJ39" s="23">
        <v>31.536000000000001</v>
      </c>
      <c r="AK39" s="634"/>
      <c r="AO39" s="628"/>
      <c r="AP39" s="628"/>
    </row>
    <row r="40" spans="1:42" s="14" customFormat="1">
      <c r="B40" s="973"/>
      <c r="C40" s="35"/>
      <c r="D40" s="14" t="s">
        <v>279</v>
      </c>
      <c r="E40" s="34"/>
      <c r="F40" s="15">
        <f>IF('INPUT-Data(HP)'!P18=0,"",'INPUT-Data(HP)'!P18)</f>
        <v>6.7000000000000004E-2</v>
      </c>
      <c r="G40" s="23">
        <f t="shared" si="16"/>
        <v>6.7000000000000004E-2</v>
      </c>
      <c r="H40" s="23">
        <f>IF('INPUT-Data(HP)'!R18=0,"",'INPUT-Data(HP)'!R18)</f>
        <v>6.7000000000000004E-2</v>
      </c>
      <c r="I40" s="23">
        <f>IF('INPUT-Data(HP)'!S18=0,"",'INPUT-Data(HP)'!S18)</f>
        <v>3.9E-2</v>
      </c>
      <c r="J40" s="23"/>
      <c r="K40" s="15"/>
      <c r="L40" s="629"/>
      <c r="M40" s="629"/>
      <c r="N40" s="629"/>
      <c r="O40" s="629"/>
      <c r="P40" s="21"/>
      <c r="Q40" s="43"/>
      <c r="R40" s="43"/>
      <c r="S40" s="43"/>
      <c r="T40" s="43"/>
      <c r="U40" s="43"/>
      <c r="V40" s="43"/>
      <c r="W40" s="43"/>
      <c r="X40" s="43"/>
      <c r="Y40" s="43"/>
      <c r="Z40" s="43"/>
      <c r="AA40" s="23"/>
      <c r="AB40" s="23"/>
      <c r="AC40" s="23"/>
      <c r="AD40" s="23"/>
      <c r="AE40" s="20"/>
      <c r="AF40" s="20"/>
      <c r="AG40" s="20"/>
      <c r="AH40" s="20"/>
      <c r="AI40" s="20"/>
      <c r="AJ40" s="23"/>
      <c r="AK40" s="634"/>
      <c r="AO40" s="628"/>
      <c r="AP40" s="628"/>
    </row>
    <row r="41" spans="1:42" s="14" customFormat="1">
      <c r="B41" s="973"/>
      <c r="C41" s="35"/>
      <c r="E41" s="19" t="s">
        <v>663</v>
      </c>
      <c r="F41" s="23"/>
      <c r="G41" s="23"/>
      <c r="H41" s="23"/>
      <c r="I41" s="23"/>
      <c r="J41" s="23"/>
      <c r="K41" s="23">
        <f>'INPUT-Data(HP)'!T18</f>
        <v>1</v>
      </c>
      <c r="L41" s="634"/>
      <c r="M41" s="634"/>
      <c r="N41" s="634"/>
      <c r="O41" s="634"/>
      <c r="P41" s="21"/>
      <c r="Q41" s="43"/>
      <c r="R41" s="43"/>
      <c r="S41" s="43"/>
      <c r="T41" s="43"/>
      <c r="U41" s="43"/>
      <c r="V41" s="43"/>
      <c r="W41" s="43"/>
      <c r="X41" s="43"/>
      <c r="Y41" s="43"/>
      <c r="Z41" s="43"/>
      <c r="AA41" s="23"/>
      <c r="AB41" s="23"/>
      <c r="AC41" s="23"/>
      <c r="AD41" s="23"/>
      <c r="AE41" s="20"/>
      <c r="AF41" s="20"/>
      <c r="AG41" s="20"/>
      <c r="AH41" s="20"/>
      <c r="AI41" s="20"/>
      <c r="AJ41" s="23"/>
      <c r="AK41" s="634"/>
      <c r="AO41" s="628"/>
      <c r="AP41" s="628"/>
    </row>
    <row r="42" spans="1:42" s="1358" customFormat="1" ht="14.75">
      <c r="B42" s="1359" t="s">
        <v>734</v>
      </c>
      <c r="C42" s="1359" t="str">
        <f>'INPUT-Data(HP)'!C19</f>
        <v>H2 Production-CSP Solar Steam Reforming of Methane, centralized</v>
      </c>
      <c r="D42" s="1360" t="s">
        <v>340</v>
      </c>
      <c r="E42" s="1360"/>
      <c r="F42" s="1361">
        <f>IF('INPUT-Data(HP)'!K19=0,"",'INPUT-Data(HP)'!K19)</f>
        <v>1.1499999999999999</v>
      </c>
      <c r="G42" s="1361">
        <f t="shared" si="16"/>
        <v>1.1499999999999999</v>
      </c>
      <c r="H42" s="1361" t="str">
        <f>IF('INPUT-Data(HP)'!M19=0,"",'INPUT-Data(HP)'!M19)</f>
        <v/>
      </c>
      <c r="I42" s="1361" t="str">
        <f>IF('INPUT-Data(HP)'!N19=0,"",'INPUT-Data(HP)'!N19)</f>
        <v/>
      </c>
      <c r="J42" s="1361"/>
      <c r="K42" s="1361"/>
      <c r="L42" s="1361"/>
      <c r="M42" s="1361"/>
      <c r="N42" s="1361"/>
      <c r="O42" s="1361"/>
      <c r="P42" s="1362"/>
      <c r="Q42" s="1363">
        <f>F1*IF('INPUT-Data(HP)'!W19=0,"",'INPUT-Data(HP)'!W19)</f>
        <v>238.28165588504754</v>
      </c>
      <c r="R42" s="1363">
        <f t="shared" ref="R42" si="18">Q42</f>
        <v>238.28165588504754</v>
      </c>
      <c r="S42" s="1363"/>
      <c r="T42" s="1363"/>
      <c r="U42" s="1363"/>
      <c r="V42" s="1363">
        <f>F1*IF('INPUT-Data(HP)'!AB19=0,"",'INPUT-Data(HP)'!AB19)</f>
        <v>16.657370658630771</v>
      </c>
      <c r="W42" s="1363">
        <f t="shared" ref="W42" si="19">V42</f>
        <v>16.657370658630771</v>
      </c>
      <c r="X42" s="1363" t="str">
        <f>IF('INPUT-Data(HP)'!AD19=0,"",'INPUT-Data(HP)'!AD19)</f>
        <v/>
      </c>
      <c r="Y42" s="1363"/>
      <c r="Z42" s="1363"/>
      <c r="AA42" s="1364">
        <f>F1*IF('INPUT-Data(HP)'!AG19=0,"",'INPUT-Data(HP)'!AG19)</f>
        <v>8.1444061457781061E-2</v>
      </c>
      <c r="AB42" s="1364"/>
      <c r="AC42" s="1364"/>
      <c r="AD42" s="1364"/>
      <c r="AE42" s="1365">
        <f>IF('INPUT-Data(HP)'!AK19=0,"",'INPUT-Data(HP)'!AK19)</f>
        <v>20</v>
      </c>
      <c r="AF42" s="1365"/>
      <c r="AG42" s="1365"/>
      <c r="AH42" s="1365"/>
      <c r="AI42" s="1365">
        <v>2020</v>
      </c>
      <c r="AJ42" s="1364">
        <v>31.536000000000001</v>
      </c>
      <c r="AK42" s="1364"/>
      <c r="AL42" s="1358">
        <v>0</v>
      </c>
      <c r="AM42" s="1367">
        <v>83.38</v>
      </c>
      <c r="AN42" s="1367">
        <v>83.38</v>
      </c>
      <c r="AO42" s="1367"/>
    </row>
    <row r="43" spans="1:42" s="1358" customFormat="1">
      <c r="B43" s="1366"/>
      <c r="C43" s="1359"/>
      <c r="D43" s="1360" t="s">
        <v>597</v>
      </c>
      <c r="E43" s="1360"/>
      <c r="F43" s="1361">
        <f>IF('INPUT-Data(HP)'!P19=0,"",'INPUT-Data(HP)'!P19)</f>
        <v>0.23</v>
      </c>
      <c r="G43" s="1361">
        <f t="shared" si="16"/>
        <v>0.23</v>
      </c>
      <c r="H43" s="1361" t="str">
        <f>IF('INPUT-Data(HP)'!R19=0,"",'INPUT-Data(HP)'!R19)</f>
        <v/>
      </c>
      <c r="I43" s="1361" t="str">
        <f>IF('INPUT-Data(HP)'!S19=0,"",'INPUT-Data(HP)'!S19)</f>
        <v/>
      </c>
      <c r="J43" s="1361"/>
      <c r="K43" s="1361"/>
      <c r="L43" s="1361"/>
      <c r="M43" s="1361"/>
      <c r="N43" s="1361"/>
      <c r="O43" s="1361"/>
      <c r="P43" s="1362"/>
      <c r="Q43" s="1363"/>
      <c r="R43" s="1363"/>
      <c r="S43" s="1363"/>
      <c r="T43" s="1363"/>
      <c r="U43" s="1363"/>
      <c r="V43" s="1363"/>
      <c r="W43" s="1363"/>
      <c r="X43" s="1363"/>
      <c r="Y43" s="1363"/>
      <c r="Z43" s="1363"/>
      <c r="AA43" s="1364"/>
      <c r="AB43" s="1364"/>
      <c r="AC43" s="1364"/>
      <c r="AD43" s="1364"/>
      <c r="AE43" s="1365"/>
      <c r="AF43" s="1365"/>
      <c r="AG43" s="1365"/>
      <c r="AH43" s="1365"/>
      <c r="AI43" s="1365"/>
      <c r="AJ43" s="1360"/>
      <c r="AK43" s="1360"/>
    </row>
    <row r="44" spans="1:42" s="1358" customFormat="1">
      <c r="B44" s="1366"/>
      <c r="C44" s="1359"/>
      <c r="D44" s="1360"/>
      <c r="E44" s="1359" t="s">
        <v>663</v>
      </c>
      <c r="F44" s="1361"/>
      <c r="G44" s="1361"/>
      <c r="H44" s="1361"/>
      <c r="I44" s="1361"/>
      <c r="J44" s="1361"/>
      <c r="K44" s="1361">
        <f>'INPUT-Data(HP)'!T19</f>
        <v>1</v>
      </c>
      <c r="L44" s="1361"/>
      <c r="M44" s="1361"/>
      <c r="N44" s="1361"/>
      <c r="O44" s="1361"/>
      <c r="P44" s="1362"/>
      <c r="Q44" s="1363"/>
      <c r="R44" s="1363"/>
      <c r="S44" s="1363"/>
      <c r="T44" s="1363"/>
      <c r="U44" s="1363"/>
      <c r="V44" s="1363"/>
      <c r="W44" s="1363"/>
      <c r="X44" s="1363"/>
      <c r="Y44" s="1363"/>
      <c r="Z44" s="1363"/>
      <c r="AA44" s="1364"/>
      <c r="AB44" s="1364"/>
      <c r="AC44" s="1364"/>
      <c r="AD44" s="1364"/>
      <c r="AE44" s="1365"/>
      <c r="AF44" s="1365"/>
      <c r="AG44" s="1365"/>
      <c r="AH44" s="1365"/>
      <c r="AI44" s="1365"/>
      <c r="AJ44" s="1360"/>
      <c r="AK44" s="1360"/>
    </row>
    <row r="45" spans="1:42" s="14" customFormat="1">
      <c r="A45" s="622" t="s">
        <v>605</v>
      </c>
      <c r="B45" s="662" t="s">
        <v>735</v>
      </c>
      <c r="C45" s="662" t="str">
        <f>'INPUT-Data(HP)'!C28</f>
        <v>H2 Production-Central PO of Heavy Oil (CPO3)</v>
      </c>
      <c r="D45" s="14" t="s">
        <v>602</v>
      </c>
      <c r="F45" s="15">
        <f>IF('INPUT-Data(HP)'!K28=0,"",'INPUT-Data(HP)'!K28)</f>
        <v>1.3</v>
      </c>
      <c r="G45" s="15">
        <f t="shared" ref="G45:G46" si="20">F45</f>
        <v>1.3</v>
      </c>
      <c r="H45" s="15" t="str">
        <f>IF('INPUT-Data(HP)'!M28=0,"",'INPUT-Data(HP)'!M28)</f>
        <v/>
      </c>
      <c r="I45" s="15" t="str">
        <f>IF('INPUT-Data(HP)'!N28=0,"",'INPUT-Data(HP)'!N28)</f>
        <v/>
      </c>
      <c r="J45" s="15"/>
      <c r="K45" s="15"/>
      <c r="L45" s="629"/>
      <c r="M45" s="629"/>
      <c r="N45" s="629"/>
      <c r="O45" s="629"/>
      <c r="P45" s="21">
        <f>'INPUT-Data(HP)'!V28</f>
        <v>0.9</v>
      </c>
      <c r="Q45" s="43">
        <f>F1*IF('INPUT-Data(HP)'!W28=0,"",'INPUT-Data(HP)'!W28)</f>
        <v>332.02664811568496</v>
      </c>
      <c r="R45" s="43">
        <f t="shared" ref="R45" si="21">Q45</f>
        <v>332.02664811568496</v>
      </c>
      <c r="S45" s="43"/>
      <c r="T45" s="43"/>
      <c r="U45" s="43"/>
      <c r="V45" s="43">
        <f>F1*IF('INPUT-Data(HP)'!AB28=0,"",'INPUT-Data(HP)'!AB28)</f>
        <v>16.601332405784245</v>
      </c>
      <c r="W45" s="43">
        <f t="shared" ref="W45" si="22">V45</f>
        <v>16.601332405784245</v>
      </c>
      <c r="X45" s="43" t="str">
        <f>IF('INPUT-Data(HP)'!AD28=0,"",'INPUT-Data(HP)'!AD28)</f>
        <v/>
      </c>
      <c r="Y45" s="43"/>
      <c r="Z45" s="43"/>
      <c r="AA45" s="23">
        <f>F1*IF('INPUT-Data(HP)'!AG28=0,"",'INPUT-Data(HP)'!AG28)</f>
        <v>0.11106008380606508</v>
      </c>
      <c r="AB45" s="23"/>
      <c r="AC45" s="23"/>
      <c r="AD45" s="23"/>
      <c r="AE45" s="20">
        <f>IF('INPUT-Data(HP)'!AK28=0,"",'INPUT-Data(HP)'!AK28)</f>
        <v>25</v>
      </c>
      <c r="AF45" s="20"/>
      <c r="AG45" s="20"/>
      <c r="AH45" s="20"/>
      <c r="AI45" s="20">
        <f>IF('INPUT-Data(HP)'!AL28=0,"",'INPUT-Data(HP)'!AL28)</f>
        <v>2015</v>
      </c>
      <c r="AJ45" s="23">
        <v>31.536000000000001</v>
      </c>
      <c r="AK45" s="634"/>
      <c r="AO45" s="628"/>
      <c r="AP45" s="628"/>
    </row>
    <row r="46" spans="1:42" s="14" customFormat="1">
      <c r="A46" s="622" t="s">
        <v>605</v>
      </c>
      <c r="B46" s="973"/>
      <c r="C46" s="35"/>
      <c r="D46" s="14" t="s">
        <v>279</v>
      </c>
      <c r="E46" s="34"/>
      <c r="F46" s="15">
        <f>IF('INPUT-Data(HP)'!P28=0,"",'INPUT-Data(HP)'!P28)</f>
        <v>6.3E-2</v>
      </c>
      <c r="G46" s="23">
        <f t="shared" si="20"/>
        <v>6.3E-2</v>
      </c>
      <c r="H46" s="23" t="str">
        <f>IF('INPUT-Data(HP)'!R28=0,"",'INPUT-Data(HP)'!R28)</f>
        <v/>
      </c>
      <c r="I46" s="23" t="str">
        <f>IF('INPUT-Data(HP)'!S28=0,"",'INPUT-Data(HP)'!S28)</f>
        <v/>
      </c>
      <c r="J46" s="23"/>
      <c r="K46" s="15"/>
      <c r="L46" s="629"/>
      <c r="M46" s="629"/>
      <c r="N46" s="629"/>
      <c r="O46" s="629"/>
      <c r="P46" s="21"/>
      <c r="Q46" s="43"/>
      <c r="R46" s="43"/>
      <c r="S46" s="43"/>
      <c r="T46" s="43"/>
      <c r="U46" s="43"/>
      <c r="V46" s="43"/>
      <c r="W46" s="43"/>
      <c r="X46" s="43"/>
      <c r="Y46" s="43"/>
      <c r="Z46" s="43"/>
      <c r="AA46" s="23"/>
      <c r="AB46" s="23"/>
      <c r="AC46" s="23"/>
      <c r="AD46" s="23"/>
      <c r="AE46" s="20"/>
      <c r="AF46" s="20"/>
      <c r="AG46" s="20"/>
      <c r="AH46" s="20"/>
      <c r="AI46" s="20"/>
      <c r="AJ46" s="23"/>
      <c r="AK46" s="634"/>
      <c r="AO46" s="628"/>
      <c r="AP46" s="628"/>
    </row>
    <row r="47" spans="1:42" s="14" customFormat="1">
      <c r="A47" s="622" t="s">
        <v>605</v>
      </c>
      <c r="B47" s="975"/>
      <c r="C47" s="36"/>
      <c r="D47" s="13"/>
      <c r="E47" s="249" t="s">
        <v>663</v>
      </c>
      <c r="F47" s="24"/>
      <c r="G47" s="24"/>
      <c r="H47" s="24"/>
      <c r="I47" s="24"/>
      <c r="J47" s="24"/>
      <c r="K47" s="24">
        <f>'INPUT-Data(HP)'!T28</f>
        <v>1</v>
      </c>
      <c r="L47" s="635"/>
      <c r="M47" s="635"/>
      <c r="N47" s="635"/>
      <c r="O47" s="635"/>
      <c r="P47" s="25"/>
      <c r="Q47" s="55"/>
      <c r="R47" s="55"/>
      <c r="S47" s="55"/>
      <c r="T47" s="55"/>
      <c r="U47" s="55"/>
      <c r="V47" s="55"/>
      <c r="W47" s="55"/>
      <c r="X47" s="55"/>
      <c r="Y47" s="55"/>
      <c r="Z47" s="55"/>
      <c r="AA47" s="24"/>
      <c r="AB47" s="24"/>
      <c r="AC47" s="24"/>
      <c r="AD47" s="24"/>
      <c r="AE47" s="18"/>
      <c r="AF47" s="18"/>
      <c r="AG47" s="18"/>
      <c r="AH47" s="18"/>
      <c r="AI47" s="18"/>
      <c r="AJ47" s="24"/>
      <c r="AK47" s="635"/>
      <c r="AO47" s="628"/>
      <c r="AP47" s="628"/>
    </row>
    <row r="48" spans="1:42" s="628" customFormat="1">
      <c r="B48" s="971" t="s">
        <v>1137</v>
      </c>
      <c r="C48" s="662" t="s">
        <v>138</v>
      </c>
      <c r="D48" s="663" t="s">
        <v>601</v>
      </c>
      <c r="E48" s="664"/>
      <c r="F48" s="665">
        <v>2.78</v>
      </c>
      <c r="G48" s="665">
        <v>1.804</v>
      </c>
      <c r="H48" s="665" t="s">
        <v>729</v>
      </c>
      <c r="I48" s="665" t="s">
        <v>729</v>
      </c>
      <c r="J48" s="665"/>
      <c r="K48" s="665"/>
      <c r="L48" s="665"/>
      <c r="M48" s="665"/>
      <c r="N48" s="665"/>
      <c r="O48" s="665"/>
      <c r="P48" s="666">
        <v>0.9</v>
      </c>
      <c r="Q48" s="667">
        <v>2027.8842748837717</v>
      </c>
      <c r="R48" s="667">
        <v>992.29736227991407</v>
      </c>
      <c r="S48" s="667"/>
      <c r="T48" s="667"/>
      <c r="U48" s="667"/>
      <c r="V48" s="667">
        <v>101.28914202010134</v>
      </c>
      <c r="W48" s="667">
        <v>49.593853769178253</v>
      </c>
      <c r="X48" s="667" t="s">
        <v>729</v>
      </c>
      <c r="Y48" s="667"/>
      <c r="Z48" s="667"/>
      <c r="AA48" s="668">
        <v>0.71448653915235205</v>
      </c>
      <c r="AB48" s="668">
        <v>0.34961714382149289</v>
      </c>
      <c r="AC48" s="668"/>
      <c r="AD48" s="668"/>
      <c r="AE48" s="669">
        <v>20</v>
      </c>
      <c r="AF48" s="669"/>
      <c r="AG48" s="669"/>
      <c r="AH48" s="669"/>
      <c r="AI48" s="669">
        <v>2015</v>
      </c>
      <c r="AJ48" s="668">
        <v>31.536000000000001</v>
      </c>
      <c r="AK48" s="668"/>
    </row>
    <row r="49" spans="1:41" s="628" customFormat="1">
      <c r="B49" s="971"/>
      <c r="C49" s="662"/>
      <c r="D49" s="664" t="s">
        <v>279</v>
      </c>
      <c r="E49" s="664"/>
      <c r="F49" s="665">
        <v>0.19500000000000001</v>
      </c>
      <c r="G49" s="665">
        <v>9.7000000000000003E-2</v>
      </c>
      <c r="H49" s="665" t="s">
        <v>729</v>
      </c>
      <c r="I49" s="665" t="s">
        <v>729</v>
      </c>
      <c r="J49" s="665"/>
      <c r="K49" s="665"/>
      <c r="L49" s="665"/>
      <c r="M49" s="665"/>
      <c r="N49" s="665"/>
      <c r="O49" s="665"/>
      <c r="P49" s="666"/>
      <c r="Q49" s="667"/>
      <c r="R49" s="667"/>
      <c r="S49" s="667"/>
      <c r="T49" s="667"/>
      <c r="U49" s="667"/>
      <c r="V49" s="667"/>
      <c r="W49" s="667"/>
      <c r="X49" s="667"/>
      <c r="Y49" s="667"/>
      <c r="Z49" s="667"/>
      <c r="AA49" s="668"/>
      <c r="AB49" s="668"/>
      <c r="AC49" s="668"/>
      <c r="AD49" s="668"/>
      <c r="AE49" s="669"/>
      <c r="AF49" s="669"/>
      <c r="AG49" s="669"/>
      <c r="AH49" s="669"/>
      <c r="AI49" s="669"/>
      <c r="AJ49" s="663"/>
      <c r="AK49" s="663"/>
    </row>
    <row r="50" spans="1:41" s="628" customFormat="1">
      <c r="B50" s="971"/>
      <c r="C50" s="662"/>
      <c r="D50" s="663"/>
      <c r="E50" s="673" t="s">
        <v>233</v>
      </c>
      <c r="F50" s="665"/>
      <c r="G50" s="665"/>
      <c r="H50" s="665"/>
      <c r="I50" s="665"/>
      <c r="J50" s="665"/>
      <c r="K50" s="665">
        <v>1</v>
      </c>
      <c r="L50" s="665"/>
      <c r="M50" s="665"/>
      <c r="N50" s="665"/>
      <c r="O50" s="665"/>
      <c r="P50" s="666"/>
      <c r="Q50" s="667"/>
      <c r="R50" s="667"/>
      <c r="S50" s="667"/>
      <c r="T50" s="667"/>
      <c r="U50" s="667"/>
      <c r="V50" s="667"/>
      <c r="W50" s="667"/>
      <c r="X50" s="667"/>
      <c r="Y50" s="667"/>
      <c r="Z50" s="667"/>
      <c r="AA50" s="668"/>
      <c r="AB50" s="668"/>
      <c r="AC50" s="668"/>
      <c r="AD50" s="668"/>
      <c r="AE50" s="669"/>
      <c r="AF50" s="669"/>
      <c r="AG50" s="669"/>
      <c r="AH50" s="669"/>
      <c r="AI50" s="669"/>
      <c r="AJ50" s="663"/>
      <c r="AK50" s="663"/>
    </row>
    <row r="51" spans="1:41" s="628" customFormat="1">
      <c r="B51" s="973" t="s">
        <v>1138</v>
      </c>
      <c r="C51" s="639" t="s">
        <v>139</v>
      </c>
      <c r="D51" s="628" t="s">
        <v>601</v>
      </c>
      <c r="E51" s="630"/>
      <c r="F51" s="629">
        <v>2.78</v>
      </c>
      <c r="G51" s="629">
        <v>1.804</v>
      </c>
      <c r="H51" s="629" t="s">
        <v>729</v>
      </c>
      <c r="I51" s="629" t="s">
        <v>729</v>
      </c>
      <c r="J51" s="629"/>
      <c r="K51" s="629"/>
      <c r="L51" s="629"/>
      <c r="M51" s="629"/>
      <c r="N51" s="629"/>
      <c r="O51" s="629"/>
      <c r="P51" s="632">
        <v>0.9</v>
      </c>
      <c r="Q51" s="643">
        <v>2038.3914472924964</v>
      </c>
      <c r="R51" s="643">
        <v>1006.5871167557789</v>
      </c>
      <c r="S51" s="643"/>
      <c r="T51" s="643"/>
      <c r="U51" s="643"/>
      <c r="V51" s="643">
        <v>85.738526855189519</v>
      </c>
      <c r="W51" s="643">
        <v>50.224284113701707</v>
      </c>
      <c r="X51" s="643" t="s">
        <v>729</v>
      </c>
      <c r="Y51" s="643"/>
      <c r="Z51" s="643"/>
      <c r="AA51" s="634">
        <v>0.71818854194588755</v>
      </c>
      <c r="AB51" s="634">
        <v>0.35465186762070117</v>
      </c>
      <c r="AC51" s="634"/>
      <c r="AD51" s="634"/>
      <c r="AE51" s="631">
        <v>20</v>
      </c>
      <c r="AF51" s="631"/>
      <c r="AG51" s="631"/>
      <c r="AH51" s="631"/>
      <c r="AI51" s="631">
        <v>2015</v>
      </c>
      <c r="AJ51" s="634">
        <v>31.536000000000001</v>
      </c>
      <c r="AK51" s="634"/>
    </row>
    <row r="52" spans="1:41" s="628" customFormat="1">
      <c r="B52" s="973"/>
      <c r="C52" s="639"/>
      <c r="D52" s="628" t="s">
        <v>279</v>
      </c>
      <c r="E52" s="630"/>
      <c r="F52" s="629">
        <v>0.27</v>
      </c>
      <c r="G52" s="629">
        <v>0.14299999999999999</v>
      </c>
      <c r="H52" s="628" t="s">
        <v>729</v>
      </c>
      <c r="I52" s="628" t="s">
        <v>729</v>
      </c>
      <c r="K52" s="629"/>
      <c r="L52" s="629"/>
      <c r="M52" s="629"/>
      <c r="N52" s="629"/>
      <c r="O52" s="629"/>
      <c r="P52" s="632"/>
      <c r="Q52" s="643"/>
      <c r="R52" s="643"/>
      <c r="S52" s="643"/>
      <c r="T52" s="643"/>
      <c r="U52" s="643"/>
      <c r="V52" s="643"/>
      <c r="W52" s="643"/>
      <c r="X52" s="643"/>
      <c r="Y52" s="643"/>
      <c r="Z52" s="643"/>
      <c r="AA52" s="634"/>
      <c r="AB52" s="634"/>
      <c r="AC52" s="634"/>
      <c r="AD52" s="634"/>
      <c r="AE52" s="631"/>
      <c r="AF52" s="631"/>
      <c r="AG52" s="631"/>
      <c r="AH52" s="631"/>
      <c r="AI52" s="631"/>
      <c r="AJ52" s="634"/>
      <c r="AK52" s="634"/>
    </row>
    <row r="53" spans="1:41" s="628" customFormat="1">
      <c r="B53" s="973"/>
      <c r="C53" s="639"/>
      <c r="E53" s="630" t="s">
        <v>233</v>
      </c>
      <c r="F53" s="629"/>
      <c r="G53" s="629"/>
      <c r="H53" s="629"/>
      <c r="I53" s="629"/>
      <c r="J53" s="629"/>
      <c r="K53" s="634">
        <v>1</v>
      </c>
      <c r="L53" s="634"/>
      <c r="M53" s="634"/>
      <c r="N53" s="634"/>
      <c r="O53" s="634"/>
      <c r="P53" s="632"/>
      <c r="Q53" s="643"/>
      <c r="R53" s="643"/>
      <c r="S53" s="643"/>
      <c r="T53" s="643"/>
      <c r="U53" s="643"/>
      <c r="V53" s="643"/>
      <c r="W53" s="643"/>
      <c r="X53" s="643"/>
      <c r="Y53" s="643"/>
      <c r="Z53" s="643"/>
      <c r="AA53" s="634"/>
      <c r="AB53" s="634"/>
      <c r="AC53" s="634"/>
      <c r="AD53" s="634"/>
      <c r="AE53" s="631"/>
      <c r="AF53" s="631"/>
      <c r="AG53" s="631"/>
      <c r="AH53" s="631"/>
      <c r="AI53" s="631"/>
      <c r="AJ53" s="634"/>
      <c r="AK53" s="634"/>
    </row>
    <row r="54" spans="1:41" s="628" customFormat="1">
      <c r="B54" s="971" t="s">
        <v>1139</v>
      </c>
      <c r="C54" s="662" t="s">
        <v>140</v>
      </c>
      <c r="D54" s="663" t="s">
        <v>340</v>
      </c>
      <c r="E54" s="664"/>
      <c r="F54" s="665">
        <v>1.75</v>
      </c>
      <c r="G54" s="665">
        <v>1.75</v>
      </c>
      <c r="H54" s="665"/>
      <c r="I54" s="665"/>
      <c r="J54" s="665"/>
      <c r="K54" s="665"/>
      <c r="L54" s="665"/>
      <c r="M54" s="665"/>
      <c r="N54" s="665"/>
      <c r="O54" s="665"/>
      <c r="P54" s="666">
        <v>0.9</v>
      </c>
      <c r="Q54" s="667">
        <v>1532.5761675365129</v>
      </c>
      <c r="R54" s="667">
        <v>1532.5761675365129</v>
      </c>
      <c r="S54" s="667"/>
      <c r="T54" s="667"/>
      <c r="U54" s="667"/>
      <c r="V54" s="667">
        <v>61.361886866949362</v>
      </c>
      <c r="W54" s="667">
        <v>61.361886866949362</v>
      </c>
      <c r="X54" s="667" t="s">
        <v>729</v>
      </c>
      <c r="Y54" s="667"/>
      <c r="Z54" s="667"/>
      <c r="AA54" s="668">
        <v>0.53997412746508844</v>
      </c>
      <c r="AB54" s="668"/>
      <c r="AC54" s="668"/>
      <c r="AD54" s="668"/>
      <c r="AE54" s="669">
        <v>20</v>
      </c>
      <c r="AF54" s="669"/>
      <c r="AG54" s="669"/>
      <c r="AH54" s="669"/>
      <c r="AI54" s="669">
        <v>2015</v>
      </c>
      <c r="AJ54" s="668">
        <v>31.536000000000001</v>
      </c>
      <c r="AK54" s="668"/>
    </row>
    <row r="55" spans="1:41" s="628" customFormat="1">
      <c r="B55" s="972"/>
      <c r="C55" s="663"/>
      <c r="D55" s="664" t="s">
        <v>279</v>
      </c>
      <c r="E55" s="664"/>
      <c r="F55" s="665">
        <v>0.35</v>
      </c>
      <c r="G55" s="665">
        <v>0.35</v>
      </c>
      <c r="H55" s="665" t="s">
        <v>729</v>
      </c>
      <c r="I55" s="668" t="s">
        <v>729</v>
      </c>
      <c r="J55" s="668"/>
      <c r="K55" s="665"/>
      <c r="L55" s="665"/>
      <c r="M55" s="665"/>
      <c r="N55" s="665"/>
      <c r="O55" s="665"/>
      <c r="P55" s="663"/>
      <c r="Q55" s="670"/>
      <c r="R55" s="670"/>
      <c r="S55" s="670"/>
      <c r="T55" s="671"/>
      <c r="U55" s="671"/>
      <c r="V55" s="670"/>
      <c r="W55" s="670"/>
      <c r="X55" s="670"/>
      <c r="Y55" s="671"/>
      <c r="Z55" s="671"/>
      <c r="AA55" s="663"/>
      <c r="AB55" s="663"/>
      <c r="AC55" s="672"/>
      <c r="AD55" s="663"/>
      <c r="AE55" s="663"/>
      <c r="AF55" s="663"/>
      <c r="AG55" s="663"/>
      <c r="AH55" s="663"/>
      <c r="AI55" s="672"/>
      <c r="AJ55" s="663"/>
      <c r="AK55" s="663"/>
    </row>
    <row r="56" spans="1:41" s="628" customFormat="1">
      <c r="B56" s="974"/>
      <c r="C56" s="674"/>
      <c r="D56" s="674"/>
      <c r="E56" s="675" t="s">
        <v>233</v>
      </c>
      <c r="F56" s="682"/>
      <c r="G56" s="682"/>
      <c r="H56" s="682"/>
      <c r="I56" s="682"/>
      <c r="J56" s="682"/>
      <c r="K56" s="682">
        <v>1</v>
      </c>
      <c r="L56" s="682"/>
      <c r="M56" s="682"/>
      <c r="N56" s="682"/>
      <c r="O56" s="682"/>
      <c r="P56" s="674"/>
      <c r="Q56" s="683"/>
      <c r="R56" s="683"/>
      <c r="S56" s="683"/>
      <c r="T56" s="684"/>
      <c r="U56" s="684"/>
      <c r="V56" s="683"/>
      <c r="W56" s="683"/>
      <c r="X56" s="683"/>
      <c r="Y56" s="684"/>
      <c r="Z56" s="684"/>
      <c r="AA56" s="674"/>
      <c r="AB56" s="674"/>
      <c r="AC56" s="685"/>
      <c r="AD56" s="674"/>
      <c r="AE56" s="674"/>
      <c r="AF56" s="674"/>
      <c r="AG56" s="674"/>
      <c r="AH56" s="674"/>
      <c r="AI56" s="685"/>
      <c r="AJ56" s="674"/>
      <c r="AK56" s="674"/>
    </row>
    <row r="57" spans="1:41" s="628" customFormat="1">
      <c r="A57" s="622" t="s">
        <v>605</v>
      </c>
      <c r="B57" s="973" t="s">
        <v>1140</v>
      </c>
      <c r="C57" s="639" t="s">
        <v>141</v>
      </c>
      <c r="D57" s="628" t="s">
        <v>601</v>
      </c>
      <c r="F57" s="629">
        <v>1.36</v>
      </c>
      <c r="G57" s="629">
        <v>1.36</v>
      </c>
      <c r="H57" s="629" t="s">
        <v>729</v>
      </c>
      <c r="I57" s="629" t="s">
        <v>729</v>
      </c>
      <c r="J57" s="629"/>
      <c r="K57" s="629"/>
      <c r="L57" s="629"/>
      <c r="M57" s="629"/>
      <c r="N57" s="629"/>
      <c r="O57" s="629"/>
      <c r="P57" s="632">
        <v>0.9</v>
      </c>
      <c r="Q57" s="643">
        <v>399.27255153151987</v>
      </c>
      <c r="R57" s="643">
        <v>399.27255153151987</v>
      </c>
      <c r="S57" s="643"/>
      <c r="T57" s="643"/>
      <c r="U57" s="643"/>
      <c r="V57" s="643">
        <v>15.970902061260793</v>
      </c>
      <c r="W57" s="643">
        <v>15.970902061260793</v>
      </c>
      <c r="X57" s="643" t="s">
        <v>729</v>
      </c>
      <c r="Y57" s="643"/>
      <c r="Z57" s="643"/>
      <c r="AA57" s="634">
        <v>0.14067610615434911</v>
      </c>
      <c r="AB57" s="634"/>
      <c r="AC57" s="634"/>
      <c r="AD57" s="634"/>
      <c r="AE57" s="631">
        <v>20</v>
      </c>
      <c r="AF57" s="631"/>
      <c r="AG57" s="631"/>
      <c r="AH57" s="631"/>
      <c r="AI57" s="631">
        <v>2015</v>
      </c>
      <c r="AJ57" s="634">
        <v>31.536000000000001</v>
      </c>
      <c r="AK57" s="634"/>
    </row>
    <row r="58" spans="1:41" s="628" customFormat="1">
      <c r="A58" s="622" t="s">
        <v>605</v>
      </c>
      <c r="B58" s="973"/>
      <c r="C58" s="639"/>
      <c r="D58" s="628" t="s">
        <v>279</v>
      </c>
      <c r="E58" s="638"/>
      <c r="F58" s="629">
        <v>4.3999999999999997E-2</v>
      </c>
      <c r="G58" s="634">
        <v>4.3999999999999997E-2</v>
      </c>
      <c r="H58" s="634" t="s">
        <v>729</v>
      </c>
      <c r="I58" s="634" t="s">
        <v>729</v>
      </c>
      <c r="J58" s="634"/>
      <c r="K58" s="629"/>
      <c r="L58" s="629"/>
      <c r="M58" s="629"/>
      <c r="N58" s="629"/>
      <c r="O58" s="629"/>
      <c r="P58" s="632"/>
      <c r="Q58" s="643"/>
      <c r="R58" s="643"/>
      <c r="S58" s="643"/>
      <c r="T58" s="643"/>
      <c r="U58" s="643"/>
      <c r="V58" s="643"/>
      <c r="W58" s="643"/>
      <c r="X58" s="643"/>
      <c r="Y58" s="643"/>
      <c r="Z58" s="643"/>
      <c r="AA58" s="634"/>
      <c r="AB58" s="634"/>
      <c r="AC58" s="634"/>
      <c r="AD58" s="634"/>
      <c r="AE58" s="631"/>
      <c r="AF58" s="631"/>
      <c r="AG58" s="631"/>
      <c r="AH58" s="631"/>
      <c r="AI58" s="631"/>
      <c r="AJ58" s="634"/>
      <c r="AK58" s="634"/>
    </row>
    <row r="59" spans="1:41" s="628" customFormat="1">
      <c r="A59" s="622" t="s">
        <v>605</v>
      </c>
      <c r="B59" s="973"/>
      <c r="C59" s="639"/>
      <c r="E59" s="630" t="s">
        <v>233</v>
      </c>
      <c r="F59" s="634"/>
      <c r="G59" s="634"/>
      <c r="H59" s="634"/>
      <c r="I59" s="634"/>
      <c r="J59" s="634"/>
      <c r="K59" s="634">
        <v>1</v>
      </c>
      <c r="L59" s="634"/>
      <c r="M59" s="634"/>
      <c r="N59" s="634"/>
      <c r="O59" s="634"/>
      <c r="P59" s="632"/>
      <c r="Q59" s="643"/>
      <c r="R59" s="643"/>
      <c r="S59" s="643"/>
      <c r="T59" s="643"/>
      <c r="U59" s="643"/>
      <c r="V59" s="643"/>
      <c r="W59" s="643"/>
      <c r="X59" s="643"/>
      <c r="Y59" s="643"/>
      <c r="Z59" s="643"/>
      <c r="AA59" s="634"/>
      <c r="AB59" s="634"/>
      <c r="AC59" s="634"/>
      <c r="AD59" s="634"/>
      <c r="AE59" s="631"/>
      <c r="AF59" s="631"/>
      <c r="AG59" s="631"/>
      <c r="AH59" s="631"/>
      <c r="AI59" s="631"/>
      <c r="AJ59" s="634"/>
      <c r="AK59" s="634"/>
    </row>
    <row r="60" spans="1:41" s="628" customFormat="1" ht="14.75">
      <c r="B60" s="971" t="s">
        <v>1132</v>
      </c>
      <c r="C60" s="662" t="s">
        <v>142</v>
      </c>
      <c r="D60" s="663" t="s">
        <v>340</v>
      </c>
      <c r="E60" s="664"/>
      <c r="F60" s="665">
        <v>1.32</v>
      </c>
      <c r="G60" s="665">
        <v>1.32</v>
      </c>
      <c r="H60" s="665">
        <v>1.32</v>
      </c>
      <c r="I60" s="665">
        <v>1.25</v>
      </c>
      <c r="J60" s="665"/>
      <c r="K60" s="665"/>
      <c r="L60" s="665"/>
      <c r="M60" s="665"/>
      <c r="N60" s="665"/>
      <c r="O60" s="665"/>
      <c r="P60" s="666">
        <v>0.9</v>
      </c>
      <c r="Q60" s="667">
        <v>154.66557785642033</v>
      </c>
      <c r="R60" s="667">
        <v>154.66557785642033</v>
      </c>
      <c r="S60" s="667">
        <v>154.66557785642033</v>
      </c>
      <c r="T60" s="667">
        <v>121.67305649302629</v>
      </c>
      <c r="U60" s="667"/>
      <c r="V60" s="667">
        <v>7.5651641342814298</v>
      </c>
      <c r="W60" s="667">
        <v>7.5651641342814298</v>
      </c>
      <c r="X60" s="667">
        <v>7.5651641342814298</v>
      </c>
      <c r="Y60" s="667">
        <v>5.8840165488855556</v>
      </c>
      <c r="Z60" s="667"/>
      <c r="AA60" s="668">
        <v>5.9232044696568051E-2</v>
      </c>
      <c r="AB60" s="668"/>
      <c r="AC60" s="668">
        <v>5.9232044696568051E-2</v>
      </c>
      <c r="AD60" s="668">
        <v>3.7020027935355033E-2</v>
      </c>
      <c r="AE60" s="669">
        <v>20</v>
      </c>
      <c r="AF60" s="669"/>
      <c r="AG60" s="669"/>
      <c r="AH60" s="669"/>
      <c r="AI60" s="669">
        <v>2015</v>
      </c>
      <c r="AJ60" s="668">
        <v>31.536000000000001</v>
      </c>
      <c r="AK60" s="668">
        <v>0</v>
      </c>
      <c r="AL60" s="628">
        <v>0</v>
      </c>
      <c r="AM60" s="1261">
        <v>83.38</v>
      </c>
      <c r="AN60" s="1261">
        <v>83.38</v>
      </c>
      <c r="AO60" s="1261"/>
    </row>
    <row r="61" spans="1:41" s="628" customFormat="1">
      <c r="B61" s="971"/>
      <c r="C61" s="662"/>
      <c r="D61" s="664" t="s">
        <v>279</v>
      </c>
      <c r="E61" s="664"/>
      <c r="F61" s="665">
        <v>0.02</v>
      </c>
      <c r="G61" s="665">
        <v>0.02</v>
      </c>
      <c r="H61" s="665">
        <v>0.02</v>
      </c>
      <c r="I61" s="665">
        <v>2.1000000000000001E-2</v>
      </c>
      <c r="J61" s="665"/>
      <c r="K61" s="665"/>
      <c r="L61" s="665"/>
      <c r="M61" s="665"/>
      <c r="N61" s="665"/>
      <c r="O61" s="665"/>
      <c r="P61" s="666"/>
      <c r="Q61" s="667"/>
      <c r="R61" s="667"/>
      <c r="S61" s="667"/>
      <c r="T61" s="667"/>
      <c r="U61" s="667"/>
      <c r="V61" s="667"/>
      <c r="W61" s="667"/>
      <c r="X61" s="667"/>
      <c r="Y61" s="667"/>
      <c r="Z61" s="667"/>
      <c r="AA61" s="668"/>
      <c r="AB61" s="668"/>
      <c r="AC61" s="668"/>
      <c r="AD61" s="668"/>
      <c r="AE61" s="669"/>
      <c r="AF61" s="669"/>
      <c r="AG61" s="669"/>
      <c r="AH61" s="669"/>
      <c r="AI61" s="669"/>
      <c r="AJ61" s="663"/>
      <c r="AK61" s="663"/>
    </row>
    <row r="62" spans="1:41" s="628" customFormat="1">
      <c r="B62" s="971"/>
      <c r="C62" s="662"/>
      <c r="D62" s="663"/>
      <c r="E62" s="673" t="s">
        <v>233</v>
      </c>
      <c r="F62" s="665"/>
      <c r="G62" s="665"/>
      <c r="H62" s="665"/>
      <c r="I62" s="665"/>
      <c r="J62" s="665"/>
      <c r="K62" s="665">
        <v>1</v>
      </c>
      <c r="L62" s="665"/>
      <c r="M62" s="665"/>
      <c r="N62" s="665"/>
      <c r="O62" s="665"/>
      <c r="P62" s="666"/>
      <c r="Q62" s="667"/>
      <c r="R62" s="667"/>
      <c r="S62" s="667"/>
      <c r="T62" s="667"/>
      <c r="U62" s="667"/>
      <c r="V62" s="667"/>
      <c r="W62" s="667"/>
      <c r="X62" s="667"/>
      <c r="Y62" s="667"/>
      <c r="Z62" s="667"/>
      <c r="AA62" s="668"/>
      <c r="AB62" s="668"/>
      <c r="AC62" s="668"/>
      <c r="AD62" s="668"/>
      <c r="AE62" s="669"/>
      <c r="AF62" s="669"/>
      <c r="AG62" s="669"/>
      <c r="AH62" s="669"/>
      <c r="AI62" s="669"/>
      <c r="AJ62" s="663"/>
      <c r="AK62" s="663"/>
    </row>
    <row r="63" spans="1:41" s="628" customFormat="1" ht="14.75">
      <c r="B63" s="973" t="s">
        <v>1133</v>
      </c>
      <c r="C63" s="639" t="s">
        <v>143</v>
      </c>
      <c r="D63" s="628" t="s">
        <v>347</v>
      </c>
      <c r="E63" s="630"/>
      <c r="F63" s="629">
        <v>1.575</v>
      </c>
      <c r="G63" s="629">
        <v>1.575</v>
      </c>
      <c r="H63" s="629">
        <v>1.575</v>
      </c>
      <c r="I63" s="629">
        <v>1.48</v>
      </c>
      <c r="J63" s="629"/>
      <c r="K63" s="629"/>
      <c r="L63" s="629"/>
      <c r="M63" s="629"/>
      <c r="N63" s="629"/>
      <c r="O63" s="629"/>
      <c r="P63" s="632">
        <v>0.9</v>
      </c>
      <c r="Q63" s="643">
        <v>332.02664811568496</v>
      </c>
      <c r="R63" s="643">
        <v>332.02664811568496</v>
      </c>
      <c r="S63" s="643">
        <v>332.02664811568496</v>
      </c>
      <c r="T63" s="643">
        <v>264.78074469985</v>
      </c>
      <c r="U63" s="643"/>
      <c r="V63" s="643">
        <v>12.60860689046905</v>
      </c>
      <c r="W63" s="643">
        <v>12.60860689046905</v>
      </c>
      <c r="X63" s="643">
        <v>12.60860689046905</v>
      </c>
      <c r="Y63" s="643">
        <v>9.8066942481425929</v>
      </c>
      <c r="Z63" s="643"/>
      <c r="AA63" s="634">
        <v>0.11106008380606508</v>
      </c>
      <c r="AB63" s="634"/>
      <c r="AC63" s="634">
        <v>0.11106008380606508</v>
      </c>
      <c r="AD63" s="634">
        <v>3.7020027935355033E-2</v>
      </c>
      <c r="AE63" s="631">
        <v>20</v>
      </c>
      <c r="AF63" s="631"/>
      <c r="AG63" s="631"/>
      <c r="AH63" s="631"/>
      <c r="AI63" s="631">
        <v>2015</v>
      </c>
      <c r="AJ63" s="634">
        <v>31.536000000000001</v>
      </c>
      <c r="AK63" s="634">
        <v>0</v>
      </c>
      <c r="AL63" s="628">
        <v>0</v>
      </c>
      <c r="AM63" s="1261">
        <v>83.38</v>
      </c>
      <c r="AN63" s="1261">
        <v>83.38</v>
      </c>
      <c r="AO63" s="1261"/>
    </row>
    <row r="64" spans="1:41" s="628" customFormat="1">
      <c r="B64" s="973"/>
      <c r="C64" s="639"/>
      <c r="D64" s="628" t="s">
        <v>279</v>
      </c>
      <c r="E64" s="630"/>
      <c r="F64" s="629">
        <v>0.03</v>
      </c>
      <c r="G64" s="629">
        <v>0.03</v>
      </c>
      <c r="H64" s="628">
        <v>0.03</v>
      </c>
      <c r="I64" s="628">
        <v>0.02</v>
      </c>
      <c r="K64" s="629"/>
      <c r="L64" s="629"/>
      <c r="M64" s="629"/>
      <c r="N64" s="629"/>
      <c r="O64" s="629"/>
      <c r="P64" s="632"/>
      <c r="Q64" s="643"/>
      <c r="R64" s="643"/>
      <c r="S64" s="643"/>
      <c r="T64" s="643"/>
      <c r="U64" s="643"/>
      <c r="V64" s="643"/>
      <c r="W64" s="643"/>
      <c r="X64" s="643"/>
      <c r="Y64" s="643"/>
      <c r="Z64" s="643"/>
      <c r="AA64" s="634"/>
      <c r="AB64" s="634"/>
      <c r="AC64" s="634"/>
      <c r="AD64" s="634"/>
      <c r="AE64" s="631"/>
      <c r="AF64" s="631"/>
      <c r="AG64" s="631"/>
      <c r="AH64" s="631"/>
      <c r="AI64" s="631"/>
      <c r="AJ64" s="634"/>
      <c r="AK64" s="634"/>
    </row>
    <row r="65" spans="2:42" s="628" customFormat="1">
      <c r="B65" s="973"/>
      <c r="C65" s="639"/>
      <c r="E65" s="630" t="s">
        <v>233</v>
      </c>
      <c r="F65" s="629"/>
      <c r="G65" s="629"/>
      <c r="H65" s="629"/>
      <c r="I65" s="629"/>
      <c r="J65" s="629"/>
      <c r="K65" s="634">
        <v>1</v>
      </c>
      <c r="L65" s="634"/>
      <c r="M65" s="634"/>
      <c r="N65" s="634"/>
      <c r="O65" s="634"/>
      <c r="P65" s="632"/>
      <c r="Q65" s="643"/>
      <c r="R65" s="643"/>
      <c r="S65" s="643"/>
      <c r="T65" s="643"/>
      <c r="U65" s="643"/>
      <c r="V65" s="643"/>
      <c r="W65" s="643"/>
      <c r="X65" s="643"/>
      <c r="Y65" s="643"/>
      <c r="Z65" s="643"/>
      <c r="AA65" s="634"/>
      <c r="AB65" s="634"/>
      <c r="AC65" s="634"/>
      <c r="AD65" s="634"/>
      <c r="AE65" s="631"/>
      <c r="AF65" s="631"/>
      <c r="AG65" s="631"/>
      <c r="AH65" s="631"/>
      <c r="AI65" s="631"/>
      <c r="AJ65" s="634"/>
      <c r="AK65" s="634"/>
    </row>
    <row r="66" spans="2:42" s="628" customFormat="1">
      <c r="B66" s="971" t="s">
        <v>1134</v>
      </c>
      <c r="C66" s="662" t="s">
        <v>144</v>
      </c>
      <c r="D66" s="663" t="s">
        <v>340</v>
      </c>
      <c r="E66" s="664"/>
      <c r="F66" s="665">
        <v>1.52</v>
      </c>
      <c r="G66" s="665">
        <v>1.52</v>
      </c>
      <c r="H66" s="665">
        <v>1.52</v>
      </c>
      <c r="I66" s="665">
        <v>1.4</v>
      </c>
      <c r="J66" s="665"/>
      <c r="K66" s="665"/>
      <c r="L66" s="665"/>
      <c r="M66" s="665"/>
      <c r="N66" s="665"/>
      <c r="O66" s="665"/>
      <c r="P66" s="666">
        <v>0.9</v>
      </c>
      <c r="Q66" s="667">
        <v>218.89942518175434</v>
      </c>
      <c r="R66" s="667">
        <v>209.72316127813519</v>
      </c>
      <c r="S66" s="667">
        <v>209.72316127813519</v>
      </c>
      <c r="T66" s="667">
        <v>147.10041372213885</v>
      </c>
      <c r="U66" s="667"/>
      <c r="V66" s="667">
        <v>10.927459305073176</v>
      </c>
      <c r="W66" s="667">
        <v>10.927459305073176</v>
      </c>
      <c r="X66" s="667">
        <v>10.927459305073176</v>
      </c>
      <c r="Y66" s="667">
        <v>8.8260248233283338</v>
      </c>
      <c r="Z66" s="667"/>
      <c r="AA66" s="668">
        <v>0.4072203072889054</v>
      </c>
      <c r="AB66" s="668"/>
      <c r="AC66" s="668">
        <v>0.4072203072889054</v>
      </c>
      <c r="AD66" s="668">
        <v>5.1828039109497036E-2</v>
      </c>
      <c r="AE66" s="669">
        <v>20</v>
      </c>
      <c r="AF66" s="669"/>
      <c r="AG66" s="669"/>
      <c r="AH66" s="669"/>
      <c r="AI66" s="669">
        <v>2030</v>
      </c>
      <c r="AJ66" s="668">
        <v>31.536000000000001</v>
      </c>
      <c r="AK66" s="668">
        <v>0</v>
      </c>
      <c r="AL66" s="628">
        <v>0</v>
      </c>
      <c r="AM66" s="628">
        <f>AM63*0.1</f>
        <v>8.3379999999999992</v>
      </c>
      <c r="AN66" s="628">
        <f>AN63*0.1</f>
        <v>8.3379999999999992</v>
      </c>
      <c r="AO66" s="628">
        <f>AN63-AN66</f>
        <v>75.042000000000002</v>
      </c>
    </row>
    <row r="67" spans="2:42" s="628" customFormat="1">
      <c r="B67" s="972"/>
      <c r="C67" s="663"/>
      <c r="D67" s="664" t="s">
        <v>279</v>
      </c>
      <c r="E67" s="664"/>
      <c r="F67" s="665">
        <v>0.05</v>
      </c>
      <c r="G67" s="665">
        <v>0.05</v>
      </c>
      <c r="H67" s="665">
        <v>0.05</v>
      </c>
      <c r="I67" s="668">
        <v>3.9E-2</v>
      </c>
      <c r="J67" s="668"/>
      <c r="K67" s="665"/>
      <c r="L67" s="665"/>
      <c r="M67" s="665"/>
      <c r="N67" s="665"/>
      <c r="O67" s="665"/>
      <c r="P67" s="663"/>
      <c r="Q67" s="670"/>
      <c r="R67" s="670"/>
      <c r="S67" s="670"/>
      <c r="T67" s="671"/>
      <c r="U67" s="671"/>
      <c r="V67" s="670"/>
      <c r="W67" s="670"/>
      <c r="X67" s="670"/>
      <c r="Y67" s="671"/>
      <c r="Z67" s="671"/>
      <c r="AA67" s="663"/>
      <c r="AB67" s="663"/>
      <c r="AC67" s="672"/>
      <c r="AD67" s="663"/>
      <c r="AE67" s="663"/>
      <c r="AF67" s="663"/>
      <c r="AG67" s="663"/>
      <c r="AH67" s="663"/>
      <c r="AI67" s="672"/>
      <c r="AJ67" s="663"/>
      <c r="AK67" s="663"/>
    </row>
    <row r="68" spans="2:42" s="628" customFormat="1">
      <c r="B68" s="972"/>
      <c r="C68" s="663"/>
      <c r="D68" s="663"/>
      <c r="E68" s="673" t="s">
        <v>233</v>
      </c>
      <c r="F68" s="665"/>
      <c r="G68" s="665"/>
      <c r="H68" s="665"/>
      <c r="I68" s="665"/>
      <c r="J68" s="665"/>
      <c r="K68" s="665">
        <v>1</v>
      </c>
      <c r="L68" s="665"/>
      <c r="M68" s="665"/>
      <c r="N68" s="665"/>
      <c r="O68" s="665"/>
      <c r="P68" s="663"/>
      <c r="Q68" s="670"/>
      <c r="R68" s="670"/>
      <c r="S68" s="670"/>
      <c r="T68" s="671"/>
      <c r="U68" s="671"/>
      <c r="V68" s="670"/>
      <c r="W68" s="670"/>
      <c r="X68" s="670"/>
      <c r="Y68" s="671"/>
      <c r="Z68" s="671"/>
      <c r="AA68" s="663"/>
      <c r="AB68" s="663"/>
      <c r="AC68" s="672"/>
      <c r="AD68" s="663"/>
      <c r="AE68" s="663"/>
      <c r="AF68" s="663"/>
      <c r="AG68" s="663"/>
      <c r="AH68" s="663"/>
      <c r="AI68" s="672"/>
      <c r="AJ68" s="663"/>
      <c r="AK68" s="663"/>
    </row>
    <row r="69" spans="2:42" s="628" customFormat="1">
      <c r="B69" s="973" t="s">
        <v>1135</v>
      </c>
      <c r="C69" s="639" t="s">
        <v>145</v>
      </c>
      <c r="D69" s="663" t="s">
        <v>340</v>
      </c>
      <c r="F69" s="629">
        <v>1.65</v>
      </c>
      <c r="G69" s="629">
        <v>1.65</v>
      </c>
      <c r="H69" s="629">
        <v>1.65</v>
      </c>
      <c r="I69" s="629">
        <v>1.4</v>
      </c>
      <c r="J69" s="629"/>
      <c r="K69" s="629"/>
      <c r="L69" s="629"/>
      <c r="M69" s="629"/>
      <c r="N69" s="629"/>
      <c r="O69" s="629"/>
      <c r="P69" s="632">
        <v>0.9</v>
      </c>
      <c r="Q69" s="643">
        <v>453.90984805688578</v>
      </c>
      <c r="R69" s="643">
        <v>434.57665082483322</v>
      </c>
      <c r="S69" s="643">
        <v>434.57665082483322</v>
      </c>
      <c r="T69" s="643">
        <v>346.56112660714547</v>
      </c>
      <c r="U69" s="643"/>
      <c r="V69" s="643">
        <v>22.695492402844287</v>
      </c>
      <c r="W69" s="643">
        <v>22.695492402844287</v>
      </c>
      <c r="X69" s="643">
        <v>22.695492402844287</v>
      </c>
      <c r="Y69" s="643">
        <v>18.330974633066539</v>
      </c>
      <c r="Z69" s="643"/>
      <c r="AA69" s="634">
        <v>0.1554841173284911</v>
      </c>
      <c r="AB69" s="634"/>
      <c r="AC69" s="634">
        <v>0.1554841173284911</v>
      </c>
      <c r="AD69" s="634">
        <v>5.1828039109497036E-2</v>
      </c>
      <c r="AE69" s="631">
        <v>20</v>
      </c>
      <c r="AF69" s="631"/>
      <c r="AG69" s="631"/>
      <c r="AH69" s="631"/>
      <c r="AI69" s="631">
        <v>2030</v>
      </c>
      <c r="AJ69" s="634">
        <v>31.536000000000001</v>
      </c>
      <c r="AK69" s="634">
        <v>0</v>
      </c>
      <c r="AL69" s="628">
        <v>0</v>
      </c>
      <c r="AM69" s="628">
        <f>AM66</f>
        <v>8.3379999999999992</v>
      </c>
      <c r="AN69" s="628">
        <f>AN66</f>
        <v>8.3379999999999992</v>
      </c>
      <c r="AO69" s="628">
        <f>AO66</f>
        <v>75.042000000000002</v>
      </c>
    </row>
    <row r="70" spans="2:42" s="628" customFormat="1">
      <c r="B70" s="973"/>
      <c r="C70" s="639"/>
      <c r="D70" s="628" t="s">
        <v>279</v>
      </c>
      <c r="E70" s="638"/>
      <c r="F70" s="629">
        <v>6.7000000000000004E-2</v>
      </c>
      <c r="G70" s="634">
        <v>6.7000000000000004E-2</v>
      </c>
      <c r="H70" s="634">
        <v>6.7000000000000004E-2</v>
      </c>
      <c r="I70" s="634">
        <v>3.9E-2</v>
      </c>
      <c r="J70" s="634"/>
      <c r="K70" s="629"/>
      <c r="L70" s="629"/>
      <c r="M70" s="629"/>
      <c r="N70" s="629"/>
      <c r="O70" s="629"/>
      <c r="P70" s="632"/>
      <c r="Q70" s="643"/>
      <c r="R70" s="643"/>
      <c r="S70" s="643"/>
      <c r="T70" s="643"/>
      <c r="U70" s="643"/>
      <c r="V70" s="643"/>
      <c r="W70" s="643"/>
      <c r="X70" s="643"/>
      <c r="Y70" s="643"/>
      <c r="Z70" s="643"/>
      <c r="AA70" s="634"/>
      <c r="AB70" s="634"/>
      <c r="AC70" s="634"/>
      <c r="AD70" s="634"/>
      <c r="AE70" s="631"/>
      <c r="AF70" s="631"/>
      <c r="AG70" s="631"/>
      <c r="AH70" s="631"/>
      <c r="AI70" s="631"/>
      <c r="AJ70" s="634"/>
      <c r="AK70" s="634"/>
    </row>
    <row r="71" spans="2:42" s="628" customFormat="1">
      <c r="B71" s="973"/>
      <c r="C71" s="639"/>
      <c r="E71" s="630" t="s">
        <v>233</v>
      </c>
      <c r="F71" s="634"/>
      <c r="G71" s="634"/>
      <c r="H71" s="634"/>
      <c r="I71" s="634"/>
      <c r="J71" s="634"/>
      <c r="K71" s="634">
        <v>1</v>
      </c>
      <c r="L71" s="634"/>
      <c r="M71" s="634"/>
      <c r="N71" s="634"/>
      <c r="O71" s="634"/>
      <c r="P71" s="632"/>
      <c r="Q71" s="643"/>
      <c r="R71" s="643"/>
      <c r="S71" s="643"/>
      <c r="T71" s="643"/>
      <c r="U71" s="643"/>
      <c r="V71" s="643"/>
      <c r="W71" s="643"/>
      <c r="X71" s="643"/>
      <c r="Y71" s="643"/>
      <c r="Z71" s="643"/>
      <c r="AA71" s="634"/>
      <c r="AB71" s="634"/>
      <c r="AC71" s="634"/>
      <c r="AD71" s="634"/>
      <c r="AE71" s="631"/>
      <c r="AF71" s="631"/>
      <c r="AG71" s="631"/>
      <c r="AH71" s="631"/>
      <c r="AI71" s="631"/>
      <c r="AJ71" s="634"/>
      <c r="AK71" s="634"/>
    </row>
    <row r="72" spans="2:42" s="1358" customFormat="1" ht="14.75">
      <c r="B72" s="1366" t="s">
        <v>1136</v>
      </c>
      <c r="C72" s="1359" t="s">
        <v>490</v>
      </c>
      <c r="D72" s="1360" t="s">
        <v>340</v>
      </c>
      <c r="E72" s="1360"/>
      <c r="F72" s="1361">
        <v>1.1499999999999999</v>
      </c>
      <c r="G72" s="1361">
        <v>1.1499999999999999</v>
      </c>
      <c r="H72" s="1361" t="s">
        <v>729</v>
      </c>
      <c r="I72" s="1361" t="s">
        <v>729</v>
      </c>
      <c r="J72" s="1361"/>
      <c r="K72" s="1361"/>
      <c r="L72" s="1361"/>
      <c r="M72" s="1361"/>
      <c r="N72" s="1361"/>
      <c r="O72" s="1361"/>
      <c r="P72" s="1362"/>
      <c r="Q72" s="1363">
        <v>238.28165588504754</v>
      </c>
      <c r="R72" s="1363">
        <v>238.28165588504754</v>
      </c>
      <c r="S72" s="1363"/>
      <c r="T72" s="1363"/>
      <c r="U72" s="1363"/>
      <c r="V72" s="1363">
        <v>16.657370658630771</v>
      </c>
      <c r="W72" s="1363">
        <v>16.657370658630771</v>
      </c>
      <c r="X72" s="1363" t="s">
        <v>729</v>
      </c>
      <c r="Y72" s="1363"/>
      <c r="Z72" s="1363"/>
      <c r="AA72" s="1364">
        <v>8.1444061457781061E-2</v>
      </c>
      <c r="AB72" s="1364"/>
      <c r="AC72" s="1364"/>
      <c r="AD72" s="1364"/>
      <c r="AE72" s="1365">
        <v>20</v>
      </c>
      <c r="AF72" s="1365"/>
      <c r="AG72" s="1365"/>
      <c r="AH72" s="1365"/>
      <c r="AI72" s="1365">
        <v>2020</v>
      </c>
      <c r="AJ72" s="1364">
        <v>31.536000000000001</v>
      </c>
      <c r="AK72" s="1364">
        <v>0</v>
      </c>
      <c r="AL72" s="1358">
        <v>0</v>
      </c>
      <c r="AM72" s="1367">
        <v>83.38</v>
      </c>
      <c r="AN72" s="1367">
        <v>83.38</v>
      </c>
      <c r="AO72" s="1367"/>
    </row>
    <row r="73" spans="2:42" s="1358" customFormat="1">
      <c r="B73" s="1366"/>
      <c r="C73" s="1359"/>
      <c r="D73" s="1360" t="s">
        <v>597</v>
      </c>
      <c r="E73" s="1360"/>
      <c r="F73" s="1361">
        <v>0.23</v>
      </c>
      <c r="G73" s="1361">
        <v>0.23</v>
      </c>
      <c r="H73" s="1361" t="s">
        <v>729</v>
      </c>
      <c r="I73" s="1361" t="s">
        <v>729</v>
      </c>
      <c r="J73" s="1361"/>
      <c r="K73" s="1361"/>
      <c r="L73" s="1361"/>
      <c r="M73" s="1361"/>
      <c r="N73" s="1361"/>
      <c r="O73" s="1361"/>
      <c r="P73" s="1362"/>
      <c r="Q73" s="1363"/>
      <c r="R73" s="1363"/>
      <c r="S73" s="1363"/>
      <c r="T73" s="1363"/>
      <c r="U73" s="1363"/>
      <c r="V73" s="1363"/>
      <c r="W73" s="1363"/>
      <c r="X73" s="1363"/>
      <c r="Y73" s="1363"/>
      <c r="Z73" s="1363"/>
      <c r="AA73" s="1364"/>
      <c r="AB73" s="1364"/>
      <c r="AC73" s="1364"/>
      <c r="AD73" s="1364"/>
      <c r="AE73" s="1365"/>
      <c r="AF73" s="1365"/>
      <c r="AG73" s="1365"/>
      <c r="AH73" s="1365"/>
      <c r="AI73" s="1365"/>
      <c r="AJ73" s="1360"/>
      <c r="AK73" s="1360"/>
    </row>
    <row r="74" spans="2:42" s="1358" customFormat="1">
      <c r="B74" s="1366"/>
      <c r="C74" s="1359"/>
      <c r="D74" s="1360"/>
      <c r="E74" s="1359" t="s">
        <v>233</v>
      </c>
      <c r="F74" s="1361"/>
      <c r="G74" s="1361"/>
      <c r="H74" s="1361"/>
      <c r="I74" s="1361"/>
      <c r="J74" s="1361"/>
      <c r="K74" s="1361">
        <v>1</v>
      </c>
      <c r="L74" s="1361"/>
      <c r="M74" s="1361"/>
      <c r="N74" s="1361"/>
      <c r="O74" s="1361"/>
      <c r="P74" s="1362"/>
      <c r="Q74" s="1363"/>
      <c r="R74" s="1363"/>
      <c r="S74" s="1363"/>
      <c r="T74" s="1363"/>
      <c r="U74" s="1363"/>
      <c r="V74" s="1363"/>
      <c r="W74" s="1363"/>
      <c r="X74" s="1363"/>
      <c r="Y74" s="1363"/>
      <c r="Z74" s="1363"/>
      <c r="AA74" s="1364"/>
      <c r="AB74" s="1364"/>
      <c r="AC74" s="1364"/>
      <c r="AD74" s="1364"/>
      <c r="AE74" s="1365"/>
      <c r="AF74" s="1365"/>
      <c r="AG74" s="1365"/>
      <c r="AH74" s="1365"/>
      <c r="AI74" s="1365"/>
      <c r="AJ74" s="1360"/>
      <c r="AK74" s="1360"/>
    </row>
    <row r="75" spans="2:42" s="554" customFormat="1">
      <c r="B75" s="984" t="s">
        <v>1191</v>
      </c>
      <c r="C75" s="216" t="s">
        <v>1215</v>
      </c>
      <c r="D75" s="554" t="s">
        <v>279</v>
      </c>
      <c r="E75" s="519"/>
      <c r="F75" s="1168" t="str">
        <f>IF('INPUT-Data(HP)'!K29=0,"",'INPUT-Data(HP)'!K29)</f>
        <v/>
      </c>
      <c r="G75" s="1168" t="str">
        <f>F75</f>
        <v/>
      </c>
      <c r="H75" s="1168" t="str">
        <f>IF('INPUT-Data(HP)'!M29=0,"",'INPUT-Data(HP)'!M29)</f>
        <v/>
      </c>
      <c r="I75" s="1168">
        <f>IF('INPUT-Data(HP)'!N29=0,"",'INPUT-Data(HP)'!N29)+0.018</f>
        <v>1.5564615384615383</v>
      </c>
      <c r="J75" s="1168">
        <f>'INPUT-Data(HP)'!O29+0.018</f>
        <v>1.4465714285714286</v>
      </c>
      <c r="K75" s="553"/>
      <c r="L75" s="553"/>
      <c r="M75" s="553"/>
      <c r="N75" s="553"/>
      <c r="O75" s="553"/>
      <c r="P75" s="617"/>
      <c r="Q75" s="606"/>
      <c r="R75" s="606"/>
      <c r="S75" s="606"/>
      <c r="T75" s="1167">
        <f>IF('INPUT-Data(HP)'!Z29=0,"",'INPUT-Data(HP)'!Z29)</f>
        <v>253.87383289211391</v>
      </c>
      <c r="U75" s="1167">
        <f>IF('INPUT-Data(HP)'!AA29=0,"",'INPUT-Data(HP)'!AA29)</f>
        <v>126.93691644605696</v>
      </c>
      <c r="V75" s="1167" t="str">
        <f>IF('INPUT-Data(HP)'!AB29=0,"",'INPUT-Data(HP)'!AB29)</f>
        <v/>
      </c>
      <c r="W75" s="1167" t="str">
        <f>IF('INPUT-Data(HP)'!AC29=0,"",'INPUT-Data(HP)'!AC29)</f>
        <v/>
      </c>
      <c r="X75" s="1167" t="str">
        <f>IF('INPUT-Data(HP)'!AD29=0,"",'INPUT-Data(HP)'!AD29)</f>
        <v/>
      </c>
      <c r="Y75" s="1167">
        <f>IF('INPUT-Data(HP)'!AE29=0,"",'INPUT-Data(HP)'!AE29)</f>
        <v>3.8081074933817085</v>
      </c>
      <c r="Z75" s="1167">
        <f>IF('INPUT-Data(HP)'!AF29=0,"",'INPUT-Data(HP)'!AF29)</f>
        <v>1.9040537466908543</v>
      </c>
      <c r="AA75" s="1166"/>
      <c r="AB75" s="606"/>
      <c r="AC75" s="1166"/>
      <c r="AD75" s="553"/>
      <c r="AE75" s="606">
        <f>IF('INPUT-Data(HP)'!AK29=0,"",'INPUT-Data(HP)'!AK29)</f>
        <v>20</v>
      </c>
      <c r="AF75" s="606"/>
      <c r="AG75" s="606"/>
      <c r="AH75" s="606"/>
      <c r="AI75" s="552">
        <f>IF('INPUT-Data(HP)'!AL29=0,"",'INPUT-Data(HP)'!AL29)</f>
        <v>2030</v>
      </c>
      <c r="AJ75" s="553">
        <v>31.536000000000001</v>
      </c>
      <c r="AK75" s="553"/>
    </row>
    <row r="76" spans="2:42" s="14" customFormat="1">
      <c r="B76" s="973"/>
      <c r="C76" s="35"/>
      <c r="E76" s="19" t="s">
        <v>663</v>
      </c>
      <c r="F76" s="964"/>
      <c r="G76" s="964"/>
      <c r="H76" s="964"/>
      <c r="I76" s="964"/>
      <c r="J76" s="964"/>
      <c r="K76" s="23">
        <f>'INPUT-Data(HP)'!T29</f>
        <v>1</v>
      </c>
      <c r="L76" s="634"/>
      <c r="M76" s="634"/>
      <c r="N76" s="634"/>
      <c r="O76" s="634"/>
      <c r="P76" s="21"/>
      <c r="Q76" s="43"/>
      <c r="R76" s="43"/>
      <c r="S76" s="43"/>
      <c r="T76" s="966"/>
      <c r="U76" s="966"/>
      <c r="V76" s="966"/>
      <c r="W76" s="966"/>
      <c r="X76" s="966"/>
      <c r="Y76" s="966"/>
      <c r="Z76" s="966"/>
      <c r="AA76" s="43"/>
      <c r="AB76" s="43"/>
      <c r="AC76" s="43"/>
      <c r="AD76" s="43"/>
      <c r="AE76" s="43"/>
      <c r="AF76" s="43"/>
      <c r="AG76" s="43"/>
      <c r="AH76" s="43"/>
      <c r="AI76" s="20"/>
      <c r="AJ76" s="23"/>
      <c r="AK76" s="634"/>
      <c r="AO76" s="628"/>
      <c r="AP76" s="628"/>
    </row>
    <row r="77" spans="2:42" s="628" customFormat="1">
      <c r="B77" s="973" t="s">
        <v>1192</v>
      </c>
      <c r="C77" s="638" t="s">
        <v>995</v>
      </c>
      <c r="D77" s="628" t="s">
        <v>598</v>
      </c>
      <c r="E77" s="630"/>
      <c r="F77" s="964" t="s">
        <v>729</v>
      </c>
      <c r="G77" s="964" t="s">
        <v>729</v>
      </c>
      <c r="H77" s="964" t="s">
        <v>729</v>
      </c>
      <c r="I77" s="964">
        <f>IF(I$75=0,"",I$75)</f>
        <v>1.5564615384615383</v>
      </c>
      <c r="J77" s="964">
        <f>IF(J$75=0,"",J$75)</f>
        <v>1.4465714285714286</v>
      </c>
      <c r="K77" s="964" t="str">
        <f>IF(K$75=0,"",K$75)</f>
        <v/>
      </c>
      <c r="L77" s="964"/>
      <c r="M77" s="964"/>
      <c r="N77" s="964"/>
      <c r="O77" s="964"/>
      <c r="P77" s="964"/>
      <c r="Q77" s="964" t="str">
        <f t="shared" ref="Q77:AK77" si="23">IF(Q$75=0,"",Q$75)</f>
        <v/>
      </c>
      <c r="R77" s="964" t="str">
        <f t="shared" si="23"/>
        <v/>
      </c>
      <c r="S77" s="964" t="str">
        <f t="shared" si="23"/>
        <v/>
      </c>
      <c r="T77" s="964">
        <f t="shared" si="23"/>
        <v>253.87383289211391</v>
      </c>
      <c r="U77" s="964">
        <f t="shared" si="23"/>
        <v>126.93691644605696</v>
      </c>
      <c r="V77" s="964" t="str">
        <f t="shared" si="23"/>
        <v/>
      </c>
      <c r="W77" s="964" t="str">
        <f t="shared" si="23"/>
        <v/>
      </c>
      <c r="X77" s="964" t="str">
        <f t="shared" si="23"/>
        <v/>
      </c>
      <c r="Y77" s="964">
        <f t="shared" si="23"/>
        <v>3.8081074933817085</v>
      </c>
      <c r="Z77" s="964">
        <f t="shared" si="23"/>
        <v>1.9040537466908543</v>
      </c>
      <c r="AA77" s="964" t="str">
        <f t="shared" si="23"/>
        <v/>
      </c>
      <c r="AB77" s="964" t="str">
        <f t="shared" si="23"/>
        <v/>
      </c>
      <c r="AC77" s="964" t="str">
        <f t="shared" si="23"/>
        <v/>
      </c>
      <c r="AD77" s="964" t="str">
        <f t="shared" si="23"/>
        <v/>
      </c>
      <c r="AE77" s="964">
        <f t="shared" si="23"/>
        <v>20</v>
      </c>
      <c r="AF77" s="964" t="str">
        <f t="shared" si="23"/>
        <v/>
      </c>
      <c r="AG77" s="964" t="str">
        <f t="shared" si="23"/>
        <v/>
      </c>
      <c r="AH77" s="964" t="str">
        <f t="shared" si="23"/>
        <v/>
      </c>
      <c r="AI77" s="964">
        <f t="shared" si="23"/>
        <v>2030</v>
      </c>
      <c r="AJ77" s="964">
        <f t="shared" si="23"/>
        <v>31.536000000000001</v>
      </c>
      <c r="AK77" s="964" t="str">
        <f t="shared" si="23"/>
        <v/>
      </c>
    </row>
    <row r="78" spans="2:42" s="628" customFormat="1">
      <c r="B78" s="973"/>
      <c r="C78" s="639"/>
      <c r="E78" s="630" t="s">
        <v>663</v>
      </c>
      <c r="F78" s="964"/>
      <c r="G78" s="964"/>
      <c r="H78" s="964"/>
      <c r="I78" s="964" t="str">
        <f>IF(I$76=0,"",I$76)</f>
        <v/>
      </c>
      <c r="J78" s="964" t="str">
        <f>IF(J$76=0,"",J$76)</f>
        <v/>
      </c>
      <c r="K78" s="964">
        <f>IF(K$76=0,"",K$76)</f>
        <v>1</v>
      </c>
      <c r="L78" s="964"/>
      <c r="M78" s="964"/>
      <c r="N78" s="964"/>
      <c r="O78" s="964"/>
      <c r="P78" s="964"/>
      <c r="Q78" s="964" t="str">
        <f t="shared" ref="Q78:AK78" si="24">IF(Q$76=0,"",Q$76)</f>
        <v/>
      </c>
      <c r="R78" s="964" t="str">
        <f t="shared" si="24"/>
        <v/>
      </c>
      <c r="S78" s="964" t="str">
        <f t="shared" si="24"/>
        <v/>
      </c>
      <c r="T78" s="964" t="str">
        <f t="shared" si="24"/>
        <v/>
      </c>
      <c r="U78" s="964" t="str">
        <f t="shared" si="24"/>
        <v/>
      </c>
      <c r="V78" s="964" t="str">
        <f t="shared" si="24"/>
        <v/>
      </c>
      <c r="W78" s="964" t="str">
        <f t="shared" si="24"/>
        <v/>
      </c>
      <c r="X78" s="964" t="str">
        <f t="shared" si="24"/>
        <v/>
      </c>
      <c r="Y78" s="964" t="str">
        <f t="shared" si="24"/>
        <v/>
      </c>
      <c r="Z78" s="964" t="str">
        <f t="shared" si="24"/>
        <v/>
      </c>
      <c r="AA78" s="964" t="str">
        <f t="shared" si="24"/>
        <v/>
      </c>
      <c r="AB78" s="964" t="str">
        <f t="shared" si="24"/>
        <v/>
      </c>
      <c r="AC78" s="964" t="str">
        <f t="shared" si="24"/>
        <v/>
      </c>
      <c r="AD78" s="964" t="str">
        <f t="shared" si="24"/>
        <v/>
      </c>
      <c r="AE78" s="964" t="str">
        <f t="shared" si="24"/>
        <v/>
      </c>
      <c r="AF78" s="964" t="str">
        <f t="shared" si="24"/>
        <v/>
      </c>
      <c r="AG78" s="964" t="str">
        <f t="shared" si="24"/>
        <v/>
      </c>
      <c r="AH78" s="964" t="str">
        <f t="shared" si="24"/>
        <v/>
      </c>
      <c r="AI78" s="964" t="str">
        <f t="shared" si="24"/>
        <v/>
      </c>
      <c r="AJ78" s="964" t="str">
        <f t="shared" si="24"/>
        <v/>
      </c>
      <c r="AK78" s="964" t="str">
        <f t="shared" si="24"/>
        <v/>
      </c>
    </row>
    <row r="79" spans="2:42" s="628" customFormat="1">
      <c r="B79" s="973" t="s">
        <v>1193</v>
      </c>
      <c r="C79" s="638" t="s">
        <v>996</v>
      </c>
      <c r="D79" s="628" t="s">
        <v>546</v>
      </c>
      <c r="E79" s="630"/>
      <c r="F79" s="964" t="s">
        <v>729</v>
      </c>
      <c r="G79" s="964" t="s">
        <v>729</v>
      </c>
      <c r="H79" s="964" t="s">
        <v>729</v>
      </c>
      <c r="I79" s="964">
        <f>IF(I$75=0,"",I$75)</f>
        <v>1.5564615384615383</v>
      </c>
      <c r="J79" s="964">
        <f>IF(J$75=0,"",J$75)</f>
        <v>1.4465714285714286</v>
      </c>
      <c r="K79" s="964" t="str">
        <f>IF(K$75=0,"",K$75)</f>
        <v/>
      </c>
      <c r="L79" s="964"/>
      <c r="M79" s="964"/>
      <c r="N79" s="964"/>
      <c r="O79" s="964"/>
      <c r="P79" s="964"/>
      <c r="Q79" s="964" t="str">
        <f t="shared" ref="Q79:AK79" si="25">IF(Q$75=0,"",Q$75)</f>
        <v/>
      </c>
      <c r="R79" s="964" t="str">
        <f t="shared" si="25"/>
        <v/>
      </c>
      <c r="S79" s="964" t="str">
        <f t="shared" si="25"/>
        <v/>
      </c>
      <c r="T79" s="964">
        <f t="shared" si="25"/>
        <v>253.87383289211391</v>
      </c>
      <c r="U79" s="964">
        <f t="shared" si="25"/>
        <v>126.93691644605696</v>
      </c>
      <c r="V79" s="964" t="str">
        <f t="shared" si="25"/>
        <v/>
      </c>
      <c r="W79" s="964" t="str">
        <f t="shared" si="25"/>
        <v/>
      </c>
      <c r="X79" s="964" t="str">
        <f t="shared" si="25"/>
        <v/>
      </c>
      <c r="Y79" s="964">
        <f t="shared" si="25"/>
        <v>3.8081074933817085</v>
      </c>
      <c r="Z79" s="964">
        <f t="shared" si="25"/>
        <v>1.9040537466908543</v>
      </c>
      <c r="AA79" s="964" t="str">
        <f t="shared" si="25"/>
        <v/>
      </c>
      <c r="AB79" s="964" t="str">
        <f t="shared" si="25"/>
        <v/>
      </c>
      <c r="AC79" s="964" t="str">
        <f t="shared" si="25"/>
        <v/>
      </c>
      <c r="AD79" s="964" t="str">
        <f t="shared" si="25"/>
        <v/>
      </c>
      <c r="AE79" s="964">
        <f t="shared" si="25"/>
        <v>20</v>
      </c>
      <c r="AF79" s="964" t="str">
        <f t="shared" si="25"/>
        <v/>
      </c>
      <c r="AG79" s="964" t="str">
        <f t="shared" si="25"/>
        <v/>
      </c>
      <c r="AH79" s="964" t="str">
        <f t="shared" si="25"/>
        <v/>
      </c>
      <c r="AI79" s="964">
        <f t="shared" si="25"/>
        <v>2030</v>
      </c>
      <c r="AJ79" s="964">
        <f t="shared" si="25"/>
        <v>31.536000000000001</v>
      </c>
      <c r="AK79" s="964" t="str">
        <f t="shared" si="25"/>
        <v/>
      </c>
    </row>
    <row r="80" spans="2:42" s="628" customFormat="1">
      <c r="B80" s="973"/>
      <c r="C80" s="639"/>
      <c r="E80" s="630" t="s">
        <v>663</v>
      </c>
      <c r="F80" s="964"/>
      <c r="G80" s="964"/>
      <c r="H80" s="964"/>
      <c r="I80" s="964" t="str">
        <f>IF(I$76=0,"",I$76)</f>
        <v/>
      </c>
      <c r="J80" s="964" t="str">
        <f>IF(J$76=0,"",J$76)</f>
        <v/>
      </c>
      <c r="K80" s="964">
        <f>IF(K$76=0,"",K$76)</f>
        <v>1</v>
      </c>
      <c r="L80" s="964"/>
      <c r="M80" s="964"/>
      <c r="N80" s="964"/>
      <c r="O80" s="964"/>
      <c r="P80" s="964"/>
      <c r="Q80" s="964" t="str">
        <f t="shared" ref="Q80:AK80" si="26">IF(Q$76=0,"",Q$76)</f>
        <v/>
      </c>
      <c r="R80" s="964" t="str">
        <f t="shared" si="26"/>
        <v/>
      </c>
      <c r="S80" s="964" t="str">
        <f t="shared" si="26"/>
        <v/>
      </c>
      <c r="T80" s="964" t="str">
        <f t="shared" si="26"/>
        <v/>
      </c>
      <c r="U80" s="964" t="str">
        <f t="shared" si="26"/>
        <v/>
      </c>
      <c r="V80" s="964" t="str">
        <f t="shared" si="26"/>
        <v/>
      </c>
      <c r="W80" s="964" t="str">
        <f t="shared" si="26"/>
        <v/>
      </c>
      <c r="X80" s="964" t="str">
        <f t="shared" si="26"/>
        <v/>
      </c>
      <c r="Y80" s="964" t="str">
        <f t="shared" si="26"/>
        <v/>
      </c>
      <c r="Z80" s="964" t="str">
        <f t="shared" si="26"/>
        <v/>
      </c>
      <c r="AA80" s="964" t="str">
        <f t="shared" si="26"/>
        <v/>
      </c>
      <c r="AB80" s="964" t="str">
        <f t="shared" si="26"/>
        <v/>
      </c>
      <c r="AC80" s="964" t="str">
        <f t="shared" si="26"/>
        <v/>
      </c>
      <c r="AD80" s="964" t="str">
        <f t="shared" si="26"/>
        <v/>
      </c>
      <c r="AE80" s="964" t="str">
        <f t="shared" si="26"/>
        <v/>
      </c>
      <c r="AF80" s="964" t="str">
        <f t="shared" si="26"/>
        <v/>
      </c>
      <c r="AG80" s="964" t="str">
        <f t="shared" si="26"/>
        <v/>
      </c>
      <c r="AH80" s="964" t="str">
        <f t="shared" si="26"/>
        <v/>
      </c>
      <c r="AI80" s="964" t="str">
        <f t="shared" si="26"/>
        <v/>
      </c>
      <c r="AJ80" s="964" t="str">
        <f t="shared" si="26"/>
        <v/>
      </c>
      <c r="AK80" s="964" t="str">
        <f t="shared" si="26"/>
        <v/>
      </c>
    </row>
    <row r="81" spans="2:37" s="628" customFormat="1">
      <c r="B81" s="973" t="s">
        <v>1194</v>
      </c>
      <c r="C81" s="638" t="s">
        <v>997</v>
      </c>
      <c r="D81" s="628" t="s">
        <v>596</v>
      </c>
      <c r="E81" s="630"/>
      <c r="F81" s="964" t="s">
        <v>729</v>
      </c>
      <c r="G81" s="964" t="s">
        <v>729</v>
      </c>
      <c r="H81" s="964" t="s">
        <v>729</v>
      </c>
      <c r="I81" s="964">
        <f>IF(I$75=0,"",I$75)</f>
        <v>1.5564615384615383</v>
      </c>
      <c r="J81" s="964">
        <f>IF(J$75=0,"",J$75)</f>
        <v>1.4465714285714286</v>
      </c>
      <c r="K81" s="964" t="str">
        <f>IF(K$75=0,"",K$75)</f>
        <v/>
      </c>
      <c r="L81" s="964"/>
      <c r="M81" s="964"/>
      <c r="N81" s="964"/>
      <c r="O81" s="964"/>
      <c r="P81" s="964"/>
      <c r="Q81" s="964" t="str">
        <f t="shared" ref="Q81:AK81" si="27">IF(Q$75=0,"",Q$75)</f>
        <v/>
      </c>
      <c r="R81" s="964" t="str">
        <f t="shared" si="27"/>
        <v/>
      </c>
      <c r="S81" s="964" t="str">
        <f t="shared" si="27"/>
        <v/>
      </c>
      <c r="T81" s="964">
        <f t="shared" si="27"/>
        <v>253.87383289211391</v>
      </c>
      <c r="U81" s="964">
        <f t="shared" si="27"/>
        <v>126.93691644605696</v>
      </c>
      <c r="V81" s="964" t="str">
        <f t="shared" si="27"/>
        <v/>
      </c>
      <c r="W81" s="964" t="str">
        <f t="shared" si="27"/>
        <v/>
      </c>
      <c r="X81" s="964" t="str">
        <f t="shared" si="27"/>
        <v/>
      </c>
      <c r="Y81" s="964">
        <f t="shared" si="27"/>
        <v>3.8081074933817085</v>
      </c>
      <c r="Z81" s="964">
        <f t="shared" si="27"/>
        <v>1.9040537466908543</v>
      </c>
      <c r="AA81" s="964" t="str">
        <f t="shared" si="27"/>
        <v/>
      </c>
      <c r="AB81" s="964" t="str">
        <f t="shared" si="27"/>
        <v/>
      </c>
      <c r="AC81" s="964" t="str">
        <f t="shared" si="27"/>
        <v/>
      </c>
      <c r="AD81" s="964" t="str">
        <f t="shared" si="27"/>
        <v/>
      </c>
      <c r="AE81" s="964">
        <f t="shared" si="27"/>
        <v>20</v>
      </c>
      <c r="AF81" s="964" t="str">
        <f t="shared" si="27"/>
        <v/>
      </c>
      <c r="AG81" s="964" t="str">
        <f t="shared" si="27"/>
        <v/>
      </c>
      <c r="AH81" s="964" t="str">
        <f t="shared" si="27"/>
        <v/>
      </c>
      <c r="AI81" s="964">
        <f t="shared" si="27"/>
        <v>2030</v>
      </c>
      <c r="AJ81" s="964">
        <f t="shared" si="27"/>
        <v>31.536000000000001</v>
      </c>
      <c r="AK81" s="964" t="str">
        <f t="shared" si="27"/>
        <v/>
      </c>
    </row>
    <row r="82" spans="2:37" s="628" customFormat="1">
      <c r="B82" s="973"/>
      <c r="C82" s="639"/>
      <c r="E82" s="630" t="s">
        <v>663</v>
      </c>
      <c r="F82" s="964"/>
      <c r="G82" s="964"/>
      <c r="H82" s="964"/>
      <c r="I82" s="964" t="str">
        <f>IF(I$76=0,"",I$76)</f>
        <v/>
      </c>
      <c r="J82" s="964" t="str">
        <f>IF(J$76=0,"",J$76)</f>
        <v/>
      </c>
      <c r="K82" s="964">
        <f>IF(K$76=0,"",K$76)</f>
        <v>1</v>
      </c>
      <c r="L82" s="964"/>
      <c r="M82" s="964"/>
      <c r="N82" s="964"/>
      <c r="O82" s="964"/>
      <c r="P82" s="964"/>
      <c r="Q82" s="964" t="str">
        <f t="shared" ref="Q82:AK82" si="28">IF(Q$76=0,"",Q$76)</f>
        <v/>
      </c>
      <c r="R82" s="964" t="str">
        <f t="shared" si="28"/>
        <v/>
      </c>
      <c r="S82" s="964" t="str">
        <f t="shared" si="28"/>
        <v/>
      </c>
      <c r="T82" s="964" t="str">
        <f t="shared" si="28"/>
        <v/>
      </c>
      <c r="U82" s="964" t="str">
        <f t="shared" si="28"/>
        <v/>
      </c>
      <c r="V82" s="964" t="str">
        <f t="shared" si="28"/>
        <v/>
      </c>
      <c r="W82" s="964" t="str">
        <f t="shared" si="28"/>
        <v/>
      </c>
      <c r="X82" s="964" t="str">
        <f t="shared" si="28"/>
        <v/>
      </c>
      <c r="Y82" s="964" t="str">
        <f t="shared" si="28"/>
        <v/>
      </c>
      <c r="Z82" s="964" t="str">
        <f t="shared" si="28"/>
        <v/>
      </c>
      <c r="AA82" s="964" t="str">
        <f t="shared" si="28"/>
        <v/>
      </c>
      <c r="AB82" s="964" t="str">
        <f t="shared" si="28"/>
        <v/>
      </c>
      <c r="AC82" s="964" t="str">
        <f t="shared" si="28"/>
        <v/>
      </c>
      <c r="AD82" s="964" t="str">
        <f t="shared" si="28"/>
        <v/>
      </c>
      <c r="AE82" s="964" t="str">
        <f t="shared" si="28"/>
        <v/>
      </c>
      <c r="AF82" s="964" t="str">
        <f t="shared" si="28"/>
        <v/>
      </c>
      <c r="AG82" s="964" t="str">
        <f t="shared" si="28"/>
        <v/>
      </c>
      <c r="AH82" s="964" t="str">
        <f t="shared" si="28"/>
        <v/>
      </c>
      <c r="AI82" s="964" t="str">
        <f t="shared" si="28"/>
        <v/>
      </c>
      <c r="AJ82" s="964" t="str">
        <f t="shared" si="28"/>
        <v/>
      </c>
      <c r="AK82" s="964" t="str">
        <f t="shared" si="28"/>
        <v/>
      </c>
    </row>
    <row r="83" spans="2:37" s="1380" customFormat="1">
      <c r="B83" s="1385" t="s">
        <v>1195</v>
      </c>
      <c r="C83" s="1382" t="s">
        <v>1172</v>
      </c>
      <c r="D83" s="1380" t="s">
        <v>598</v>
      </c>
      <c r="E83" s="1383"/>
      <c r="F83" s="1384" t="s">
        <v>729</v>
      </c>
      <c r="G83" s="1384" t="s">
        <v>729</v>
      </c>
      <c r="H83" s="1384" t="s">
        <v>729</v>
      </c>
      <c r="I83" s="1384"/>
      <c r="J83" s="1384"/>
      <c r="K83" s="1384"/>
      <c r="L83" s="1384"/>
      <c r="M83" s="1384"/>
      <c r="N83" s="1384">
        <f>1/I77</f>
        <v>0.64248294949095586</v>
      </c>
      <c r="O83" s="1384">
        <f>1/J77</f>
        <v>0.69128974916057673</v>
      </c>
      <c r="P83" s="1384"/>
      <c r="Q83" s="1384" t="str">
        <f t="shared" ref="Q83:AK83" si="29">IF(Q$75=0,"",Q$75)</f>
        <v/>
      </c>
      <c r="R83" s="1384" t="str">
        <f t="shared" si="29"/>
        <v/>
      </c>
      <c r="S83" s="1384" t="str">
        <f t="shared" si="29"/>
        <v/>
      </c>
      <c r="T83" s="1384">
        <f t="shared" si="29"/>
        <v>253.87383289211391</v>
      </c>
      <c r="U83" s="1384">
        <f t="shared" si="29"/>
        <v>126.93691644605696</v>
      </c>
      <c r="V83" s="1384" t="str">
        <f t="shared" si="29"/>
        <v/>
      </c>
      <c r="W83" s="1384" t="str">
        <f t="shared" si="29"/>
        <v/>
      </c>
      <c r="X83" s="1384" t="str">
        <f t="shared" si="29"/>
        <v/>
      </c>
      <c r="Y83" s="1384">
        <f t="shared" si="29"/>
        <v>3.8081074933817085</v>
      </c>
      <c r="Z83" s="1384">
        <f t="shared" si="29"/>
        <v>1.9040537466908543</v>
      </c>
      <c r="AA83" s="1384" t="str">
        <f t="shared" si="29"/>
        <v/>
      </c>
      <c r="AB83" s="1384" t="str">
        <f t="shared" si="29"/>
        <v/>
      </c>
      <c r="AC83" s="1384" t="str">
        <f t="shared" si="29"/>
        <v/>
      </c>
      <c r="AD83" s="1384" t="str">
        <f t="shared" si="29"/>
        <v/>
      </c>
      <c r="AE83" s="1384">
        <f t="shared" si="29"/>
        <v>20</v>
      </c>
      <c r="AF83" s="1384" t="str">
        <f t="shared" si="29"/>
        <v/>
      </c>
      <c r="AG83" s="1384" t="str">
        <f t="shared" si="29"/>
        <v/>
      </c>
      <c r="AH83" s="1384" t="str">
        <f t="shared" si="29"/>
        <v/>
      </c>
      <c r="AI83" s="1384">
        <f t="shared" si="29"/>
        <v>2030</v>
      </c>
      <c r="AJ83" s="1384">
        <f t="shared" si="29"/>
        <v>31.536000000000001</v>
      </c>
      <c r="AK83" s="1384" t="str">
        <f t="shared" si="29"/>
        <v/>
      </c>
    </row>
    <row r="84" spans="2:37" s="1380" customFormat="1">
      <c r="B84" s="1385"/>
      <c r="C84" s="1382"/>
      <c r="D84" s="1380" t="s">
        <v>546</v>
      </c>
      <c r="E84" s="1383"/>
      <c r="F84" s="1384"/>
      <c r="G84" s="1384"/>
      <c r="H84" s="1384"/>
      <c r="I84" s="1384"/>
      <c r="J84" s="1384"/>
      <c r="K84" s="1384"/>
      <c r="L84" s="1384"/>
      <c r="M84" s="1384"/>
      <c r="N84" s="1384"/>
      <c r="O84" s="1384"/>
      <c r="P84" s="1384"/>
      <c r="Q84" s="1384"/>
      <c r="R84" s="1384"/>
      <c r="S84" s="1384"/>
      <c r="T84" s="1384"/>
      <c r="U84" s="1384"/>
      <c r="V84" s="1384"/>
      <c r="W84" s="1384"/>
      <c r="X84" s="1384"/>
      <c r="Y84" s="1384"/>
      <c r="Z84" s="1384"/>
      <c r="AA84" s="1384"/>
      <c r="AB84" s="1384"/>
      <c r="AC84" s="1384"/>
      <c r="AD84" s="1384"/>
      <c r="AE84" s="1384"/>
      <c r="AF84" s="1384"/>
      <c r="AG84" s="1384"/>
      <c r="AH84" s="1384"/>
      <c r="AI84" s="1384"/>
      <c r="AJ84" s="1384"/>
      <c r="AK84" s="1384"/>
    </row>
    <row r="85" spans="2:37" s="1380" customFormat="1">
      <c r="B85" s="1385"/>
      <c r="C85" s="1386"/>
      <c r="E85" s="1383" t="s">
        <v>663</v>
      </c>
      <c r="F85" s="1384"/>
      <c r="G85" s="1384"/>
      <c r="H85" s="1384"/>
      <c r="I85" s="1384"/>
      <c r="J85" s="1384"/>
      <c r="K85" s="1384"/>
      <c r="L85" s="1384"/>
      <c r="M85" s="1384"/>
      <c r="N85" s="1384"/>
      <c r="O85" s="1384"/>
      <c r="P85" s="1384"/>
      <c r="Q85" s="1384" t="str">
        <f t="shared" ref="Q85:AK85" si="30">IF(Q$76=0,"",Q$76)</f>
        <v/>
      </c>
      <c r="R85" s="1384" t="str">
        <f t="shared" si="30"/>
        <v/>
      </c>
      <c r="S85" s="1384" t="str">
        <f t="shared" si="30"/>
        <v/>
      </c>
      <c r="T85" s="1384" t="str">
        <f t="shared" si="30"/>
        <v/>
      </c>
      <c r="U85" s="1384" t="str">
        <f t="shared" si="30"/>
        <v/>
      </c>
      <c r="V85" s="1384" t="str">
        <f t="shared" si="30"/>
        <v/>
      </c>
      <c r="W85" s="1384" t="str">
        <f t="shared" si="30"/>
        <v/>
      </c>
      <c r="X85" s="1384" t="str">
        <f t="shared" si="30"/>
        <v/>
      </c>
      <c r="Y85" s="1384" t="str">
        <f t="shared" si="30"/>
        <v/>
      </c>
      <c r="Z85" s="1384" t="str">
        <f t="shared" si="30"/>
        <v/>
      </c>
      <c r="AA85" s="1384" t="str">
        <f t="shared" si="30"/>
        <v/>
      </c>
      <c r="AB85" s="1384" t="str">
        <f t="shared" si="30"/>
        <v/>
      </c>
      <c r="AC85" s="1384" t="str">
        <f t="shared" si="30"/>
        <v/>
      </c>
      <c r="AD85" s="1384" t="str">
        <f t="shared" si="30"/>
        <v/>
      </c>
      <c r="AE85" s="1384" t="str">
        <f t="shared" si="30"/>
        <v/>
      </c>
      <c r="AF85" s="1384" t="str">
        <f t="shared" si="30"/>
        <v/>
      </c>
      <c r="AG85" s="1384" t="str">
        <f t="shared" si="30"/>
        <v/>
      </c>
      <c r="AH85" s="1384" t="str">
        <f t="shared" si="30"/>
        <v/>
      </c>
      <c r="AI85" s="1384" t="str">
        <f t="shared" si="30"/>
        <v/>
      </c>
      <c r="AJ85" s="1384" t="str">
        <f t="shared" si="30"/>
        <v/>
      </c>
      <c r="AK85" s="1384" t="str">
        <f t="shared" si="30"/>
        <v/>
      </c>
    </row>
    <row r="86" spans="2:37" s="1169" customFormat="1">
      <c r="B86" s="1170" t="s">
        <v>1220</v>
      </c>
      <c r="C86" s="1177" t="s">
        <v>1278</v>
      </c>
      <c r="D86" s="1169" t="s">
        <v>598</v>
      </c>
      <c r="E86" s="1172"/>
      <c r="F86" s="1426" t="s">
        <v>729</v>
      </c>
      <c r="G86" s="1426" t="s">
        <v>729</v>
      </c>
      <c r="H86" s="1426" t="s">
        <v>729</v>
      </c>
      <c r="I86" s="1426"/>
      <c r="J86" s="1426"/>
      <c r="K86" s="1426"/>
      <c r="N86" s="1426">
        <f>1/I77</f>
        <v>0.64248294949095586</v>
      </c>
      <c r="O86" s="1426">
        <f>1/J77</f>
        <v>0.69128974916057673</v>
      </c>
      <c r="P86" s="1426"/>
      <c r="Q86" s="1426" t="str">
        <f>IF(Q$75=0,"",Q$75)</f>
        <v/>
      </c>
      <c r="R86" s="1426" t="str">
        <f>IF(R$75=0,"",R$75)</f>
        <v/>
      </c>
      <c r="S86" s="1426" t="str">
        <f>IF(S$75=0,"",S$75)</f>
        <v/>
      </c>
      <c r="T86" s="1426">
        <f>T77</f>
        <v>253.87383289211391</v>
      </c>
      <c r="U86" s="1426">
        <f>U77</f>
        <v>126.93691644605696</v>
      </c>
      <c r="V86" s="1426" t="str">
        <f>IF(V$75=0,"",V$75)</f>
        <v/>
      </c>
      <c r="W86" s="1426" t="str">
        <f>IF(W$75=0,"",W$75)</f>
        <v/>
      </c>
      <c r="X86" s="1426" t="str">
        <f>IF(X$75=0,"",X$75)</f>
        <v/>
      </c>
      <c r="Y86" s="1426">
        <f t="shared" ref="Y86:Z86" si="31">Y77</f>
        <v>3.8081074933817085</v>
      </c>
      <c r="Z86" s="1426">
        <f t="shared" si="31"/>
        <v>1.9040537466908543</v>
      </c>
      <c r="AA86" s="1426" t="str">
        <f t="shared" ref="AA86:AK86" si="32">IF(AA$75=0,"",AA$75)</f>
        <v/>
      </c>
      <c r="AB86" s="1426" t="str">
        <f t="shared" si="32"/>
        <v/>
      </c>
      <c r="AC86" s="1426" t="str">
        <f t="shared" si="32"/>
        <v/>
      </c>
      <c r="AD86" s="1426" t="str">
        <f t="shared" si="32"/>
        <v/>
      </c>
      <c r="AE86" s="1426">
        <f t="shared" si="32"/>
        <v>20</v>
      </c>
      <c r="AF86" s="1426" t="str">
        <f t="shared" si="32"/>
        <v/>
      </c>
      <c r="AG86" s="1426" t="str">
        <f t="shared" si="32"/>
        <v/>
      </c>
      <c r="AH86" s="1426" t="str">
        <f t="shared" si="32"/>
        <v/>
      </c>
      <c r="AI86" s="1426">
        <f t="shared" si="32"/>
        <v>2030</v>
      </c>
      <c r="AJ86" s="1426">
        <f t="shared" si="32"/>
        <v>31.536000000000001</v>
      </c>
      <c r="AK86" s="1426" t="str">
        <f t="shared" si="32"/>
        <v/>
      </c>
    </row>
    <row r="87" spans="2:37" s="1169" customFormat="1">
      <c r="B87" s="1170"/>
      <c r="C87" s="1177"/>
      <c r="D87" s="1169" t="s">
        <v>279</v>
      </c>
      <c r="E87" s="1172"/>
      <c r="F87" s="1426"/>
      <c r="G87" s="1426"/>
      <c r="H87" s="1426"/>
      <c r="I87" s="1426"/>
      <c r="J87" s="1426"/>
      <c r="K87" s="1426"/>
      <c r="N87" s="1426"/>
      <c r="O87" s="1426"/>
      <c r="P87" s="1426"/>
      <c r="Q87" s="1426"/>
      <c r="R87" s="1426"/>
      <c r="S87" s="1426"/>
      <c r="T87" s="1426"/>
      <c r="U87" s="1426"/>
      <c r="V87" s="1426"/>
      <c r="W87" s="1426"/>
      <c r="X87" s="1426"/>
      <c r="Y87" s="1426"/>
      <c r="Z87" s="1426"/>
      <c r="AA87" s="1426"/>
      <c r="AB87" s="1426"/>
      <c r="AC87" s="1426"/>
      <c r="AD87" s="1426"/>
      <c r="AE87" s="1426"/>
      <c r="AF87" s="1426"/>
      <c r="AG87" s="1426"/>
      <c r="AH87" s="1426"/>
      <c r="AI87" s="1426"/>
      <c r="AJ87" s="1426"/>
      <c r="AK87" s="1426"/>
    </row>
    <row r="88" spans="2:37" s="1169" customFormat="1">
      <c r="B88" s="1170"/>
      <c r="C88" s="1171"/>
      <c r="E88" s="1172" t="s">
        <v>663</v>
      </c>
      <c r="F88" s="1426"/>
      <c r="G88" s="1426"/>
      <c r="H88" s="1426"/>
      <c r="I88" s="1426"/>
      <c r="J88" s="1426"/>
      <c r="K88" s="1426"/>
      <c r="N88" s="1426"/>
      <c r="O88" s="1426"/>
      <c r="P88" s="1426"/>
      <c r="Q88" s="1426" t="str">
        <f t="shared" ref="Q88:AK88" si="33">IF(Q$76=0,"",Q$76)</f>
        <v/>
      </c>
      <c r="R88" s="1426" t="str">
        <f t="shared" si="33"/>
        <v/>
      </c>
      <c r="S88" s="1426" t="str">
        <f t="shared" si="33"/>
        <v/>
      </c>
      <c r="T88" s="1426" t="str">
        <f t="shared" si="33"/>
        <v/>
      </c>
      <c r="U88" s="1426" t="str">
        <f t="shared" si="33"/>
        <v/>
      </c>
      <c r="V88" s="1426" t="str">
        <f t="shared" si="33"/>
        <v/>
      </c>
      <c r="W88" s="1426" t="str">
        <f t="shared" si="33"/>
        <v/>
      </c>
      <c r="X88" s="1426" t="str">
        <f t="shared" si="33"/>
        <v/>
      </c>
      <c r="Y88" s="1426" t="str">
        <f t="shared" si="33"/>
        <v/>
      </c>
      <c r="Z88" s="1426" t="str">
        <f t="shared" si="33"/>
        <v/>
      </c>
      <c r="AA88" s="1426" t="str">
        <f t="shared" si="33"/>
        <v/>
      </c>
      <c r="AB88" s="1426" t="str">
        <f t="shared" si="33"/>
        <v/>
      </c>
      <c r="AC88" s="1426" t="str">
        <f t="shared" si="33"/>
        <v/>
      </c>
      <c r="AD88" s="1426" t="str">
        <f t="shared" si="33"/>
        <v/>
      </c>
      <c r="AE88" s="1426" t="str">
        <f t="shared" si="33"/>
        <v/>
      </c>
      <c r="AF88" s="1426" t="str">
        <f t="shared" si="33"/>
        <v/>
      </c>
      <c r="AG88" s="1426" t="str">
        <f t="shared" si="33"/>
        <v/>
      </c>
      <c r="AH88" s="1426" t="str">
        <f t="shared" si="33"/>
        <v/>
      </c>
      <c r="AI88" s="1426" t="str">
        <f t="shared" si="33"/>
        <v/>
      </c>
      <c r="AJ88" s="1426" t="str">
        <f t="shared" si="33"/>
        <v/>
      </c>
      <c r="AK88" s="1426" t="str">
        <f t="shared" si="33"/>
        <v/>
      </c>
    </row>
    <row r="89" spans="2:37" s="1169" customFormat="1">
      <c r="B89" s="1170" t="s">
        <v>1221</v>
      </c>
      <c r="C89" s="1177" t="s">
        <v>1279</v>
      </c>
      <c r="D89" s="1169" t="s">
        <v>546</v>
      </c>
      <c r="E89" s="1172"/>
      <c r="F89" s="1426" t="s">
        <v>729</v>
      </c>
      <c r="G89" s="1426" t="s">
        <v>729</v>
      </c>
      <c r="H89" s="1426" t="s">
        <v>729</v>
      </c>
      <c r="I89" s="1426"/>
      <c r="J89" s="1426"/>
      <c r="K89" s="1426"/>
      <c r="N89" s="1426">
        <f>1/I79</f>
        <v>0.64248294949095586</v>
      </c>
      <c r="O89" s="1426">
        <f>1/J79</f>
        <v>0.69128974916057673</v>
      </c>
      <c r="P89" s="1426"/>
      <c r="Q89" s="1426" t="str">
        <f>IF(Q$75=0,"",Q$75)</f>
        <v/>
      </c>
      <c r="R89" s="1426" t="str">
        <f>IF(R$75=0,"",R$75)</f>
        <v/>
      </c>
      <c r="S89" s="1426" t="str">
        <f>IF(S$75=0,"",S$75)</f>
        <v/>
      </c>
      <c r="T89" s="1426">
        <f>T79</f>
        <v>253.87383289211391</v>
      </c>
      <c r="U89" s="1426">
        <f>U79</f>
        <v>126.93691644605696</v>
      </c>
      <c r="V89" s="1426" t="str">
        <f>IF(V$75=0,"",V$75)</f>
        <v/>
      </c>
      <c r="W89" s="1426" t="str">
        <f>IF(W$75=0,"",W$75)</f>
        <v/>
      </c>
      <c r="X89" s="1426" t="str">
        <f>IF(X$75=0,"",X$75)</f>
        <v/>
      </c>
      <c r="Y89" s="1426">
        <f>Y79</f>
        <v>3.8081074933817085</v>
      </c>
      <c r="Z89" s="1426">
        <f>Z79</f>
        <v>1.9040537466908543</v>
      </c>
      <c r="AA89" s="1426" t="str">
        <f t="shared" ref="AA89:AK89" si="34">IF(AA$75=0,"",AA$75)</f>
        <v/>
      </c>
      <c r="AB89" s="1426" t="str">
        <f t="shared" si="34"/>
        <v/>
      </c>
      <c r="AC89" s="1426" t="str">
        <f t="shared" si="34"/>
        <v/>
      </c>
      <c r="AD89" s="1426" t="str">
        <f t="shared" si="34"/>
        <v/>
      </c>
      <c r="AE89" s="1426">
        <f t="shared" si="34"/>
        <v>20</v>
      </c>
      <c r="AF89" s="1426" t="str">
        <f t="shared" si="34"/>
        <v/>
      </c>
      <c r="AG89" s="1426" t="str">
        <f t="shared" si="34"/>
        <v/>
      </c>
      <c r="AH89" s="1426" t="str">
        <f t="shared" si="34"/>
        <v/>
      </c>
      <c r="AI89" s="1426">
        <f t="shared" si="34"/>
        <v>2030</v>
      </c>
      <c r="AJ89" s="1426">
        <f t="shared" si="34"/>
        <v>31.536000000000001</v>
      </c>
      <c r="AK89" s="1426" t="str">
        <f t="shared" si="34"/>
        <v/>
      </c>
    </row>
    <row r="90" spans="2:37" s="1169" customFormat="1">
      <c r="B90" s="1170"/>
      <c r="C90" s="1177"/>
      <c r="D90" s="1169" t="s">
        <v>279</v>
      </c>
      <c r="E90" s="1172"/>
      <c r="F90" s="1426"/>
      <c r="G90" s="1426"/>
      <c r="H90" s="1426"/>
      <c r="I90" s="1426"/>
      <c r="J90" s="1426"/>
      <c r="K90" s="1426"/>
      <c r="N90" s="1426"/>
      <c r="O90" s="1426"/>
      <c r="P90" s="1426"/>
      <c r="Q90" s="1426"/>
      <c r="R90" s="1426"/>
      <c r="S90" s="1426"/>
      <c r="T90" s="1426"/>
      <c r="U90" s="1426"/>
      <c r="V90" s="1426"/>
      <c r="W90" s="1426"/>
      <c r="X90" s="1426"/>
      <c r="Y90" s="1426"/>
      <c r="Z90" s="1426"/>
      <c r="AA90" s="1426"/>
      <c r="AB90" s="1426"/>
      <c r="AC90" s="1426"/>
      <c r="AD90" s="1426"/>
      <c r="AE90" s="1426"/>
      <c r="AF90" s="1426"/>
      <c r="AG90" s="1426"/>
      <c r="AH90" s="1426"/>
      <c r="AI90" s="1426"/>
      <c r="AJ90" s="1426"/>
      <c r="AK90" s="1426"/>
    </row>
    <row r="91" spans="2:37" s="1169" customFormat="1">
      <c r="B91" s="1170"/>
      <c r="C91" s="1171"/>
      <c r="E91" s="1172" t="s">
        <v>663</v>
      </c>
      <c r="F91" s="1426"/>
      <c r="G91" s="1426"/>
      <c r="H91" s="1426"/>
      <c r="I91" s="1426"/>
      <c r="J91" s="1426"/>
      <c r="K91" s="1426"/>
      <c r="N91" s="1426"/>
      <c r="O91" s="1426"/>
      <c r="P91" s="1426"/>
      <c r="Q91" s="1426" t="str">
        <f t="shared" ref="Q91:AK91" si="35">IF(Q$76=0,"",Q$76)</f>
        <v/>
      </c>
      <c r="R91" s="1426" t="str">
        <f t="shared" si="35"/>
        <v/>
      </c>
      <c r="S91" s="1426" t="str">
        <f t="shared" si="35"/>
        <v/>
      </c>
      <c r="T91" s="1426" t="str">
        <f t="shared" si="35"/>
        <v/>
      </c>
      <c r="U91" s="1426" t="str">
        <f t="shared" si="35"/>
        <v/>
      </c>
      <c r="V91" s="1426" t="str">
        <f t="shared" si="35"/>
        <v/>
      </c>
      <c r="W91" s="1426" t="str">
        <f t="shared" si="35"/>
        <v/>
      </c>
      <c r="X91" s="1426" t="str">
        <f t="shared" si="35"/>
        <v/>
      </c>
      <c r="Y91" s="1426" t="str">
        <f t="shared" si="35"/>
        <v/>
      </c>
      <c r="Z91" s="1426" t="str">
        <f t="shared" si="35"/>
        <v/>
      </c>
      <c r="AA91" s="1426" t="str">
        <f t="shared" si="35"/>
        <v/>
      </c>
      <c r="AB91" s="1426" t="str">
        <f t="shared" si="35"/>
        <v/>
      </c>
      <c r="AC91" s="1426" t="str">
        <f t="shared" si="35"/>
        <v/>
      </c>
      <c r="AD91" s="1426" t="str">
        <f t="shared" si="35"/>
        <v/>
      </c>
      <c r="AE91" s="1426" t="str">
        <f t="shared" si="35"/>
        <v/>
      </c>
      <c r="AF91" s="1426" t="str">
        <f t="shared" si="35"/>
        <v/>
      </c>
      <c r="AG91" s="1426" t="str">
        <f t="shared" si="35"/>
        <v/>
      </c>
      <c r="AH91" s="1426" t="str">
        <f t="shared" si="35"/>
        <v/>
      </c>
      <c r="AI91" s="1426" t="str">
        <f t="shared" si="35"/>
        <v/>
      </c>
      <c r="AJ91" s="1426" t="str">
        <f t="shared" si="35"/>
        <v/>
      </c>
      <c r="AK91" s="1426" t="str">
        <f t="shared" si="35"/>
        <v/>
      </c>
    </row>
    <row r="92" spans="2:37" s="1169" customFormat="1">
      <c r="B92" s="1170" t="s">
        <v>1222</v>
      </c>
      <c r="C92" s="1177" t="s">
        <v>1280</v>
      </c>
      <c r="D92" s="1169" t="s">
        <v>596</v>
      </c>
      <c r="E92" s="1172"/>
      <c r="F92" s="1426" t="s">
        <v>729</v>
      </c>
      <c r="G92" s="1426" t="s">
        <v>729</v>
      </c>
      <c r="H92" s="1426" t="s">
        <v>729</v>
      </c>
      <c r="I92" s="1426"/>
      <c r="J92" s="1426"/>
      <c r="K92" s="1426"/>
      <c r="N92" s="1426">
        <f>1/I81</f>
        <v>0.64248294949095586</v>
      </c>
      <c r="O92" s="1426">
        <f>1/J81</f>
        <v>0.69128974916057673</v>
      </c>
      <c r="P92" s="1426"/>
      <c r="Q92" s="1426" t="str">
        <f>IF(Q$75=0,"",Q$75)</f>
        <v/>
      </c>
      <c r="R92" s="1426" t="str">
        <f>IF(R$75=0,"",R$75)</f>
        <v/>
      </c>
      <c r="S92" s="1426" t="str">
        <f>IF(S$75=0,"",S$75)</f>
        <v/>
      </c>
      <c r="T92" s="1426">
        <f>T81</f>
        <v>253.87383289211391</v>
      </c>
      <c r="U92" s="1426">
        <f>U81</f>
        <v>126.93691644605696</v>
      </c>
      <c r="V92" s="1426" t="str">
        <f>IF(V$75=0,"",V$75)</f>
        <v/>
      </c>
      <c r="W92" s="1426" t="str">
        <f>IF(W$75=0,"",W$75)</f>
        <v/>
      </c>
      <c r="X92" s="1426" t="str">
        <f>IF(X$75=0,"",X$75)</f>
        <v/>
      </c>
      <c r="Y92" s="1426">
        <f>Y81</f>
        <v>3.8081074933817085</v>
      </c>
      <c r="Z92" s="1426">
        <f>Z81</f>
        <v>1.9040537466908543</v>
      </c>
      <c r="AA92" s="1426" t="str">
        <f t="shared" ref="AA92:AK92" si="36">IF(AA$75=0,"",AA$75)</f>
        <v/>
      </c>
      <c r="AB92" s="1426" t="str">
        <f t="shared" si="36"/>
        <v/>
      </c>
      <c r="AC92" s="1426" t="str">
        <f t="shared" si="36"/>
        <v/>
      </c>
      <c r="AD92" s="1426" t="str">
        <f t="shared" si="36"/>
        <v/>
      </c>
      <c r="AE92" s="1426">
        <f t="shared" si="36"/>
        <v>20</v>
      </c>
      <c r="AF92" s="1426" t="str">
        <f t="shared" si="36"/>
        <v/>
      </c>
      <c r="AG92" s="1426" t="str">
        <f t="shared" si="36"/>
        <v/>
      </c>
      <c r="AH92" s="1426" t="str">
        <f t="shared" si="36"/>
        <v/>
      </c>
      <c r="AI92" s="1426">
        <f t="shared" si="36"/>
        <v>2030</v>
      </c>
      <c r="AJ92" s="1426">
        <f t="shared" si="36"/>
        <v>31.536000000000001</v>
      </c>
      <c r="AK92" s="1426" t="str">
        <f t="shared" si="36"/>
        <v/>
      </c>
    </row>
    <row r="93" spans="2:37" s="1169" customFormat="1">
      <c r="B93" s="1170"/>
      <c r="C93" s="1177"/>
      <c r="D93" s="1169" t="s">
        <v>279</v>
      </c>
      <c r="E93" s="1172"/>
      <c r="F93" s="1426"/>
      <c r="G93" s="1426"/>
      <c r="H93" s="1426"/>
      <c r="I93" s="1426"/>
      <c r="J93" s="1426"/>
      <c r="K93" s="1426"/>
      <c r="N93" s="1426"/>
      <c r="O93" s="1426"/>
      <c r="P93" s="1426"/>
      <c r="Q93" s="1426"/>
      <c r="R93" s="1426"/>
      <c r="S93" s="1426"/>
      <c r="T93" s="1426"/>
      <c r="U93" s="1426"/>
      <c r="V93" s="1426"/>
      <c r="W93" s="1426"/>
      <c r="X93" s="1426"/>
      <c r="Y93" s="1426"/>
      <c r="Z93" s="1426"/>
      <c r="AA93" s="1426"/>
      <c r="AB93" s="1426"/>
      <c r="AC93" s="1426"/>
      <c r="AD93" s="1426"/>
      <c r="AE93" s="1426"/>
      <c r="AF93" s="1426"/>
      <c r="AG93" s="1426"/>
      <c r="AH93" s="1426"/>
      <c r="AI93" s="1426"/>
      <c r="AJ93" s="1426"/>
      <c r="AK93" s="1426"/>
    </row>
    <row r="94" spans="2:37" s="1169" customFormat="1">
      <c r="B94" s="1170"/>
      <c r="C94" s="1171"/>
      <c r="E94" s="1172" t="s">
        <v>663</v>
      </c>
      <c r="F94" s="1426"/>
      <c r="G94" s="1426"/>
      <c r="H94" s="1426"/>
      <c r="I94" s="1426"/>
      <c r="J94" s="1426"/>
      <c r="K94" s="1426"/>
      <c r="N94" s="1426"/>
      <c r="O94" s="1426"/>
      <c r="P94" s="1426"/>
      <c r="Q94" s="1426" t="str">
        <f t="shared" ref="Q94:AK94" si="37">IF(Q$76=0,"",Q$76)</f>
        <v/>
      </c>
      <c r="R94" s="1426" t="str">
        <f t="shared" si="37"/>
        <v/>
      </c>
      <c r="S94" s="1426" t="str">
        <f t="shared" si="37"/>
        <v/>
      </c>
      <c r="T94" s="1426" t="str">
        <f t="shared" si="37"/>
        <v/>
      </c>
      <c r="U94" s="1426" t="str">
        <f t="shared" si="37"/>
        <v/>
      </c>
      <c r="V94" s="1426" t="str">
        <f t="shared" si="37"/>
        <v/>
      </c>
      <c r="W94" s="1426" t="str">
        <f t="shared" si="37"/>
        <v/>
      </c>
      <c r="X94" s="1426" t="str">
        <f t="shared" si="37"/>
        <v/>
      </c>
      <c r="Y94" s="1426" t="str">
        <f t="shared" si="37"/>
        <v/>
      </c>
      <c r="Z94" s="1426" t="str">
        <f t="shared" si="37"/>
        <v/>
      </c>
      <c r="AA94" s="1426" t="str">
        <f t="shared" si="37"/>
        <v/>
      </c>
      <c r="AB94" s="1426" t="str">
        <f t="shared" si="37"/>
        <v/>
      </c>
      <c r="AC94" s="1426" t="str">
        <f t="shared" si="37"/>
        <v/>
      </c>
      <c r="AD94" s="1426" t="str">
        <f t="shared" si="37"/>
        <v/>
      </c>
      <c r="AE94" s="1426" t="str">
        <f t="shared" si="37"/>
        <v/>
      </c>
      <c r="AF94" s="1426" t="str">
        <f t="shared" si="37"/>
        <v/>
      </c>
      <c r="AG94" s="1426" t="str">
        <f t="shared" si="37"/>
        <v/>
      </c>
      <c r="AH94" s="1426" t="str">
        <f t="shared" si="37"/>
        <v/>
      </c>
      <c r="AI94" s="1426" t="str">
        <f t="shared" si="37"/>
        <v/>
      </c>
      <c r="AJ94" s="1426" t="str">
        <f t="shared" si="37"/>
        <v/>
      </c>
      <c r="AK94" s="1426" t="str">
        <f t="shared" si="37"/>
        <v/>
      </c>
    </row>
    <row r="95" spans="2:37" s="1464" customFormat="1">
      <c r="B95" s="1465" t="s">
        <v>1223</v>
      </c>
      <c r="C95" s="1466" t="s">
        <v>1281</v>
      </c>
      <c r="D95" s="1464" t="s">
        <v>598</v>
      </c>
      <c r="E95" s="1467"/>
      <c r="F95" s="1468" t="s">
        <v>729</v>
      </c>
      <c r="G95" s="1468" t="s">
        <v>729</v>
      </c>
      <c r="H95" s="1468" t="s">
        <v>729</v>
      </c>
      <c r="I95" s="1468"/>
      <c r="J95" s="1468"/>
      <c r="K95" s="1468"/>
      <c r="N95" s="1468">
        <f>N92</f>
        <v>0.64248294949095586</v>
      </c>
      <c r="O95" s="1468">
        <f>O92</f>
        <v>0.69128974916057673</v>
      </c>
      <c r="P95" s="1468"/>
      <c r="Q95" s="1468" t="str">
        <f>IF(Q$75=0,"",Q$75)</f>
        <v/>
      </c>
      <c r="R95" s="1468" t="str">
        <f>IF(R$75=0,"",R$75)</f>
        <v/>
      </c>
      <c r="S95" s="1468" t="str">
        <f>IF(S$75=0,"",S$75)</f>
        <v/>
      </c>
      <c r="T95" s="1468">
        <f>T83</f>
        <v>253.87383289211391</v>
      </c>
      <c r="U95" s="1468">
        <f>U83</f>
        <v>126.93691644605696</v>
      </c>
      <c r="V95" s="1468" t="str">
        <f>IF(V$75=0,"",V$75)</f>
        <v/>
      </c>
      <c r="W95" s="1468" t="str">
        <f>IF(W$75=0,"",W$75)</f>
        <v/>
      </c>
      <c r="X95" s="1468" t="str">
        <f>IF(X$75=0,"",X$75)</f>
        <v/>
      </c>
      <c r="Y95" s="1468">
        <f>Y83</f>
        <v>3.8081074933817085</v>
      </c>
      <c r="Z95" s="1468">
        <f>Z83</f>
        <v>1.9040537466908543</v>
      </c>
      <c r="AA95" s="1468" t="str">
        <f t="shared" ref="AA95:AK95" si="38">IF(AA$75=0,"",AA$75)</f>
        <v/>
      </c>
      <c r="AB95" s="1468" t="str">
        <f t="shared" si="38"/>
        <v/>
      </c>
      <c r="AC95" s="1468" t="str">
        <f t="shared" si="38"/>
        <v/>
      </c>
      <c r="AD95" s="1468" t="str">
        <f t="shared" si="38"/>
        <v/>
      </c>
      <c r="AE95" s="1468">
        <f t="shared" si="38"/>
        <v>20</v>
      </c>
      <c r="AF95" s="1468" t="str">
        <f t="shared" si="38"/>
        <v/>
      </c>
      <c r="AG95" s="1468" t="str">
        <f t="shared" si="38"/>
        <v/>
      </c>
      <c r="AH95" s="1468" t="str">
        <f t="shared" si="38"/>
        <v/>
      </c>
      <c r="AI95" s="1468">
        <f t="shared" si="38"/>
        <v>2030</v>
      </c>
      <c r="AJ95" s="1468">
        <f t="shared" si="38"/>
        <v>31.536000000000001</v>
      </c>
      <c r="AK95" s="1468" t="str">
        <f t="shared" si="38"/>
        <v/>
      </c>
    </row>
    <row r="96" spans="2:37" s="1464" customFormat="1">
      <c r="B96" s="1465"/>
      <c r="C96" s="1466"/>
      <c r="D96" s="1464" t="s">
        <v>546</v>
      </c>
      <c r="E96" s="1467"/>
      <c r="F96" s="1468"/>
      <c r="G96" s="1468"/>
      <c r="H96" s="1468"/>
      <c r="I96" s="1468"/>
      <c r="J96" s="1468"/>
      <c r="K96" s="1468"/>
      <c r="N96" s="1468"/>
      <c r="O96" s="1468"/>
      <c r="P96" s="1468"/>
      <c r="Q96" s="1468"/>
      <c r="R96" s="1468"/>
      <c r="S96" s="1468"/>
      <c r="T96" s="1468"/>
      <c r="U96" s="1468"/>
      <c r="V96" s="1468"/>
      <c r="W96" s="1468"/>
      <c r="X96" s="1468"/>
      <c r="Y96" s="1468"/>
      <c r="Z96" s="1468"/>
      <c r="AA96" s="1468"/>
      <c r="AB96" s="1468"/>
      <c r="AC96" s="1468"/>
      <c r="AD96" s="1468"/>
      <c r="AE96" s="1468"/>
      <c r="AF96" s="1468"/>
      <c r="AG96" s="1468"/>
      <c r="AH96" s="1468"/>
      <c r="AI96" s="1468"/>
      <c r="AJ96" s="1468"/>
      <c r="AK96" s="1468"/>
    </row>
    <row r="97" spans="2:37" s="1464" customFormat="1">
      <c r="B97" s="1465"/>
      <c r="C97" s="1466"/>
      <c r="D97" s="1464" t="s">
        <v>279</v>
      </c>
      <c r="E97" s="1467"/>
      <c r="F97" s="1468"/>
      <c r="G97" s="1468"/>
      <c r="H97" s="1468"/>
      <c r="I97" s="1468"/>
      <c r="J97" s="1468"/>
      <c r="K97" s="1468"/>
      <c r="N97" s="1468"/>
      <c r="O97" s="1468"/>
      <c r="P97" s="1468"/>
      <c r="Q97" s="1468"/>
      <c r="R97" s="1468"/>
      <c r="S97" s="1468"/>
      <c r="T97" s="1468"/>
      <c r="U97" s="1468"/>
      <c r="V97" s="1468"/>
      <c r="W97" s="1468"/>
      <c r="X97" s="1468"/>
      <c r="Y97" s="1468"/>
      <c r="Z97" s="1468"/>
      <c r="AA97" s="1468"/>
      <c r="AB97" s="1468"/>
      <c r="AC97" s="1468"/>
      <c r="AD97" s="1468"/>
      <c r="AE97" s="1468"/>
      <c r="AF97" s="1468"/>
      <c r="AG97" s="1468"/>
      <c r="AH97" s="1468"/>
      <c r="AI97" s="1468"/>
      <c r="AJ97" s="1468"/>
      <c r="AK97" s="1468"/>
    </row>
    <row r="98" spans="2:37" s="1464" customFormat="1">
      <c r="B98" s="1465"/>
      <c r="C98" s="1469"/>
      <c r="E98" s="1467" t="s">
        <v>663</v>
      </c>
      <c r="F98" s="1468"/>
      <c r="G98" s="1468"/>
      <c r="H98" s="1468"/>
      <c r="I98" s="1468"/>
      <c r="J98" s="1468"/>
      <c r="K98" s="1468"/>
      <c r="L98" s="1468"/>
      <c r="M98" s="1468"/>
      <c r="N98" s="1468"/>
      <c r="O98" s="1468"/>
      <c r="P98" s="1468"/>
      <c r="Q98" s="1468" t="str">
        <f t="shared" ref="Q98:AK98" si="39">IF(Q$76=0,"",Q$76)</f>
        <v/>
      </c>
      <c r="R98" s="1468" t="str">
        <f t="shared" si="39"/>
        <v/>
      </c>
      <c r="S98" s="1468" t="str">
        <f t="shared" si="39"/>
        <v/>
      </c>
      <c r="T98" s="1468" t="str">
        <f t="shared" si="39"/>
        <v/>
      </c>
      <c r="U98" s="1468" t="str">
        <f t="shared" si="39"/>
        <v/>
      </c>
      <c r="V98" s="1468" t="str">
        <f t="shared" si="39"/>
        <v/>
      </c>
      <c r="W98" s="1468" t="str">
        <f t="shared" si="39"/>
        <v/>
      </c>
      <c r="X98" s="1468" t="str">
        <f t="shared" si="39"/>
        <v/>
      </c>
      <c r="Y98" s="1468" t="str">
        <f t="shared" si="39"/>
        <v/>
      </c>
      <c r="Z98" s="1468" t="str">
        <f t="shared" si="39"/>
        <v/>
      </c>
      <c r="AA98" s="1468" t="str">
        <f t="shared" si="39"/>
        <v/>
      </c>
      <c r="AB98" s="1468" t="str">
        <f t="shared" si="39"/>
        <v/>
      </c>
      <c r="AC98" s="1468" t="str">
        <f t="shared" si="39"/>
        <v/>
      </c>
      <c r="AD98" s="1468" t="str">
        <f t="shared" si="39"/>
        <v/>
      </c>
      <c r="AE98" s="1468" t="str">
        <f t="shared" si="39"/>
        <v/>
      </c>
      <c r="AF98" s="1468" t="str">
        <f t="shared" si="39"/>
        <v/>
      </c>
      <c r="AG98" s="1468" t="str">
        <f t="shared" si="39"/>
        <v/>
      </c>
      <c r="AH98" s="1468" t="str">
        <f t="shared" si="39"/>
        <v/>
      </c>
      <c r="AI98" s="1468" t="str">
        <f t="shared" si="39"/>
        <v/>
      </c>
      <c r="AJ98" s="1468" t="str">
        <f t="shared" si="39"/>
        <v/>
      </c>
      <c r="AK98" s="1468" t="str">
        <f t="shared" si="39"/>
        <v/>
      </c>
    </row>
    <row r="99" spans="2:37" s="554" customFormat="1">
      <c r="B99" s="984" t="s">
        <v>1201</v>
      </c>
      <c r="C99" s="661" t="s">
        <v>1216</v>
      </c>
      <c r="D99" s="554" t="s">
        <v>279</v>
      </c>
      <c r="E99" s="519"/>
      <c r="F99" s="1168">
        <f>IF('INPUT-Data(HP)'!K30=0,"",'INPUT-Data(HP)'!K30)+0.018</f>
        <v>1.6053015873015872</v>
      </c>
      <c r="G99" s="1168">
        <f>IF('INPUT-Data(HP)'!L30=0,"",'INPUT-Data(HP)'!L30)+0.018</f>
        <v>1.6053015873015872</v>
      </c>
      <c r="H99" s="1168" t="str">
        <f>IF('INPUT-Data(HP)'!M30=0,"",'INPUT-Data(HP)'!M30)</f>
        <v/>
      </c>
      <c r="I99" s="1168">
        <f>IF('INPUT-Data(HP)'!N30=0,"",'INPUT-Data(HP)'!N30)+0.018</f>
        <v>1.5564615384615383</v>
      </c>
      <c r="J99" s="1168">
        <f>IF('INPUT-Data(HP)'!O30=0,"",'INPUT-Data(HP)'!O30)+0.018</f>
        <v>1.4465714285714286</v>
      </c>
      <c r="K99" s="553"/>
      <c r="L99" s="553"/>
      <c r="M99" s="553"/>
      <c r="N99" s="553"/>
      <c r="O99" s="553"/>
      <c r="P99" s="617"/>
      <c r="Q99" s="1167">
        <f>IF('INPUT-Data(HP)'!W30=0,"",'INPUT-Data(HP)'!W30)</f>
        <v>542.65531780689344</v>
      </c>
      <c r="R99" s="1167">
        <f>IF('INPUT-Data(HP)'!X30=0,"",'INPUT-Data(HP)'!X30)</f>
        <v>357.0100775045351</v>
      </c>
      <c r="S99" s="606"/>
      <c r="T99" s="1167">
        <f>IF('INPUT-Data(HP)'!Z30=0,"",'INPUT-Data(HP)'!Z30)</f>
        <v>357.0100775045351</v>
      </c>
      <c r="U99" s="1167">
        <f>IF('INPUT-Data(HP)'!AA30=0,"",'INPUT-Data(HP)'!AA30)</f>
        <v>257.04725580326533</v>
      </c>
      <c r="V99" s="1167" t="str">
        <f>IF('INPUT-Data(HP)'!AB30=0,"",'INPUT-Data(HP)'!AB30)</f>
        <v/>
      </c>
      <c r="W99" s="1167">
        <f>IF('INPUT-Data(HP)'!AC30=0,"",'INPUT-Data(HP)'!AC30)</f>
        <v>8.9252519376133783</v>
      </c>
      <c r="X99" s="1167" t="str">
        <f>IF('INPUT-Data(HP)'!AD30=0,"",'INPUT-Data(HP)'!AD30)</f>
        <v/>
      </c>
      <c r="Y99" s="1167">
        <f>IF('INPUT-Data(HP)'!AE30=0,"",'INPUT-Data(HP)'!AE30)</f>
        <v>8.9252519376133783</v>
      </c>
      <c r="Z99" s="1167">
        <f>IF('INPUT-Data(HP)'!AF30=0,"",'INPUT-Data(HP)'!AF30)</f>
        <v>6.4261813950816338</v>
      </c>
      <c r="AA99" s="606"/>
      <c r="AC99" s="606"/>
      <c r="AD99" s="606"/>
      <c r="AE99" s="606">
        <f>IF('INPUT-Data(HP)'!AK30=0,"",'INPUT-Data(HP)'!AK30)</f>
        <v>20</v>
      </c>
      <c r="AF99" s="606"/>
      <c r="AG99" s="606"/>
      <c r="AH99" s="606"/>
      <c r="AI99" s="552">
        <f>IF('INPUT-Data(HP)'!AL30=0,"",'INPUT-Data(HP)'!AL30)</f>
        <v>2015</v>
      </c>
      <c r="AJ99" s="553">
        <v>31.536000000000001</v>
      </c>
      <c r="AK99" s="553"/>
    </row>
    <row r="100" spans="2:37" s="628" customFormat="1">
      <c r="B100" s="973"/>
      <c r="C100" s="639"/>
      <c r="E100" s="630" t="s">
        <v>663</v>
      </c>
      <c r="F100" s="964"/>
      <c r="G100" s="964"/>
      <c r="H100" s="964"/>
      <c r="I100" s="964"/>
      <c r="J100" s="964"/>
      <c r="K100" s="634">
        <f>'INPUT-Data(HP)'!T30</f>
        <v>1</v>
      </c>
      <c r="L100" s="634"/>
      <c r="M100" s="634"/>
      <c r="N100" s="634"/>
      <c r="O100" s="634"/>
      <c r="P100" s="632"/>
      <c r="Q100" s="966"/>
      <c r="R100" s="966"/>
      <c r="S100" s="643"/>
      <c r="T100" s="966"/>
      <c r="U100" s="966"/>
      <c r="V100" s="966"/>
      <c r="W100" s="966"/>
      <c r="X100" s="966"/>
      <c r="Y100" s="966"/>
      <c r="Z100" s="966"/>
      <c r="AA100" s="643"/>
      <c r="AB100" s="643"/>
      <c r="AC100" s="643"/>
      <c r="AD100" s="643"/>
      <c r="AE100" s="643"/>
      <c r="AF100" s="643"/>
      <c r="AG100" s="643"/>
      <c r="AH100" s="643"/>
      <c r="AI100" s="631"/>
      <c r="AJ100" s="634"/>
      <c r="AK100" s="634"/>
    </row>
    <row r="101" spans="2:37" s="628" customFormat="1">
      <c r="B101" s="1229" t="s">
        <v>1202</v>
      </c>
      <c r="C101" s="638" t="s">
        <v>998</v>
      </c>
      <c r="D101" s="628" t="s">
        <v>598</v>
      </c>
      <c r="E101" s="630"/>
      <c r="F101" s="964">
        <f t="shared" ref="F101:K101" si="40">IF(F$99=0,"",F$99)</f>
        <v>1.6053015873015872</v>
      </c>
      <c r="G101" s="964">
        <f t="shared" si="40"/>
        <v>1.6053015873015872</v>
      </c>
      <c r="H101" s="964" t="str">
        <f t="shared" si="40"/>
        <v/>
      </c>
      <c r="I101" s="964">
        <f t="shared" si="40"/>
        <v>1.5564615384615383</v>
      </c>
      <c r="J101" s="964">
        <f t="shared" si="40"/>
        <v>1.4465714285714286</v>
      </c>
      <c r="K101" s="964" t="str">
        <f t="shared" si="40"/>
        <v/>
      </c>
      <c r="L101" s="964"/>
      <c r="M101" s="964"/>
      <c r="N101" s="964"/>
      <c r="O101" s="964"/>
      <c r="P101" s="964"/>
      <c r="Q101" s="964">
        <f t="shared" ref="Q101:AK101" si="41">IF(Q$99=0,"",Q$99)</f>
        <v>542.65531780689344</v>
      </c>
      <c r="R101" s="964">
        <f t="shared" si="41"/>
        <v>357.0100775045351</v>
      </c>
      <c r="S101" s="964" t="str">
        <f t="shared" si="41"/>
        <v/>
      </c>
      <c r="T101" s="964">
        <f t="shared" si="41"/>
        <v>357.0100775045351</v>
      </c>
      <c r="U101" s="964">
        <f t="shared" si="41"/>
        <v>257.04725580326533</v>
      </c>
      <c r="V101" s="964" t="str">
        <f t="shared" si="41"/>
        <v/>
      </c>
      <c r="W101" s="964">
        <f t="shared" si="41"/>
        <v>8.9252519376133783</v>
      </c>
      <c r="X101" s="964" t="str">
        <f t="shared" si="41"/>
        <v/>
      </c>
      <c r="Y101" s="964">
        <f t="shared" si="41"/>
        <v>8.9252519376133783</v>
      </c>
      <c r="Z101" s="964">
        <f t="shared" si="41"/>
        <v>6.4261813950816338</v>
      </c>
      <c r="AA101" s="964" t="str">
        <f t="shared" si="41"/>
        <v/>
      </c>
      <c r="AB101" s="964" t="str">
        <f t="shared" si="41"/>
        <v/>
      </c>
      <c r="AC101" s="964" t="str">
        <f t="shared" si="41"/>
        <v/>
      </c>
      <c r="AD101" s="964" t="str">
        <f t="shared" si="41"/>
        <v/>
      </c>
      <c r="AE101" s="964">
        <f t="shared" si="41"/>
        <v>20</v>
      </c>
      <c r="AF101" s="964" t="str">
        <f t="shared" si="41"/>
        <v/>
      </c>
      <c r="AG101" s="964" t="str">
        <f t="shared" si="41"/>
        <v/>
      </c>
      <c r="AH101" s="964" t="str">
        <f t="shared" si="41"/>
        <v/>
      </c>
      <c r="AI101" s="964">
        <f t="shared" si="41"/>
        <v>2015</v>
      </c>
      <c r="AJ101" s="964">
        <f t="shared" si="41"/>
        <v>31.536000000000001</v>
      </c>
      <c r="AK101" s="964" t="str">
        <f t="shared" si="41"/>
        <v/>
      </c>
    </row>
    <row r="102" spans="2:37" s="628" customFormat="1">
      <c r="B102" s="973"/>
      <c r="C102" s="639"/>
      <c r="E102" s="630" t="s">
        <v>663</v>
      </c>
      <c r="F102" s="964" t="str">
        <f t="shared" ref="F102:K102" si="42">IF(F$100=0,"",F$100)</f>
        <v/>
      </c>
      <c r="G102" s="964" t="str">
        <f t="shared" si="42"/>
        <v/>
      </c>
      <c r="H102" s="964" t="str">
        <f t="shared" si="42"/>
        <v/>
      </c>
      <c r="I102" s="964" t="str">
        <f t="shared" si="42"/>
        <v/>
      </c>
      <c r="J102" s="964" t="str">
        <f t="shared" si="42"/>
        <v/>
      </c>
      <c r="K102" s="964">
        <f t="shared" si="42"/>
        <v>1</v>
      </c>
      <c r="L102" s="964"/>
      <c r="M102" s="964"/>
      <c r="N102" s="964"/>
      <c r="O102" s="964"/>
      <c r="P102" s="964"/>
      <c r="Q102" s="964" t="str">
        <f t="shared" ref="Q102:AK102" si="43">IF(Q$100=0,"",Q$100)</f>
        <v/>
      </c>
      <c r="R102" s="964" t="str">
        <f t="shared" si="43"/>
        <v/>
      </c>
      <c r="S102" s="964" t="str">
        <f t="shared" si="43"/>
        <v/>
      </c>
      <c r="T102" s="964" t="str">
        <f t="shared" si="43"/>
        <v/>
      </c>
      <c r="U102" s="964" t="str">
        <f t="shared" si="43"/>
        <v/>
      </c>
      <c r="V102" s="964" t="str">
        <f t="shared" si="43"/>
        <v/>
      </c>
      <c r="W102" s="964" t="str">
        <f t="shared" si="43"/>
        <v/>
      </c>
      <c r="X102" s="964" t="str">
        <f t="shared" si="43"/>
        <v/>
      </c>
      <c r="Y102" s="964" t="str">
        <f t="shared" si="43"/>
        <v/>
      </c>
      <c r="Z102" s="964" t="str">
        <f t="shared" si="43"/>
        <v/>
      </c>
      <c r="AA102" s="964" t="str">
        <f t="shared" si="43"/>
        <v/>
      </c>
      <c r="AB102" s="964" t="str">
        <f t="shared" si="43"/>
        <v/>
      </c>
      <c r="AC102" s="964" t="str">
        <f t="shared" si="43"/>
        <v/>
      </c>
      <c r="AD102" s="964" t="str">
        <f t="shared" si="43"/>
        <v/>
      </c>
      <c r="AE102" s="964" t="str">
        <f t="shared" si="43"/>
        <v/>
      </c>
      <c r="AF102" s="964" t="str">
        <f t="shared" si="43"/>
        <v/>
      </c>
      <c r="AG102" s="964" t="str">
        <f t="shared" si="43"/>
        <v/>
      </c>
      <c r="AH102" s="964" t="str">
        <f t="shared" si="43"/>
        <v/>
      </c>
      <c r="AI102" s="964" t="str">
        <f t="shared" si="43"/>
        <v/>
      </c>
      <c r="AJ102" s="964" t="str">
        <f t="shared" si="43"/>
        <v/>
      </c>
      <c r="AK102" s="964" t="str">
        <f t="shared" si="43"/>
        <v/>
      </c>
    </row>
    <row r="103" spans="2:37" s="628" customFormat="1">
      <c r="B103" s="1229" t="s">
        <v>1203</v>
      </c>
      <c r="C103" s="638" t="s">
        <v>999</v>
      </c>
      <c r="D103" s="628" t="s">
        <v>546</v>
      </c>
      <c r="E103" s="630"/>
      <c r="F103" s="964">
        <f t="shared" ref="F103:K103" si="44">IF(F$99=0,"",F$99)</f>
        <v>1.6053015873015872</v>
      </c>
      <c r="G103" s="964">
        <f t="shared" si="44"/>
        <v>1.6053015873015872</v>
      </c>
      <c r="H103" s="964" t="str">
        <f t="shared" si="44"/>
        <v/>
      </c>
      <c r="I103" s="964">
        <f t="shared" si="44"/>
        <v>1.5564615384615383</v>
      </c>
      <c r="J103" s="964">
        <f t="shared" si="44"/>
        <v>1.4465714285714286</v>
      </c>
      <c r="K103" s="964" t="str">
        <f t="shared" si="44"/>
        <v/>
      </c>
      <c r="L103" s="964"/>
      <c r="M103" s="964"/>
      <c r="N103" s="964"/>
      <c r="O103" s="964"/>
      <c r="P103" s="964"/>
      <c r="Q103" s="964">
        <f t="shared" ref="Q103:AK103" si="45">IF(Q$99=0,"",Q$99)</f>
        <v>542.65531780689344</v>
      </c>
      <c r="R103" s="964">
        <f t="shared" si="45"/>
        <v>357.0100775045351</v>
      </c>
      <c r="S103" s="964" t="str">
        <f t="shared" si="45"/>
        <v/>
      </c>
      <c r="T103" s="964">
        <f t="shared" si="45"/>
        <v>357.0100775045351</v>
      </c>
      <c r="U103" s="964">
        <f t="shared" si="45"/>
        <v>257.04725580326533</v>
      </c>
      <c r="V103" s="964" t="str">
        <f t="shared" si="45"/>
        <v/>
      </c>
      <c r="W103" s="964">
        <f t="shared" si="45"/>
        <v>8.9252519376133783</v>
      </c>
      <c r="X103" s="964" t="str">
        <f t="shared" si="45"/>
        <v/>
      </c>
      <c r="Y103" s="964">
        <f t="shared" si="45"/>
        <v>8.9252519376133783</v>
      </c>
      <c r="Z103" s="964">
        <f t="shared" si="45"/>
        <v>6.4261813950816338</v>
      </c>
      <c r="AA103" s="964" t="str">
        <f t="shared" si="45"/>
        <v/>
      </c>
      <c r="AB103" s="964" t="str">
        <f t="shared" si="45"/>
        <v/>
      </c>
      <c r="AC103" s="964" t="str">
        <f t="shared" si="45"/>
        <v/>
      </c>
      <c r="AD103" s="964" t="str">
        <f t="shared" si="45"/>
        <v/>
      </c>
      <c r="AE103" s="964">
        <f t="shared" si="45"/>
        <v>20</v>
      </c>
      <c r="AF103" s="964" t="str">
        <f t="shared" si="45"/>
        <v/>
      </c>
      <c r="AG103" s="964" t="str">
        <f t="shared" si="45"/>
        <v/>
      </c>
      <c r="AH103" s="964" t="str">
        <f t="shared" si="45"/>
        <v/>
      </c>
      <c r="AI103" s="964">
        <f t="shared" si="45"/>
        <v>2015</v>
      </c>
      <c r="AJ103" s="964">
        <f t="shared" si="45"/>
        <v>31.536000000000001</v>
      </c>
      <c r="AK103" s="964" t="str">
        <f t="shared" si="45"/>
        <v/>
      </c>
    </row>
    <row r="104" spans="2:37" s="628" customFormat="1">
      <c r="B104" s="973"/>
      <c r="C104" s="639"/>
      <c r="E104" s="630" t="s">
        <v>663</v>
      </c>
      <c r="F104" s="964" t="str">
        <f t="shared" ref="F104:K104" si="46">IF(F$100=0,"",F$100)</f>
        <v/>
      </c>
      <c r="G104" s="964" t="str">
        <f t="shared" si="46"/>
        <v/>
      </c>
      <c r="H104" s="964" t="str">
        <f t="shared" si="46"/>
        <v/>
      </c>
      <c r="I104" s="964" t="str">
        <f t="shared" si="46"/>
        <v/>
      </c>
      <c r="J104" s="964" t="str">
        <f t="shared" si="46"/>
        <v/>
      </c>
      <c r="K104" s="964">
        <f t="shared" si="46"/>
        <v>1</v>
      </c>
      <c r="L104" s="964"/>
      <c r="M104" s="964"/>
      <c r="N104" s="964"/>
      <c r="O104" s="964"/>
      <c r="P104" s="964"/>
      <c r="Q104" s="964" t="str">
        <f t="shared" ref="Q104:AK104" si="47">IF(Q$100=0,"",Q$100)</f>
        <v/>
      </c>
      <c r="R104" s="964" t="str">
        <f t="shared" si="47"/>
        <v/>
      </c>
      <c r="S104" s="964" t="str">
        <f t="shared" si="47"/>
        <v/>
      </c>
      <c r="T104" s="964" t="str">
        <f t="shared" si="47"/>
        <v/>
      </c>
      <c r="U104" s="964" t="str">
        <f t="shared" si="47"/>
        <v/>
      </c>
      <c r="V104" s="964" t="str">
        <f t="shared" si="47"/>
        <v/>
      </c>
      <c r="W104" s="964" t="str">
        <f t="shared" si="47"/>
        <v/>
      </c>
      <c r="X104" s="964" t="str">
        <f t="shared" si="47"/>
        <v/>
      </c>
      <c r="Y104" s="964" t="str">
        <f t="shared" si="47"/>
        <v/>
      </c>
      <c r="Z104" s="964" t="str">
        <f t="shared" si="47"/>
        <v/>
      </c>
      <c r="AA104" s="964" t="str">
        <f t="shared" si="47"/>
        <v/>
      </c>
      <c r="AB104" s="964" t="str">
        <f t="shared" si="47"/>
        <v/>
      </c>
      <c r="AC104" s="964" t="str">
        <f t="shared" si="47"/>
        <v/>
      </c>
      <c r="AD104" s="964" t="str">
        <f t="shared" si="47"/>
        <v/>
      </c>
      <c r="AE104" s="964" t="str">
        <f t="shared" si="47"/>
        <v/>
      </c>
      <c r="AF104" s="964" t="str">
        <f t="shared" si="47"/>
        <v/>
      </c>
      <c r="AG104" s="964" t="str">
        <f t="shared" si="47"/>
        <v/>
      </c>
      <c r="AH104" s="964" t="str">
        <f t="shared" si="47"/>
        <v/>
      </c>
      <c r="AI104" s="964" t="str">
        <f t="shared" si="47"/>
        <v/>
      </c>
      <c r="AJ104" s="964" t="str">
        <f t="shared" si="47"/>
        <v/>
      </c>
      <c r="AK104" s="964" t="str">
        <f t="shared" si="47"/>
        <v/>
      </c>
    </row>
    <row r="105" spans="2:37" s="1380" customFormat="1">
      <c r="B105" s="1381" t="s">
        <v>1204</v>
      </c>
      <c r="C105" s="1382" t="s">
        <v>1173</v>
      </c>
      <c r="D105" s="1380" t="s">
        <v>598</v>
      </c>
      <c r="E105" s="1383"/>
      <c r="F105" s="1384"/>
      <c r="G105" s="1384"/>
      <c r="H105" s="1384"/>
      <c r="I105" s="1384"/>
      <c r="J105" s="1384"/>
      <c r="K105" s="1384"/>
      <c r="L105" s="1384">
        <f>1/G99</f>
        <v>0.62293590681669864</v>
      </c>
      <c r="M105" s="1384"/>
      <c r="N105" s="1384">
        <f>1/I99</f>
        <v>0.64248294949095586</v>
      </c>
      <c r="O105" s="1384">
        <f>1/J99</f>
        <v>0.69128974916057673</v>
      </c>
      <c r="P105" s="1384"/>
      <c r="Q105" s="1384">
        <f t="shared" ref="Q105:AK105" si="48">IF(Q$99=0,"",Q$99)</f>
        <v>542.65531780689344</v>
      </c>
      <c r="R105" s="1384">
        <f t="shared" si="48"/>
        <v>357.0100775045351</v>
      </c>
      <c r="S105" s="1384" t="str">
        <f t="shared" si="48"/>
        <v/>
      </c>
      <c r="T105" s="1384">
        <f t="shared" si="48"/>
        <v>357.0100775045351</v>
      </c>
      <c r="U105" s="1384">
        <f t="shared" si="48"/>
        <v>257.04725580326533</v>
      </c>
      <c r="V105" s="1384" t="str">
        <f t="shared" si="48"/>
        <v/>
      </c>
      <c r="W105" s="1384">
        <f t="shared" si="48"/>
        <v>8.9252519376133783</v>
      </c>
      <c r="X105" s="1384" t="str">
        <f t="shared" si="48"/>
        <v/>
      </c>
      <c r="Y105" s="1384">
        <f t="shared" si="48"/>
        <v>8.9252519376133783</v>
      </c>
      <c r="Z105" s="1384">
        <f t="shared" si="48"/>
        <v>6.4261813950816338</v>
      </c>
      <c r="AA105" s="1384" t="str">
        <f t="shared" si="48"/>
        <v/>
      </c>
      <c r="AB105" s="1384" t="str">
        <f t="shared" si="48"/>
        <v/>
      </c>
      <c r="AC105" s="1384" t="str">
        <f t="shared" si="48"/>
        <v/>
      </c>
      <c r="AD105" s="1384" t="str">
        <f t="shared" si="48"/>
        <v/>
      </c>
      <c r="AE105" s="1384">
        <f t="shared" si="48"/>
        <v>20</v>
      </c>
      <c r="AF105" s="1384" t="str">
        <f t="shared" si="48"/>
        <v/>
      </c>
      <c r="AG105" s="1384" t="str">
        <f t="shared" si="48"/>
        <v/>
      </c>
      <c r="AH105" s="1384" t="str">
        <f t="shared" si="48"/>
        <v/>
      </c>
      <c r="AI105" s="1384">
        <f t="shared" si="48"/>
        <v>2015</v>
      </c>
      <c r="AJ105" s="1384">
        <f t="shared" si="48"/>
        <v>31.536000000000001</v>
      </c>
      <c r="AK105" s="1384" t="str">
        <f t="shared" si="48"/>
        <v/>
      </c>
    </row>
    <row r="106" spans="2:37" s="1380" customFormat="1">
      <c r="B106" s="1381"/>
      <c r="C106" s="1382"/>
      <c r="D106" s="1380" t="s">
        <v>546</v>
      </c>
      <c r="E106" s="1383"/>
      <c r="F106" s="1384"/>
      <c r="G106" s="1384"/>
      <c r="H106" s="1384"/>
      <c r="I106" s="1384"/>
      <c r="J106" s="1384"/>
      <c r="K106" s="1384"/>
      <c r="L106" s="1384"/>
      <c r="M106" s="1384"/>
      <c r="N106" s="1384"/>
      <c r="O106" s="1384"/>
      <c r="P106" s="1384"/>
      <c r="Q106" s="1384"/>
      <c r="R106" s="1384"/>
      <c r="S106" s="1384"/>
      <c r="T106" s="1384"/>
      <c r="U106" s="1384"/>
      <c r="V106" s="1384"/>
      <c r="W106" s="1384"/>
      <c r="X106" s="1384"/>
      <c r="Y106" s="1384"/>
      <c r="Z106" s="1384"/>
      <c r="AA106" s="1384"/>
      <c r="AB106" s="1384"/>
      <c r="AC106" s="1384"/>
      <c r="AD106" s="1384"/>
      <c r="AE106" s="1384"/>
      <c r="AF106" s="1384"/>
      <c r="AG106" s="1384"/>
      <c r="AH106" s="1384"/>
      <c r="AI106" s="1384"/>
      <c r="AJ106" s="1384"/>
      <c r="AK106" s="1384"/>
    </row>
    <row r="107" spans="2:37" s="1404" customFormat="1">
      <c r="B107" s="1405"/>
      <c r="C107" s="1406"/>
      <c r="E107" s="1407" t="s">
        <v>663</v>
      </c>
      <c r="F107" s="1408"/>
      <c r="G107" s="1408"/>
      <c r="H107" s="1408"/>
      <c r="I107" s="1408"/>
      <c r="J107" s="1408"/>
      <c r="K107" s="1408"/>
      <c r="L107" s="1408"/>
      <c r="M107" s="1408"/>
      <c r="N107" s="1408"/>
      <c r="O107" s="1408"/>
      <c r="P107" s="1408"/>
      <c r="Q107" s="1408" t="str">
        <f t="shared" ref="Q107:AK107" si="49">IF(Q$100=0,"",Q$100)</f>
        <v/>
      </c>
      <c r="R107" s="1408" t="str">
        <f t="shared" si="49"/>
        <v/>
      </c>
      <c r="S107" s="1408" t="str">
        <f t="shared" si="49"/>
        <v/>
      </c>
      <c r="T107" s="1408" t="str">
        <f t="shared" si="49"/>
        <v/>
      </c>
      <c r="U107" s="1408" t="str">
        <f t="shared" si="49"/>
        <v/>
      </c>
      <c r="V107" s="1408" t="str">
        <f t="shared" si="49"/>
        <v/>
      </c>
      <c r="W107" s="1408" t="str">
        <f t="shared" si="49"/>
        <v/>
      </c>
      <c r="X107" s="1408" t="str">
        <f t="shared" si="49"/>
        <v/>
      </c>
      <c r="Y107" s="1408" t="str">
        <f t="shared" si="49"/>
        <v/>
      </c>
      <c r="Z107" s="1408" t="str">
        <f t="shared" si="49"/>
        <v/>
      </c>
      <c r="AA107" s="1408" t="str">
        <f t="shared" si="49"/>
        <v/>
      </c>
      <c r="AB107" s="1408" t="str">
        <f t="shared" si="49"/>
        <v/>
      </c>
      <c r="AC107" s="1408" t="str">
        <f t="shared" si="49"/>
        <v/>
      </c>
      <c r="AD107" s="1408" t="str">
        <f t="shared" si="49"/>
        <v/>
      </c>
      <c r="AE107" s="1408" t="str">
        <f t="shared" si="49"/>
        <v/>
      </c>
      <c r="AF107" s="1408" t="str">
        <f t="shared" si="49"/>
        <v/>
      </c>
      <c r="AG107" s="1408" t="str">
        <f t="shared" si="49"/>
        <v/>
      </c>
      <c r="AH107" s="1408" t="str">
        <f t="shared" si="49"/>
        <v/>
      </c>
      <c r="AI107" s="1408" t="str">
        <f t="shared" si="49"/>
        <v/>
      </c>
      <c r="AJ107" s="1408" t="str">
        <f t="shared" si="49"/>
        <v/>
      </c>
      <c r="AK107" s="1408" t="str">
        <f t="shared" si="49"/>
        <v/>
      </c>
    </row>
    <row r="108" spans="2:37" s="1169" customFormat="1">
      <c r="B108" s="1427" t="s">
        <v>1224</v>
      </c>
      <c r="C108" s="1177" t="s">
        <v>1275</v>
      </c>
      <c r="D108" s="1169" t="s">
        <v>598</v>
      </c>
      <c r="E108" s="1172"/>
      <c r="F108" s="1426"/>
      <c r="G108" s="1426"/>
      <c r="H108" s="1426"/>
      <c r="I108" s="1426"/>
      <c r="J108" s="1426"/>
      <c r="K108" s="1426"/>
      <c r="L108" s="1426">
        <f>1/G99</f>
        <v>0.62293590681669864</v>
      </c>
      <c r="M108" s="1426"/>
      <c r="N108" s="1426">
        <f>1/I99</f>
        <v>0.64248294949095586</v>
      </c>
      <c r="O108" s="1426">
        <f>1/J99</f>
        <v>0.69128974916057673</v>
      </c>
      <c r="P108" s="1426"/>
      <c r="Q108" s="1426">
        <f t="shared" ref="Q108:AK108" si="50">IF(Q$99=0,"",Q$99)</f>
        <v>542.65531780689344</v>
      </c>
      <c r="R108" s="1426">
        <f t="shared" si="50"/>
        <v>357.0100775045351</v>
      </c>
      <c r="S108" s="1426" t="str">
        <f t="shared" si="50"/>
        <v/>
      </c>
      <c r="T108" s="1426">
        <f t="shared" si="50"/>
        <v>357.0100775045351</v>
      </c>
      <c r="U108" s="1426">
        <f t="shared" si="50"/>
        <v>257.04725580326533</v>
      </c>
      <c r="V108" s="1426" t="str">
        <f t="shared" si="50"/>
        <v/>
      </c>
      <c r="W108" s="1426">
        <f t="shared" si="50"/>
        <v>8.9252519376133783</v>
      </c>
      <c r="X108" s="1426" t="str">
        <f t="shared" si="50"/>
        <v/>
      </c>
      <c r="Y108" s="1426">
        <f t="shared" si="50"/>
        <v>8.9252519376133783</v>
      </c>
      <c r="Z108" s="1426">
        <f t="shared" si="50"/>
        <v>6.4261813950816338</v>
      </c>
      <c r="AA108" s="1426" t="str">
        <f t="shared" si="50"/>
        <v/>
      </c>
      <c r="AB108" s="1426" t="str">
        <f t="shared" si="50"/>
        <v/>
      </c>
      <c r="AC108" s="1426" t="str">
        <f t="shared" si="50"/>
        <v/>
      </c>
      <c r="AD108" s="1426" t="str">
        <f t="shared" si="50"/>
        <v/>
      </c>
      <c r="AE108" s="1426">
        <f t="shared" si="50"/>
        <v>20</v>
      </c>
      <c r="AF108" s="1426" t="str">
        <f t="shared" si="50"/>
        <v/>
      </c>
      <c r="AG108" s="1426" t="str">
        <f t="shared" si="50"/>
        <v/>
      </c>
      <c r="AH108" s="1426" t="str">
        <f t="shared" si="50"/>
        <v/>
      </c>
      <c r="AI108" s="1426">
        <f t="shared" si="50"/>
        <v>2015</v>
      </c>
      <c r="AJ108" s="1426">
        <f t="shared" si="50"/>
        <v>31.536000000000001</v>
      </c>
      <c r="AK108" s="1426" t="str">
        <f t="shared" si="50"/>
        <v/>
      </c>
    </row>
    <row r="109" spans="2:37" s="1169" customFormat="1">
      <c r="B109" s="1427"/>
      <c r="C109" s="1177"/>
      <c r="D109" s="1169" t="s">
        <v>279</v>
      </c>
      <c r="E109" s="1172"/>
      <c r="F109" s="1426"/>
      <c r="G109" s="1426"/>
      <c r="H109" s="1426"/>
      <c r="I109" s="1426"/>
      <c r="J109" s="1426"/>
      <c r="K109" s="1426"/>
      <c r="L109" s="1426"/>
      <c r="M109" s="1426"/>
      <c r="N109" s="1426"/>
      <c r="O109" s="1426"/>
      <c r="P109" s="1426"/>
      <c r="Q109" s="1426"/>
      <c r="R109" s="1426"/>
      <c r="S109" s="1426"/>
      <c r="T109" s="1426"/>
      <c r="U109" s="1426"/>
      <c r="V109" s="1426"/>
      <c r="W109" s="1426"/>
      <c r="X109" s="1426"/>
      <c r="Y109" s="1426"/>
      <c r="Z109" s="1426"/>
      <c r="AA109" s="1426"/>
      <c r="AB109" s="1426"/>
      <c r="AC109" s="1426"/>
      <c r="AD109" s="1426"/>
      <c r="AE109" s="1426"/>
      <c r="AF109" s="1426"/>
      <c r="AG109" s="1426"/>
      <c r="AH109" s="1426"/>
      <c r="AI109" s="1426"/>
      <c r="AJ109" s="1426"/>
      <c r="AK109" s="1426"/>
    </row>
    <row r="110" spans="2:37" s="1169" customFormat="1">
      <c r="B110" s="1170"/>
      <c r="C110" s="1171"/>
      <c r="E110" s="1172" t="s">
        <v>663</v>
      </c>
      <c r="F110" s="1426"/>
      <c r="G110" s="1426"/>
      <c r="H110" s="1426"/>
      <c r="I110" s="1426"/>
      <c r="J110" s="1426"/>
      <c r="K110" s="1426"/>
      <c r="L110" s="1426"/>
      <c r="M110" s="1426"/>
      <c r="N110" s="1426"/>
      <c r="O110" s="1426"/>
      <c r="P110" s="1426"/>
      <c r="Q110" s="1426" t="str">
        <f t="shared" ref="Q110:AK110" si="51">IF(Q$100=0,"",Q$100)</f>
        <v/>
      </c>
      <c r="R110" s="1426" t="str">
        <f t="shared" si="51"/>
        <v/>
      </c>
      <c r="S110" s="1426" t="str">
        <f t="shared" si="51"/>
        <v/>
      </c>
      <c r="T110" s="1426" t="str">
        <f t="shared" si="51"/>
        <v/>
      </c>
      <c r="U110" s="1426" t="str">
        <f t="shared" si="51"/>
        <v/>
      </c>
      <c r="V110" s="1426" t="str">
        <f t="shared" si="51"/>
        <v/>
      </c>
      <c r="W110" s="1426" t="str">
        <f t="shared" si="51"/>
        <v/>
      </c>
      <c r="X110" s="1426" t="str">
        <f t="shared" si="51"/>
        <v/>
      </c>
      <c r="Y110" s="1426" t="str">
        <f t="shared" si="51"/>
        <v/>
      </c>
      <c r="Z110" s="1426" t="str">
        <f t="shared" si="51"/>
        <v/>
      </c>
      <c r="AA110" s="1426" t="str">
        <f t="shared" si="51"/>
        <v/>
      </c>
      <c r="AB110" s="1426" t="str">
        <f t="shared" si="51"/>
        <v/>
      </c>
      <c r="AC110" s="1426" t="str">
        <f t="shared" si="51"/>
        <v/>
      </c>
      <c r="AD110" s="1426" t="str">
        <f t="shared" si="51"/>
        <v/>
      </c>
      <c r="AE110" s="1426" t="str">
        <f t="shared" si="51"/>
        <v/>
      </c>
      <c r="AF110" s="1426" t="str">
        <f t="shared" si="51"/>
        <v/>
      </c>
      <c r="AG110" s="1426" t="str">
        <f t="shared" si="51"/>
        <v/>
      </c>
      <c r="AH110" s="1426" t="str">
        <f t="shared" si="51"/>
        <v/>
      </c>
      <c r="AI110" s="1426" t="str">
        <f t="shared" si="51"/>
        <v/>
      </c>
      <c r="AJ110" s="1426" t="str">
        <f t="shared" si="51"/>
        <v/>
      </c>
      <c r="AK110" s="1426" t="str">
        <f t="shared" si="51"/>
        <v/>
      </c>
    </row>
    <row r="111" spans="2:37" s="1169" customFormat="1">
      <c r="B111" s="1427" t="s">
        <v>1225</v>
      </c>
      <c r="C111" s="1177" t="s">
        <v>1276</v>
      </c>
      <c r="D111" s="1169" t="s">
        <v>546</v>
      </c>
      <c r="E111" s="1172"/>
      <c r="F111" s="1426"/>
      <c r="G111" s="1426"/>
      <c r="H111" s="1426"/>
      <c r="I111" s="1426"/>
      <c r="J111" s="1426"/>
      <c r="K111" s="1426"/>
      <c r="L111" s="1426">
        <f>L108</f>
        <v>0.62293590681669864</v>
      </c>
      <c r="M111" s="1426"/>
      <c r="N111" s="1426">
        <f>N108</f>
        <v>0.64248294949095586</v>
      </c>
      <c r="O111" s="1426">
        <f>O108</f>
        <v>0.69128974916057673</v>
      </c>
      <c r="P111" s="1426"/>
      <c r="Q111" s="1426">
        <f t="shared" ref="Q111:AK111" si="52">IF(Q$99=0,"",Q$99)</f>
        <v>542.65531780689344</v>
      </c>
      <c r="R111" s="1426">
        <f t="shared" si="52"/>
        <v>357.0100775045351</v>
      </c>
      <c r="S111" s="1426" t="str">
        <f t="shared" si="52"/>
        <v/>
      </c>
      <c r="T111" s="1426">
        <f t="shared" si="52"/>
        <v>357.0100775045351</v>
      </c>
      <c r="U111" s="1426">
        <f t="shared" si="52"/>
        <v>257.04725580326533</v>
      </c>
      <c r="V111" s="1426" t="str">
        <f t="shared" si="52"/>
        <v/>
      </c>
      <c r="W111" s="1426">
        <f t="shared" si="52"/>
        <v>8.9252519376133783</v>
      </c>
      <c r="X111" s="1426" t="str">
        <f t="shared" si="52"/>
        <v/>
      </c>
      <c r="Y111" s="1426">
        <f t="shared" si="52"/>
        <v>8.9252519376133783</v>
      </c>
      <c r="Z111" s="1426">
        <f t="shared" si="52"/>
        <v>6.4261813950816338</v>
      </c>
      <c r="AA111" s="1426" t="str">
        <f t="shared" si="52"/>
        <v/>
      </c>
      <c r="AB111" s="1426" t="str">
        <f t="shared" si="52"/>
        <v/>
      </c>
      <c r="AC111" s="1426" t="str">
        <f t="shared" si="52"/>
        <v/>
      </c>
      <c r="AD111" s="1426" t="str">
        <f t="shared" si="52"/>
        <v/>
      </c>
      <c r="AE111" s="1426">
        <f t="shared" si="52"/>
        <v>20</v>
      </c>
      <c r="AF111" s="1426" t="str">
        <f t="shared" si="52"/>
        <v/>
      </c>
      <c r="AG111" s="1426" t="str">
        <f t="shared" si="52"/>
        <v/>
      </c>
      <c r="AH111" s="1426" t="str">
        <f t="shared" si="52"/>
        <v/>
      </c>
      <c r="AI111" s="1426">
        <f t="shared" si="52"/>
        <v>2015</v>
      </c>
      <c r="AJ111" s="1426">
        <f t="shared" si="52"/>
        <v>31.536000000000001</v>
      </c>
      <c r="AK111" s="1426" t="str">
        <f t="shared" si="52"/>
        <v/>
      </c>
    </row>
    <row r="112" spans="2:37" s="1169" customFormat="1">
      <c r="B112" s="1427"/>
      <c r="C112" s="1177"/>
      <c r="D112" s="1169" t="s">
        <v>279</v>
      </c>
      <c r="E112" s="1172"/>
      <c r="F112" s="1426"/>
      <c r="G112" s="1426"/>
      <c r="H112" s="1426"/>
      <c r="I112" s="1426"/>
      <c r="J112" s="1426"/>
      <c r="K112" s="1426"/>
      <c r="L112" s="1426"/>
      <c r="M112" s="1426"/>
      <c r="N112" s="1426"/>
      <c r="O112" s="1426"/>
      <c r="P112" s="1426"/>
      <c r="Q112" s="1426"/>
      <c r="R112" s="1426"/>
      <c r="S112" s="1426"/>
      <c r="T112" s="1426"/>
      <c r="U112" s="1426"/>
      <c r="V112" s="1426"/>
      <c r="W112" s="1426"/>
      <c r="X112" s="1426"/>
      <c r="Y112" s="1426"/>
      <c r="Z112" s="1426"/>
      <c r="AA112" s="1426"/>
      <c r="AB112" s="1426"/>
      <c r="AC112" s="1426"/>
      <c r="AD112" s="1426"/>
      <c r="AE112" s="1426"/>
      <c r="AF112" s="1426"/>
      <c r="AG112" s="1426"/>
      <c r="AH112" s="1426"/>
      <c r="AI112" s="1426"/>
      <c r="AJ112" s="1426"/>
      <c r="AK112" s="1426"/>
    </row>
    <row r="113" spans="2:37" s="1169" customFormat="1">
      <c r="B113" s="1170"/>
      <c r="C113" s="1171"/>
      <c r="E113" s="1172" t="s">
        <v>663</v>
      </c>
      <c r="F113" s="1426"/>
      <c r="G113" s="1426"/>
      <c r="H113" s="1426"/>
      <c r="I113" s="1426"/>
      <c r="J113" s="1426"/>
      <c r="K113" s="1426"/>
      <c r="L113" s="1426"/>
      <c r="M113" s="1426"/>
      <c r="N113" s="1426"/>
      <c r="O113" s="1426"/>
      <c r="P113" s="1426"/>
      <c r="Q113" s="1426" t="str">
        <f t="shared" ref="Q113:AK113" si="53">IF(Q$100=0,"",Q$100)</f>
        <v/>
      </c>
      <c r="R113" s="1426" t="str">
        <f t="shared" si="53"/>
        <v/>
      </c>
      <c r="S113" s="1426" t="str">
        <f t="shared" si="53"/>
        <v/>
      </c>
      <c r="T113" s="1426" t="str">
        <f t="shared" si="53"/>
        <v/>
      </c>
      <c r="U113" s="1426" t="str">
        <f t="shared" si="53"/>
        <v/>
      </c>
      <c r="V113" s="1426" t="str">
        <f t="shared" si="53"/>
        <v/>
      </c>
      <c r="W113" s="1426" t="str">
        <f t="shared" si="53"/>
        <v/>
      </c>
      <c r="X113" s="1426" t="str">
        <f t="shared" si="53"/>
        <v/>
      </c>
      <c r="Y113" s="1426" t="str">
        <f t="shared" si="53"/>
        <v/>
      </c>
      <c r="Z113" s="1426" t="str">
        <f t="shared" si="53"/>
        <v/>
      </c>
      <c r="AA113" s="1426" t="str">
        <f t="shared" si="53"/>
        <v/>
      </c>
      <c r="AB113" s="1426" t="str">
        <f t="shared" si="53"/>
        <v/>
      </c>
      <c r="AC113" s="1426" t="str">
        <f t="shared" si="53"/>
        <v/>
      </c>
      <c r="AD113" s="1426" t="str">
        <f t="shared" si="53"/>
        <v/>
      </c>
      <c r="AE113" s="1426" t="str">
        <f t="shared" si="53"/>
        <v/>
      </c>
      <c r="AF113" s="1426" t="str">
        <f t="shared" si="53"/>
        <v/>
      </c>
      <c r="AG113" s="1426" t="str">
        <f t="shared" si="53"/>
        <v/>
      </c>
      <c r="AH113" s="1426" t="str">
        <f t="shared" si="53"/>
        <v/>
      </c>
      <c r="AI113" s="1426" t="str">
        <f t="shared" si="53"/>
        <v/>
      </c>
      <c r="AJ113" s="1426" t="str">
        <f t="shared" si="53"/>
        <v/>
      </c>
      <c r="AK113" s="1426" t="str">
        <f t="shared" si="53"/>
        <v/>
      </c>
    </row>
    <row r="114" spans="2:37" s="1464" customFormat="1">
      <c r="B114" s="1470" t="s">
        <v>1226</v>
      </c>
      <c r="C114" s="1466" t="s">
        <v>1277</v>
      </c>
      <c r="D114" s="1464" t="s">
        <v>598</v>
      </c>
      <c r="E114" s="1467"/>
      <c r="F114" s="1468"/>
      <c r="G114" s="1468"/>
      <c r="H114" s="1468"/>
      <c r="I114" s="1468"/>
      <c r="J114" s="1468"/>
      <c r="K114" s="1468"/>
      <c r="L114" s="1468">
        <f>L111</f>
        <v>0.62293590681669864</v>
      </c>
      <c r="M114" s="1468"/>
      <c r="N114" s="1468">
        <f>N111</f>
        <v>0.64248294949095586</v>
      </c>
      <c r="O114" s="1468">
        <f>O111</f>
        <v>0.69128974916057673</v>
      </c>
      <c r="P114" s="1468"/>
      <c r="Q114" s="1468">
        <f t="shared" ref="Q114:AK114" si="54">IF(Q$99=0,"",Q$99)</f>
        <v>542.65531780689344</v>
      </c>
      <c r="R114" s="1468">
        <f t="shared" si="54"/>
        <v>357.0100775045351</v>
      </c>
      <c r="S114" s="1468" t="str">
        <f t="shared" si="54"/>
        <v/>
      </c>
      <c r="T114" s="1468">
        <f t="shared" si="54"/>
        <v>357.0100775045351</v>
      </c>
      <c r="U114" s="1468">
        <f t="shared" si="54"/>
        <v>257.04725580326533</v>
      </c>
      <c r="V114" s="1468" t="str">
        <f t="shared" si="54"/>
        <v/>
      </c>
      <c r="W114" s="1468">
        <f t="shared" si="54"/>
        <v>8.9252519376133783</v>
      </c>
      <c r="X114" s="1468" t="str">
        <f t="shared" si="54"/>
        <v/>
      </c>
      <c r="Y114" s="1468">
        <f t="shared" si="54"/>
        <v>8.9252519376133783</v>
      </c>
      <c r="Z114" s="1468">
        <f t="shared" si="54"/>
        <v>6.4261813950816338</v>
      </c>
      <c r="AA114" s="1468" t="str">
        <f t="shared" si="54"/>
        <v/>
      </c>
      <c r="AB114" s="1468" t="str">
        <f t="shared" si="54"/>
        <v/>
      </c>
      <c r="AC114" s="1468" t="str">
        <f t="shared" si="54"/>
        <v/>
      </c>
      <c r="AD114" s="1468" t="str">
        <f t="shared" si="54"/>
        <v/>
      </c>
      <c r="AE114" s="1468">
        <f t="shared" si="54"/>
        <v>20</v>
      </c>
      <c r="AF114" s="1468" t="str">
        <f t="shared" si="54"/>
        <v/>
      </c>
      <c r="AG114" s="1468" t="str">
        <f t="shared" si="54"/>
        <v/>
      </c>
      <c r="AH114" s="1468" t="str">
        <f t="shared" si="54"/>
        <v/>
      </c>
      <c r="AI114" s="1468">
        <f t="shared" si="54"/>
        <v>2015</v>
      </c>
      <c r="AJ114" s="1468">
        <f t="shared" si="54"/>
        <v>31.536000000000001</v>
      </c>
      <c r="AK114" s="1468" t="str">
        <f t="shared" si="54"/>
        <v/>
      </c>
    </row>
    <row r="115" spans="2:37" s="1464" customFormat="1">
      <c r="B115" s="1470"/>
      <c r="C115" s="1466"/>
      <c r="D115" s="1464" t="s">
        <v>546</v>
      </c>
      <c r="E115" s="1467"/>
      <c r="F115" s="1468"/>
      <c r="G115" s="1468"/>
      <c r="H115" s="1468"/>
      <c r="I115" s="1468"/>
      <c r="J115" s="1468"/>
      <c r="K115" s="1468"/>
      <c r="L115" s="1468"/>
      <c r="M115" s="1468"/>
      <c r="N115" s="1468"/>
      <c r="O115" s="1468"/>
      <c r="P115" s="1468"/>
      <c r="Q115" s="1468"/>
      <c r="R115" s="1468"/>
      <c r="S115" s="1468"/>
      <c r="T115" s="1468"/>
      <c r="U115" s="1468"/>
      <c r="V115" s="1468"/>
      <c r="W115" s="1468"/>
      <c r="X115" s="1468"/>
      <c r="Y115" s="1468"/>
      <c r="Z115" s="1468"/>
      <c r="AA115" s="1468"/>
      <c r="AB115" s="1468"/>
      <c r="AC115" s="1468"/>
      <c r="AD115" s="1468"/>
      <c r="AE115" s="1468"/>
      <c r="AF115" s="1468"/>
      <c r="AG115" s="1468"/>
      <c r="AH115" s="1468"/>
      <c r="AI115" s="1468"/>
      <c r="AJ115" s="1468"/>
      <c r="AK115" s="1468"/>
    </row>
    <row r="116" spans="2:37" s="1464" customFormat="1">
      <c r="B116" s="1470"/>
      <c r="C116" s="1466"/>
      <c r="D116" s="1464" t="s">
        <v>279</v>
      </c>
      <c r="E116" s="1467"/>
      <c r="F116" s="1468"/>
      <c r="G116" s="1468"/>
      <c r="H116" s="1468"/>
      <c r="I116" s="1468"/>
      <c r="J116" s="1468"/>
      <c r="K116" s="1468"/>
      <c r="L116" s="1468"/>
      <c r="M116" s="1468"/>
      <c r="N116" s="1468"/>
      <c r="O116" s="1468"/>
      <c r="P116" s="1468"/>
      <c r="Q116" s="1468"/>
      <c r="R116" s="1468"/>
      <c r="S116" s="1468"/>
      <c r="T116" s="1468"/>
      <c r="U116" s="1468"/>
      <c r="V116" s="1468"/>
      <c r="W116" s="1468"/>
      <c r="X116" s="1468"/>
      <c r="Y116" s="1468"/>
      <c r="Z116" s="1468"/>
      <c r="AA116" s="1468"/>
      <c r="AB116" s="1468"/>
      <c r="AC116" s="1468"/>
      <c r="AD116" s="1468"/>
      <c r="AE116" s="1468"/>
      <c r="AF116" s="1468"/>
      <c r="AG116" s="1468"/>
      <c r="AH116" s="1468"/>
      <c r="AI116" s="1468"/>
      <c r="AJ116" s="1468"/>
      <c r="AK116" s="1468"/>
    </row>
    <row r="117" spans="2:37" s="1471" customFormat="1">
      <c r="B117" s="1472"/>
      <c r="C117" s="1473"/>
      <c r="E117" s="1474" t="s">
        <v>663</v>
      </c>
      <c r="F117" s="1475"/>
      <c r="G117" s="1475"/>
      <c r="H117" s="1475"/>
      <c r="I117" s="1475"/>
      <c r="J117" s="1475"/>
      <c r="K117" s="1475"/>
      <c r="L117" s="1475"/>
      <c r="M117" s="1475"/>
      <c r="N117" s="1475"/>
      <c r="O117" s="1475"/>
      <c r="P117" s="1475"/>
      <c r="Q117" s="1475" t="str">
        <f t="shared" ref="Q117:AK117" si="55">IF(Q$100=0,"",Q$100)</f>
        <v/>
      </c>
      <c r="R117" s="1475" t="str">
        <f t="shared" si="55"/>
        <v/>
      </c>
      <c r="S117" s="1475" t="str">
        <f t="shared" si="55"/>
        <v/>
      </c>
      <c r="T117" s="1475" t="str">
        <f t="shared" si="55"/>
        <v/>
      </c>
      <c r="U117" s="1475" t="str">
        <f t="shared" si="55"/>
        <v/>
      </c>
      <c r="V117" s="1475" t="str">
        <f t="shared" si="55"/>
        <v/>
      </c>
      <c r="W117" s="1475" t="str">
        <f t="shared" si="55"/>
        <v/>
      </c>
      <c r="X117" s="1475" t="str">
        <f t="shared" si="55"/>
        <v/>
      </c>
      <c r="Y117" s="1475" t="str">
        <f t="shared" si="55"/>
        <v/>
      </c>
      <c r="Z117" s="1475" t="str">
        <f t="shared" si="55"/>
        <v/>
      </c>
      <c r="AA117" s="1475" t="str">
        <f t="shared" si="55"/>
        <v/>
      </c>
      <c r="AB117" s="1475" t="str">
        <f t="shared" si="55"/>
        <v/>
      </c>
      <c r="AC117" s="1475" t="str">
        <f t="shared" si="55"/>
        <v/>
      </c>
      <c r="AD117" s="1475" t="str">
        <f t="shared" si="55"/>
        <v/>
      </c>
      <c r="AE117" s="1475" t="str">
        <f t="shared" si="55"/>
        <v/>
      </c>
      <c r="AF117" s="1475" t="str">
        <f t="shared" si="55"/>
        <v/>
      </c>
      <c r="AG117" s="1475" t="str">
        <f t="shared" si="55"/>
        <v/>
      </c>
      <c r="AH117" s="1475" t="str">
        <f t="shared" si="55"/>
        <v/>
      </c>
      <c r="AI117" s="1475" t="str">
        <f t="shared" si="55"/>
        <v/>
      </c>
      <c r="AJ117" s="1475" t="str">
        <f t="shared" si="55"/>
        <v/>
      </c>
      <c r="AK117" s="1475" t="str">
        <f t="shared" si="55"/>
        <v/>
      </c>
    </row>
    <row r="118" spans="2:37" s="628" customFormat="1">
      <c r="B118" s="973" t="s">
        <v>1196</v>
      </c>
      <c r="C118" s="639" t="s">
        <v>1215</v>
      </c>
      <c r="D118" s="628" t="s">
        <v>279</v>
      </c>
      <c r="E118" s="630"/>
      <c r="F118" s="964" t="s">
        <v>729</v>
      </c>
      <c r="G118" s="964" t="s">
        <v>729</v>
      </c>
      <c r="H118" s="964" t="s">
        <v>729</v>
      </c>
      <c r="I118" s="964">
        <f>IF(I$75=0,"",I$75)</f>
        <v>1.5564615384615383</v>
      </c>
      <c r="J118" s="964">
        <f>IF(J$75=0,"",J$75)</f>
        <v>1.4465714285714286</v>
      </c>
      <c r="K118" s="964" t="str">
        <f>IF(K$75=0,"",K$75)</f>
        <v/>
      </c>
      <c r="L118" s="964"/>
      <c r="M118" s="964"/>
      <c r="N118" s="964"/>
      <c r="O118" s="964"/>
      <c r="P118" s="964"/>
      <c r="Q118" s="964" t="str">
        <f t="shared" ref="Q118:AK118" si="56">IF(Q$75=0,"",Q$75)</f>
        <v/>
      </c>
      <c r="R118" s="964" t="str">
        <f t="shared" si="56"/>
        <v/>
      </c>
      <c r="S118" s="964" t="str">
        <f t="shared" si="56"/>
        <v/>
      </c>
      <c r="T118" s="964">
        <f t="shared" si="56"/>
        <v>253.87383289211391</v>
      </c>
      <c r="U118" s="964">
        <f t="shared" si="56"/>
        <v>126.93691644605696</v>
      </c>
      <c r="V118" s="964" t="str">
        <f t="shared" si="56"/>
        <v/>
      </c>
      <c r="W118" s="964" t="str">
        <f t="shared" si="56"/>
        <v/>
      </c>
      <c r="X118" s="964" t="str">
        <f t="shared" si="56"/>
        <v/>
      </c>
      <c r="Y118" s="964">
        <f t="shared" si="56"/>
        <v>3.8081074933817085</v>
      </c>
      <c r="Z118" s="964">
        <f t="shared" si="56"/>
        <v>1.9040537466908543</v>
      </c>
      <c r="AA118" s="964" t="str">
        <f t="shared" si="56"/>
        <v/>
      </c>
      <c r="AB118" s="964" t="str">
        <f t="shared" si="56"/>
        <v/>
      </c>
      <c r="AC118" s="964" t="str">
        <f t="shared" si="56"/>
        <v/>
      </c>
      <c r="AD118" s="964" t="str">
        <f t="shared" si="56"/>
        <v/>
      </c>
      <c r="AE118" s="964">
        <f t="shared" si="56"/>
        <v>20</v>
      </c>
      <c r="AF118" s="964" t="str">
        <f t="shared" si="56"/>
        <v/>
      </c>
      <c r="AG118" s="964" t="str">
        <f t="shared" si="56"/>
        <v/>
      </c>
      <c r="AH118" s="964" t="str">
        <f t="shared" si="56"/>
        <v/>
      </c>
      <c r="AI118" s="964">
        <f t="shared" si="56"/>
        <v>2030</v>
      </c>
      <c r="AJ118" s="964">
        <f t="shared" si="56"/>
        <v>31.536000000000001</v>
      </c>
      <c r="AK118" s="964" t="str">
        <f t="shared" si="56"/>
        <v/>
      </c>
    </row>
    <row r="119" spans="2:37" s="628" customFormat="1">
      <c r="B119" s="973"/>
      <c r="C119" s="639"/>
      <c r="E119" s="630" t="s">
        <v>233</v>
      </c>
      <c r="F119" s="964"/>
      <c r="G119" s="964"/>
      <c r="H119" s="964"/>
      <c r="I119" s="964" t="str">
        <f>IF(I$76=0,"",I$76)</f>
        <v/>
      </c>
      <c r="J119" s="964" t="str">
        <f>IF(J$76=0,"",J$76)</f>
        <v/>
      </c>
      <c r="K119" s="964">
        <f>IF(K$76=0,"",K$76)</f>
        <v>1</v>
      </c>
      <c r="L119" s="964"/>
      <c r="M119" s="964"/>
      <c r="N119" s="964"/>
      <c r="O119" s="964"/>
      <c r="P119" s="964"/>
      <c r="Q119" s="964" t="str">
        <f t="shared" ref="Q119:AK119" si="57">IF(Q$76=0,"",Q$76)</f>
        <v/>
      </c>
      <c r="R119" s="964" t="str">
        <f t="shared" si="57"/>
        <v/>
      </c>
      <c r="S119" s="964" t="str">
        <f t="shared" si="57"/>
        <v/>
      </c>
      <c r="T119" s="964" t="str">
        <f t="shared" si="57"/>
        <v/>
      </c>
      <c r="U119" s="964" t="str">
        <f t="shared" si="57"/>
        <v/>
      </c>
      <c r="V119" s="964" t="str">
        <f t="shared" si="57"/>
        <v/>
      </c>
      <c r="W119" s="964" t="str">
        <f t="shared" si="57"/>
        <v/>
      </c>
      <c r="X119" s="964" t="str">
        <f t="shared" si="57"/>
        <v/>
      </c>
      <c r="Y119" s="964" t="str">
        <f t="shared" si="57"/>
        <v/>
      </c>
      <c r="Z119" s="964" t="str">
        <f t="shared" si="57"/>
        <v/>
      </c>
      <c r="AA119" s="964" t="str">
        <f t="shared" si="57"/>
        <v/>
      </c>
      <c r="AB119" s="964" t="str">
        <f t="shared" si="57"/>
        <v/>
      </c>
      <c r="AC119" s="964" t="str">
        <f t="shared" si="57"/>
        <v/>
      </c>
      <c r="AD119" s="964" t="str">
        <f t="shared" si="57"/>
        <v/>
      </c>
      <c r="AE119" s="964" t="str">
        <f t="shared" si="57"/>
        <v/>
      </c>
      <c r="AF119" s="964" t="str">
        <f t="shared" si="57"/>
        <v/>
      </c>
      <c r="AG119" s="964" t="str">
        <f t="shared" si="57"/>
        <v/>
      </c>
      <c r="AH119" s="964" t="str">
        <f t="shared" si="57"/>
        <v/>
      </c>
      <c r="AI119" s="964" t="str">
        <f t="shared" si="57"/>
        <v/>
      </c>
      <c r="AJ119" s="964" t="str">
        <f t="shared" si="57"/>
        <v/>
      </c>
      <c r="AK119" s="964" t="str">
        <f t="shared" si="57"/>
        <v/>
      </c>
    </row>
    <row r="120" spans="2:37" s="628" customFormat="1">
      <c r="B120" s="1229" t="s">
        <v>1197</v>
      </c>
      <c r="C120" s="638" t="s">
        <v>995</v>
      </c>
      <c r="D120" s="628" t="s">
        <v>598</v>
      </c>
      <c r="E120" s="630"/>
      <c r="F120" s="964" t="s">
        <v>729</v>
      </c>
      <c r="G120" s="964" t="s">
        <v>729</v>
      </c>
      <c r="H120" s="964" t="s">
        <v>729</v>
      </c>
      <c r="I120" s="964">
        <f>IF(I$75=0,"",I$75)</f>
        <v>1.5564615384615383</v>
      </c>
      <c r="J120" s="964">
        <f>IF(J$75=0,"",J$75)</f>
        <v>1.4465714285714286</v>
      </c>
      <c r="K120" s="964" t="str">
        <f>IF(K$75=0,"",K$75)</f>
        <v/>
      </c>
      <c r="L120" s="964"/>
      <c r="M120" s="964"/>
      <c r="N120" s="964"/>
      <c r="O120" s="964"/>
      <c r="P120" s="964"/>
      <c r="Q120" s="964" t="str">
        <f t="shared" ref="Q120:AK120" si="58">IF(Q$75=0,"",Q$75)</f>
        <v/>
      </c>
      <c r="R120" s="964" t="str">
        <f t="shared" si="58"/>
        <v/>
      </c>
      <c r="S120" s="964" t="str">
        <f t="shared" si="58"/>
        <v/>
      </c>
      <c r="T120" s="964">
        <f t="shared" si="58"/>
        <v>253.87383289211391</v>
      </c>
      <c r="U120" s="964">
        <f t="shared" si="58"/>
        <v>126.93691644605696</v>
      </c>
      <c r="V120" s="964" t="str">
        <f t="shared" si="58"/>
        <v/>
      </c>
      <c r="W120" s="964" t="str">
        <f t="shared" si="58"/>
        <v/>
      </c>
      <c r="X120" s="964" t="str">
        <f t="shared" si="58"/>
        <v/>
      </c>
      <c r="Y120" s="964">
        <f t="shared" si="58"/>
        <v>3.8081074933817085</v>
      </c>
      <c r="Z120" s="964">
        <f t="shared" si="58"/>
        <v>1.9040537466908543</v>
      </c>
      <c r="AA120" s="964" t="str">
        <f t="shared" si="58"/>
        <v/>
      </c>
      <c r="AB120" s="964" t="str">
        <f t="shared" si="58"/>
        <v/>
      </c>
      <c r="AC120" s="964" t="str">
        <f t="shared" si="58"/>
        <v/>
      </c>
      <c r="AD120" s="964" t="str">
        <f t="shared" si="58"/>
        <v/>
      </c>
      <c r="AE120" s="964">
        <f t="shared" si="58"/>
        <v>20</v>
      </c>
      <c r="AF120" s="964" t="str">
        <f t="shared" si="58"/>
        <v/>
      </c>
      <c r="AG120" s="964" t="str">
        <f t="shared" si="58"/>
        <v/>
      </c>
      <c r="AH120" s="964" t="str">
        <f t="shared" si="58"/>
        <v/>
      </c>
      <c r="AI120" s="964">
        <f t="shared" si="58"/>
        <v>2030</v>
      </c>
      <c r="AJ120" s="964">
        <f t="shared" si="58"/>
        <v>31.536000000000001</v>
      </c>
      <c r="AK120" s="964" t="str">
        <f t="shared" si="58"/>
        <v/>
      </c>
    </row>
    <row r="121" spans="2:37" s="628" customFormat="1">
      <c r="B121" s="973"/>
      <c r="C121" s="639"/>
      <c r="E121" s="630" t="s">
        <v>233</v>
      </c>
      <c r="F121" s="964"/>
      <c r="G121" s="964"/>
      <c r="H121" s="964"/>
      <c r="I121" s="964" t="str">
        <f>IF(I$76=0,"",I$76)</f>
        <v/>
      </c>
      <c r="J121" s="964" t="str">
        <f>IF(J$76=0,"",J$76)</f>
        <v/>
      </c>
      <c r="K121" s="964">
        <f>IF(K$76=0,"",K$76)</f>
        <v>1</v>
      </c>
      <c r="L121" s="964"/>
      <c r="M121" s="964"/>
      <c r="N121" s="964"/>
      <c r="O121" s="964"/>
      <c r="P121" s="964"/>
      <c r="Q121" s="964" t="str">
        <f t="shared" ref="Q121:AK121" si="59">IF(Q$76=0,"",Q$76)</f>
        <v/>
      </c>
      <c r="R121" s="964" t="str">
        <f t="shared" si="59"/>
        <v/>
      </c>
      <c r="S121" s="964" t="str">
        <f t="shared" si="59"/>
        <v/>
      </c>
      <c r="T121" s="964" t="str">
        <f t="shared" si="59"/>
        <v/>
      </c>
      <c r="U121" s="964" t="str">
        <f t="shared" si="59"/>
        <v/>
      </c>
      <c r="V121" s="964" t="str">
        <f t="shared" si="59"/>
        <v/>
      </c>
      <c r="W121" s="964" t="str">
        <f t="shared" si="59"/>
        <v/>
      </c>
      <c r="X121" s="964" t="str">
        <f t="shared" si="59"/>
        <v/>
      </c>
      <c r="Y121" s="964" t="str">
        <f t="shared" si="59"/>
        <v/>
      </c>
      <c r="Z121" s="964" t="str">
        <f t="shared" si="59"/>
        <v/>
      </c>
      <c r="AA121" s="964" t="str">
        <f t="shared" si="59"/>
        <v/>
      </c>
      <c r="AB121" s="964" t="str">
        <f t="shared" si="59"/>
        <v/>
      </c>
      <c r="AC121" s="964" t="str">
        <f t="shared" si="59"/>
        <v/>
      </c>
      <c r="AD121" s="964" t="str">
        <f t="shared" si="59"/>
        <v/>
      </c>
      <c r="AE121" s="964" t="str">
        <f t="shared" si="59"/>
        <v/>
      </c>
      <c r="AF121" s="964" t="str">
        <f t="shared" si="59"/>
        <v/>
      </c>
      <c r="AG121" s="964" t="str">
        <f t="shared" si="59"/>
        <v/>
      </c>
      <c r="AH121" s="964" t="str">
        <f t="shared" si="59"/>
        <v/>
      </c>
      <c r="AI121" s="964" t="str">
        <f t="shared" si="59"/>
        <v/>
      </c>
      <c r="AJ121" s="964" t="str">
        <f t="shared" si="59"/>
        <v/>
      </c>
      <c r="AK121" s="964" t="str">
        <f t="shared" si="59"/>
        <v/>
      </c>
    </row>
    <row r="122" spans="2:37" s="628" customFormat="1">
      <c r="B122" s="1229" t="s">
        <v>1198</v>
      </c>
      <c r="C122" s="638" t="s">
        <v>996</v>
      </c>
      <c r="D122" s="628" t="s">
        <v>546</v>
      </c>
      <c r="E122" s="630"/>
      <c r="F122" s="964" t="s">
        <v>729</v>
      </c>
      <c r="G122" s="964" t="s">
        <v>729</v>
      </c>
      <c r="H122" s="964" t="s">
        <v>729</v>
      </c>
      <c r="I122" s="964">
        <f>IF(I$75=0,"",I$75)</f>
        <v>1.5564615384615383</v>
      </c>
      <c r="J122" s="964">
        <f>IF(J$75=0,"",J$75)</f>
        <v>1.4465714285714286</v>
      </c>
      <c r="K122" s="964" t="str">
        <f>IF(K$75=0,"",K$75)</f>
        <v/>
      </c>
      <c r="L122" s="964"/>
      <c r="M122" s="964"/>
      <c r="N122" s="964"/>
      <c r="O122" s="964"/>
      <c r="P122" s="964"/>
      <c r="Q122" s="964" t="str">
        <f t="shared" ref="Q122:AK122" si="60">IF(Q$75=0,"",Q$75)</f>
        <v/>
      </c>
      <c r="R122" s="964" t="str">
        <f t="shared" si="60"/>
        <v/>
      </c>
      <c r="S122" s="964" t="str">
        <f t="shared" si="60"/>
        <v/>
      </c>
      <c r="T122" s="964">
        <f t="shared" si="60"/>
        <v>253.87383289211391</v>
      </c>
      <c r="U122" s="964">
        <f t="shared" si="60"/>
        <v>126.93691644605696</v>
      </c>
      <c r="V122" s="964" t="str">
        <f t="shared" si="60"/>
        <v/>
      </c>
      <c r="W122" s="964" t="str">
        <f t="shared" si="60"/>
        <v/>
      </c>
      <c r="X122" s="964" t="str">
        <f t="shared" si="60"/>
        <v/>
      </c>
      <c r="Y122" s="964">
        <f t="shared" si="60"/>
        <v>3.8081074933817085</v>
      </c>
      <c r="Z122" s="964">
        <f t="shared" si="60"/>
        <v>1.9040537466908543</v>
      </c>
      <c r="AA122" s="964" t="str">
        <f t="shared" si="60"/>
        <v/>
      </c>
      <c r="AB122" s="964" t="str">
        <f t="shared" si="60"/>
        <v/>
      </c>
      <c r="AC122" s="964" t="str">
        <f t="shared" si="60"/>
        <v/>
      </c>
      <c r="AD122" s="964" t="str">
        <f t="shared" si="60"/>
        <v/>
      </c>
      <c r="AE122" s="964">
        <f t="shared" si="60"/>
        <v>20</v>
      </c>
      <c r="AF122" s="964" t="str">
        <f t="shared" si="60"/>
        <v/>
      </c>
      <c r="AG122" s="964" t="str">
        <f t="shared" si="60"/>
        <v/>
      </c>
      <c r="AH122" s="964" t="str">
        <f t="shared" si="60"/>
        <v/>
      </c>
      <c r="AI122" s="964">
        <f t="shared" si="60"/>
        <v>2030</v>
      </c>
      <c r="AJ122" s="964">
        <f t="shared" si="60"/>
        <v>31.536000000000001</v>
      </c>
      <c r="AK122" s="964" t="str">
        <f t="shared" si="60"/>
        <v/>
      </c>
    </row>
    <row r="123" spans="2:37" s="628" customFormat="1">
      <c r="B123" s="973"/>
      <c r="C123" s="639"/>
      <c r="E123" s="630" t="s">
        <v>233</v>
      </c>
      <c r="F123" s="964"/>
      <c r="G123" s="964"/>
      <c r="H123" s="964"/>
      <c r="I123" s="964" t="str">
        <f>IF(I$76=0,"",I$76)</f>
        <v/>
      </c>
      <c r="J123" s="964" t="str">
        <f>IF(J$76=0,"",J$76)</f>
        <v/>
      </c>
      <c r="K123" s="964">
        <f>IF(K$76=0,"",K$76)</f>
        <v>1</v>
      </c>
      <c r="L123" s="964"/>
      <c r="M123" s="964"/>
      <c r="N123" s="964"/>
      <c r="O123" s="964"/>
      <c r="P123" s="964"/>
      <c r="Q123" s="964" t="str">
        <f t="shared" ref="Q123:AK123" si="61">IF(Q$76=0,"",Q$76)</f>
        <v/>
      </c>
      <c r="R123" s="964" t="str">
        <f t="shared" si="61"/>
        <v/>
      </c>
      <c r="S123" s="964" t="str">
        <f t="shared" si="61"/>
        <v/>
      </c>
      <c r="T123" s="964" t="str">
        <f t="shared" si="61"/>
        <v/>
      </c>
      <c r="U123" s="964" t="str">
        <f t="shared" si="61"/>
        <v/>
      </c>
      <c r="V123" s="964" t="str">
        <f t="shared" si="61"/>
        <v/>
      </c>
      <c r="W123" s="964" t="str">
        <f t="shared" si="61"/>
        <v/>
      </c>
      <c r="X123" s="964" t="str">
        <f t="shared" si="61"/>
        <v/>
      </c>
      <c r="Y123" s="964" t="str">
        <f t="shared" si="61"/>
        <v/>
      </c>
      <c r="Z123" s="964" t="str">
        <f t="shared" si="61"/>
        <v/>
      </c>
      <c r="AA123" s="964" t="str">
        <f t="shared" si="61"/>
        <v/>
      </c>
      <c r="AB123" s="964" t="str">
        <f t="shared" si="61"/>
        <v/>
      </c>
      <c r="AC123" s="964" t="str">
        <f t="shared" si="61"/>
        <v/>
      </c>
      <c r="AD123" s="964" t="str">
        <f t="shared" si="61"/>
        <v/>
      </c>
      <c r="AE123" s="964" t="str">
        <f t="shared" si="61"/>
        <v/>
      </c>
      <c r="AF123" s="964" t="str">
        <f t="shared" si="61"/>
        <v/>
      </c>
      <c r="AG123" s="964" t="str">
        <f t="shared" si="61"/>
        <v/>
      </c>
      <c r="AH123" s="964" t="str">
        <f t="shared" si="61"/>
        <v/>
      </c>
      <c r="AI123" s="964" t="str">
        <f t="shared" si="61"/>
        <v/>
      </c>
      <c r="AJ123" s="964" t="str">
        <f t="shared" si="61"/>
        <v/>
      </c>
      <c r="AK123" s="964" t="str">
        <f t="shared" si="61"/>
        <v/>
      </c>
    </row>
    <row r="124" spans="2:37" s="628" customFormat="1">
      <c r="B124" s="973" t="s">
        <v>1199</v>
      </c>
      <c r="C124" s="638" t="s">
        <v>997</v>
      </c>
      <c r="D124" s="628" t="s">
        <v>596</v>
      </c>
      <c r="E124" s="630"/>
      <c r="F124" s="964" t="s">
        <v>729</v>
      </c>
      <c r="G124" s="964" t="s">
        <v>729</v>
      </c>
      <c r="H124" s="964" t="s">
        <v>729</v>
      </c>
      <c r="I124" s="964">
        <f>IF(I$75=0,"",I$75)</f>
        <v>1.5564615384615383</v>
      </c>
      <c r="J124" s="964">
        <f>IF(J$75=0,"",J$75)</f>
        <v>1.4465714285714286</v>
      </c>
      <c r="K124" s="964" t="str">
        <f>IF(K$75=0,"",K$75)</f>
        <v/>
      </c>
      <c r="L124" s="964"/>
      <c r="M124" s="964"/>
      <c r="N124" s="964"/>
      <c r="O124" s="964"/>
      <c r="P124" s="964"/>
      <c r="Q124" s="964" t="str">
        <f t="shared" ref="Q124:AK124" si="62">IF(Q$75=0,"",Q$75)</f>
        <v/>
      </c>
      <c r="R124" s="964" t="str">
        <f t="shared" si="62"/>
        <v/>
      </c>
      <c r="S124" s="964" t="str">
        <f t="shared" si="62"/>
        <v/>
      </c>
      <c r="T124" s="964">
        <f t="shared" si="62"/>
        <v>253.87383289211391</v>
      </c>
      <c r="U124" s="964">
        <f t="shared" si="62"/>
        <v>126.93691644605696</v>
      </c>
      <c r="V124" s="964" t="str">
        <f t="shared" si="62"/>
        <v/>
      </c>
      <c r="W124" s="964" t="str">
        <f t="shared" si="62"/>
        <v/>
      </c>
      <c r="X124" s="964" t="str">
        <f t="shared" si="62"/>
        <v/>
      </c>
      <c r="Y124" s="964">
        <f t="shared" si="62"/>
        <v>3.8081074933817085</v>
      </c>
      <c r="Z124" s="964">
        <f t="shared" si="62"/>
        <v>1.9040537466908543</v>
      </c>
      <c r="AA124" s="964" t="str">
        <f t="shared" si="62"/>
        <v/>
      </c>
      <c r="AB124" s="964" t="str">
        <f t="shared" si="62"/>
        <v/>
      </c>
      <c r="AC124" s="964" t="str">
        <f t="shared" si="62"/>
        <v/>
      </c>
      <c r="AD124" s="964" t="str">
        <f t="shared" si="62"/>
        <v/>
      </c>
      <c r="AE124" s="964">
        <f t="shared" si="62"/>
        <v>20</v>
      </c>
      <c r="AF124" s="964" t="str">
        <f t="shared" si="62"/>
        <v/>
      </c>
      <c r="AG124" s="964" t="str">
        <f t="shared" si="62"/>
        <v/>
      </c>
      <c r="AH124" s="964" t="str">
        <f t="shared" si="62"/>
        <v/>
      </c>
      <c r="AI124" s="964">
        <f t="shared" si="62"/>
        <v>2030</v>
      </c>
      <c r="AJ124" s="964">
        <f t="shared" si="62"/>
        <v>31.536000000000001</v>
      </c>
      <c r="AK124" s="964" t="str">
        <f t="shared" si="62"/>
        <v/>
      </c>
    </row>
    <row r="125" spans="2:37" s="628" customFormat="1">
      <c r="B125" s="973"/>
      <c r="C125" s="639"/>
      <c r="E125" s="630" t="s">
        <v>233</v>
      </c>
      <c r="F125" s="964"/>
      <c r="G125" s="964"/>
      <c r="H125" s="964"/>
      <c r="I125" s="964" t="str">
        <f>IF(I$76=0,"",I$76)</f>
        <v/>
      </c>
      <c r="J125" s="964" t="str">
        <f>IF(J$76=0,"",J$76)</f>
        <v/>
      </c>
      <c r="K125" s="964">
        <f>IF(K$76=0,"",K$76)</f>
        <v>1</v>
      </c>
      <c r="L125" s="964"/>
      <c r="M125" s="964"/>
      <c r="N125" s="964"/>
      <c r="O125" s="964"/>
      <c r="P125" s="964"/>
      <c r="Q125" s="964" t="str">
        <f t="shared" ref="Q125:AK125" si="63">IF(Q$76=0,"",Q$76)</f>
        <v/>
      </c>
      <c r="R125" s="964" t="str">
        <f t="shared" si="63"/>
        <v/>
      </c>
      <c r="S125" s="964" t="str">
        <f t="shared" si="63"/>
        <v/>
      </c>
      <c r="T125" s="964" t="str">
        <f t="shared" si="63"/>
        <v/>
      </c>
      <c r="U125" s="964" t="str">
        <f t="shared" si="63"/>
        <v/>
      </c>
      <c r="V125" s="964" t="str">
        <f t="shared" si="63"/>
        <v/>
      </c>
      <c r="W125" s="964" t="str">
        <f t="shared" si="63"/>
        <v/>
      </c>
      <c r="X125" s="964" t="str">
        <f t="shared" si="63"/>
        <v/>
      </c>
      <c r="Y125" s="964" t="str">
        <f t="shared" si="63"/>
        <v/>
      </c>
      <c r="Z125" s="964" t="str">
        <f t="shared" si="63"/>
        <v/>
      </c>
      <c r="AA125" s="964" t="str">
        <f t="shared" si="63"/>
        <v/>
      </c>
      <c r="AB125" s="964" t="str">
        <f t="shared" si="63"/>
        <v/>
      </c>
      <c r="AC125" s="964" t="str">
        <f t="shared" si="63"/>
        <v/>
      </c>
      <c r="AD125" s="964" t="str">
        <f t="shared" si="63"/>
        <v/>
      </c>
      <c r="AE125" s="964" t="str">
        <f t="shared" si="63"/>
        <v/>
      </c>
      <c r="AF125" s="964" t="str">
        <f t="shared" si="63"/>
        <v/>
      </c>
      <c r="AG125" s="964" t="str">
        <f t="shared" si="63"/>
        <v/>
      </c>
      <c r="AH125" s="964" t="str">
        <f t="shared" si="63"/>
        <v/>
      </c>
      <c r="AI125" s="964" t="str">
        <f t="shared" si="63"/>
        <v/>
      </c>
      <c r="AJ125" s="964" t="str">
        <f t="shared" si="63"/>
        <v/>
      </c>
      <c r="AK125" s="964" t="str">
        <f t="shared" si="63"/>
        <v/>
      </c>
    </row>
    <row r="126" spans="2:37" s="1380" customFormat="1">
      <c r="B126" s="1385" t="s">
        <v>1200</v>
      </c>
      <c r="C126" s="1382" t="s">
        <v>1172</v>
      </c>
      <c r="D126" s="1380" t="s">
        <v>598</v>
      </c>
      <c r="E126" s="1383"/>
      <c r="F126" s="1384" t="s">
        <v>729</v>
      </c>
      <c r="G126" s="1384" t="s">
        <v>729</v>
      </c>
      <c r="H126" s="1384" t="s">
        <v>729</v>
      </c>
      <c r="I126" s="1384"/>
      <c r="J126" s="1384"/>
      <c r="K126" s="1384"/>
      <c r="L126" s="1384"/>
      <c r="M126" s="1384"/>
      <c r="N126" s="1384">
        <f>1/I118</f>
        <v>0.64248294949095586</v>
      </c>
      <c r="O126" s="1384">
        <f>1/J118</f>
        <v>0.69128974916057673</v>
      </c>
      <c r="P126" s="1384"/>
      <c r="Q126" s="1384" t="str">
        <f t="shared" ref="Q126:AK126" si="64">IF(Q$75=0,"",Q$75)</f>
        <v/>
      </c>
      <c r="R126" s="1384" t="str">
        <f t="shared" si="64"/>
        <v/>
      </c>
      <c r="S126" s="1384" t="str">
        <f t="shared" si="64"/>
        <v/>
      </c>
      <c r="T126" s="1384">
        <f t="shared" si="64"/>
        <v>253.87383289211391</v>
      </c>
      <c r="U126" s="1384">
        <f t="shared" si="64"/>
        <v>126.93691644605696</v>
      </c>
      <c r="V126" s="1384" t="str">
        <f t="shared" si="64"/>
        <v/>
      </c>
      <c r="W126" s="1384" t="str">
        <f t="shared" si="64"/>
        <v/>
      </c>
      <c r="X126" s="1384" t="str">
        <f t="shared" si="64"/>
        <v/>
      </c>
      <c r="Y126" s="1384">
        <f t="shared" si="64"/>
        <v>3.8081074933817085</v>
      </c>
      <c r="Z126" s="1384">
        <f t="shared" si="64"/>
        <v>1.9040537466908543</v>
      </c>
      <c r="AA126" s="1384" t="str">
        <f t="shared" si="64"/>
        <v/>
      </c>
      <c r="AB126" s="1384" t="str">
        <f t="shared" si="64"/>
        <v/>
      </c>
      <c r="AC126" s="1384" t="str">
        <f t="shared" si="64"/>
        <v/>
      </c>
      <c r="AD126" s="1384" t="str">
        <f t="shared" si="64"/>
        <v/>
      </c>
      <c r="AE126" s="1384">
        <f t="shared" si="64"/>
        <v>20</v>
      </c>
      <c r="AF126" s="1384" t="str">
        <f t="shared" si="64"/>
        <v/>
      </c>
      <c r="AG126" s="1384" t="str">
        <f t="shared" si="64"/>
        <v/>
      </c>
      <c r="AH126" s="1384" t="str">
        <f t="shared" si="64"/>
        <v/>
      </c>
      <c r="AI126" s="1384">
        <f t="shared" si="64"/>
        <v>2030</v>
      </c>
      <c r="AJ126" s="1384">
        <f t="shared" si="64"/>
        <v>31.536000000000001</v>
      </c>
      <c r="AK126" s="1384" t="str">
        <f t="shared" si="64"/>
        <v/>
      </c>
    </row>
    <row r="127" spans="2:37" s="1380" customFormat="1">
      <c r="B127" s="1385"/>
      <c r="C127" s="1382"/>
      <c r="D127" s="1380" t="s">
        <v>546</v>
      </c>
      <c r="E127" s="1383"/>
      <c r="F127" s="1384"/>
      <c r="G127" s="1384"/>
      <c r="H127" s="1384"/>
      <c r="I127" s="1384"/>
      <c r="J127" s="1384"/>
      <c r="K127" s="1384"/>
      <c r="L127" s="1384"/>
      <c r="M127" s="1384"/>
      <c r="N127" s="1384"/>
      <c r="O127" s="1384"/>
      <c r="P127" s="1384"/>
      <c r="Q127" s="1384"/>
      <c r="R127" s="1384"/>
      <c r="S127" s="1384"/>
      <c r="T127" s="1384"/>
      <c r="U127" s="1384"/>
      <c r="V127" s="1384"/>
      <c r="W127" s="1384"/>
      <c r="X127" s="1384"/>
      <c r="Y127" s="1384"/>
      <c r="Z127" s="1384"/>
      <c r="AA127" s="1384"/>
      <c r="AB127" s="1384"/>
      <c r="AC127" s="1384"/>
      <c r="AD127" s="1384"/>
      <c r="AE127" s="1384"/>
      <c r="AF127" s="1384"/>
      <c r="AG127" s="1384"/>
      <c r="AH127" s="1384"/>
      <c r="AI127" s="1384"/>
      <c r="AJ127" s="1384"/>
      <c r="AK127" s="1384"/>
    </row>
    <row r="128" spans="2:37" s="1404" customFormat="1">
      <c r="B128" s="1405"/>
      <c r="C128" s="1406"/>
      <c r="E128" s="1407" t="s">
        <v>233</v>
      </c>
      <c r="F128" s="1408"/>
      <c r="G128" s="1408"/>
      <c r="H128" s="1408"/>
      <c r="I128" s="1408"/>
      <c r="J128" s="1408"/>
      <c r="K128" s="1408"/>
      <c r="L128" s="1408"/>
      <c r="M128" s="1408"/>
      <c r="N128" s="1408"/>
      <c r="O128" s="1408"/>
      <c r="P128" s="1408"/>
      <c r="Q128" s="1408" t="str">
        <f t="shared" ref="Q128:AK128" si="65">IF(Q$76=0,"",Q$76)</f>
        <v/>
      </c>
      <c r="R128" s="1408" t="str">
        <f t="shared" si="65"/>
        <v/>
      </c>
      <c r="S128" s="1408" t="str">
        <f t="shared" si="65"/>
        <v/>
      </c>
      <c r="T128" s="1408" t="str">
        <f t="shared" si="65"/>
        <v/>
      </c>
      <c r="U128" s="1408" t="str">
        <f t="shared" si="65"/>
        <v/>
      </c>
      <c r="V128" s="1408" t="str">
        <f t="shared" si="65"/>
        <v/>
      </c>
      <c r="W128" s="1408" t="str">
        <f t="shared" si="65"/>
        <v/>
      </c>
      <c r="X128" s="1408" t="str">
        <f t="shared" si="65"/>
        <v/>
      </c>
      <c r="Y128" s="1408" t="str">
        <f t="shared" si="65"/>
        <v/>
      </c>
      <c r="Z128" s="1408" t="str">
        <f t="shared" si="65"/>
        <v/>
      </c>
      <c r="AA128" s="1408" t="str">
        <f t="shared" si="65"/>
        <v/>
      </c>
      <c r="AB128" s="1408" t="str">
        <f t="shared" si="65"/>
        <v/>
      </c>
      <c r="AC128" s="1408" t="str">
        <f t="shared" si="65"/>
        <v/>
      </c>
      <c r="AD128" s="1408" t="str">
        <f t="shared" si="65"/>
        <v/>
      </c>
      <c r="AE128" s="1408" t="str">
        <f t="shared" si="65"/>
        <v/>
      </c>
      <c r="AF128" s="1408" t="str">
        <f t="shared" si="65"/>
        <v/>
      </c>
      <c r="AG128" s="1408" t="str">
        <f t="shared" si="65"/>
        <v/>
      </c>
      <c r="AH128" s="1408" t="str">
        <f t="shared" si="65"/>
        <v/>
      </c>
      <c r="AI128" s="1408" t="str">
        <f t="shared" si="65"/>
        <v/>
      </c>
      <c r="AJ128" s="1408" t="str">
        <f t="shared" si="65"/>
        <v/>
      </c>
      <c r="AK128" s="1408" t="str">
        <f t="shared" si="65"/>
        <v/>
      </c>
    </row>
    <row r="129" spans="2:37" s="1169" customFormat="1">
      <c r="B129" s="1427" t="s">
        <v>1227</v>
      </c>
      <c r="C129" s="1177" t="s">
        <v>1278</v>
      </c>
      <c r="D129" s="1169" t="s">
        <v>598</v>
      </c>
      <c r="E129" s="1172"/>
      <c r="F129" s="1426" t="s">
        <v>729</v>
      </c>
      <c r="G129" s="1426" t="s">
        <v>729</v>
      </c>
      <c r="H129" s="1426" t="s">
        <v>729</v>
      </c>
      <c r="I129" s="1426"/>
      <c r="J129" s="1426"/>
      <c r="K129" s="1426"/>
      <c r="L129" s="1426"/>
      <c r="N129" s="1426">
        <f>1/I120</f>
        <v>0.64248294949095586</v>
      </c>
      <c r="O129" s="1426">
        <f>1/J120</f>
        <v>0.69128974916057673</v>
      </c>
      <c r="P129" s="1426"/>
      <c r="Q129" s="1426" t="str">
        <f t="shared" ref="Q129:AK129" si="66">IF(Q$75=0,"",Q$75)</f>
        <v/>
      </c>
      <c r="R129" s="1426" t="str">
        <f t="shared" si="66"/>
        <v/>
      </c>
      <c r="S129" s="1426" t="str">
        <f t="shared" si="66"/>
        <v/>
      </c>
      <c r="T129" s="1426">
        <f t="shared" si="66"/>
        <v>253.87383289211391</v>
      </c>
      <c r="U129" s="1426">
        <f t="shared" si="66"/>
        <v>126.93691644605696</v>
      </c>
      <c r="V129" s="1426" t="str">
        <f t="shared" si="66"/>
        <v/>
      </c>
      <c r="W129" s="1426" t="str">
        <f t="shared" si="66"/>
        <v/>
      </c>
      <c r="X129" s="1426" t="str">
        <f t="shared" si="66"/>
        <v/>
      </c>
      <c r="Y129" s="1426">
        <f t="shared" si="66"/>
        <v>3.8081074933817085</v>
      </c>
      <c r="Z129" s="1426">
        <f t="shared" si="66"/>
        <v>1.9040537466908543</v>
      </c>
      <c r="AA129" s="1426" t="str">
        <f t="shared" si="66"/>
        <v/>
      </c>
      <c r="AB129" s="1426" t="str">
        <f t="shared" si="66"/>
        <v/>
      </c>
      <c r="AC129" s="1426" t="str">
        <f t="shared" si="66"/>
        <v/>
      </c>
      <c r="AD129" s="1426" t="str">
        <f t="shared" si="66"/>
        <v/>
      </c>
      <c r="AE129" s="1426">
        <f t="shared" si="66"/>
        <v>20</v>
      </c>
      <c r="AF129" s="1426" t="str">
        <f t="shared" si="66"/>
        <v/>
      </c>
      <c r="AG129" s="1426" t="str">
        <f t="shared" si="66"/>
        <v/>
      </c>
      <c r="AH129" s="1426" t="str">
        <f t="shared" si="66"/>
        <v/>
      </c>
      <c r="AI129" s="1426">
        <f t="shared" si="66"/>
        <v>2030</v>
      </c>
      <c r="AJ129" s="1426">
        <f t="shared" si="66"/>
        <v>31.536000000000001</v>
      </c>
      <c r="AK129" s="1426" t="str">
        <f t="shared" si="66"/>
        <v/>
      </c>
    </row>
    <row r="130" spans="2:37" s="1169" customFormat="1">
      <c r="B130" s="1427"/>
      <c r="C130" s="1177"/>
      <c r="D130" s="1169" t="s">
        <v>279</v>
      </c>
      <c r="E130" s="1172"/>
      <c r="F130" s="1426"/>
      <c r="G130" s="1426"/>
      <c r="H130" s="1426"/>
      <c r="I130" s="1426"/>
      <c r="J130" s="1426"/>
      <c r="K130" s="1426"/>
      <c r="L130" s="1426"/>
      <c r="N130" s="1426"/>
      <c r="O130" s="1426"/>
      <c r="P130" s="1426"/>
      <c r="Q130" s="1426"/>
      <c r="R130" s="1426"/>
      <c r="S130" s="1426"/>
      <c r="T130" s="1426"/>
      <c r="U130" s="1426"/>
      <c r="V130" s="1426"/>
      <c r="W130" s="1426"/>
      <c r="X130" s="1426"/>
      <c r="Y130" s="1426"/>
      <c r="Z130" s="1426"/>
      <c r="AA130" s="1426"/>
      <c r="AB130" s="1426"/>
      <c r="AC130" s="1426"/>
      <c r="AD130" s="1426"/>
      <c r="AE130" s="1426"/>
      <c r="AF130" s="1426"/>
      <c r="AG130" s="1426"/>
      <c r="AH130" s="1426"/>
      <c r="AI130" s="1426"/>
      <c r="AJ130" s="1426"/>
      <c r="AK130" s="1426"/>
    </row>
    <row r="131" spans="2:37" s="1169" customFormat="1">
      <c r="B131" s="1170"/>
      <c r="C131" s="1171"/>
      <c r="E131" s="1172" t="s">
        <v>233</v>
      </c>
      <c r="F131" s="1426"/>
      <c r="G131" s="1426"/>
      <c r="H131" s="1426"/>
      <c r="I131" s="1426"/>
      <c r="J131" s="1426"/>
      <c r="K131" s="1426"/>
      <c r="L131" s="1426"/>
      <c r="N131" s="1426"/>
      <c r="O131" s="1426"/>
      <c r="P131" s="1426"/>
      <c r="Q131" s="1426" t="str">
        <f t="shared" ref="Q131:AK131" si="67">IF(Q$76=0,"",Q$76)</f>
        <v/>
      </c>
      <c r="R131" s="1426" t="str">
        <f t="shared" si="67"/>
        <v/>
      </c>
      <c r="S131" s="1426" t="str">
        <f t="shared" si="67"/>
        <v/>
      </c>
      <c r="T131" s="1426" t="str">
        <f t="shared" si="67"/>
        <v/>
      </c>
      <c r="U131" s="1426" t="str">
        <f t="shared" si="67"/>
        <v/>
      </c>
      <c r="V131" s="1426" t="str">
        <f t="shared" si="67"/>
        <v/>
      </c>
      <c r="W131" s="1426" t="str">
        <f t="shared" si="67"/>
        <v/>
      </c>
      <c r="X131" s="1426" t="str">
        <f t="shared" si="67"/>
        <v/>
      </c>
      <c r="Y131" s="1426" t="str">
        <f t="shared" si="67"/>
        <v/>
      </c>
      <c r="Z131" s="1426" t="str">
        <f t="shared" si="67"/>
        <v/>
      </c>
      <c r="AA131" s="1426" t="str">
        <f t="shared" si="67"/>
        <v/>
      </c>
      <c r="AB131" s="1426" t="str">
        <f t="shared" si="67"/>
        <v/>
      </c>
      <c r="AC131" s="1426" t="str">
        <f t="shared" si="67"/>
        <v/>
      </c>
      <c r="AD131" s="1426" t="str">
        <f t="shared" si="67"/>
        <v/>
      </c>
      <c r="AE131" s="1426" t="str">
        <f t="shared" si="67"/>
        <v/>
      </c>
      <c r="AF131" s="1426" t="str">
        <f t="shared" si="67"/>
        <v/>
      </c>
      <c r="AG131" s="1426" t="str">
        <f t="shared" si="67"/>
        <v/>
      </c>
      <c r="AH131" s="1426" t="str">
        <f t="shared" si="67"/>
        <v/>
      </c>
      <c r="AI131" s="1426" t="str">
        <f t="shared" si="67"/>
        <v/>
      </c>
      <c r="AJ131" s="1426" t="str">
        <f t="shared" si="67"/>
        <v/>
      </c>
      <c r="AK131" s="1426" t="str">
        <f t="shared" si="67"/>
        <v/>
      </c>
    </row>
    <row r="132" spans="2:37" s="1169" customFormat="1">
      <c r="B132" s="1427" t="s">
        <v>1228</v>
      </c>
      <c r="C132" s="1177" t="s">
        <v>1279</v>
      </c>
      <c r="D132" s="1169" t="s">
        <v>546</v>
      </c>
      <c r="E132" s="1172"/>
      <c r="F132" s="1426" t="s">
        <v>729</v>
      </c>
      <c r="G132" s="1426" t="s">
        <v>729</v>
      </c>
      <c r="H132" s="1426" t="s">
        <v>729</v>
      </c>
      <c r="I132" s="1426"/>
      <c r="J132" s="1426"/>
      <c r="K132" s="1426"/>
      <c r="L132" s="1426"/>
      <c r="N132" s="1426">
        <f>1/I122</f>
        <v>0.64248294949095586</v>
      </c>
      <c r="O132" s="1426">
        <f>1/J122</f>
        <v>0.69128974916057673</v>
      </c>
      <c r="P132" s="1426"/>
      <c r="Q132" s="1426" t="str">
        <f t="shared" ref="Q132:AK132" si="68">IF(Q$75=0,"",Q$75)</f>
        <v/>
      </c>
      <c r="R132" s="1426" t="str">
        <f t="shared" si="68"/>
        <v/>
      </c>
      <c r="S132" s="1426" t="str">
        <f t="shared" si="68"/>
        <v/>
      </c>
      <c r="T132" s="1426">
        <f t="shared" si="68"/>
        <v>253.87383289211391</v>
      </c>
      <c r="U132" s="1426">
        <f t="shared" si="68"/>
        <v>126.93691644605696</v>
      </c>
      <c r="V132" s="1426" t="str">
        <f t="shared" si="68"/>
        <v/>
      </c>
      <c r="W132" s="1426" t="str">
        <f t="shared" si="68"/>
        <v/>
      </c>
      <c r="X132" s="1426" t="str">
        <f t="shared" si="68"/>
        <v/>
      </c>
      <c r="Y132" s="1426">
        <f t="shared" si="68"/>
        <v>3.8081074933817085</v>
      </c>
      <c r="Z132" s="1426">
        <f t="shared" si="68"/>
        <v>1.9040537466908543</v>
      </c>
      <c r="AA132" s="1426" t="str">
        <f t="shared" si="68"/>
        <v/>
      </c>
      <c r="AB132" s="1426" t="str">
        <f t="shared" si="68"/>
        <v/>
      </c>
      <c r="AC132" s="1426" t="str">
        <f t="shared" si="68"/>
        <v/>
      </c>
      <c r="AD132" s="1426" t="str">
        <f t="shared" si="68"/>
        <v/>
      </c>
      <c r="AE132" s="1426">
        <f t="shared" si="68"/>
        <v>20</v>
      </c>
      <c r="AF132" s="1426" t="str">
        <f t="shared" si="68"/>
        <v/>
      </c>
      <c r="AG132" s="1426" t="str">
        <f t="shared" si="68"/>
        <v/>
      </c>
      <c r="AH132" s="1426" t="str">
        <f t="shared" si="68"/>
        <v/>
      </c>
      <c r="AI132" s="1426">
        <f t="shared" si="68"/>
        <v>2030</v>
      </c>
      <c r="AJ132" s="1426">
        <f t="shared" si="68"/>
        <v>31.536000000000001</v>
      </c>
      <c r="AK132" s="1426" t="str">
        <f t="shared" si="68"/>
        <v/>
      </c>
    </row>
    <row r="133" spans="2:37" s="1169" customFormat="1">
      <c r="B133" s="1427"/>
      <c r="C133" s="1177"/>
      <c r="D133" s="1169" t="s">
        <v>279</v>
      </c>
      <c r="E133" s="1172"/>
      <c r="F133" s="1426"/>
      <c r="G133" s="1426"/>
      <c r="H133" s="1426"/>
      <c r="I133" s="1426"/>
      <c r="J133" s="1426"/>
      <c r="K133" s="1426"/>
      <c r="L133" s="1426"/>
      <c r="N133" s="1426"/>
      <c r="O133" s="1426"/>
      <c r="P133" s="1426"/>
      <c r="Q133" s="1426"/>
      <c r="R133" s="1426"/>
      <c r="S133" s="1426"/>
      <c r="T133" s="1426"/>
      <c r="U133" s="1426"/>
      <c r="V133" s="1426"/>
      <c r="W133" s="1426"/>
      <c r="X133" s="1426"/>
      <c r="Y133" s="1426"/>
      <c r="Z133" s="1426"/>
      <c r="AA133" s="1426"/>
      <c r="AB133" s="1426"/>
      <c r="AC133" s="1426"/>
      <c r="AD133" s="1426"/>
      <c r="AE133" s="1426"/>
      <c r="AF133" s="1426"/>
      <c r="AG133" s="1426"/>
      <c r="AH133" s="1426"/>
      <c r="AI133" s="1426"/>
      <c r="AJ133" s="1426"/>
      <c r="AK133" s="1426"/>
    </row>
    <row r="134" spans="2:37" s="1169" customFormat="1">
      <c r="B134" s="1170"/>
      <c r="C134" s="1171"/>
      <c r="E134" s="1172" t="s">
        <v>233</v>
      </c>
      <c r="F134" s="1426"/>
      <c r="G134" s="1426"/>
      <c r="H134" s="1426"/>
      <c r="I134" s="1426"/>
      <c r="J134" s="1426"/>
      <c r="K134" s="1426"/>
      <c r="L134" s="1426"/>
      <c r="N134" s="1426"/>
      <c r="O134" s="1426"/>
      <c r="P134" s="1426"/>
      <c r="Q134" s="1426" t="str">
        <f t="shared" ref="Q134:AK134" si="69">IF(Q$76=0,"",Q$76)</f>
        <v/>
      </c>
      <c r="R134" s="1426" t="str">
        <f t="shared" si="69"/>
        <v/>
      </c>
      <c r="S134" s="1426" t="str">
        <f t="shared" si="69"/>
        <v/>
      </c>
      <c r="T134" s="1426" t="str">
        <f t="shared" si="69"/>
        <v/>
      </c>
      <c r="U134" s="1426" t="str">
        <f t="shared" si="69"/>
        <v/>
      </c>
      <c r="V134" s="1426" t="str">
        <f t="shared" si="69"/>
        <v/>
      </c>
      <c r="W134" s="1426" t="str">
        <f t="shared" si="69"/>
        <v/>
      </c>
      <c r="X134" s="1426" t="str">
        <f t="shared" si="69"/>
        <v/>
      </c>
      <c r="Y134" s="1426" t="str">
        <f t="shared" si="69"/>
        <v/>
      </c>
      <c r="Z134" s="1426" t="str">
        <f t="shared" si="69"/>
        <v/>
      </c>
      <c r="AA134" s="1426" t="str">
        <f t="shared" si="69"/>
        <v/>
      </c>
      <c r="AB134" s="1426" t="str">
        <f t="shared" si="69"/>
        <v/>
      </c>
      <c r="AC134" s="1426" t="str">
        <f t="shared" si="69"/>
        <v/>
      </c>
      <c r="AD134" s="1426" t="str">
        <f t="shared" si="69"/>
        <v/>
      </c>
      <c r="AE134" s="1426" t="str">
        <f t="shared" si="69"/>
        <v/>
      </c>
      <c r="AF134" s="1426" t="str">
        <f t="shared" si="69"/>
        <v/>
      </c>
      <c r="AG134" s="1426" t="str">
        <f t="shared" si="69"/>
        <v/>
      </c>
      <c r="AH134" s="1426" t="str">
        <f t="shared" si="69"/>
        <v/>
      </c>
      <c r="AI134" s="1426" t="str">
        <f t="shared" si="69"/>
        <v/>
      </c>
      <c r="AJ134" s="1426" t="str">
        <f t="shared" si="69"/>
        <v/>
      </c>
      <c r="AK134" s="1426" t="str">
        <f t="shared" si="69"/>
        <v/>
      </c>
    </row>
    <row r="135" spans="2:37" s="1169" customFormat="1">
      <c r="B135" s="1170" t="s">
        <v>1229</v>
      </c>
      <c r="C135" s="1177" t="s">
        <v>1280</v>
      </c>
      <c r="D135" s="1169" t="s">
        <v>596</v>
      </c>
      <c r="E135" s="1172"/>
      <c r="F135" s="1426" t="s">
        <v>729</v>
      </c>
      <c r="G135" s="1426" t="s">
        <v>729</v>
      </c>
      <c r="H135" s="1426" t="s">
        <v>729</v>
      </c>
      <c r="I135" s="1426"/>
      <c r="J135" s="1426"/>
      <c r="K135" s="1426"/>
      <c r="L135" s="1426"/>
      <c r="N135" s="1426">
        <f>1/I124</f>
        <v>0.64248294949095586</v>
      </c>
      <c r="O135" s="1426">
        <f>1/J124</f>
        <v>0.69128974916057673</v>
      </c>
      <c r="P135" s="1426"/>
      <c r="Q135" s="1426" t="str">
        <f t="shared" ref="Q135:AK135" si="70">IF(Q$75=0,"",Q$75)</f>
        <v/>
      </c>
      <c r="R135" s="1426" t="str">
        <f t="shared" si="70"/>
        <v/>
      </c>
      <c r="S135" s="1426" t="str">
        <f t="shared" si="70"/>
        <v/>
      </c>
      <c r="T135" s="1426">
        <f t="shared" si="70"/>
        <v>253.87383289211391</v>
      </c>
      <c r="U135" s="1426">
        <f t="shared" si="70"/>
        <v>126.93691644605696</v>
      </c>
      <c r="V135" s="1426" t="str">
        <f t="shared" si="70"/>
        <v/>
      </c>
      <c r="W135" s="1426" t="str">
        <f t="shared" si="70"/>
        <v/>
      </c>
      <c r="X135" s="1426" t="str">
        <f t="shared" si="70"/>
        <v/>
      </c>
      <c r="Y135" s="1426">
        <f t="shared" si="70"/>
        <v>3.8081074933817085</v>
      </c>
      <c r="Z135" s="1426">
        <f t="shared" si="70"/>
        <v>1.9040537466908543</v>
      </c>
      <c r="AA135" s="1426" t="str">
        <f t="shared" si="70"/>
        <v/>
      </c>
      <c r="AB135" s="1426" t="str">
        <f t="shared" si="70"/>
        <v/>
      </c>
      <c r="AC135" s="1426" t="str">
        <f t="shared" si="70"/>
        <v/>
      </c>
      <c r="AD135" s="1426" t="str">
        <f t="shared" si="70"/>
        <v/>
      </c>
      <c r="AE135" s="1426">
        <f t="shared" si="70"/>
        <v>20</v>
      </c>
      <c r="AF135" s="1426" t="str">
        <f t="shared" si="70"/>
        <v/>
      </c>
      <c r="AG135" s="1426" t="str">
        <f t="shared" si="70"/>
        <v/>
      </c>
      <c r="AH135" s="1426" t="str">
        <f t="shared" si="70"/>
        <v/>
      </c>
      <c r="AI135" s="1426">
        <f t="shared" si="70"/>
        <v>2030</v>
      </c>
      <c r="AJ135" s="1426">
        <f t="shared" si="70"/>
        <v>31.536000000000001</v>
      </c>
      <c r="AK135" s="1426" t="str">
        <f t="shared" si="70"/>
        <v/>
      </c>
    </row>
    <row r="136" spans="2:37" s="1169" customFormat="1">
      <c r="B136" s="1170"/>
      <c r="C136" s="1177"/>
      <c r="D136" s="1169" t="s">
        <v>279</v>
      </c>
      <c r="E136" s="1172"/>
      <c r="F136" s="1426"/>
      <c r="G136" s="1426"/>
      <c r="H136" s="1426"/>
      <c r="I136" s="1426"/>
      <c r="J136" s="1426"/>
      <c r="K136" s="1426"/>
      <c r="N136" s="1426"/>
      <c r="O136" s="1426"/>
      <c r="P136" s="1426"/>
      <c r="Q136" s="1426"/>
      <c r="R136" s="1426"/>
      <c r="S136" s="1426"/>
      <c r="T136" s="1426"/>
      <c r="U136" s="1426"/>
      <c r="V136" s="1426"/>
      <c r="W136" s="1426"/>
      <c r="X136" s="1426"/>
      <c r="Y136" s="1426"/>
      <c r="Z136" s="1426"/>
      <c r="AA136" s="1426"/>
      <c r="AB136" s="1426"/>
      <c r="AC136" s="1426"/>
      <c r="AD136" s="1426"/>
      <c r="AE136" s="1426"/>
      <c r="AF136" s="1426"/>
      <c r="AG136" s="1426"/>
      <c r="AH136" s="1426"/>
      <c r="AI136" s="1426"/>
      <c r="AJ136" s="1426"/>
      <c r="AK136" s="1426"/>
    </row>
    <row r="137" spans="2:37" s="1169" customFormat="1">
      <c r="B137" s="1170"/>
      <c r="C137" s="1171"/>
      <c r="E137" s="1172" t="s">
        <v>233</v>
      </c>
      <c r="F137" s="1426"/>
      <c r="G137" s="1426"/>
      <c r="H137" s="1426"/>
      <c r="I137" s="1426"/>
      <c r="J137" s="1426"/>
      <c r="K137" s="1426"/>
      <c r="L137" s="1426"/>
      <c r="M137" s="1426"/>
      <c r="N137" s="1426"/>
      <c r="O137" s="1426"/>
      <c r="P137" s="1426"/>
      <c r="Q137" s="1426" t="str">
        <f t="shared" ref="Q137:AK137" si="71">IF(Q$76=0,"",Q$76)</f>
        <v/>
      </c>
      <c r="R137" s="1426" t="str">
        <f t="shared" si="71"/>
        <v/>
      </c>
      <c r="S137" s="1426" t="str">
        <f t="shared" si="71"/>
        <v/>
      </c>
      <c r="T137" s="1426" t="str">
        <f t="shared" si="71"/>
        <v/>
      </c>
      <c r="U137" s="1426" t="str">
        <f t="shared" si="71"/>
        <v/>
      </c>
      <c r="V137" s="1426" t="str">
        <f t="shared" si="71"/>
        <v/>
      </c>
      <c r="W137" s="1426" t="str">
        <f t="shared" si="71"/>
        <v/>
      </c>
      <c r="X137" s="1426" t="str">
        <f t="shared" si="71"/>
        <v/>
      </c>
      <c r="Y137" s="1426" t="str">
        <f t="shared" si="71"/>
        <v/>
      </c>
      <c r="Z137" s="1426" t="str">
        <f t="shared" si="71"/>
        <v/>
      </c>
      <c r="AA137" s="1426" t="str">
        <f t="shared" si="71"/>
        <v/>
      </c>
      <c r="AB137" s="1426" t="str">
        <f t="shared" si="71"/>
        <v/>
      </c>
      <c r="AC137" s="1426" t="str">
        <f t="shared" si="71"/>
        <v/>
      </c>
      <c r="AD137" s="1426" t="str">
        <f t="shared" si="71"/>
        <v/>
      </c>
      <c r="AE137" s="1426" t="str">
        <f t="shared" si="71"/>
        <v/>
      </c>
      <c r="AF137" s="1426" t="str">
        <f t="shared" si="71"/>
        <v/>
      </c>
      <c r="AG137" s="1426" t="str">
        <f t="shared" si="71"/>
        <v/>
      </c>
      <c r="AH137" s="1426" t="str">
        <f t="shared" si="71"/>
        <v/>
      </c>
      <c r="AI137" s="1426" t="str">
        <f t="shared" si="71"/>
        <v/>
      </c>
      <c r="AJ137" s="1426" t="str">
        <f t="shared" si="71"/>
        <v/>
      </c>
      <c r="AK137" s="1426" t="str">
        <f t="shared" si="71"/>
        <v/>
      </c>
    </row>
    <row r="138" spans="2:37" s="1169" customFormat="1">
      <c r="B138" s="1170" t="s">
        <v>1230</v>
      </c>
      <c r="C138" s="1177" t="s">
        <v>1281</v>
      </c>
      <c r="D138" s="1169" t="s">
        <v>598</v>
      </c>
      <c r="E138" s="1172"/>
      <c r="F138" s="1426" t="s">
        <v>729</v>
      </c>
      <c r="G138" s="1426" t="s">
        <v>729</v>
      </c>
      <c r="H138" s="1426" t="s">
        <v>729</v>
      </c>
      <c r="I138" s="1426"/>
      <c r="J138" s="1426"/>
      <c r="K138" s="1426"/>
      <c r="L138" s="1426"/>
      <c r="M138" s="1426"/>
      <c r="N138" s="1426">
        <f>N135</f>
        <v>0.64248294949095586</v>
      </c>
      <c r="O138" s="1426">
        <f>O135</f>
        <v>0.69128974916057673</v>
      </c>
      <c r="P138" s="1426"/>
      <c r="Q138" s="1426" t="str">
        <f t="shared" ref="Q138:AK138" si="72">IF(Q$75=0,"",Q$75)</f>
        <v/>
      </c>
      <c r="R138" s="1426" t="str">
        <f t="shared" si="72"/>
        <v/>
      </c>
      <c r="S138" s="1426" t="str">
        <f t="shared" si="72"/>
        <v/>
      </c>
      <c r="T138" s="1426">
        <f t="shared" si="72"/>
        <v>253.87383289211391</v>
      </c>
      <c r="U138" s="1426">
        <f t="shared" si="72"/>
        <v>126.93691644605696</v>
      </c>
      <c r="V138" s="1426" t="str">
        <f t="shared" si="72"/>
        <v/>
      </c>
      <c r="W138" s="1426" t="str">
        <f t="shared" si="72"/>
        <v/>
      </c>
      <c r="X138" s="1426" t="str">
        <f t="shared" si="72"/>
        <v/>
      </c>
      <c r="Y138" s="1426">
        <f t="shared" si="72"/>
        <v>3.8081074933817085</v>
      </c>
      <c r="Z138" s="1426">
        <f t="shared" si="72"/>
        <v>1.9040537466908543</v>
      </c>
      <c r="AA138" s="1426" t="str">
        <f t="shared" si="72"/>
        <v/>
      </c>
      <c r="AB138" s="1426" t="str">
        <f t="shared" si="72"/>
        <v/>
      </c>
      <c r="AC138" s="1426" t="str">
        <f t="shared" si="72"/>
        <v/>
      </c>
      <c r="AD138" s="1426" t="str">
        <f t="shared" si="72"/>
        <v/>
      </c>
      <c r="AE138" s="1426">
        <f t="shared" si="72"/>
        <v>20</v>
      </c>
      <c r="AF138" s="1426" t="str">
        <f t="shared" si="72"/>
        <v/>
      </c>
      <c r="AG138" s="1426" t="str">
        <f t="shared" si="72"/>
        <v/>
      </c>
      <c r="AH138" s="1426" t="str">
        <f t="shared" si="72"/>
        <v/>
      </c>
      <c r="AI138" s="1426">
        <f t="shared" si="72"/>
        <v>2030</v>
      </c>
      <c r="AJ138" s="1426">
        <f t="shared" si="72"/>
        <v>31.536000000000001</v>
      </c>
      <c r="AK138" s="1426" t="str">
        <f t="shared" si="72"/>
        <v/>
      </c>
    </row>
    <row r="139" spans="2:37" s="1169" customFormat="1">
      <c r="B139" s="1170"/>
      <c r="C139" s="1177"/>
      <c r="D139" s="1169" t="s">
        <v>546</v>
      </c>
      <c r="E139" s="1172"/>
      <c r="F139" s="1426"/>
      <c r="G139" s="1426"/>
      <c r="H139" s="1426"/>
      <c r="I139" s="1426"/>
      <c r="J139" s="1426"/>
      <c r="K139" s="1426"/>
      <c r="L139" s="1426"/>
      <c r="M139" s="1426"/>
      <c r="N139" s="1426"/>
      <c r="O139" s="1426"/>
      <c r="P139" s="1426"/>
      <c r="Q139" s="1426"/>
      <c r="R139" s="1426"/>
      <c r="S139" s="1426"/>
      <c r="T139" s="1426"/>
      <c r="U139" s="1426"/>
      <c r="V139" s="1426"/>
      <c r="W139" s="1426"/>
      <c r="X139" s="1426"/>
      <c r="Y139" s="1426"/>
      <c r="Z139" s="1426"/>
      <c r="AA139" s="1426"/>
      <c r="AB139" s="1426"/>
      <c r="AC139" s="1426"/>
      <c r="AD139" s="1426"/>
      <c r="AE139" s="1426"/>
      <c r="AF139" s="1426"/>
      <c r="AG139" s="1426"/>
      <c r="AH139" s="1426"/>
      <c r="AI139" s="1426"/>
      <c r="AJ139" s="1426"/>
      <c r="AK139" s="1426"/>
    </row>
    <row r="140" spans="2:37" s="1169" customFormat="1">
      <c r="B140" s="1170"/>
      <c r="C140" s="1177"/>
      <c r="D140" s="1169" t="s">
        <v>279</v>
      </c>
      <c r="E140" s="1172"/>
      <c r="F140" s="1426"/>
      <c r="G140" s="1426"/>
      <c r="H140" s="1426"/>
      <c r="I140" s="1426"/>
      <c r="J140" s="1426"/>
      <c r="K140" s="1426"/>
      <c r="L140" s="1426"/>
      <c r="M140" s="1426"/>
      <c r="N140" s="1426"/>
      <c r="O140" s="1426"/>
      <c r="P140" s="1426"/>
      <c r="Q140" s="1426"/>
      <c r="R140" s="1426"/>
      <c r="S140" s="1426"/>
      <c r="T140" s="1426"/>
      <c r="U140" s="1426"/>
      <c r="V140" s="1426"/>
      <c r="W140" s="1426"/>
      <c r="X140" s="1426"/>
      <c r="Y140" s="1426"/>
      <c r="Z140" s="1426"/>
      <c r="AA140" s="1426"/>
      <c r="AB140" s="1426"/>
      <c r="AC140" s="1426"/>
      <c r="AD140" s="1426"/>
      <c r="AE140" s="1426"/>
      <c r="AF140" s="1426"/>
      <c r="AG140" s="1426"/>
      <c r="AH140" s="1426"/>
      <c r="AI140" s="1426"/>
      <c r="AJ140" s="1426"/>
      <c r="AK140" s="1426"/>
    </row>
    <row r="141" spans="2:37" s="1428" customFormat="1">
      <c r="B141" s="1429"/>
      <c r="C141" s="1430"/>
      <c r="E141" s="1431" t="s">
        <v>233</v>
      </c>
      <c r="F141" s="1432"/>
      <c r="G141" s="1432"/>
      <c r="H141" s="1432"/>
      <c r="I141" s="1432"/>
      <c r="J141" s="1432"/>
      <c r="K141" s="1432"/>
      <c r="L141" s="1432"/>
      <c r="M141" s="1432"/>
      <c r="N141" s="1432"/>
      <c r="O141" s="1432"/>
      <c r="P141" s="1432"/>
      <c r="Q141" s="1432" t="str">
        <f t="shared" ref="Q141:AK141" si="73">IF(Q$76=0,"",Q$76)</f>
        <v/>
      </c>
      <c r="R141" s="1432" t="str">
        <f t="shared" si="73"/>
        <v/>
      </c>
      <c r="S141" s="1432" t="str">
        <f t="shared" si="73"/>
        <v/>
      </c>
      <c r="T141" s="1432" t="str">
        <f t="shared" si="73"/>
        <v/>
      </c>
      <c r="U141" s="1432" t="str">
        <f t="shared" si="73"/>
        <v/>
      </c>
      <c r="V141" s="1432" t="str">
        <f t="shared" si="73"/>
        <v/>
      </c>
      <c r="W141" s="1432" t="str">
        <f t="shared" si="73"/>
        <v/>
      </c>
      <c r="X141" s="1432" t="str">
        <f t="shared" si="73"/>
        <v/>
      </c>
      <c r="Y141" s="1432" t="str">
        <f t="shared" si="73"/>
        <v/>
      </c>
      <c r="Z141" s="1432" t="str">
        <f t="shared" si="73"/>
        <v/>
      </c>
      <c r="AA141" s="1432" t="str">
        <f t="shared" si="73"/>
        <v/>
      </c>
      <c r="AB141" s="1432" t="str">
        <f t="shared" si="73"/>
        <v/>
      </c>
      <c r="AC141" s="1432" t="str">
        <f t="shared" si="73"/>
        <v/>
      </c>
      <c r="AD141" s="1432" t="str">
        <f t="shared" si="73"/>
        <v/>
      </c>
      <c r="AE141" s="1432" t="str">
        <f t="shared" si="73"/>
        <v/>
      </c>
      <c r="AF141" s="1432" t="str">
        <f t="shared" si="73"/>
        <v/>
      </c>
      <c r="AG141" s="1432" t="str">
        <f t="shared" si="73"/>
        <v/>
      </c>
      <c r="AH141" s="1432" t="str">
        <f t="shared" si="73"/>
        <v/>
      </c>
      <c r="AI141" s="1432" t="str">
        <f t="shared" si="73"/>
        <v/>
      </c>
      <c r="AJ141" s="1432" t="str">
        <f t="shared" si="73"/>
        <v/>
      </c>
      <c r="AK141" s="1432" t="str">
        <f t="shared" si="73"/>
        <v/>
      </c>
    </row>
    <row r="142" spans="2:37" s="628" customFormat="1">
      <c r="B142" s="973" t="s">
        <v>1205</v>
      </c>
      <c r="C142" s="639" t="s">
        <v>1214</v>
      </c>
      <c r="D142" s="628" t="s">
        <v>279</v>
      </c>
      <c r="E142" s="630"/>
      <c r="F142" s="964">
        <f t="shared" ref="F142:K142" si="74">IF(F$99=0,"",F$99)</f>
        <v>1.6053015873015872</v>
      </c>
      <c r="G142" s="964">
        <f t="shared" si="74"/>
        <v>1.6053015873015872</v>
      </c>
      <c r="H142" s="964" t="str">
        <f t="shared" si="74"/>
        <v/>
      </c>
      <c r="I142" s="964">
        <f t="shared" si="74"/>
        <v>1.5564615384615383</v>
      </c>
      <c r="J142" s="964">
        <f t="shared" si="74"/>
        <v>1.4465714285714286</v>
      </c>
      <c r="K142" s="964" t="str">
        <f t="shared" si="74"/>
        <v/>
      </c>
      <c r="L142" s="964"/>
      <c r="M142" s="964"/>
      <c r="N142" s="964"/>
      <c r="O142" s="964"/>
      <c r="P142" s="964"/>
      <c r="Q142" s="964">
        <f t="shared" ref="Q142:AK142" si="75">IF(Q$99=0,"",Q$99)</f>
        <v>542.65531780689344</v>
      </c>
      <c r="R142" s="964">
        <f t="shared" si="75"/>
        <v>357.0100775045351</v>
      </c>
      <c r="S142" s="964" t="str">
        <f t="shared" si="75"/>
        <v/>
      </c>
      <c r="T142" s="964">
        <f t="shared" si="75"/>
        <v>357.0100775045351</v>
      </c>
      <c r="U142" s="964">
        <f t="shared" si="75"/>
        <v>257.04725580326533</v>
      </c>
      <c r="V142" s="964" t="str">
        <f t="shared" si="75"/>
        <v/>
      </c>
      <c r="W142" s="964">
        <f t="shared" si="75"/>
        <v>8.9252519376133783</v>
      </c>
      <c r="X142" s="964" t="str">
        <f t="shared" si="75"/>
        <v/>
      </c>
      <c r="Y142" s="964">
        <f t="shared" si="75"/>
        <v>8.9252519376133783</v>
      </c>
      <c r="Z142" s="964">
        <f t="shared" si="75"/>
        <v>6.4261813950816338</v>
      </c>
      <c r="AA142" s="964" t="str">
        <f t="shared" si="75"/>
        <v/>
      </c>
      <c r="AB142" s="964" t="str">
        <f t="shared" si="75"/>
        <v/>
      </c>
      <c r="AC142" s="964" t="str">
        <f t="shared" si="75"/>
        <v/>
      </c>
      <c r="AD142" s="964" t="str">
        <f t="shared" si="75"/>
        <v/>
      </c>
      <c r="AE142" s="964">
        <f t="shared" si="75"/>
        <v>20</v>
      </c>
      <c r="AF142" s="964" t="str">
        <f t="shared" si="75"/>
        <v/>
      </c>
      <c r="AG142" s="964" t="str">
        <f t="shared" si="75"/>
        <v/>
      </c>
      <c r="AH142" s="964" t="str">
        <f t="shared" si="75"/>
        <v/>
      </c>
      <c r="AI142" s="964">
        <f t="shared" si="75"/>
        <v>2015</v>
      </c>
      <c r="AJ142" s="964">
        <f t="shared" si="75"/>
        <v>31.536000000000001</v>
      </c>
      <c r="AK142" s="964" t="str">
        <f t="shared" si="75"/>
        <v/>
      </c>
    </row>
    <row r="143" spans="2:37" s="628" customFormat="1">
      <c r="B143" s="973"/>
      <c r="C143" s="639"/>
      <c r="E143" s="630" t="s">
        <v>233</v>
      </c>
      <c r="F143" s="964" t="str">
        <f t="shared" ref="F143:K143" si="76">IF(F$100=0,"",F$100)</f>
        <v/>
      </c>
      <c r="G143" s="964" t="str">
        <f t="shared" si="76"/>
        <v/>
      </c>
      <c r="H143" s="964" t="str">
        <f t="shared" si="76"/>
        <v/>
      </c>
      <c r="I143" s="964" t="str">
        <f t="shared" si="76"/>
        <v/>
      </c>
      <c r="J143" s="964" t="str">
        <f t="shared" si="76"/>
        <v/>
      </c>
      <c r="K143" s="964">
        <f t="shared" si="76"/>
        <v>1</v>
      </c>
      <c r="L143" s="964"/>
      <c r="M143" s="964"/>
      <c r="N143" s="964"/>
      <c r="O143" s="964"/>
      <c r="P143" s="964"/>
      <c r="Q143" s="964" t="str">
        <f t="shared" ref="Q143:AK143" si="77">IF(Q$100=0,"",Q$100)</f>
        <v/>
      </c>
      <c r="R143" s="964" t="str">
        <f t="shared" si="77"/>
        <v/>
      </c>
      <c r="S143" s="964" t="str">
        <f t="shared" si="77"/>
        <v/>
      </c>
      <c r="T143" s="964" t="str">
        <f t="shared" si="77"/>
        <v/>
      </c>
      <c r="U143" s="964" t="str">
        <f t="shared" si="77"/>
        <v/>
      </c>
      <c r="V143" s="964" t="str">
        <f t="shared" si="77"/>
        <v/>
      </c>
      <c r="W143" s="964" t="str">
        <f t="shared" si="77"/>
        <v/>
      </c>
      <c r="X143" s="964" t="str">
        <f t="shared" si="77"/>
        <v/>
      </c>
      <c r="Y143" s="964" t="str">
        <f t="shared" si="77"/>
        <v/>
      </c>
      <c r="Z143" s="964" t="str">
        <f t="shared" si="77"/>
        <v/>
      </c>
      <c r="AA143" s="964" t="str">
        <f t="shared" si="77"/>
        <v/>
      </c>
      <c r="AB143" s="964" t="str">
        <f t="shared" si="77"/>
        <v/>
      </c>
      <c r="AC143" s="964" t="str">
        <f t="shared" si="77"/>
        <v/>
      </c>
      <c r="AD143" s="964" t="str">
        <f t="shared" si="77"/>
        <v/>
      </c>
      <c r="AE143" s="964" t="str">
        <f t="shared" si="77"/>
        <v/>
      </c>
      <c r="AF143" s="964" t="str">
        <f t="shared" si="77"/>
        <v/>
      </c>
      <c r="AG143" s="964" t="str">
        <f t="shared" si="77"/>
        <v/>
      </c>
      <c r="AH143" s="964" t="str">
        <f t="shared" si="77"/>
        <v/>
      </c>
      <c r="AI143" s="964" t="str">
        <f t="shared" si="77"/>
        <v/>
      </c>
      <c r="AJ143" s="964" t="str">
        <f t="shared" si="77"/>
        <v/>
      </c>
      <c r="AK143" s="964" t="str">
        <f t="shared" si="77"/>
        <v/>
      </c>
    </row>
    <row r="144" spans="2:37" s="628" customFormat="1">
      <c r="B144" s="1229" t="s">
        <v>1206</v>
      </c>
      <c r="C144" s="638" t="s">
        <v>1000</v>
      </c>
      <c r="D144" s="628" t="s">
        <v>598</v>
      </c>
      <c r="E144" s="630"/>
      <c r="F144" s="964">
        <f t="shared" ref="F144:K144" si="78">IF(F$99=0,"",F$99)</f>
        <v>1.6053015873015872</v>
      </c>
      <c r="G144" s="964">
        <f t="shared" si="78"/>
        <v>1.6053015873015872</v>
      </c>
      <c r="H144" s="964" t="str">
        <f t="shared" si="78"/>
        <v/>
      </c>
      <c r="I144" s="964">
        <f t="shared" si="78"/>
        <v>1.5564615384615383</v>
      </c>
      <c r="J144" s="964">
        <f t="shared" si="78"/>
        <v>1.4465714285714286</v>
      </c>
      <c r="K144" s="964" t="str">
        <f t="shared" si="78"/>
        <v/>
      </c>
      <c r="L144" s="964"/>
      <c r="M144" s="964"/>
      <c r="N144" s="964"/>
      <c r="O144" s="964"/>
      <c r="P144" s="964"/>
      <c r="Q144" s="964">
        <f t="shared" ref="Q144:AK144" si="79">IF(Q$99=0,"",Q$99)</f>
        <v>542.65531780689344</v>
      </c>
      <c r="R144" s="964">
        <f t="shared" si="79"/>
        <v>357.0100775045351</v>
      </c>
      <c r="S144" s="964" t="str">
        <f t="shared" si="79"/>
        <v/>
      </c>
      <c r="T144" s="964">
        <f t="shared" si="79"/>
        <v>357.0100775045351</v>
      </c>
      <c r="U144" s="964">
        <f t="shared" si="79"/>
        <v>257.04725580326533</v>
      </c>
      <c r="V144" s="964" t="str">
        <f t="shared" si="79"/>
        <v/>
      </c>
      <c r="W144" s="964">
        <f t="shared" si="79"/>
        <v>8.9252519376133783</v>
      </c>
      <c r="X144" s="964" t="str">
        <f t="shared" si="79"/>
        <v/>
      </c>
      <c r="Y144" s="964">
        <f t="shared" si="79"/>
        <v>8.9252519376133783</v>
      </c>
      <c r="Z144" s="964">
        <f t="shared" si="79"/>
        <v>6.4261813950816338</v>
      </c>
      <c r="AA144" s="964" t="str">
        <f t="shared" si="79"/>
        <v/>
      </c>
      <c r="AB144" s="964" t="str">
        <f t="shared" si="79"/>
        <v/>
      </c>
      <c r="AC144" s="964" t="str">
        <f t="shared" si="79"/>
        <v/>
      </c>
      <c r="AD144" s="964" t="str">
        <f t="shared" si="79"/>
        <v/>
      </c>
      <c r="AE144" s="964">
        <f t="shared" si="79"/>
        <v>20</v>
      </c>
      <c r="AF144" s="964" t="str">
        <f t="shared" si="79"/>
        <v/>
      </c>
      <c r="AG144" s="964" t="str">
        <f t="shared" si="79"/>
        <v/>
      </c>
      <c r="AH144" s="964" t="str">
        <f t="shared" si="79"/>
        <v/>
      </c>
      <c r="AI144" s="964">
        <f t="shared" si="79"/>
        <v>2015</v>
      </c>
      <c r="AJ144" s="964">
        <f t="shared" si="79"/>
        <v>31.536000000000001</v>
      </c>
      <c r="AK144" s="964" t="str">
        <f t="shared" si="79"/>
        <v/>
      </c>
    </row>
    <row r="145" spans="2:37" s="628" customFormat="1">
      <c r="B145" s="973"/>
      <c r="C145" s="639"/>
      <c r="E145" s="630" t="s">
        <v>233</v>
      </c>
      <c r="F145" s="964" t="str">
        <f t="shared" ref="F145:K145" si="80">IF(F$100=0,"",F$100)</f>
        <v/>
      </c>
      <c r="G145" s="964" t="str">
        <f t="shared" si="80"/>
        <v/>
      </c>
      <c r="H145" s="964" t="str">
        <f t="shared" si="80"/>
        <v/>
      </c>
      <c r="I145" s="964" t="str">
        <f t="shared" si="80"/>
        <v/>
      </c>
      <c r="J145" s="964" t="str">
        <f t="shared" si="80"/>
        <v/>
      </c>
      <c r="K145" s="964">
        <f t="shared" si="80"/>
        <v>1</v>
      </c>
      <c r="L145" s="964"/>
      <c r="M145" s="964"/>
      <c r="N145" s="964"/>
      <c r="O145" s="964"/>
      <c r="P145" s="964"/>
      <c r="Q145" s="964" t="str">
        <f t="shared" ref="Q145:AK145" si="81">IF(Q$100=0,"",Q$100)</f>
        <v/>
      </c>
      <c r="R145" s="964" t="str">
        <f t="shared" si="81"/>
        <v/>
      </c>
      <c r="S145" s="964" t="str">
        <f t="shared" si="81"/>
        <v/>
      </c>
      <c r="T145" s="964" t="str">
        <f t="shared" si="81"/>
        <v/>
      </c>
      <c r="U145" s="964" t="str">
        <f t="shared" si="81"/>
        <v/>
      </c>
      <c r="V145" s="964" t="str">
        <f t="shared" si="81"/>
        <v/>
      </c>
      <c r="W145" s="964" t="str">
        <f t="shared" si="81"/>
        <v/>
      </c>
      <c r="X145" s="964" t="str">
        <f t="shared" si="81"/>
        <v/>
      </c>
      <c r="Y145" s="964" t="str">
        <f t="shared" si="81"/>
        <v/>
      </c>
      <c r="Z145" s="964" t="str">
        <f t="shared" si="81"/>
        <v/>
      </c>
      <c r="AA145" s="964" t="str">
        <f t="shared" si="81"/>
        <v/>
      </c>
      <c r="AB145" s="964" t="str">
        <f t="shared" si="81"/>
        <v/>
      </c>
      <c r="AC145" s="964" t="str">
        <f t="shared" si="81"/>
        <v/>
      </c>
      <c r="AD145" s="964" t="str">
        <f t="shared" si="81"/>
        <v/>
      </c>
      <c r="AE145" s="964" t="str">
        <f t="shared" si="81"/>
        <v/>
      </c>
      <c r="AF145" s="964" t="str">
        <f t="shared" si="81"/>
        <v/>
      </c>
      <c r="AG145" s="964" t="str">
        <f t="shared" si="81"/>
        <v/>
      </c>
      <c r="AH145" s="964" t="str">
        <f t="shared" si="81"/>
        <v/>
      </c>
      <c r="AI145" s="964" t="str">
        <f t="shared" si="81"/>
        <v/>
      </c>
      <c r="AJ145" s="964" t="str">
        <f t="shared" si="81"/>
        <v/>
      </c>
      <c r="AK145" s="964" t="str">
        <f t="shared" si="81"/>
        <v/>
      </c>
    </row>
    <row r="146" spans="2:37" s="628" customFormat="1">
      <c r="B146" s="1229" t="s">
        <v>1207</v>
      </c>
      <c r="C146" s="638" t="s">
        <v>1001</v>
      </c>
      <c r="D146" s="628" t="s">
        <v>546</v>
      </c>
      <c r="E146" s="630"/>
      <c r="F146" s="964">
        <f t="shared" ref="F146:K146" si="82">IF(F$99=0,"",F$99)</f>
        <v>1.6053015873015872</v>
      </c>
      <c r="G146" s="964">
        <f t="shared" si="82"/>
        <v>1.6053015873015872</v>
      </c>
      <c r="H146" s="964" t="str">
        <f t="shared" si="82"/>
        <v/>
      </c>
      <c r="I146" s="964">
        <f t="shared" si="82"/>
        <v>1.5564615384615383</v>
      </c>
      <c r="J146" s="964">
        <f t="shared" si="82"/>
        <v>1.4465714285714286</v>
      </c>
      <c r="K146" s="964" t="str">
        <f t="shared" si="82"/>
        <v/>
      </c>
      <c r="L146" s="964"/>
      <c r="M146" s="964"/>
      <c r="N146" s="964"/>
      <c r="O146" s="964"/>
      <c r="P146" s="964"/>
      <c r="Q146" s="964">
        <f t="shared" ref="Q146:AK146" si="83">IF(Q$99=0,"",Q$99)</f>
        <v>542.65531780689344</v>
      </c>
      <c r="R146" s="964">
        <f t="shared" si="83"/>
        <v>357.0100775045351</v>
      </c>
      <c r="S146" s="964" t="str">
        <f t="shared" si="83"/>
        <v/>
      </c>
      <c r="T146" s="964">
        <f t="shared" si="83"/>
        <v>357.0100775045351</v>
      </c>
      <c r="U146" s="964">
        <f t="shared" si="83"/>
        <v>257.04725580326533</v>
      </c>
      <c r="V146" s="964" t="str">
        <f t="shared" si="83"/>
        <v/>
      </c>
      <c r="W146" s="964">
        <f t="shared" si="83"/>
        <v>8.9252519376133783</v>
      </c>
      <c r="X146" s="964" t="str">
        <f t="shared" si="83"/>
        <v/>
      </c>
      <c r="Y146" s="964">
        <f t="shared" si="83"/>
        <v>8.9252519376133783</v>
      </c>
      <c r="Z146" s="964">
        <f t="shared" si="83"/>
        <v>6.4261813950816338</v>
      </c>
      <c r="AA146" s="964" t="str">
        <f t="shared" si="83"/>
        <v/>
      </c>
      <c r="AB146" s="964" t="str">
        <f t="shared" si="83"/>
        <v/>
      </c>
      <c r="AC146" s="964" t="str">
        <f t="shared" si="83"/>
        <v/>
      </c>
      <c r="AD146" s="964" t="str">
        <f t="shared" si="83"/>
        <v/>
      </c>
      <c r="AE146" s="964">
        <f t="shared" si="83"/>
        <v>20</v>
      </c>
      <c r="AF146" s="964" t="str">
        <f t="shared" si="83"/>
        <v/>
      </c>
      <c r="AG146" s="964" t="str">
        <f t="shared" si="83"/>
        <v/>
      </c>
      <c r="AH146" s="964" t="str">
        <f t="shared" si="83"/>
        <v/>
      </c>
      <c r="AI146" s="964">
        <f t="shared" si="83"/>
        <v>2015</v>
      </c>
      <c r="AJ146" s="964">
        <f t="shared" si="83"/>
        <v>31.536000000000001</v>
      </c>
      <c r="AK146" s="964" t="str">
        <f t="shared" si="83"/>
        <v/>
      </c>
    </row>
    <row r="147" spans="2:37" s="628" customFormat="1">
      <c r="B147" s="973"/>
      <c r="C147" s="639"/>
      <c r="E147" s="630" t="s">
        <v>233</v>
      </c>
      <c r="F147" s="964" t="str">
        <f t="shared" ref="F147:K147" si="84">IF(F$100=0,"",F$100)</f>
        <v/>
      </c>
      <c r="G147" s="964" t="str">
        <f t="shared" si="84"/>
        <v/>
      </c>
      <c r="H147" s="964" t="str">
        <f t="shared" si="84"/>
        <v/>
      </c>
      <c r="I147" s="964" t="str">
        <f t="shared" si="84"/>
        <v/>
      </c>
      <c r="J147" s="964" t="str">
        <f t="shared" si="84"/>
        <v/>
      </c>
      <c r="K147" s="964">
        <f t="shared" si="84"/>
        <v>1</v>
      </c>
      <c r="L147" s="964"/>
      <c r="M147" s="964"/>
      <c r="N147" s="964"/>
      <c r="O147" s="964"/>
      <c r="P147" s="964"/>
      <c r="Q147" s="964" t="str">
        <f t="shared" ref="Q147:AK147" si="85">IF(Q$100=0,"",Q$100)</f>
        <v/>
      </c>
      <c r="R147" s="964" t="str">
        <f t="shared" si="85"/>
        <v/>
      </c>
      <c r="S147" s="964" t="str">
        <f t="shared" si="85"/>
        <v/>
      </c>
      <c r="T147" s="964" t="str">
        <f t="shared" si="85"/>
        <v/>
      </c>
      <c r="U147" s="964" t="str">
        <f t="shared" si="85"/>
        <v/>
      </c>
      <c r="V147" s="964" t="str">
        <f t="shared" si="85"/>
        <v/>
      </c>
      <c r="W147" s="964" t="str">
        <f t="shared" si="85"/>
        <v/>
      </c>
      <c r="X147" s="964" t="str">
        <f t="shared" si="85"/>
        <v/>
      </c>
      <c r="Y147" s="964" t="str">
        <f t="shared" si="85"/>
        <v/>
      </c>
      <c r="Z147" s="964" t="str">
        <f t="shared" si="85"/>
        <v/>
      </c>
      <c r="AA147" s="964" t="str">
        <f t="shared" si="85"/>
        <v/>
      </c>
      <c r="AB147" s="964" t="str">
        <f t="shared" si="85"/>
        <v/>
      </c>
      <c r="AC147" s="964" t="str">
        <f t="shared" si="85"/>
        <v/>
      </c>
      <c r="AD147" s="964" t="str">
        <f t="shared" si="85"/>
        <v/>
      </c>
      <c r="AE147" s="964" t="str">
        <f t="shared" si="85"/>
        <v/>
      </c>
      <c r="AF147" s="964" t="str">
        <f t="shared" si="85"/>
        <v/>
      </c>
      <c r="AG147" s="964" t="str">
        <f t="shared" si="85"/>
        <v/>
      </c>
      <c r="AH147" s="964" t="str">
        <f t="shared" si="85"/>
        <v/>
      </c>
      <c r="AI147" s="964" t="str">
        <f t="shared" si="85"/>
        <v/>
      </c>
      <c r="AJ147" s="964" t="str">
        <f t="shared" si="85"/>
        <v/>
      </c>
      <c r="AK147" s="964" t="str">
        <f t="shared" si="85"/>
        <v/>
      </c>
    </row>
    <row r="148" spans="2:37" s="1380" customFormat="1">
      <c r="B148" s="1381" t="s">
        <v>1208</v>
      </c>
      <c r="C148" s="1382" t="s">
        <v>1174</v>
      </c>
      <c r="D148" s="1380" t="s">
        <v>598</v>
      </c>
      <c r="E148" s="1383"/>
      <c r="F148" s="1384"/>
      <c r="G148" s="1384"/>
      <c r="H148" s="1384"/>
      <c r="I148" s="1384"/>
      <c r="J148" s="1384"/>
      <c r="K148" s="1384"/>
      <c r="L148" s="1384">
        <f>1/F142</f>
        <v>0.62293590681669864</v>
      </c>
      <c r="M148" s="1384"/>
      <c r="N148" s="1384">
        <f>1/I142</f>
        <v>0.64248294949095586</v>
      </c>
      <c r="O148" s="1384">
        <f>N148</f>
        <v>0.64248294949095586</v>
      </c>
      <c r="P148" s="1384"/>
      <c r="Q148" s="1384">
        <f t="shared" ref="Q148:AK148" si="86">IF(Q$99=0,"",Q$99)</f>
        <v>542.65531780689344</v>
      </c>
      <c r="R148" s="1384">
        <f t="shared" si="86"/>
        <v>357.0100775045351</v>
      </c>
      <c r="S148" s="1384" t="str">
        <f t="shared" si="86"/>
        <v/>
      </c>
      <c r="T148" s="1384">
        <f t="shared" si="86"/>
        <v>357.0100775045351</v>
      </c>
      <c r="U148" s="1384">
        <f t="shared" si="86"/>
        <v>257.04725580326533</v>
      </c>
      <c r="V148" s="1384" t="str">
        <f t="shared" si="86"/>
        <v/>
      </c>
      <c r="W148" s="1384">
        <f t="shared" si="86"/>
        <v>8.9252519376133783</v>
      </c>
      <c r="X148" s="1384" t="str">
        <f t="shared" si="86"/>
        <v/>
      </c>
      <c r="Y148" s="1384">
        <f t="shared" si="86"/>
        <v>8.9252519376133783</v>
      </c>
      <c r="Z148" s="1384">
        <f t="shared" si="86"/>
        <v>6.4261813950816338</v>
      </c>
      <c r="AA148" s="1384" t="str">
        <f t="shared" si="86"/>
        <v/>
      </c>
      <c r="AB148" s="1384" t="str">
        <f t="shared" si="86"/>
        <v/>
      </c>
      <c r="AC148" s="1384" t="str">
        <f t="shared" si="86"/>
        <v/>
      </c>
      <c r="AD148" s="1384" t="str">
        <f t="shared" si="86"/>
        <v/>
      </c>
      <c r="AE148" s="1384">
        <f t="shared" si="86"/>
        <v>20</v>
      </c>
      <c r="AF148" s="1384" t="str">
        <f t="shared" si="86"/>
        <v/>
      </c>
      <c r="AG148" s="1384" t="str">
        <f t="shared" si="86"/>
        <v/>
      </c>
      <c r="AH148" s="1384" t="str">
        <f t="shared" si="86"/>
        <v/>
      </c>
      <c r="AI148" s="1384">
        <f t="shared" si="86"/>
        <v>2015</v>
      </c>
      <c r="AJ148" s="1384">
        <f t="shared" si="86"/>
        <v>31.536000000000001</v>
      </c>
      <c r="AK148" s="1384" t="str">
        <f t="shared" si="86"/>
        <v/>
      </c>
    </row>
    <row r="149" spans="2:37" s="1380" customFormat="1">
      <c r="B149" s="1381"/>
      <c r="C149" s="1382"/>
      <c r="D149" s="1380" t="s">
        <v>546</v>
      </c>
      <c r="E149" s="1383"/>
      <c r="F149" s="1384"/>
      <c r="G149" s="1384"/>
      <c r="H149" s="1384"/>
      <c r="I149" s="1384"/>
      <c r="J149" s="1384"/>
      <c r="K149" s="1384"/>
      <c r="L149" s="1384"/>
      <c r="M149" s="1384"/>
      <c r="N149" s="1384"/>
      <c r="O149" s="1384"/>
      <c r="P149" s="1384"/>
      <c r="Q149" s="1384"/>
      <c r="R149" s="1384"/>
      <c r="S149" s="1384"/>
      <c r="T149" s="1384"/>
      <c r="U149" s="1384"/>
      <c r="V149" s="1384"/>
      <c r="W149" s="1384"/>
      <c r="X149" s="1384"/>
      <c r="Y149" s="1384"/>
      <c r="Z149" s="1384"/>
      <c r="AA149" s="1384"/>
      <c r="AB149" s="1384"/>
      <c r="AC149" s="1384"/>
      <c r="AD149" s="1384"/>
      <c r="AE149" s="1384"/>
      <c r="AF149" s="1384"/>
      <c r="AG149" s="1384"/>
      <c r="AH149" s="1384"/>
      <c r="AI149" s="1384"/>
      <c r="AJ149" s="1384"/>
      <c r="AK149" s="1384"/>
    </row>
    <row r="150" spans="2:37" s="1404" customFormat="1">
      <c r="B150" s="1405"/>
      <c r="C150" s="1406"/>
      <c r="E150" s="1407" t="s">
        <v>233</v>
      </c>
      <c r="F150" s="1408"/>
      <c r="G150" s="1408"/>
      <c r="H150" s="1408"/>
      <c r="I150" s="1408"/>
      <c r="J150" s="1408"/>
      <c r="K150" s="1408"/>
      <c r="L150" s="1408"/>
      <c r="M150" s="1408"/>
      <c r="N150" s="1408"/>
      <c r="O150" s="1408"/>
      <c r="P150" s="1408"/>
      <c r="Q150" s="1408" t="str">
        <f t="shared" ref="Q150:AK150" si="87">IF(Q$100=0,"",Q$100)</f>
        <v/>
      </c>
      <c r="R150" s="1408" t="str">
        <f t="shared" si="87"/>
        <v/>
      </c>
      <c r="S150" s="1408" t="str">
        <f t="shared" si="87"/>
        <v/>
      </c>
      <c r="T150" s="1408" t="str">
        <f t="shared" si="87"/>
        <v/>
      </c>
      <c r="U150" s="1408" t="str">
        <f t="shared" si="87"/>
        <v/>
      </c>
      <c r="V150" s="1408" t="str">
        <f t="shared" si="87"/>
        <v/>
      </c>
      <c r="W150" s="1408" t="str">
        <f t="shared" si="87"/>
        <v/>
      </c>
      <c r="X150" s="1408" t="str">
        <f t="shared" si="87"/>
        <v/>
      </c>
      <c r="Y150" s="1408" t="str">
        <f t="shared" si="87"/>
        <v/>
      </c>
      <c r="Z150" s="1408" t="str">
        <f t="shared" si="87"/>
        <v/>
      </c>
      <c r="AA150" s="1408" t="str">
        <f t="shared" si="87"/>
        <v/>
      </c>
      <c r="AB150" s="1408" t="str">
        <f t="shared" si="87"/>
        <v/>
      </c>
      <c r="AC150" s="1408" t="str">
        <f t="shared" si="87"/>
        <v/>
      </c>
      <c r="AD150" s="1408" t="str">
        <f t="shared" si="87"/>
        <v/>
      </c>
      <c r="AE150" s="1408" t="str">
        <f t="shared" si="87"/>
        <v/>
      </c>
      <c r="AF150" s="1408" t="str">
        <f t="shared" si="87"/>
        <v/>
      </c>
      <c r="AG150" s="1408" t="str">
        <f t="shared" si="87"/>
        <v/>
      </c>
      <c r="AH150" s="1408" t="str">
        <f t="shared" si="87"/>
        <v/>
      </c>
      <c r="AI150" s="1408" t="str">
        <f t="shared" si="87"/>
        <v/>
      </c>
      <c r="AJ150" s="1408" t="str">
        <f t="shared" si="87"/>
        <v/>
      </c>
      <c r="AK150" s="1408" t="str">
        <f t="shared" si="87"/>
        <v/>
      </c>
    </row>
    <row r="151" spans="2:37" s="1169" customFormat="1">
      <c r="B151" s="1427" t="s">
        <v>1231</v>
      </c>
      <c r="C151" s="1177" t="s">
        <v>1275</v>
      </c>
      <c r="D151" s="1169" t="s">
        <v>598</v>
      </c>
      <c r="E151" s="1172"/>
      <c r="F151" s="1426"/>
      <c r="G151" s="1426"/>
      <c r="H151" s="1426"/>
      <c r="I151" s="1426"/>
      <c r="J151" s="1426"/>
      <c r="K151" s="1426"/>
      <c r="L151" s="1426">
        <f>1/G144</f>
        <v>0.62293590681669864</v>
      </c>
      <c r="M151" s="1426"/>
      <c r="N151" s="1426">
        <f>1/I144</f>
        <v>0.64248294949095586</v>
      </c>
      <c r="O151" s="1426">
        <f>1/J144</f>
        <v>0.69128974916057673</v>
      </c>
      <c r="P151" s="1426"/>
      <c r="Q151" s="1426">
        <f t="shared" ref="Q151:AK151" si="88">IF(Q$99=0,"",Q$99)</f>
        <v>542.65531780689344</v>
      </c>
      <c r="R151" s="1426">
        <f t="shared" si="88"/>
        <v>357.0100775045351</v>
      </c>
      <c r="S151" s="1426" t="str">
        <f t="shared" si="88"/>
        <v/>
      </c>
      <c r="T151" s="1426">
        <f t="shared" si="88"/>
        <v>357.0100775045351</v>
      </c>
      <c r="U151" s="1426">
        <f t="shared" si="88"/>
        <v>257.04725580326533</v>
      </c>
      <c r="V151" s="1426" t="str">
        <f t="shared" si="88"/>
        <v/>
      </c>
      <c r="W151" s="1426">
        <f t="shared" si="88"/>
        <v>8.9252519376133783</v>
      </c>
      <c r="X151" s="1426" t="str">
        <f t="shared" si="88"/>
        <v/>
      </c>
      <c r="Y151" s="1426">
        <f t="shared" si="88"/>
        <v>8.9252519376133783</v>
      </c>
      <c r="Z151" s="1426">
        <f t="shared" si="88"/>
        <v>6.4261813950816338</v>
      </c>
      <c r="AA151" s="1426" t="str">
        <f t="shared" si="88"/>
        <v/>
      </c>
      <c r="AB151" s="1426" t="str">
        <f t="shared" si="88"/>
        <v/>
      </c>
      <c r="AC151" s="1426" t="str">
        <f t="shared" si="88"/>
        <v/>
      </c>
      <c r="AD151" s="1426" t="str">
        <f t="shared" si="88"/>
        <v/>
      </c>
      <c r="AE151" s="1426">
        <f t="shared" si="88"/>
        <v>20</v>
      </c>
      <c r="AF151" s="1426" t="str">
        <f t="shared" si="88"/>
        <v/>
      </c>
      <c r="AG151" s="1426" t="str">
        <f t="shared" si="88"/>
        <v/>
      </c>
      <c r="AH151" s="1426" t="str">
        <f t="shared" si="88"/>
        <v/>
      </c>
      <c r="AI151" s="1426">
        <f t="shared" si="88"/>
        <v>2015</v>
      </c>
      <c r="AJ151" s="1426">
        <f t="shared" si="88"/>
        <v>31.536000000000001</v>
      </c>
      <c r="AK151" s="1426" t="str">
        <f t="shared" si="88"/>
        <v/>
      </c>
    </row>
    <row r="152" spans="2:37" s="1169" customFormat="1">
      <c r="B152" s="1427"/>
      <c r="C152" s="1177"/>
      <c r="D152" s="1169" t="s">
        <v>279</v>
      </c>
      <c r="E152" s="1172"/>
      <c r="F152" s="1426"/>
      <c r="G152" s="1426"/>
      <c r="H152" s="1426"/>
      <c r="I152" s="1426"/>
      <c r="J152" s="1426"/>
      <c r="K152" s="1426"/>
      <c r="L152" s="1426"/>
      <c r="M152" s="1426"/>
      <c r="N152" s="1426"/>
      <c r="O152" s="1426"/>
      <c r="P152" s="1426"/>
      <c r="Q152" s="1426"/>
      <c r="R152" s="1426"/>
      <c r="S152" s="1426"/>
      <c r="T152" s="1426"/>
      <c r="U152" s="1426"/>
      <c r="V152" s="1426"/>
      <c r="W152" s="1426"/>
      <c r="X152" s="1426"/>
      <c r="Y152" s="1426"/>
      <c r="Z152" s="1426"/>
      <c r="AA152" s="1426"/>
      <c r="AB152" s="1426"/>
      <c r="AC152" s="1426"/>
      <c r="AD152" s="1426"/>
      <c r="AE152" s="1426"/>
      <c r="AF152" s="1426"/>
      <c r="AG152" s="1426"/>
      <c r="AH152" s="1426"/>
      <c r="AI152" s="1426"/>
      <c r="AJ152" s="1426"/>
      <c r="AK152" s="1426"/>
    </row>
    <row r="153" spans="2:37" s="1169" customFormat="1">
      <c r="B153" s="1170"/>
      <c r="C153" s="1171"/>
      <c r="E153" s="1172" t="s">
        <v>233</v>
      </c>
      <c r="F153" s="1426"/>
      <c r="G153" s="1426"/>
      <c r="H153" s="1426"/>
      <c r="I153" s="1426"/>
      <c r="J153" s="1426"/>
      <c r="K153" s="1426"/>
      <c r="L153" s="1426"/>
      <c r="M153" s="1426"/>
      <c r="N153" s="1426"/>
      <c r="O153" s="1426"/>
      <c r="P153" s="1426"/>
      <c r="Q153" s="1426" t="str">
        <f t="shared" ref="Q153:AK153" si="89">IF(Q$100=0,"",Q$100)</f>
        <v/>
      </c>
      <c r="R153" s="1426" t="str">
        <f t="shared" si="89"/>
        <v/>
      </c>
      <c r="S153" s="1426" t="str">
        <f t="shared" si="89"/>
        <v/>
      </c>
      <c r="T153" s="1426" t="str">
        <f t="shared" si="89"/>
        <v/>
      </c>
      <c r="U153" s="1426" t="str">
        <f t="shared" si="89"/>
        <v/>
      </c>
      <c r="V153" s="1426" t="str">
        <f t="shared" si="89"/>
        <v/>
      </c>
      <c r="W153" s="1426" t="str">
        <f t="shared" si="89"/>
        <v/>
      </c>
      <c r="X153" s="1426" t="str">
        <f t="shared" si="89"/>
        <v/>
      </c>
      <c r="Y153" s="1426" t="str">
        <f t="shared" si="89"/>
        <v/>
      </c>
      <c r="Z153" s="1426" t="str">
        <f t="shared" si="89"/>
        <v/>
      </c>
      <c r="AA153" s="1426" t="str">
        <f t="shared" si="89"/>
        <v/>
      </c>
      <c r="AB153" s="1426" t="str">
        <f t="shared" si="89"/>
        <v/>
      </c>
      <c r="AC153" s="1426" t="str">
        <f t="shared" si="89"/>
        <v/>
      </c>
      <c r="AD153" s="1426" t="str">
        <f t="shared" si="89"/>
        <v/>
      </c>
      <c r="AE153" s="1426" t="str">
        <f t="shared" si="89"/>
        <v/>
      </c>
      <c r="AF153" s="1426" t="str">
        <f t="shared" si="89"/>
        <v/>
      </c>
      <c r="AG153" s="1426" t="str">
        <f t="shared" si="89"/>
        <v/>
      </c>
      <c r="AH153" s="1426" t="str">
        <f t="shared" si="89"/>
        <v/>
      </c>
      <c r="AI153" s="1426" t="str">
        <f t="shared" si="89"/>
        <v/>
      </c>
      <c r="AJ153" s="1426" t="str">
        <f t="shared" si="89"/>
        <v/>
      </c>
      <c r="AK153" s="1426" t="str">
        <f t="shared" si="89"/>
        <v/>
      </c>
    </row>
    <row r="154" spans="2:37" s="1169" customFormat="1">
      <c r="B154" s="1427" t="s">
        <v>1232</v>
      </c>
      <c r="C154" s="1177" t="s">
        <v>1276</v>
      </c>
      <c r="D154" s="1169" t="s">
        <v>546</v>
      </c>
      <c r="E154" s="1172"/>
      <c r="F154" s="1426"/>
      <c r="G154" s="1426"/>
      <c r="H154" s="1426"/>
      <c r="I154" s="1426"/>
      <c r="J154" s="1426"/>
      <c r="K154" s="1426"/>
      <c r="L154" s="1426">
        <f>1/G146</f>
        <v>0.62293590681669864</v>
      </c>
      <c r="M154" s="1426"/>
      <c r="N154" s="1426">
        <f>1/I146</f>
        <v>0.64248294949095586</v>
      </c>
      <c r="O154" s="1426">
        <f>1/J146</f>
        <v>0.69128974916057673</v>
      </c>
      <c r="P154" s="1426"/>
      <c r="Q154" s="1426">
        <f t="shared" ref="Q154:AK154" si="90">IF(Q$99=0,"",Q$99)</f>
        <v>542.65531780689344</v>
      </c>
      <c r="R154" s="1426">
        <f t="shared" si="90"/>
        <v>357.0100775045351</v>
      </c>
      <c r="S154" s="1426" t="str">
        <f t="shared" si="90"/>
        <v/>
      </c>
      <c r="T154" s="1426">
        <f t="shared" si="90"/>
        <v>357.0100775045351</v>
      </c>
      <c r="U154" s="1426">
        <f t="shared" si="90"/>
        <v>257.04725580326533</v>
      </c>
      <c r="V154" s="1426" t="str">
        <f t="shared" si="90"/>
        <v/>
      </c>
      <c r="W154" s="1426">
        <f t="shared" si="90"/>
        <v>8.9252519376133783</v>
      </c>
      <c r="X154" s="1426" t="str">
        <f t="shared" si="90"/>
        <v/>
      </c>
      <c r="Y154" s="1426">
        <f t="shared" si="90"/>
        <v>8.9252519376133783</v>
      </c>
      <c r="Z154" s="1426">
        <f t="shared" si="90"/>
        <v>6.4261813950816338</v>
      </c>
      <c r="AA154" s="1426" t="str">
        <f t="shared" si="90"/>
        <v/>
      </c>
      <c r="AB154" s="1426" t="str">
        <f t="shared" si="90"/>
        <v/>
      </c>
      <c r="AC154" s="1426" t="str">
        <f t="shared" si="90"/>
        <v/>
      </c>
      <c r="AD154" s="1426" t="str">
        <f t="shared" si="90"/>
        <v/>
      </c>
      <c r="AE154" s="1426">
        <f t="shared" si="90"/>
        <v>20</v>
      </c>
      <c r="AF154" s="1426" t="str">
        <f t="shared" si="90"/>
        <v/>
      </c>
      <c r="AG154" s="1426" t="str">
        <f t="shared" si="90"/>
        <v/>
      </c>
      <c r="AH154" s="1426" t="str">
        <f t="shared" si="90"/>
        <v/>
      </c>
      <c r="AI154" s="1426">
        <f t="shared" si="90"/>
        <v>2015</v>
      </c>
      <c r="AJ154" s="1426">
        <f t="shared" si="90"/>
        <v>31.536000000000001</v>
      </c>
      <c r="AK154" s="1426" t="str">
        <f t="shared" si="90"/>
        <v/>
      </c>
    </row>
    <row r="155" spans="2:37" s="1169" customFormat="1">
      <c r="B155" s="1427"/>
      <c r="C155" s="1177"/>
      <c r="D155" s="1169" t="s">
        <v>279</v>
      </c>
      <c r="E155" s="1172"/>
      <c r="F155" s="1426"/>
      <c r="G155" s="1426"/>
      <c r="H155" s="1426"/>
      <c r="I155" s="1426"/>
      <c r="J155" s="1426"/>
      <c r="K155" s="1426"/>
      <c r="L155" s="1426"/>
      <c r="M155" s="1426"/>
      <c r="N155" s="1426"/>
      <c r="O155" s="1426"/>
      <c r="P155" s="1426"/>
      <c r="Q155" s="1426"/>
      <c r="R155" s="1426"/>
      <c r="S155" s="1426"/>
      <c r="T155" s="1426"/>
      <c r="U155" s="1426"/>
      <c r="V155" s="1426"/>
      <c r="W155" s="1426"/>
      <c r="X155" s="1426"/>
      <c r="Y155" s="1426"/>
      <c r="Z155" s="1426"/>
      <c r="AA155" s="1426"/>
      <c r="AB155" s="1426"/>
      <c r="AC155" s="1426"/>
      <c r="AD155" s="1426"/>
      <c r="AE155" s="1426"/>
      <c r="AF155" s="1426"/>
      <c r="AG155" s="1426"/>
      <c r="AH155" s="1426"/>
      <c r="AI155" s="1426"/>
      <c r="AJ155" s="1426"/>
      <c r="AK155" s="1426"/>
    </row>
    <row r="156" spans="2:37" s="1169" customFormat="1">
      <c r="B156" s="1170"/>
      <c r="C156" s="1171"/>
      <c r="E156" s="1172" t="s">
        <v>233</v>
      </c>
      <c r="F156" s="1426"/>
      <c r="G156" s="1426"/>
      <c r="H156" s="1426"/>
      <c r="I156" s="1426"/>
      <c r="J156" s="1426"/>
      <c r="K156" s="1426"/>
      <c r="L156" s="1426"/>
      <c r="M156" s="1426"/>
      <c r="N156" s="1426"/>
      <c r="O156" s="1426"/>
      <c r="P156" s="1426"/>
      <c r="Q156" s="1426" t="str">
        <f t="shared" ref="Q156:AK156" si="91">IF(Q$100=0,"",Q$100)</f>
        <v/>
      </c>
      <c r="R156" s="1426" t="str">
        <f t="shared" si="91"/>
        <v/>
      </c>
      <c r="S156" s="1426" t="str">
        <f t="shared" si="91"/>
        <v/>
      </c>
      <c r="T156" s="1426" t="str">
        <f t="shared" si="91"/>
        <v/>
      </c>
      <c r="U156" s="1426" t="str">
        <f t="shared" si="91"/>
        <v/>
      </c>
      <c r="V156" s="1426" t="str">
        <f t="shared" si="91"/>
        <v/>
      </c>
      <c r="W156" s="1426" t="str">
        <f t="shared" si="91"/>
        <v/>
      </c>
      <c r="X156" s="1426" t="str">
        <f t="shared" si="91"/>
        <v/>
      </c>
      <c r="Y156" s="1426" t="str">
        <f t="shared" si="91"/>
        <v/>
      </c>
      <c r="Z156" s="1426" t="str">
        <f t="shared" si="91"/>
        <v/>
      </c>
      <c r="AA156" s="1426" t="str">
        <f t="shared" si="91"/>
        <v/>
      </c>
      <c r="AB156" s="1426" t="str">
        <f t="shared" si="91"/>
        <v/>
      </c>
      <c r="AC156" s="1426" t="str">
        <f t="shared" si="91"/>
        <v/>
      </c>
      <c r="AD156" s="1426" t="str">
        <f t="shared" si="91"/>
        <v/>
      </c>
      <c r="AE156" s="1426" t="str">
        <f t="shared" si="91"/>
        <v/>
      </c>
      <c r="AF156" s="1426" t="str">
        <f t="shared" si="91"/>
        <v/>
      </c>
      <c r="AG156" s="1426" t="str">
        <f t="shared" si="91"/>
        <v/>
      </c>
      <c r="AH156" s="1426" t="str">
        <f t="shared" si="91"/>
        <v/>
      </c>
      <c r="AI156" s="1426" t="str">
        <f t="shared" si="91"/>
        <v/>
      </c>
      <c r="AJ156" s="1426" t="str">
        <f t="shared" si="91"/>
        <v/>
      </c>
      <c r="AK156" s="1426" t="str">
        <f t="shared" si="91"/>
        <v/>
      </c>
    </row>
    <row r="157" spans="2:37" s="1169" customFormat="1">
      <c r="B157" s="1427" t="s">
        <v>1233</v>
      </c>
      <c r="C157" s="1177" t="s">
        <v>1277</v>
      </c>
      <c r="D157" s="1169" t="s">
        <v>598</v>
      </c>
      <c r="E157" s="1172"/>
      <c r="F157" s="1426"/>
      <c r="G157" s="1426"/>
      <c r="H157" s="1426"/>
      <c r="I157" s="1426"/>
      <c r="J157" s="1426"/>
      <c r="K157" s="1426"/>
      <c r="L157" s="1426">
        <f>L151</f>
        <v>0.62293590681669864</v>
      </c>
      <c r="M157" s="1426"/>
      <c r="N157" s="1426">
        <f t="shared" ref="N157:O157" si="92">N151</f>
        <v>0.64248294949095586</v>
      </c>
      <c r="O157" s="1426">
        <f t="shared" si="92"/>
        <v>0.69128974916057673</v>
      </c>
      <c r="P157" s="1426"/>
      <c r="Q157" s="1426">
        <f t="shared" ref="Q157:AK157" si="93">IF(Q$99=0,"",Q$99)</f>
        <v>542.65531780689344</v>
      </c>
      <c r="R157" s="1426">
        <f t="shared" si="93"/>
        <v>357.0100775045351</v>
      </c>
      <c r="S157" s="1426" t="str">
        <f t="shared" si="93"/>
        <v/>
      </c>
      <c r="T157" s="1426">
        <f t="shared" si="93"/>
        <v>357.0100775045351</v>
      </c>
      <c r="U157" s="1426">
        <f t="shared" si="93"/>
        <v>257.04725580326533</v>
      </c>
      <c r="V157" s="1426" t="str">
        <f t="shared" si="93"/>
        <v/>
      </c>
      <c r="W157" s="1426">
        <f t="shared" si="93"/>
        <v>8.9252519376133783</v>
      </c>
      <c r="X157" s="1426" t="str">
        <f t="shared" si="93"/>
        <v/>
      </c>
      <c r="Y157" s="1426">
        <f t="shared" si="93"/>
        <v>8.9252519376133783</v>
      </c>
      <c r="Z157" s="1426">
        <f t="shared" si="93"/>
        <v>6.4261813950816338</v>
      </c>
      <c r="AA157" s="1426" t="str">
        <f t="shared" si="93"/>
        <v/>
      </c>
      <c r="AB157" s="1426" t="str">
        <f t="shared" si="93"/>
        <v/>
      </c>
      <c r="AC157" s="1426" t="str">
        <f t="shared" si="93"/>
        <v/>
      </c>
      <c r="AD157" s="1426" t="str">
        <f t="shared" si="93"/>
        <v/>
      </c>
      <c r="AE157" s="1426">
        <f t="shared" si="93"/>
        <v>20</v>
      </c>
      <c r="AF157" s="1426" t="str">
        <f t="shared" si="93"/>
        <v/>
      </c>
      <c r="AG157" s="1426" t="str">
        <f t="shared" si="93"/>
        <v/>
      </c>
      <c r="AH157" s="1426" t="str">
        <f t="shared" si="93"/>
        <v/>
      </c>
      <c r="AI157" s="1426">
        <f t="shared" si="93"/>
        <v>2015</v>
      </c>
      <c r="AJ157" s="1426">
        <f t="shared" si="93"/>
        <v>31.536000000000001</v>
      </c>
      <c r="AK157" s="1426" t="str">
        <f t="shared" si="93"/>
        <v/>
      </c>
    </row>
    <row r="158" spans="2:37" s="1169" customFormat="1">
      <c r="B158" s="1427"/>
      <c r="C158" s="1177"/>
      <c r="D158" s="1169" t="s">
        <v>546</v>
      </c>
      <c r="E158" s="1172"/>
      <c r="F158" s="1426"/>
      <c r="G158" s="1426"/>
      <c r="H158" s="1426"/>
      <c r="I158" s="1426"/>
      <c r="J158" s="1426"/>
      <c r="K158" s="1426"/>
      <c r="L158" s="1426"/>
      <c r="M158" s="1426"/>
      <c r="N158" s="1426"/>
      <c r="O158" s="1426"/>
      <c r="P158" s="1426"/>
      <c r="Q158" s="1426"/>
      <c r="R158" s="1426"/>
      <c r="S158" s="1426"/>
      <c r="T158" s="1426"/>
      <c r="U158" s="1426"/>
      <c r="V158" s="1426"/>
      <c r="W158" s="1426"/>
      <c r="X158" s="1426"/>
      <c r="Y158" s="1426"/>
      <c r="Z158" s="1426"/>
      <c r="AA158" s="1426"/>
      <c r="AB158" s="1426"/>
      <c r="AC158" s="1426"/>
      <c r="AD158" s="1426"/>
      <c r="AE158" s="1426"/>
      <c r="AF158" s="1426"/>
      <c r="AG158" s="1426"/>
      <c r="AH158" s="1426"/>
      <c r="AI158" s="1426"/>
      <c r="AJ158" s="1426"/>
      <c r="AK158" s="1426"/>
    </row>
    <row r="159" spans="2:37" s="1169" customFormat="1">
      <c r="B159" s="1427"/>
      <c r="C159" s="1177"/>
      <c r="D159" s="1169" t="s">
        <v>279</v>
      </c>
      <c r="E159" s="1172"/>
      <c r="F159" s="1426"/>
      <c r="G159" s="1426"/>
      <c r="H159" s="1426"/>
      <c r="I159" s="1426"/>
      <c r="J159" s="1426"/>
      <c r="K159" s="1426"/>
      <c r="L159" s="1426"/>
      <c r="M159" s="1426"/>
      <c r="N159" s="1426"/>
      <c r="O159" s="1426"/>
      <c r="P159" s="1426"/>
      <c r="Q159" s="1426"/>
      <c r="R159" s="1426"/>
      <c r="S159" s="1426"/>
      <c r="T159" s="1426"/>
      <c r="U159" s="1426"/>
      <c r="V159" s="1426"/>
      <c r="W159" s="1426"/>
      <c r="X159" s="1426"/>
      <c r="Y159" s="1426"/>
      <c r="Z159" s="1426"/>
      <c r="AA159" s="1426"/>
      <c r="AB159" s="1426"/>
      <c r="AC159" s="1426"/>
      <c r="AD159" s="1426"/>
      <c r="AE159" s="1426"/>
      <c r="AF159" s="1426"/>
      <c r="AG159" s="1426"/>
      <c r="AH159" s="1426"/>
      <c r="AI159" s="1426"/>
      <c r="AJ159" s="1426"/>
      <c r="AK159" s="1426"/>
    </row>
    <row r="160" spans="2:37" s="1428" customFormat="1">
      <c r="B160" s="1429"/>
      <c r="C160" s="1430"/>
      <c r="E160" s="1431" t="s">
        <v>233</v>
      </c>
      <c r="F160" s="1432"/>
      <c r="G160" s="1432"/>
      <c r="H160" s="1432"/>
      <c r="I160" s="1432"/>
      <c r="J160" s="1432"/>
      <c r="K160" s="1432"/>
      <c r="L160" s="1432"/>
      <c r="M160" s="1432"/>
      <c r="N160" s="1432"/>
      <c r="O160" s="1432"/>
      <c r="P160" s="1432"/>
      <c r="Q160" s="1432" t="str">
        <f t="shared" ref="Q160:AK160" si="94">IF(Q$100=0,"",Q$100)</f>
        <v/>
      </c>
      <c r="R160" s="1432" t="str">
        <f t="shared" si="94"/>
        <v/>
      </c>
      <c r="S160" s="1432" t="str">
        <f t="shared" si="94"/>
        <v/>
      </c>
      <c r="T160" s="1432" t="str">
        <f t="shared" si="94"/>
        <v/>
      </c>
      <c r="U160" s="1432" t="str">
        <f t="shared" si="94"/>
        <v/>
      </c>
      <c r="V160" s="1432" t="str">
        <f t="shared" si="94"/>
        <v/>
      </c>
      <c r="W160" s="1432" t="str">
        <f t="shared" si="94"/>
        <v/>
      </c>
      <c r="X160" s="1432" t="str">
        <f t="shared" si="94"/>
        <v/>
      </c>
      <c r="Y160" s="1432" t="str">
        <f t="shared" si="94"/>
        <v/>
      </c>
      <c r="Z160" s="1432" t="str">
        <f t="shared" si="94"/>
        <v/>
      </c>
      <c r="AA160" s="1432" t="str">
        <f t="shared" si="94"/>
        <v/>
      </c>
      <c r="AB160" s="1432" t="str">
        <f t="shared" si="94"/>
        <v/>
      </c>
      <c r="AC160" s="1432" t="str">
        <f t="shared" si="94"/>
        <v/>
      </c>
      <c r="AD160" s="1432" t="str">
        <f t="shared" si="94"/>
        <v/>
      </c>
      <c r="AE160" s="1432" t="str">
        <f t="shared" si="94"/>
        <v/>
      </c>
      <c r="AF160" s="1432" t="str">
        <f t="shared" si="94"/>
        <v/>
      </c>
      <c r="AG160" s="1432" t="str">
        <f t="shared" si="94"/>
        <v/>
      </c>
      <c r="AH160" s="1432" t="str">
        <f t="shared" si="94"/>
        <v/>
      </c>
      <c r="AI160" s="1432" t="str">
        <f t="shared" si="94"/>
        <v/>
      </c>
      <c r="AJ160" s="1432" t="str">
        <f t="shared" si="94"/>
        <v/>
      </c>
      <c r="AK160" s="1432" t="str">
        <f t="shared" si="94"/>
        <v/>
      </c>
    </row>
    <row r="161" spans="2:42" s="14" customFormat="1">
      <c r="B161" s="973" t="s">
        <v>1209</v>
      </c>
      <c r="C161" s="638" t="s">
        <v>1213</v>
      </c>
      <c r="D161" s="630" t="s">
        <v>279</v>
      </c>
      <c r="E161" s="19"/>
      <c r="F161" s="964">
        <f>IF('INPUT-Data(HP)'!K31=0,"",'INPUT-Data(HP)'!K31)+0.018</f>
        <v>1.6053015873015872</v>
      </c>
      <c r="G161" s="964">
        <f>F161</f>
        <v>1.6053015873015872</v>
      </c>
      <c r="H161" s="967"/>
      <c r="I161" s="964">
        <f>IF('INPUT-Data(HP)'!N31=0,"",'INPUT-Data(HP)'!N31)+0.018</f>
        <v>1.5564615384615383</v>
      </c>
      <c r="J161" s="964">
        <f>IF('INPUT-Data(HP)'!O31=0,"",'INPUT-Data(HP)'!O31)+0.018</f>
        <v>1.4465714285714286</v>
      </c>
      <c r="K161" s="23"/>
      <c r="L161" s="634"/>
      <c r="M161" s="634"/>
      <c r="N161" s="634"/>
      <c r="O161" s="634"/>
      <c r="P161" s="21"/>
      <c r="Q161" s="966">
        <f>IF('INPUT-Data(HP)'!W31=0,"",'INPUT-Data(HP)'!W31)</f>
        <v>602.95035311877052</v>
      </c>
      <c r="R161" s="966">
        <f>IF('INPUT-Data(HP)'!X31=0,"",'INPUT-Data(HP)'!X31)</f>
        <v>396.67786389392791</v>
      </c>
      <c r="S161" s="43"/>
      <c r="T161" s="966">
        <f>IF('INPUT-Data(HP)'!Z31=0,"",'INPUT-Data(HP)'!Z31)</f>
        <v>396.67786389392791</v>
      </c>
      <c r="U161" s="966">
        <f>IF('INPUT-Data(HP)'!AA31=0,"",'INPUT-Data(HP)'!AA31)</f>
        <v>285.60806200362816</v>
      </c>
      <c r="V161" s="966" t="str">
        <f>IF('INPUT-Data(HP)'!AB31=0,"",'INPUT-Data(HP)'!AB31)</f>
        <v/>
      </c>
      <c r="W161" s="966"/>
      <c r="X161" s="966" t="str">
        <f>IF('INPUT-Data(HP)'!AD31=0,"",'INPUT-Data(HP)'!AD31)</f>
        <v/>
      </c>
      <c r="Y161" s="966">
        <f>IF('INPUT-Data(HP)'!AE31=0,"",'INPUT-Data(HP)'!AE31)</f>
        <v>9.9169465973481987</v>
      </c>
      <c r="Z161" s="966">
        <f>IF('INPUT-Data(HP)'!AF31=0,"",'INPUT-Data(HP)'!AF31)</f>
        <v>7.1402015500907048</v>
      </c>
      <c r="AA161" s="43"/>
      <c r="AB161" s="43"/>
      <c r="AC161" s="43"/>
      <c r="AD161" s="43"/>
      <c r="AE161" s="43">
        <f>IF('INPUT-Data(HP)'!AK31=0,"",'INPUT-Data(HP)'!AK31)</f>
        <v>20</v>
      </c>
      <c r="AF161" s="43"/>
      <c r="AG161" s="43"/>
      <c r="AH161" s="43"/>
      <c r="AI161" s="20">
        <f>IF('INPUT-Data(HP)'!AL31=0,"",'INPUT-Data(HP)'!AL31)</f>
        <v>2015</v>
      </c>
      <c r="AJ161" s="23">
        <v>31.536000000000001</v>
      </c>
      <c r="AK161" s="634"/>
      <c r="AO161" s="628"/>
      <c r="AP161" s="628"/>
    </row>
    <row r="162" spans="2:42" s="14" customFormat="1">
      <c r="B162" s="973"/>
      <c r="C162" s="35"/>
      <c r="E162" s="34" t="s">
        <v>232</v>
      </c>
      <c r="F162" s="964"/>
      <c r="G162" s="964"/>
      <c r="H162" s="964"/>
      <c r="I162" s="964"/>
      <c r="J162" s="964"/>
      <c r="K162" s="23">
        <f>'INPUT-Data(HP)'!T31</f>
        <v>1</v>
      </c>
      <c r="L162" s="634"/>
      <c r="M162" s="634"/>
      <c r="N162" s="634"/>
      <c r="O162" s="634"/>
      <c r="P162" s="21"/>
      <c r="Q162" s="966"/>
      <c r="R162" s="966"/>
      <c r="S162" s="43"/>
      <c r="T162" s="43"/>
      <c r="U162" s="43"/>
      <c r="V162" s="643"/>
      <c r="W162" s="643"/>
      <c r="X162" s="643"/>
      <c r="Y162" s="643"/>
      <c r="Z162" s="643"/>
      <c r="AA162" s="43"/>
      <c r="AB162" s="43"/>
      <c r="AC162" s="43"/>
      <c r="AD162" s="43"/>
      <c r="AE162" s="43"/>
      <c r="AF162" s="43"/>
      <c r="AG162" s="43"/>
      <c r="AH162" s="43"/>
      <c r="AI162" s="20"/>
      <c r="AJ162" s="23"/>
      <c r="AK162" s="634"/>
      <c r="AO162" s="628"/>
      <c r="AP162" s="628"/>
    </row>
    <row r="163" spans="2:42" s="628" customFormat="1">
      <c r="B163" s="1229" t="s">
        <v>1210</v>
      </c>
      <c r="C163" s="638" t="s">
        <v>1148</v>
      </c>
      <c r="D163" s="630" t="s">
        <v>598</v>
      </c>
      <c r="E163" s="630"/>
      <c r="F163" s="964">
        <f t="shared" ref="F163:K163" si="95">IF(F$161=0,"",F$161)</f>
        <v>1.6053015873015872</v>
      </c>
      <c r="G163" s="964">
        <f t="shared" si="95"/>
        <v>1.6053015873015872</v>
      </c>
      <c r="H163" s="964" t="str">
        <f t="shared" si="95"/>
        <v/>
      </c>
      <c r="I163" s="964">
        <f t="shared" si="95"/>
        <v>1.5564615384615383</v>
      </c>
      <c r="J163" s="964">
        <f t="shared" si="95"/>
        <v>1.4465714285714286</v>
      </c>
      <c r="K163" s="964" t="str">
        <f t="shared" si="95"/>
        <v/>
      </c>
      <c r="L163" s="964"/>
      <c r="M163" s="964"/>
      <c r="N163" s="964"/>
      <c r="O163" s="964"/>
      <c r="P163" s="964"/>
      <c r="Q163" s="964">
        <f t="shared" ref="Q163:V163" si="96">IF(Q$161=0,"",Q$161)</f>
        <v>602.95035311877052</v>
      </c>
      <c r="R163" s="964">
        <f t="shared" si="96"/>
        <v>396.67786389392791</v>
      </c>
      <c r="S163" s="964" t="str">
        <f t="shared" si="96"/>
        <v/>
      </c>
      <c r="T163" s="964">
        <f t="shared" si="96"/>
        <v>396.67786389392791</v>
      </c>
      <c r="U163" s="964">
        <f t="shared" si="96"/>
        <v>285.60806200362816</v>
      </c>
      <c r="V163" s="964" t="str">
        <f t="shared" si="96"/>
        <v/>
      </c>
      <c r="W163" s="964"/>
      <c r="X163" s="964" t="str">
        <f t="shared" ref="X163:AK163" si="97">IF(X$161=0,"",X$161)</f>
        <v/>
      </c>
      <c r="Y163" s="964">
        <f t="shared" si="97"/>
        <v>9.9169465973481987</v>
      </c>
      <c r="Z163" s="964">
        <f t="shared" si="97"/>
        <v>7.1402015500907048</v>
      </c>
      <c r="AA163" s="964" t="str">
        <f t="shared" si="97"/>
        <v/>
      </c>
      <c r="AB163" s="964" t="str">
        <f t="shared" si="97"/>
        <v/>
      </c>
      <c r="AC163" s="964" t="str">
        <f t="shared" si="97"/>
        <v/>
      </c>
      <c r="AD163" s="964" t="str">
        <f t="shared" si="97"/>
        <v/>
      </c>
      <c r="AE163" s="964">
        <f t="shared" si="97"/>
        <v>20</v>
      </c>
      <c r="AF163" s="964" t="str">
        <f t="shared" si="97"/>
        <v/>
      </c>
      <c r="AG163" s="964" t="str">
        <f t="shared" si="97"/>
        <v/>
      </c>
      <c r="AH163" s="964" t="str">
        <f t="shared" si="97"/>
        <v/>
      </c>
      <c r="AI163" s="964">
        <f t="shared" si="97"/>
        <v>2015</v>
      </c>
      <c r="AJ163" s="964">
        <f t="shared" si="97"/>
        <v>31.536000000000001</v>
      </c>
      <c r="AK163" s="964" t="str">
        <f t="shared" si="97"/>
        <v/>
      </c>
    </row>
    <row r="164" spans="2:42" s="628" customFormat="1">
      <c r="B164" s="973"/>
      <c r="C164" s="639"/>
      <c r="E164" s="638" t="s">
        <v>232</v>
      </c>
      <c r="F164" s="964" t="str">
        <f t="shared" ref="F164:K164" si="98">IF(F$162=0,"",F$162)</f>
        <v/>
      </c>
      <c r="G164" s="964" t="str">
        <f t="shared" si="98"/>
        <v/>
      </c>
      <c r="H164" s="964" t="str">
        <f t="shared" si="98"/>
        <v/>
      </c>
      <c r="I164" s="964" t="str">
        <f t="shared" si="98"/>
        <v/>
      </c>
      <c r="J164" s="964" t="str">
        <f t="shared" si="98"/>
        <v/>
      </c>
      <c r="K164" s="964">
        <f t="shared" si="98"/>
        <v>1</v>
      </c>
      <c r="L164" s="964"/>
      <c r="M164" s="964"/>
      <c r="N164" s="964"/>
      <c r="O164" s="964"/>
      <c r="P164" s="964"/>
      <c r="Q164" s="964" t="str">
        <f t="shared" ref="Q164:V164" si="99">IF(Q$162=0,"",Q$162)</f>
        <v/>
      </c>
      <c r="R164" s="964" t="str">
        <f t="shared" si="99"/>
        <v/>
      </c>
      <c r="S164" s="964" t="str">
        <f t="shared" si="99"/>
        <v/>
      </c>
      <c r="T164" s="964" t="str">
        <f t="shared" si="99"/>
        <v/>
      </c>
      <c r="U164" s="964" t="str">
        <f t="shared" si="99"/>
        <v/>
      </c>
      <c r="V164" s="964" t="str">
        <f t="shared" si="99"/>
        <v/>
      </c>
      <c r="W164" s="964"/>
      <c r="X164" s="964" t="str">
        <f t="shared" ref="X164:AK164" si="100">IF(X$162=0,"",X$162)</f>
        <v/>
      </c>
      <c r="Y164" s="964" t="str">
        <f t="shared" si="100"/>
        <v/>
      </c>
      <c r="Z164" s="964" t="str">
        <f t="shared" si="100"/>
        <v/>
      </c>
      <c r="AA164" s="964" t="str">
        <f t="shared" si="100"/>
        <v/>
      </c>
      <c r="AB164" s="964" t="str">
        <f t="shared" si="100"/>
        <v/>
      </c>
      <c r="AC164" s="964" t="str">
        <f t="shared" si="100"/>
        <v/>
      </c>
      <c r="AD164" s="964" t="str">
        <f t="shared" si="100"/>
        <v/>
      </c>
      <c r="AE164" s="964" t="str">
        <f t="shared" si="100"/>
        <v/>
      </c>
      <c r="AF164" s="964" t="str">
        <f t="shared" si="100"/>
        <v/>
      </c>
      <c r="AG164" s="964" t="str">
        <f t="shared" si="100"/>
        <v/>
      </c>
      <c r="AH164" s="964" t="str">
        <f t="shared" si="100"/>
        <v/>
      </c>
      <c r="AI164" s="964" t="str">
        <f t="shared" si="100"/>
        <v/>
      </c>
      <c r="AJ164" s="964" t="str">
        <f t="shared" si="100"/>
        <v/>
      </c>
      <c r="AK164" s="964" t="str">
        <f t="shared" si="100"/>
        <v/>
      </c>
    </row>
    <row r="165" spans="2:42" s="628" customFormat="1">
      <c r="B165" s="1229" t="s">
        <v>1211</v>
      </c>
      <c r="C165" s="638" t="s">
        <v>1149</v>
      </c>
      <c r="D165" s="630" t="s">
        <v>546</v>
      </c>
      <c r="E165" s="630"/>
      <c r="F165" s="964">
        <f t="shared" ref="F165:K165" si="101">IF(F$161=0,"",F$161)</f>
        <v>1.6053015873015872</v>
      </c>
      <c r="G165" s="964">
        <f t="shared" si="101"/>
        <v>1.6053015873015872</v>
      </c>
      <c r="H165" s="964" t="str">
        <f t="shared" si="101"/>
        <v/>
      </c>
      <c r="I165" s="964">
        <f t="shared" si="101"/>
        <v>1.5564615384615383</v>
      </c>
      <c r="J165" s="964">
        <f t="shared" si="101"/>
        <v>1.4465714285714286</v>
      </c>
      <c r="K165" s="964" t="str">
        <f t="shared" si="101"/>
        <v/>
      </c>
      <c r="L165" s="964"/>
      <c r="M165" s="964"/>
      <c r="N165" s="964"/>
      <c r="O165" s="964"/>
      <c r="P165" s="964"/>
      <c r="Q165" s="964">
        <f t="shared" ref="Q165:AK165" si="102">IF(Q$161=0,"",Q$161)</f>
        <v>602.95035311877052</v>
      </c>
      <c r="R165" s="964">
        <f t="shared" si="102"/>
        <v>396.67786389392791</v>
      </c>
      <c r="S165" s="964" t="str">
        <f t="shared" si="102"/>
        <v/>
      </c>
      <c r="T165" s="964">
        <f t="shared" si="102"/>
        <v>396.67786389392791</v>
      </c>
      <c r="U165" s="964">
        <f t="shared" si="102"/>
        <v>285.60806200362816</v>
      </c>
      <c r="V165" s="964" t="str">
        <f t="shared" si="102"/>
        <v/>
      </c>
      <c r="W165" s="964" t="str">
        <f t="shared" si="102"/>
        <v/>
      </c>
      <c r="X165" s="964" t="str">
        <f t="shared" si="102"/>
        <v/>
      </c>
      <c r="Y165" s="964">
        <f t="shared" si="102"/>
        <v>9.9169465973481987</v>
      </c>
      <c r="Z165" s="964">
        <f t="shared" si="102"/>
        <v>7.1402015500907048</v>
      </c>
      <c r="AA165" s="964" t="str">
        <f t="shared" si="102"/>
        <v/>
      </c>
      <c r="AB165" s="964" t="str">
        <f t="shared" si="102"/>
        <v/>
      </c>
      <c r="AC165" s="964" t="str">
        <f t="shared" si="102"/>
        <v/>
      </c>
      <c r="AD165" s="964" t="str">
        <f t="shared" si="102"/>
        <v/>
      </c>
      <c r="AE165" s="964">
        <f t="shared" si="102"/>
        <v>20</v>
      </c>
      <c r="AF165" s="964" t="str">
        <f t="shared" si="102"/>
        <v/>
      </c>
      <c r="AG165" s="964" t="str">
        <f t="shared" si="102"/>
        <v/>
      </c>
      <c r="AH165" s="964" t="str">
        <f t="shared" si="102"/>
        <v/>
      </c>
      <c r="AI165" s="964">
        <f t="shared" si="102"/>
        <v>2015</v>
      </c>
      <c r="AJ165" s="964">
        <f t="shared" si="102"/>
        <v>31.536000000000001</v>
      </c>
      <c r="AK165" s="964" t="str">
        <f t="shared" si="102"/>
        <v/>
      </c>
    </row>
    <row r="166" spans="2:42" s="628" customFormat="1">
      <c r="B166" s="973"/>
      <c r="C166" s="639"/>
      <c r="E166" s="638" t="s">
        <v>232</v>
      </c>
      <c r="F166" s="964" t="str">
        <f t="shared" ref="F166:K166" si="103">IF(F$162=0,"",F$162)</f>
        <v/>
      </c>
      <c r="G166" s="964" t="str">
        <f t="shared" si="103"/>
        <v/>
      </c>
      <c r="H166" s="964" t="str">
        <f t="shared" si="103"/>
        <v/>
      </c>
      <c r="I166" s="964" t="str">
        <f t="shared" si="103"/>
        <v/>
      </c>
      <c r="J166" s="964" t="str">
        <f t="shared" si="103"/>
        <v/>
      </c>
      <c r="K166" s="964">
        <f t="shared" si="103"/>
        <v>1</v>
      </c>
      <c r="L166" s="964"/>
      <c r="M166" s="964"/>
      <c r="N166" s="964"/>
      <c r="O166" s="964"/>
      <c r="P166" s="964"/>
      <c r="Q166" s="964" t="str">
        <f t="shared" ref="Q166:AK166" si="104">IF(Q$162=0,"",Q$162)</f>
        <v/>
      </c>
      <c r="R166" s="964" t="str">
        <f t="shared" si="104"/>
        <v/>
      </c>
      <c r="S166" s="964" t="str">
        <f t="shared" si="104"/>
        <v/>
      </c>
      <c r="T166" s="964" t="str">
        <f t="shared" si="104"/>
        <v/>
      </c>
      <c r="U166" s="964" t="str">
        <f t="shared" si="104"/>
        <v/>
      </c>
      <c r="V166" s="964" t="str">
        <f t="shared" si="104"/>
        <v/>
      </c>
      <c r="W166" s="964" t="str">
        <f t="shared" si="104"/>
        <v/>
      </c>
      <c r="X166" s="964" t="str">
        <f t="shared" si="104"/>
        <v/>
      </c>
      <c r="Y166" s="964" t="str">
        <f t="shared" si="104"/>
        <v/>
      </c>
      <c r="Z166" s="964" t="str">
        <f t="shared" si="104"/>
        <v/>
      </c>
      <c r="AA166" s="964" t="str">
        <f t="shared" si="104"/>
        <v/>
      </c>
      <c r="AB166" s="964" t="str">
        <f t="shared" si="104"/>
        <v/>
      </c>
      <c r="AC166" s="964" t="str">
        <f t="shared" si="104"/>
        <v/>
      </c>
      <c r="AD166" s="964" t="str">
        <f t="shared" si="104"/>
        <v/>
      </c>
      <c r="AE166" s="964" t="str">
        <f t="shared" si="104"/>
        <v/>
      </c>
      <c r="AF166" s="964" t="str">
        <f t="shared" si="104"/>
        <v/>
      </c>
      <c r="AG166" s="964" t="str">
        <f t="shared" si="104"/>
        <v/>
      </c>
      <c r="AH166" s="964" t="str">
        <f t="shared" si="104"/>
        <v/>
      </c>
      <c r="AI166" s="964" t="str">
        <f t="shared" si="104"/>
        <v/>
      </c>
      <c r="AJ166" s="964" t="str">
        <f t="shared" si="104"/>
        <v/>
      </c>
      <c r="AK166" s="964" t="str">
        <f t="shared" si="104"/>
        <v/>
      </c>
    </row>
    <row r="167" spans="2:42" s="1380" customFormat="1">
      <c r="B167" s="1381" t="s">
        <v>1212</v>
      </c>
      <c r="C167" s="1382" t="s">
        <v>1175</v>
      </c>
      <c r="D167" s="1383" t="s">
        <v>598</v>
      </c>
      <c r="E167" s="1383"/>
      <c r="F167" s="1384"/>
      <c r="G167" s="1384"/>
      <c r="H167" s="1384"/>
      <c r="I167" s="1384"/>
      <c r="J167" s="1384"/>
      <c r="K167" s="1384"/>
      <c r="L167" s="1384">
        <f>1/G161</f>
        <v>0.62293590681669864</v>
      </c>
      <c r="M167" s="1384"/>
      <c r="N167" s="1384">
        <f>1/I161</f>
        <v>0.64248294949095586</v>
      </c>
      <c r="O167" s="1384">
        <f>1/J161</f>
        <v>0.69128974916057673</v>
      </c>
      <c r="P167" s="1384"/>
      <c r="Q167" s="1384">
        <f t="shared" ref="Q167:AK167" si="105">IF(Q$161=0,"",Q$161)</f>
        <v>602.95035311877052</v>
      </c>
      <c r="R167" s="1384">
        <f t="shared" si="105"/>
        <v>396.67786389392791</v>
      </c>
      <c r="S167" s="1384" t="str">
        <f t="shared" si="105"/>
        <v/>
      </c>
      <c r="T167" s="1384">
        <f t="shared" si="105"/>
        <v>396.67786389392791</v>
      </c>
      <c r="U167" s="1384">
        <f t="shared" si="105"/>
        <v>285.60806200362816</v>
      </c>
      <c r="V167" s="1384" t="str">
        <f t="shared" si="105"/>
        <v/>
      </c>
      <c r="W167" s="1384" t="str">
        <f t="shared" si="105"/>
        <v/>
      </c>
      <c r="X167" s="1384" t="str">
        <f t="shared" si="105"/>
        <v/>
      </c>
      <c r="Y167" s="1384">
        <f t="shared" si="105"/>
        <v>9.9169465973481987</v>
      </c>
      <c r="Z167" s="1384">
        <f t="shared" si="105"/>
        <v>7.1402015500907048</v>
      </c>
      <c r="AA167" s="1384" t="str">
        <f t="shared" si="105"/>
        <v/>
      </c>
      <c r="AB167" s="1384" t="str">
        <f t="shared" si="105"/>
        <v/>
      </c>
      <c r="AC167" s="1384" t="str">
        <f t="shared" si="105"/>
        <v/>
      </c>
      <c r="AD167" s="1384" t="str">
        <f t="shared" si="105"/>
        <v/>
      </c>
      <c r="AE167" s="1384">
        <f t="shared" si="105"/>
        <v>20</v>
      </c>
      <c r="AF167" s="1384" t="str">
        <f t="shared" si="105"/>
        <v/>
      </c>
      <c r="AG167" s="1384" t="str">
        <f t="shared" si="105"/>
        <v/>
      </c>
      <c r="AH167" s="1384" t="str">
        <f t="shared" si="105"/>
        <v/>
      </c>
      <c r="AI167" s="1384">
        <f t="shared" si="105"/>
        <v>2015</v>
      </c>
      <c r="AJ167" s="1384">
        <f t="shared" si="105"/>
        <v>31.536000000000001</v>
      </c>
      <c r="AK167" s="1384" t="str">
        <f t="shared" si="105"/>
        <v/>
      </c>
    </row>
    <row r="168" spans="2:42" s="1380" customFormat="1">
      <c r="B168" s="1381"/>
      <c r="C168" s="1382"/>
      <c r="D168" s="1383" t="s">
        <v>546</v>
      </c>
      <c r="E168" s="1383"/>
      <c r="F168" s="1384"/>
      <c r="G168" s="1384"/>
      <c r="H168" s="1384"/>
      <c r="I168" s="1384"/>
      <c r="J168" s="1384"/>
      <c r="K168" s="1384"/>
      <c r="L168" s="1384"/>
      <c r="M168" s="1384"/>
      <c r="N168" s="1384"/>
      <c r="O168" s="1384"/>
      <c r="P168" s="1384"/>
      <c r="Q168" s="1384"/>
      <c r="R168" s="1384"/>
      <c r="S168" s="1384"/>
      <c r="T168" s="1384"/>
      <c r="U168" s="1384"/>
      <c r="V168" s="1384"/>
      <c r="W168" s="1384"/>
      <c r="X168" s="1384"/>
      <c r="Y168" s="1384"/>
      <c r="Z168" s="1384"/>
      <c r="AA168" s="1384"/>
      <c r="AB168" s="1384"/>
      <c r="AC168" s="1384"/>
      <c r="AD168" s="1384"/>
      <c r="AE168" s="1384"/>
      <c r="AF168" s="1384"/>
      <c r="AG168" s="1384"/>
      <c r="AH168" s="1384"/>
      <c r="AI168" s="1384"/>
      <c r="AJ168" s="1384"/>
      <c r="AK168" s="1384"/>
    </row>
    <row r="169" spans="2:42" s="1404" customFormat="1">
      <c r="B169" s="1405"/>
      <c r="C169" s="1406"/>
      <c r="E169" s="1410" t="s">
        <v>232</v>
      </c>
      <c r="F169" s="1408" t="str">
        <f>IF(F$162=0,"",F$162)</f>
        <v/>
      </c>
      <c r="G169" s="1408"/>
      <c r="H169" s="1408"/>
      <c r="I169" s="1408"/>
      <c r="J169" s="1408"/>
      <c r="K169" s="1408"/>
      <c r="L169" s="1408"/>
      <c r="M169" s="1408"/>
      <c r="N169" s="1408"/>
      <c r="O169" s="1408"/>
      <c r="P169" s="1408"/>
      <c r="Q169" s="1408" t="str">
        <f t="shared" ref="Q169:AK169" si="106">IF(Q$162=0,"",Q$162)</f>
        <v/>
      </c>
      <c r="R169" s="1408" t="str">
        <f t="shared" si="106"/>
        <v/>
      </c>
      <c r="S169" s="1408" t="str">
        <f t="shared" si="106"/>
        <v/>
      </c>
      <c r="T169" s="1408" t="str">
        <f t="shared" si="106"/>
        <v/>
      </c>
      <c r="U169" s="1408" t="str">
        <f t="shared" si="106"/>
        <v/>
      </c>
      <c r="V169" s="1408" t="str">
        <f t="shared" si="106"/>
        <v/>
      </c>
      <c r="W169" s="1408" t="str">
        <f t="shared" si="106"/>
        <v/>
      </c>
      <c r="X169" s="1408" t="str">
        <f t="shared" si="106"/>
        <v/>
      </c>
      <c r="Y169" s="1408" t="str">
        <f t="shared" si="106"/>
        <v/>
      </c>
      <c r="Z169" s="1408" t="str">
        <f t="shared" si="106"/>
        <v/>
      </c>
      <c r="AA169" s="1408" t="str">
        <f t="shared" si="106"/>
        <v/>
      </c>
      <c r="AB169" s="1408" t="str">
        <f t="shared" si="106"/>
        <v/>
      </c>
      <c r="AC169" s="1408" t="str">
        <f t="shared" si="106"/>
        <v/>
      </c>
      <c r="AD169" s="1408" t="str">
        <f t="shared" si="106"/>
        <v/>
      </c>
      <c r="AE169" s="1408" t="str">
        <f t="shared" si="106"/>
        <v/>
      </c>
      <c r="AF169" s="1408" t="str">
        <f t="shared" si="106"/>
        <v/>
      </c>
      <c r="AG169" s="1408" t="str">
        <f t="shared" si="106"/>
        <v/>
      </c>
      <c r="AH169" s="1408" t="str">
        <f t="shared" si="106"/>
        <v/>
      </c>
      <c r="AI169" s="1408" t="str">
        <f t="shared" si="106"/>
        <v/>
      </c>
      <c r="AJ169" s="1408" t="str">
        <f t="shared" si="106"/>
        <v/>
      </c>
      <c r="AK169" s="1408" t="str">
        <f t="shared" si="106"/>
        <v/>
      </c>
    </row>
    <row r="170" spans="2:42" s="1169" customFormat="1">
      <c r="B170" s="1427" t="s">
        <v>1234</v>
      </c>
      <c r="C170" s="1177" t="s">
        <v>1272</v>
      </c>
      <c r="D170" s="1172" t="s">
        <v>598</v>
      </c>
      <c r="E170" s="1172"/>
      <c r="F170" s="1426"/>
      <c r="G170" s="1426"/>
      <c r="H170" s="1426"/>
      <c r="I170" s="1426"/>
      <c r="J170" s="1426"/>
      <c r="K170" s="1426"/>
      <c r="L170" s="1426">
        <f>1/G163</f>
        <v>0.62293590681669864</v>
      </c>
      <c r="M170" s="1426"/>
      <c r="N170" s="1426">
        <f>1/I163</f>
        <v>0.64248294949095586</v>
      </c>
      <c r="O170" s="1426">
        <f>1/J163</f>
        <v>0.69128974916057673</v>
      </c>
      <c r="P170" s="1426"/>
      <c r="Q170" s="1426">
        <f t="shared" ref="Q170:V170" si="107">IF(Q$161=0,"",Q$161)</f>
        <v>602.95035311877052</v>
      </c>
      <c r="R170" s="1426">
        <f t="shared" si="107"/>
        <v>396.67786389392791</v>
      </c>
      <c r="S170" s="1426" t="str">
        <f t="shared" si="107"/>
        <v/>
      </c>
      <c r="T170" s="1426">
        <f t="shared" si="107"/>
        <v>396.67786389392791</v>
      </c>
      <c r="U170" s="1426">
        <f t="shared" si="107"/>
        <v>285.60806200362816</v>
      </c>
      <c r="V170" s="1426" t="str">
        <f t="shared" si="107"/>
        <v/>
      </c>
      <c r="W170" s="1426"/>
      <c r="X170" s="1426" t="str">
        <f t="shared" ref="X170:AK170" si="108">IF(X$161=0,"",X$161)</f>
        <v/>
      </c>
      <c r="Y170" s="1426">
        <f t="shared" si="108"/>
        <v>9.9169465973481987</v>
      </c>
      <c r="Z170" s="1426">
        <f t="shared" si="108"/>
        <v>7.1402015500907048</v>
      </c>
      <c r="AA170" s="1426" t="str">
        <f t="shared" si="108"/>
        <v/>
      </c>
      <c r="AB170" s="1426" t="str">
        <f t="shared" si="108"/>
        <v/>
      </c>
      <c r="AC170" s="1426" t="str">
        <f t="shared" si="108"/>
        <v/>
      </c>
      <c r="AD170" s="1426" t="str">
        <f t="shared" si="108"/>
        <v/>
      </c>
      <c r="AE170" s="1426">
        <f t="shared" si="108"/>
        <v>20</v>
      </c>
      <c r="AF170" s="1426" t="str">
        <f t="shared" si="108"/>
        <v/>
      </c>
      <c r="AG170" s="1426" t="str">
        <f t="shared" si="108"/>
        <v/>
      </c>
      <c r="AH170" s="1426" t="str">
        <f t="shared" si="108"/>
        <v/>
      </c>
      <c r="AI170" s="1426">
        <f t="shared" si="108"/>
        <v>2015</v>
      </c>
      <c r="AJ170" s="1426">
        <f t="shared" si="108"/>
        <v>31.536000000000001</v>
      </c>
      <c r="AK170" s="1426" t="str">
        <f t="shared" si="108"/>
        <v/>
      </c>
    </row>
    <row r="171" spans="2:42" s="1169" customFormat="1">
      <c r="B171" s="1427"/>
      <c r="C171" s="1177"/>
      <c r="D171" s="1172" t="s">
        <v>279</v>
      </c>
      <c r="E171" s="1172"/>
      <c r="F171" s="1426"/>
      <c r="G171" s="1426"/>
      <c r="H171" s="1426"/>
      <c r="I171" s="1426"/>
      <c r="J171" s="1426"/>
      <c r="K171" s="1426"/>
      <c r="L171" s="1426"/>
      <c r="M171" s="1426"/>
      <c r="N171" s="1426"/>
      <c r="O171" s="1426"/>
      <c r="P171" s="1426"/>
      <c r="Q171" s="1426"/>
      <c r="R171" s="1426"/>
      <c r="S171" s="1426"/>
      <c r="T171" s="1426"/>
      <c r="U171" s="1426"/>
      <c r="V171" s="1426"/>
      <c r="W171" s="1426"/>
      <c r="X171" s="1426"/>
      <c r="Y171" s="1426"/>
      <c r="Z171" s="1426"/>
      <c r="AA171" s="1426"/>
      <c r="AB171" s="1426"/>
      <c r="AC171" s="1426"/>
      <c r="AD171" s="1426"/>
      <c r="AE171" s="1426"/>
      <c r="AF171" s="1426"/>
      <c r="AG171" s="1426"/>
      <c r="AH171" s="1426"/>
      <c r="AI171" s="1426"/>
      <c r="AJ171" s="1426"/>
      <c r="AK171" s="1426"/>
    </row>
    <row r="172" spans="2:42" s="1169" customFormat="1">
      <c r="B172" s="1170"/>
      <c r="C172" s="1171"/>
      <c r="E172" s="1177" t="s">
        <v>232</v>
      </c>
      <c r="F172" s="1426"/>
      <c r="G172" s="1426"/>
      <c r="H172" s="1426"/>
      <c r="I172" s="1426"/>
      <c r="J172" s="1426"/>
      <c r="K172" s="1426"/>
      <c r="L172" s="1426"/>
      <c r="M172" s="1426"/>
      <c r="N172" s="1426"/>
      <c r="O172" s="1426"/>
      <c r="P172" s="1426"/>
      <c r="Q172" s="1426" t="str">
        <f t="shared" ref="Q172:V172" si="109">IF(Q$162=0,"",Q$162)</f>
        <v/>
      </c>
      <c r="R172" s="1426" t="str">
        <f t="shared" si="109"/>
        <v/>
      </c>
      <c r="S172" s="1426" t="str">
        <f t="shared" si="109"/>
        <v/>
      </c>
      <c r="T172" s="1426" t="str">
        <f t="shared" si="109"/>
        <v/>
      </c>
      <c r="U172" s="1426" t="str">
        <f t="shared" si="109"/>
        <v/>
      </c>
      <c r="V172" s="1426" t="str">
        <f t="shared" si="109"/>
        <v/>
      </c>
      <c r="W172" s="1426"/>
      <c r="X172" s="1426" t="str">
        <f t="shared" ref="X172:AK172" si="110">IF(X$162=0,"",X$162)</f>
        <v/>
      </c>
      <c r="Y172" s="1426" t="str">
        <f t="shared" si="110"/>
        <v/>
      </c>
      <c r="Z172" s="1426" t="str">
        <f t="shared" si="110"/>
        <v/>
      </c>
      <c r="AA172" s="1426" t="str">
        <f t="shared" si="110"/>
        <v/>
      </c>
      <c r="AB172" s="1426" t="str">
        <f t="shared" si="110"/>
        <v/>
      </c>
      <c r="AC172" s="1426" t="str">
        <f t="shared" si="110"/>
        <v/>
      </c>
      <c r="AD172" s="1426" t="str">
        <f t="shared" si="110"/>
        <v/>
      </c>
      <c r="AE172" s="1426" t="str">
        <f t="shared" si="110"/>
        <v/>
      </c>
      <c r="AF172" s="1426" t="str">
        <f t="shared" si="110"/>
        <v/>
      </c>
      <c r="AG172" s="1426" t="str">
        <f t="shared" si="110"/>
        <v/>
      </c>
      <c r="AH172" s="1426" t="str">
        <f t="shared" si="110"/>
        <v/>
      </c>
      <c r="AI172" s="1426" t="str">
        <f t="shared" si="110"/>
        <v/>
      </c>
      <c r="AJ172" s="1426" t="str">
        <f t="shared" si="110"/>
        <v/>
      </c>
      <c r="AK172" s="1426" t="str">
        <f t="shared" si="110"/>
        <v/>
      </c>
    </row>
    <row r="173" spans="2:42" s="1169" customFormat="1">
      <c r="B173" s="1427" t="s">
        <v>1235</v>
      </c>
      <c r="C173" s="1177" t="s">
        <v>1273</v>
      </c>
      <c r="D173" s="1172" t="s">
        <v>546</v>
      </c>
      <c r="E173" s="1172"/>
      <c r="F173" s="1426"/>
      <c r="G173" s="1426"/>
      <c r="H173" s="1426"/>
      <c r="I173" s="1426"/>
      <c r="J173" s="1426"/>
      <c r="K173" s="1426"/>
      <c r="L173" s="1426">
        <f>1/G165</f>
        <v>0.62293590681669864</v>
      </c>
      <c r="M173" s="1426"/>
      <c r="N173" s="1426">
        <f>1/I165</f>
        <v>0.64248294949095586</v>
      </c>
      <c r="O173" s="1426">
        <f>1/J165</f>
        <v>0.69128974916057673</v>
      </c>
      <c r="P173" s="1426"/>
      <c r="Q173" s="1426">
        <f t="shared" ref="Q173:AK173" si="111">IF(Q$161=0,"",Q$161)</f>
        <v>602.95035311877052</v>
      </c>
      <c r="R173" s="1426">
        <f t="shared" si="111"/>
        <v>396.67786389392791</v>
      </c>
      <c r="S173" s="1426" t="str">
        <f t="shared" si="111"/>
        <v/>
      </c>
      <c r="T173" s="1426">
        <f t="shared" si="111"/>
        <v>396.67786389392791</v>
      </c>
      <c r="U173" s="1426">
        <f t="shared" si="111"/>
        <v>285.60806200362816</v>
      </c>
      <c r="V173" s="1426" t="str">
        <f t="shared" si="111"/>
        <v/>
      </c>
      <c r="W173" s="1426" t="str">
        <f t="shared" si="111"/>
        <v/>
      </c>
      <c r="X173" s="1426" t="str">
        <f t="shared" si="111"/>
        <v/>
      </c>
      <c r="Y173" s="1426">
        <f t="shared" si="111"/>
        <v>9.9169465973481987</v>
      </c>
      <c r="Z173" s="1426">
        <f t="shared" si="111"/>
        <v>7.1402015500907048</v>
      </c>
      <c r="AA173" s="1426" t="str">
        <f t="shared" si="111"/>
        <v/>
      </c>
      <c r="AB173" s="1426" t="str">
        <f t="shared" si="111"/>
        <v/>
      </c>
      <c r="AC173" s="1426" t="str">
        <f t="shared" si="111"/>
        <v/>
      </c>
      <c r="AD173" s="1426" t="str">
        <f t="shared" si="111"/>
        <v/>
      </c>
      <c r="AE173" s="1426">
        <f t="shared" si="111"/>
        <v>20</v>
      </c>
      <c r="AF173" s="1426" t="str">
        <f t="shared" si="111"/>
        <v/>
      </c>
      <c r="AG173" s="1426" t="str">
        <f t="shared" si="111"/>
        <v/>
      </c>
      <c r="AH173" s="1426" t="str">
        <f t="shared" si="111"/>
        <v/>
      </c>
      <c r="AI173" s="1426">
        <f t="shared" si="111"/>
        <v>2015</v>
      </c>
      <c r="AJ173" s="1426">
        <f t="shared" si="111"/>
        <v>31.536000000000001</v>
      </c>
      <c r="AK173" s="1426" t="str">
        <f t="shared" si="111"/>
        <v/>
      </c>
    </row>
    <row r="174" spans="2:42" s="1169" customFormat="1">
      <c r="B174" s="1427"/>
      <c r="C174" s="1177"/>
      <c r="D174" s="1172" t="s">
        <v>279</v>
      </c>
      <c r="E174" s="1172"/>
      <c r="F174" s="1426"/>
      <c r="G174" s="1426"/>
      <c r="H174" s="1426"/>
      <c r="I174" s="1426"/>
      <c r="J174" s="1426"/>
      <c r="K174" s="1426"/>
      <c r="L174" s="1426"/>
      <c r="M174" s="1426"/>
      <c r="N174" s="1426"/>
      <c r="O174" s="1426"/>
      <c r="P174" s="1426"/>
      <c r="Q174" s="1426"/>
      <c r="R174" s="1426"/>
      <c r="S174" s="1426"/>
      <c r="T174" s="1426"/>
      <c r="U174" s="1426"/>
      <c r="V174" s="1426"/>
      <c r="W174" s="1426"/>
      <c r="X174" s="1426"/>
      <c r="Y174" s="1426"/>
      <c r="Z174" s="1426"/>
      <c r="AA174" s="1426"/>
      <c r="AB174" s="1426"/>
      <c r="AC174" s="1426"/>
      <c r="AD174" s="1426"/>
      <c r="AE174" s="1426"/>
      <c r="AF174" s="1426"/>
      <c r="AG174" s="1426"/>
      <c r="AH174" s="1426"/>
      <c r="AI174" s="1426"/>
      <c r="AJ174" s="1426"/>
      <c r="AK174" s="1426"/>
    </row>
    <row r="175" spans="2:42" s="1169" customFormat="1">
      <c r="B175" s="1170"/>
      <c r="C175" s="1171"/>
      <c r="E175" s="1177" t="s">
        <v>232</v>
      </c>
      <c r="F175" s="1426"/>
      <c r="G175" s="1426"/>
      <c r="H175" s="1426"/>
      <c r="I175" s="1426"/>
      <c r="J175" s="1426"/>
      <c r="K175" s="1426"/>
      <c r="L175" s="1426"/>
      <c r="M175" s="1426"/>
      <c r="N175" s="1426"/>
      <c r="O175" s="1426"/>
      <c r="P175" s="1426"/>
      <c r="Q175" s="1426" t="str">
        <f t="shared" ref="Q175:AK175" si="112">IF(Q$162=0,"",Q$162)</f>
        <v/>
      </c>
      <c r="R175" s="1426" t="str">
        <f t="shared" si="112"/>
        <v/>
      </c>
      <c r="S175" s="1426" t="str">
        <f t="shared" si="112"/>
        <v/>
      </c>
      <c r="T175" s="1426" t="str">
        <f t="shared" si="112"/>
        <v/>
      </c>
      <c r="U175" s="1426" t="str">
        <f t="shared" si="112"/>
        <v/>
      </c>
      <c r="V175" s="1426" t="str">
        <f t="shared" si="112"/>
        <v/>
      </c>
      <c r="W175" s="1426" t="str">
        <f t="shared" si="112"/>
        <v/>
      </c>
      <c r="X175" s="1426" t="str">
        <f t="shared" si="112"/>
        <v/>
      </c>
      <c r="Y175" s="1426" t="str">
        <f t="shared" si="112"/>
        <v/>
      </c>
      <c r="Z175" s="1426" t="str">
        <f t="shared" si="112"/>
        <v/>
      </c>
      <c r="AA175" s="1426" t="str">
        <f t="shared" si="112"/>
        <v/>
      </c>
      <c r="AB175" s="1426" t="str">
        <f t="shared" si="112"/>
        <v/>
      </c>
      <c r="AC175" s="1426" t="str">
        <f t="shared" si="112"/>
        <v/>
      </c>
      <c r="AD175" s="1426" t="str">
        <f t="shared" si="112"/>
        <v/>
      </c>
      <c r="AE175" s="1426" t="str">
        <f t="shared" si="112"/>
        <v/>
      </c>
      <c r="AF175" s="1426" t="str">
        <f t="shared" si="112"/>
        <v/>
      </c>
      <c r="AG175" s="1426" t="str">
        <f t="shared" si="112"/>
        <v/>
      </c>
      <c r="AH175" s="1426" t="str">
        <f t="shared" si="112"/>
        <v/>
      </c>
      <c r="AI175" s="1426" t="str">
        <f t="shared" si="112"/>
        <v/>
      </c>
      <c r="AJ175" s="1426" t="str">
        <f t="shared" si="112"/>
        <v/>
      </c>
      <c r="AK175" s="1426" t="str">
        <f t="shared" si="112"/>
        <v/>
      </c>
    </row>
    <row r="176" spans="2:42" s="1169" customFormat="1">
      <c r="B176" s="1427" t="s">
        <v>1236</v>
      </c>
      <c r="C176" s="1177" t="s">
        <v>1274</v>
      </c>
      <c r="D176" s="1169" t="s">
        <v>598</v>
      </c>
      <c r="E176" s="1172"/>
      <c r="F176" s="1426"/>
      <c r="G176" s="1426"/>
      <c r="H176" s="1426"/>
      <c r="I176" s="1426"/>
      <c r="J176" s="1426"/>
      <c r="K176" s="1426"/>
      <c r="L176" s="1426">
        <f>L173</f>
        <v>0.62293590681669864</v>
      </c>
      <c r="M176" s="1426"/>
      <c r="N176" s="1426">
        <f t="shared" ref="N176:O176" si="113">N173</f>
        <v>0.64248294949095586</v>
      </c>
      <c r="O176" s="1426">
        <f t="shared" si="113"/>
        <v>0.69128974916057673</v>
      </c>
      <c r="P176" s="1426"/>
      <c r="Q176" s="1426">
        <f t="shared" ref="Q176:AK176" si="114">IF(Q$161=0,"",Q$161)</f>
        <v>602.95035311877052</v>
      </c>
      <c r="R176" s="1426">
        <f t="shared" si="114"/>
        <v>396.67786389392791</v>
      </c>
      <c r="S176" s="1426" t="str">
        <f t="shared" si="114"/>
        <v/>
      </c>
      <c r="T176" s="1426">
        <f t="shared" si="114"/>
        <v>396.67786389392791</v>
      </c>
      <c r="U176" s="1426">
        <f t="shared" si="114"/>
        <v>285.60806200362816</v>
      </c>
      <c r="V176" s="1426" t="str">
        <f t="shared" si="114"/>
        <v/>
      </c>
      <c r="W176" s="1426" t="str">
        <f t="shared" si="114"/>
        <v/>
      </c>
      <c r="X176" s="1426" t="str">
        <f t="shared" si="114"/>
        <v/>
      </c>
      <c r="Y176" s="1426">
        <f t="shared" si="114"/>
        <v>9.9169465973481987</v>
      </c>
      <c r="Z176" s="1426">
        <f t="shared" si="114"/>
        <v>7.1402015500907048</v>
      </c>
      <c r="AA176" s="1426" t="str">
        <f t="shared" si="114"/>
        <v/>
      </c>
      <c r="AB176" s="1426" t="str">
        <f t="shared" si="114"/>
        <v/>
      </c>
      <c r="AC176" s="1426" t="str">
        <f t="shared" si="114"/>
        <v/>
      </c>
      <c r="AD176" s="1426" t="str">
        <f t="shared" si="114"/>
        <v/>
      </c>
      <c r="AE176" s="1426">
        <f t="shared" si="114"/>
        <v>20</v>
      </c>
      <c r="AF176" s="1426" t="str">
        <f t="shared" si="114"/>
        <v/>
      </c>
      <c r="AG176" s="1426" t="str">
        <f t="shared" si="114"/>
        <v/>
      </c>
      <c r="AH176" s="1426" t="str">
        <f t="shared" si="114"/>
        <v/>
      </c>
      <c r="AI176" s="1426">
        <f t="shared" si="114"/>
        <v>2015</v>
      </c>
      <c r="AJ176" s="1426">
        <f t="shared" si="114"/>
        <v>31.536000000000001</v>
      </c>
      <c r="AK176" s="1426" t="str">
        <f t="shared" si="114"/>
        <v/>
      </c>
    </row>
    <row r="177" spans="2:37" s="1169" customFormat="1">
      <c r="B177" s="1427"/>
      <c r="C177" s="1177"/>
      <c r="D177" s="1169" t="s">
        <v>546</v>
      </c>
      <c r="E177" s="1172"/>
      <c r="F177" s="1426"/>
      <c r="G177" s="1426"/>
      <c r="H177" s="1426"/>
      <c r="I177" s="1426"/>
      <c r="J177" s="1426"/>
      <c r="K177" s="1426"/>
      <c r="L177" s="1173"/>
      <c r="M177" s="1173"/>
      <c r="N177" s="1173"/>
      <c r="O177" s="1173"/>
      <c r="P177" s="1426"/>
      <c r="Q177" s="1426"/>
      <c r="R177" s="1426"/>
      <c r="S177" s="1426"/>
      <c r="T177" s="1426"/>
      <c r="U177" s="1426"/>
      <c r="V177" s="1426"/>
      <c r="W177" s="1426"/>
      <c r="X177" s="1426"/>
      <c r="Y177" s="1426"/>
      <c r="Z177" s="1426"/>
      <c r="AA177" s="1426"/>
      <c r="AB177" s="1426"/>
      <c r="AC177" s="1426"/>
      <c r="AD177" s="1426"/>
      <c r="AE177" s="1426"/>
      <c r="AF177" s="1426"/>
      <c r="AG177" s="1426"/>
      <c r="AH177" s="1426"/>
      <c r="AI177" s="1426"/>
      <c r="AJ177" s="1426"/>
      <c r="AK177" s="1426"/>
    </row>
    <row r="178" spans="2:37" s="1169" customFormat="1">
      <c r="B178" s="1427"/>
      <c r="C178" s="1177"/>
      <c r="D178" s="1169" t="s">
        <v>279</v>
      </c>
      <c r="E178" s="1172"/>
      <c r="F178" s="1426"/>
      <c r="G178" s="1426"/>
      <c r="H178" s="1426"/>
      <c r="I178" s="1426"/>
      <c r="J178" s="1426"/>
      <c r="K178" s="1426"/>
      <c r="L178" s="1173"/>
      <c r="M178" s="1173"/>
      <c r="N178" s="1173"/>
      <c r="O178" s="1173"/>
      <c r="P178" s="1426"/>
      <c r="Q178" s="1426"/>
      <c r="R178" s="1426"/>
      <c r="S178" s="1426"/>
      <c r="T178" s="1426"/>
      <c r="U178" s="1426"/>
      <c r="V178" s="1426"/>
      <c r="W178" s="1426"/>
      <c r="X178" s="1426"/>
      <c r="Y178" s="1426"/>
      <c r="Z178" s="1426"/>
      <c r="AA178" s="1426"/>
      <c r="AB178" s="1426"/>
      <c r="AC178" s="1426"/>
      <c r="AD178" s="1426"/>
      <c r="AE178" s="1426"/>
      <c r="AF178" s="1426"/>
      <c r="AG178" s="1426"/>
      <c r="AH178" s="1426"/>
      <c r="AI178" s="1426"/>
      <c r="AJ178" s="1426"/>
      <c r="AK178" s="1426"/>
    </row>
    <row r="179" spans="2:37" s="1428" customFormat="1">
      <c r="B179" s="1429"/>
      <c r="C179" s="1430"/>
      <c r="E179" s="1435" t="s">
        <v>232</v>
      </c>
      <c r="F179" s="1432"/>
      <c r="G179" s="1432"/>
      <c r="H179" s="1432"/>
      <c r="I179" s="1432"/>
      <c r="J179" s="1432"/>
      <c r="K179" s="1432"/>
      <c r="L179" s="1432"/>
      <c r="M179" s="1432"/>
      <c r="N179" s="1432"/>
      <c r="O179" s="1432"/>
      <c r="P179" s="1432"/>
      <c r="Q179" s="1432" t="str">
        <f t="shared" ref="Q179:AK179" si="115">IF(Q$162=0,"",Q$162)</f>
        <v/>
      </c>
      <c r="R179" s="1432" t="str">
        <f t="shared" si="115"/>
        <v/>
      </c>
      <c r="S179" s="1432" t="str">
        <f t="shared" si="115"/>
        <v/>
      </c>
      <c r="T179" s="1432" t="str">
        <f t="shared" si="115"/>
        <v/>
      </c>
      <c r="U179" s="1432" t="str">
        <f t="shared" si="115"/>
        <v/>
      </c>
      <c r="V179" s="1432" t="str">
        <f t="shared" si="115"/>
        <v/>
      </c>
      <c r="W179" s="1432" t="str">
        <f t="shared" si="115"/>
        <v/>
      </c>
      <c r="X179" s="1432" t="str">
        <f t="shared" si="115"/>
        <v/>
      </c>
      <c r="Y179" s="1432" t="str">
        <f t="shared" si="115"/>
        <v/>
      </c>
      <c r="Z179" s="1432" t="str">
        <f t="shared" si="115"/>
        <v/>
      </c>
      <c r="AA179" s="1432" t="str">
        <f t="shared" si="115"/>
        <v/>
      </c>
      <c r="AB179" s="1432" t="str">
        <f t="shared" si="115"/>
        <v/>
      </c>
      <c r="AC179" s="1432" t="str">
        <f t="shared" si="115"/>
        <v/>
      </c>
      <c r="AD179" s="1432" t="str">
        <f t="shared" si="115"/>
        <v/>
      </c>
      <c r="AE179" s="1432" t="str">
        <f t="shared" si="115"/>
        <v/>
      </c>
      <c r="AF179" s="1432" t="str">
        <f t="shared" si="115"/>
        <v/>
      </c>
      <c r="AG179" s="1432" t="str">
        <f t="shared" si="115"/>
        <v/>
      </c>
      <c r="AH179" s="1432" t="str">
        <f t="shared" si="115"/>
        <v/>
      </c>
      <c r="AI179" s="1432" t="str">
        <f t="shared" si="115"/>
        <v/>
      </c>
      <c r="AJ179" s="1432" t="str">
        <f t="shared" si="115"/>
        <v/>
      </c>
      <c r="AK179" s="1432" t="str">
        <f t="shared" si="115"/>
        <v/>
      </c>
    </row>
    <row r="180" spans="2:37" s="554" customFormat="1">
      <c r="B180" s="984" t="s">
        <v>1015</v>
      </c>
      <c r="C180" s="216" t="s">
        <v>1217</v>
      </c>
      <c r="D180" s="554" t="s">
        <v>279</v>
      </c>
      <c r="E180" s="519"/>
      <c r="F180" s="1168" t="str">
        <f>IF('INPUT-Data(HP)'!K38=0,"",'INPUT-Data(HP)'!K38)</f>
        <v/>
      </c>
      <c r="G180" s="1168" t="str">
        <f>F180</f>
        <v/>
      </c>
      <c r="H180" s="1168" t="str">
        <f>IF('INPUT-Data(HP)'!M38=0,"",'INPUT-Data(HP)'!M38)</f>
        <v/>
      </c>
      <c r="I180" s="1168">
        <f>IF('INPUT-Data(HP)'!N38=0,"",'INPUT-Data(HP)'!N38)</f>
        <v>1.4705882352941175</v>
      </c>
      <c r="J180" s="1168">
        <f>IF('INPUT-Data(HP)'!O38=0,"",'INPUT-Data(HP)'!O38)</f>
        <v>1.3513513513513513</v>
      </c>
      <c r="K180" s="553"/>
      <c r="L180" s="553"/>
      <c r="M180" s="553"/>
      <c r="N180" s="553"/>
      <c r="O180" s="553"/>
      <c r="P180" s="617"/>
      <c r="Q180" s="1167"/>
      <c r="R180" s="1167"/>
      <c r="S180" s="606"/>
      <c r="T180" s="1167">
        <f>'INPUT-Data(HP)'!Z38</f>
        <v>412.544978449685</v>
      </c>
      <c r="U180" s="1167">
        <f>'INPUT-Data(HP)'!AA38</f>
        <v>126.93691644605696</v>
      </c>
      <c r="V180" s="1167"/>
      <c r="W180" s="1167"/>
      <c r="X180" s="1167" t="str">
        <f>IF('INPUT-Data(HP)'!AD38=0,"",'INPUT-Data(HP)'!AD38)</f>
        <v/>
      </c>
      <c r="Y180" s="1167">
        <f>IF('INPUT-Data(HP)'!AE38=0,"",'INPUT-Data(HP)'!AE38)</f>
        <v>6.188174676745275</v>
      </c>
      <c r="Z180" s="1167">
        <f>IF('INPUT-Data(HP)'!AF38=0,"",'INPUT-Data(HP)'!AF38)</f>
        <v>1.9040537466908543</v>
      </c>
      <c r="AA180" s="606"/>
      <c r="AC180" s="606"/>
      <c r="AD180" s="606"/>
      <c r="AE180" s="606">
        <f>IF('INPUT-Data(HP)'!AK38=0,"",'INPUT-Data(HP)'!AK38)</f>
        <v>20</v>
      </c>
      <c r="AF180" s="606"/>
      <c r="AG180" s="606"/>
      <c r="AH180" s="606"/>
      <c r="AI180" s="552">
        <f>IF('INPUT-Data(HP)'!AL38=0,"",'INPUT-Data(HP)'!AL38)</f>
        <v>2015</v>
      </c>
      <c r="AJ180" s="553">
        <v>31.536000000000001</v>
      </c>
      <c r="AK180" s="553"/>
    </row>
    <row r="181" spans="2:37" s="628" customFormat="1">
      <c r="B181" s="973"/>
      <c r="C181" s="639"/>
      <c r="E181" s="630" t="s">
        <v>663</v>
      </c>
      <c r="F181" s="964"/>
      <c r="G181" s="964"/>
      <c r="H181" s="964"/>
      <c r="I181" s="964"/>
      <c r="J181" s="964"/>
      <c r="K181" s="634">
        <f>'INPUT-Data(HP)'!T38</f>
        <v>1</v>
      </c>
      <c r="L181" s="634"/>
      <c r="M181" s="634"/>
      <c r="N181" s="634"/>
      <c r="O181" s="634"/>
      <c r="P181" s="632"/>
      <c r="Q181" s="966"/>
      <c r="R181" s="966"/>
      <c r="S181" s="643"/>
      <c r="T181" s="966"/>
      <c r="U181" s="966"/>
      <c r="V181" s="966"/>
      <c r="W181" s="966"/>
      <c r="X181" s="966"/>
      <c r="Y181" s="966"/>
      <c r="Z181" s="966"/>
      <c r="AA181" s="643"/>
      <c r="AB181" s="643"/>
      <c r="AC181" s="643"/>
      <c r="AD181" s="643"/>
      <c r="AE181" s="643"/>
      <c r="AF181" s="643"/>
      <c r="AG181" s="643"/>
      <c r="AH181" s="643"/>
      <c r="AI181" s="631"/>
      <c r="AJ181" s="634"/>
      <c r="AK181" s="634"/>
    </row>
    <row r="182" spans="2:37" s="628" customFormat="1">
      <c r="B182" s="1229" t="s">
        <v>1016</v>
      </c>
      <c r="C182" s="638" t="s">
        <v>1002</v>
      </c>
      <c r="D182" s="628" t="s">
        <v>598</v>
      </c>
      <c r="E182" s="630"/>
      <c r="F182" s="964" t="s">
        <v>729</v>
      </c>
      <c r="G182" s="964" t="s">
        <v>729</v>
      </c>
      <c r="H182" s="964" t="s">
        <v>729</v>
      </c>
      <c r="I182" s="964">
        <f>IF(I$180=0,"",I$180)</f>
        <v>1.4705882352941175</v>
      </c>
      <c r="J182" s="964">
        <f>IF(J$180=0,"",J$180)</f>
        <v>1.3513513513513513</v>
      </c>
      <c r="K182" s="964" t="str">
        <f>IF(K$180=0,"",K$180)</f>
        <v/>
      </c>
      <c r="L182" s="964"/>
      <c r="M182" s="964"/>
      <c r="N182" s="964"/>
      <c r="O182" s="964"/>
      <c r="P182" s="964"/>
      <c r="Q182" s="964" t="str">
        <f t="shared" ref="Q182:AK182" si="116">IF(Q$180=0,"",Q$180)</f>
        <v/>
      </c>
      <c r="R182" s="964" t="str">
        <f t="shared" si="116"/>
        <v/>
      </c>
      <c r="S182" s="964" t="str">
        <f t="shared" si="116"/>
        <v/>
      </c>
      <c r="T182" s="964">
        <f t="shared" si="116"/>
        <v>412.544978449685</v>
      </c>
      <c r="U182" s="964">
        <f t="shared" si="116"/>
        <v>126.93691644605696</v>
      </c>
      <c r="V182" s="964" t="str">
        <f t="shared" si="116"/>
        <v/>
      </c>
      <c r="W182" s="964" t="str">
        <f t="shared" si="116"/>
        <v/>
      </c>
      <c r="X182" s="964" t="str">
        <f t="shared" si="116"/>
        <v/>
      </c>
      <c r="Y182" s="964">
        <f t="shared" si="116"/>
        <v>6.188174676745275</v>
      </c>
      <c r="Z182" s="964">
        <f t="shared" si="116"/>
        <v>1.9040537466908543</v>
      </c>
      <c r="AA182" s="964" t="str">
        <f t="shared" si="116"/>
        <v/>
      </c>
      <c r="AB182" s="964" t="str">
        <f t="shared" si="116"/>
        <v/>
      </c>
      <c r="AC182" s="964" t="str">
        <f t="shared" si="116"/>
        <v/>
      </c>
      <c r="AD182" s="964" t="str">
        <f t="shared" si="116"/>
        <v/>
      </c>
      <c r="AE182" s="964">
        <f t="shared" si="116"/>
        <v>20</v>
      </c>
      <c r="AF182" s="964" t="str">
        <f t="shared" si="116"/>
        <v/>
      </c>
      <c r="AG182" s="964" t="str">
        <f t="shared" si="116"/>
        <v/>
      </c>
      <c r="AH182" s="964" t="str">
        <f t="shared" si="116"/>
        <v/>
      </c>
      <c r="AI182" s="964">
        <f t="shared" si="116"/>
        <v>2015</v>
      </c>
      <c r="AJ182" s="964">
        <f t="shared" si="116"/>
        <v>31.536000000000001</v>
      </c>
      <c r="AK182" s="964" t="str">
        <f t="shared" si="116"/>
        <v/>
      </c>
    </row>
    <row r="183" spans="2:37" s="628" customFormat="1">
      <c r="B183" s="973"/>
      <c r="C183" s="639"/>
      <c r="E183" s="630" t="s">
        <v>663</v>
      </c>
      <c r="F183" s="964"/>
      <c r="G183" s="964"/>
      <c r="H183" s="964"/>
      <c r="I183" s="964" t="str">
        <f>IF(I$181=0,"",I$181)</f>
        <v/>
      </c>
      <c r="J183" s="964" t="str">
        <f>IF(J$181=0,"",J$181)</f>
        <v/>
      </c>
      <c r="K183" s="964">
        <f>IF(K$181=0,"",K$181)</f>
        <v>1</v>
      </c>
      <c r="L183" s="964"/>
      <c r="M183" s="964"/>
      <c r="N183" s="964"/>
      <c r="O183" s="964"/>
      <c r="P183" s="964"/>
      <c r="Q183" s="964" t="str">
        <f t="shared" ref="Q183:AK183" si="117">IF(Q$181=0,"",Q$181)</f>
        <v/>
      </c>
      <c r="R183" s="964" t="str">
        <f t="shared" si="117"/>
        <v/>
      </c>
      <c r="S183" s="964" t="str">
        <f t="shared" si="117"/>
        <v/>
      </c>
      <c r="T183" s="964" t="str">
        <f t="shared" si="117"/>
        <v/>
      </c>
      <c r="U183" s="964" t="str">
        <f t="shared" si="117"/>
        <v/>
      </c>
      <c r="V183" s="964" t="str">
        <f t="shared" si="117"/>
        <v/>
      </c>
      <c r="W183" s="964" t="str">
        <f t="shared" si="117"/>
        <v/>
      </c>
      <c r="X183" s="964" t="str">
        <f t="shared" si="117"/>
        <v/>
      </c>
      <c r="Y183" s="964" t="str">
        <f t="shared" si="117"/>
        <v/>
      </c>
      <c r="Z183" s="964" t="str">
        <f t="shared" si="117"/>
        <v/>
      </c>
      <c r="AA183" s="964" t="str">
        <f t="shared" si="117"/>
        <v/>
      </c>
      <c r="AB183" s="964" t="str">
        <f t="shared" si="117"/>
        <v/>
      </c>
      <c r="AC183" s="964" t="str">
        <f t="shared" si="117"/>
        <v/>
      </c>
      <c r="AD183" s="964" t="str">
        <f t="shared" si="117"/>
        <v/>
      </c>
      <c r="AE183" s="964" t="str">
        <f t="shared" si="117"/>
        <v/>
      </c>
      <c r="AF183" s="964" t="str">
        <f t="shared" si="117"/>
        <v/>
      </c>
      <c r="AG183" s="964" t="str">
        <f t="shared" si="117"/>
        <v/>
      </c>
      <c r="AH183" s="964" t="str">
        <f t="shared" si="117"/>
        <v/>
      </c>
      <c r="AI183" s="964" t="str">
        <f t="shared" si="117"/>
        <v/>
      </c>
      <c r="AJ183" s="964" t="str">
        <f t="shared" si="117"/>
        <v/>
      </c>
      <c r="AK183" s="964" t="str">
        <f t="shared" si="117"/>
        <v/>
      </c>
    </row>
    <row r="184" spans="2:37" s="628" customFormat="1">
      <c r="B184" s="1229" t="s">
        <v>1017</v>
      </c>
      <c r="C184" s="638" t="s">
        <v>1003</v>
      </c>
      <c r="D184" s="628" t="s">
        <v>546</v>
      </c>
      <c r="E184" s="630"/>
      <c r="F184" s="964" t="s">
        <v>729</v>
      </c>
      <c r="G184" s="964" t="s">
        <v>729</v>
      </c>
      <c r="H184" s="964" t="s">
        <v>729</v>
      </c>
      <c r="I184" s="964">
        <f>IF(I$180=0,"",I$180)</f>
        <v>1.4705882352941175</v>
      </c>
      <c r="J184" s="964">
        <f>IF(J$180=0,"",J$180)</f>
        <v>1.3513513513513513</v>
      </c>
      <c r="K184" s="964" t="str">
        <f>IF(K$180=0,"",K$180)</f>
        <v/>
      </c>
      <c r="L184" s="964"/>
      <c r="M184" s="964"/>
      <c r="N184" s="964"/>
      <c r="O184" s="964"/>
      <c r="P184" s="964"/>
      <c r="Q184" s="964" t="str">
        <f t="shared" ref="Q184:AK184" si="118">IF(Q$180=0,"",Q$180)</f>
        <v/>
      </c>
      <c r="R184" s="964" t="str">
        <f t="shared" si="118"/>
        <v/>
      </c>
      <c r="S184" s="964" t="str">
        <f t="shared" si="118"/>
        <v/>
      </c>
      <c r="T184" s="964">
        <f t="shared" si="118"/>
        <v>412.544978449685</v>
      </c>
      <c r="U184" s="964">
        <f t="shared" si="118"/>
        <v>126.93691644605696</v>
      </c>
      <c r="V184" s="964" t="str">
        <f t="shared" si="118"/>
        <v/>
      </c>
      <c r="W184" s="964" t="str">
        <f t="shared" si="118"/>
        <v/>
      </c>
      <c r="X184" s="964" t="str">
        <f t="shared" si="118"/>
        <v/>
      </c>
      <c r="Y184" s="964">
        <f t="shared" si="118"/>
        <v>6.188174676745275</v>
      </c>
      <c r="Z184" s="964">
        <f t="shared" si="118"/>
        <v>1.9040537466908543</v>
      </c>
      <c r="AA184" s="964" t="str">
        <f t="shared" si="118"/>
        <v/>
      </c>
      <c r="AB184" s="964" t="str">
        <f t="shared" si="118"/>
        <v/>
      </c>
      <c r="AC184" s="964" t="str">
        <f t="shared" si="118"/>
        <v/>
      </c>
      <c r="AD184" s="964" t="str">
        <f t="shared" si="118"/>
        <v/>
      </c>
      <c r="AE184" s="964">
        <f t="shared" si="118"/>
        <v>20</v>
      </c>
      <c r="AF184" s="964" t="str">
        <f t="shared" si="118"/>
        <v/>
      </c>
      <c r="AG184" s="964" t="str">
        <f t="shared" si="118"/>
        <v/>
      </c>
      <c r="AH184" s="964" t="str">
        <f t="shared" si="118"/>
        <v/>
      </c>
      <c r="AI184" s="964">
        <f t="shared" si="118"/>
        <v>2015</v>
      </c>
      <c r="AJ184" s="964">
        <f t="shared" si="118"/>
        <v>31.536000000000001</v>
      </c>
      <c r="AK184" s="964" t="str">
        <f t="shared" si="118"/>
        <v/>
      </c>
    </row>
    <row r="185" spans="2:37" s="628" customFormat="1">
      <c r="B185" s="973"/>
      <c r="C185" s="639"/>
      <c r="E185" s="630" t="s">
        <v>663</v>
      </c>
      <c r="F185" s="964"/>
      <c r="G185" s="964"/>
      <c r="H185" s="964"/>
      <c r="I185" s="964" t="str">
        <f>IF(I$181=0,"",I$181)</f>
        <v/>
      </c>
      <c r="J185" s="964" t="str">
        <f>IF(J$181=0,"",J$181)</f>
        <v/>
      </c>
      <c r="K185" s="964">
        <f>IF(K$181=0,"",K$181)</f>
        <v>1</v>
      </c>
      <c r="L185" s="964"/>
      <c r="M185" s="964"/>
      <c r="N185" s="964"/>
      <c r="O185" s="964"/>
      <c r="P185" s="964"/>
      <c r="Q185" s="964" t="str">
        <f t="shared" ref="Q185:AK185" si="119">IF(Q$181=0,"",Q$181)</f>
        <v/>
      </c>
      <c r="R185" s="964" t="str">
        <f t="shared" si="119"/>
        <v/>
      </c>
      <c r="S185" s="964" t="str">
        <f t="shared" si="119"/>
        <v/>
      </c>
      <c r="T185" s="964" t="str">
        <f t="shared" si="119"/>
        <v/>
      </c>
      <c r="U185" s="964" t="str">
        <f t="shared" si="119"/>
        <v/>
      </c>
      <c r="V185" s="964" t="str">
        <f t="shared" si="119"/>
        <v/>
      </c>
      <c r="W185" s="964" t="str">
        <f t="shared" si="119"/>
        <v/>
      </c>
      <c r="X185" s="964" t="str">
        <f t="shared" si="119"/>
        <v/>
      </c>
      <c r="Y185" s="964" t="str">
        <f t="shared" si="119"/>
        <v/>
      </c>
      <c r="Z185" s="964" t="str">
        <f t="shared" si="119"/>
        <v/>
      </c>
      <c r="AA185" s="964" t="str">
        <f t="shared" si="119"/>
        <v/>
      </c>
      <c r="AB185" s="964" t="str">
        <f t="shared" si="119"/>
        <v/>
      </c>
      <c r="AC185" s="964" t="str">
        <f t="shared" si="119"/>
        <v/>
      </c>
      <c r="AD185" s="964" t="str">
        <f t="shared" si="119"/>
        <v/>
      </c>
      <c r="AE185" s="964" t="str">
        <f t="shared" si="119"/>
        <v/>
      </c>
      <c r="AF185" s="964" t="str">
        <f t="shared" si="119"/>
        <v/>
      </c>
      <c r="AG185" s="964" t="str">
        <f t="shared" si="119"/>
        <v/>
      </c>
      <c r="AH185" s="964" t="str">
        <f t="shared" si="119"/>
        <v/>
      </c>
      <c r="AI185" s="964" t="str">
        <f t="shared" si="119"/>
        <v/>
      </c>
      <c r="AJ185" s="964" t="str">
        <f t="shared" si="119"/>
        <v/>
      </c>
      <c r="AK185" s="964" t="str">
        <f t="shared" si="119"/>
        <v/>
      </c>
    </row>
    <row r="186" spans="2:37" s="628" customFormat="1">
      <c r="B186" s="1229" t="s">
        <v>1018</v>
      </c>
      <c r="C186" s="638" t="s">
        <v>1004</v>
      </c>
      <c r="D186" s="628" t="s">
        <v>596</v>
      </c>
      <c r="E186" s="630"/>
      <c r="F186" s="964" t="s">
        <v>729</v>
      </c>
      <c r="G186" s="964" t="s">
        <v>729</v>
      </c>
      <c r="H186" s="964" t="s">
        <v>729</v>
      </c>
      <c r="I186" s="964">
        <f>IF(I$180=0,"",I$180)</f>
        <v>1.4705882352941175</v>
      </c>
      <c r="J186" s="964">
        <f>IF(J$180=0,"",J$180)</f>
        <v>1.3513513513513513</v>
      </c>
      <c r="K186" s="964" t="str">
        <f>IF(K$180=0,"",K$180)</f>
        <v/>
      </c>
      <c r="L186" s="964"/>
      <c r="M186" s="964"/>
      <c r="N186" s="964"/>
      <c r="O186" s="964"/>
      <c r="P186" s="964"/>
      <c r="Q186" s="964" t="str">
        <f t="shared" ref="Q186:AK186" si="120">IF(Q$180=0,"",Q$180)</f>
        <v/>
      </c>
      <c r="R186" s="964" t="str">
        <f t="shared" si="120"/>
        <v/>
      </c>
      <c r="S186" s="964" t="str">
        <f t="shared" si="120"/>
        <v/>
      </c>
      <c r="T186" s="964">
        <f t="shared" si="120"/>
        <v>412.544978449685</v>
      </c>
      <c r="U186" s="964">
        <f t="shared" si="120"/>
        <v>126.93691644605696</v>
      </c>
      <c r="V186" s="964" t="str">
        <f t="shared" si="120"/>
        <v/>
      </c>
      <c r="W186" s="964" t="str">
        <f t="shared" si="120"/>
        <v/>
      </c>
      <c r="X186" s="964" t="str">
        <f t="shared" si="120"/>
        <v/>
      </c>
      <c r="Y186" s="964">
        <f t="shared" si="120"/>
        <v>6.188174676745275</v>
      </c>
      <c r="Z186" s="964">
        <f t="shared" si="120"/>
        <v>1.9040537466908543</v>
      </c>
      <c r="AA186" s="964" t="str">
        <f t="shared" si="120"/>
        <v/>
      </c>
      <c r="AB186" s="964" t="str">
        <f t="shared" si="120"/>
        <v/>
      </c>
      <c r="AC186" s="964" t="str">
        <f t="shared" si="120"/>
        <v/>
      </c>
      <c r="AD186" s="964" t="str">
        <f t="shared" si="120"/>
        <v/>
      </c>
      <c r="AE186" s="964">
        <f t="shared" si="120"/>
        <v>20</v>
      </c>
      <c r="AF186" s="964" t="str">
        <f t="shared" si="120"/>
        <v/>
      </c>
      <c r="AG186" s="964" t="str">
        <f t="shared" si="120"/>
        <v/>
      </c>
      <c r="AH186" s="964" t="str">
        <f t="shared" si="120"/>
        <v/>
      </c>
      <c r="AI186" s="964">
        <f t="shared" si="120"/>
        <v>2015</v>
      </c>
      <c r="AJ186" s="964">
        <f t="shared" si="120"/>
        <v>31.536000000000001</v>
      </c>
      <c r="AK186" s="964" t="str">
        <f t="shared" si="120"/>
        <v/>
      </c>
    </row>
    <row r="187" spans="2:37" s="628" customFormat="1">
      <c r="B187" s="973"/>
      <c r="C187" s="639"/>
      <c r="E187" s="630" t="s">
        <v>663</v>
      </c>
      <c r="F187" s="964"/>
      <c r="G187" s="964"/>
      <c r="H187" s="964"/>
      <c r="I187" s="964" t="str">
        <f>IF(I$181=0,"",I$181)</f>
        <v/>
      </c>
      <c r="J187" s="964" t="str">
        <f>IF(J$181=0,"",J$181)</f>
        <v/>
      </c>
      <c r="K187" s="964">
        <f>IF(K$181=0,"",K$181)</f>
        <v>1</v>
      </c>
      <c r="L187" s="964"/>
      <c r="M187" s="964"/>
      <c r="N187" s="964"/>
      <c r="O187" s="964"/>
      <c r="P187" s="964"/>
      <c r="Q187" s="964" t="str">
        <f t="shared" ref="Q187:AK187" si="121">IF(Q$181=0,"",Q$181)</f>
        <v/>
      </c>
      <c r="R187" s="964" t="str">
        <f t="shared" si="121"/>
        <v/>
      </c>
      <c r="S187" s="964" t="str">
        <f t="shared" si="121"/>
        <v/>
      </c>
      <c r="T187" s="964" t="str">
        <f t="shared" si="121"/>
        <v/>
      </c>
      <c r="U187" s="964" t="str">
        <f t="shared" si="121"/>
        <v/>
      </c>
      <c r="V187" s="964" t="str">
        <f t="shared" si="121"/>
        <v/>
      </c>
      <c r="W187" s="964" t="str">
        <f t="shared" si="121"/>
        <v/>
      </c>
      <c r="X187" s="964" t="str">
        <f t="shared" si="121"/>
        <v/>
      </c>
      <c r="Y187" s="964" t="str">
        <f t="shared" si="121"/>
        <v/>
      </c>
      <c r="Z187" s="964" t="str">
        <f t="shared" si="121"/>
        <v/>
      </c>
      <c r="AA187" s="964" t="str">
        <f t="shared" si="121"/>
        <v/>
      </c>
      <c r="AB187" s="964" t="str">
        <f t="shared" si="121"/>
        <v/>
      </c>
      <c r="AC187" s="964" t="str">
        <f t="shared" si="121"/>
        <v/>
      </c>
      <c r="AD187" s="964" t="str">
        <f t="shared" si="121"/>
        <v/>
      </c>
      <c r="AE187" s="964" t="str">
        <f t="shared" si="121"/>
        <v/>
      </c>
      <c r="AF187" s="964" t="str">
        <f t="shared" si="121"/>
        <v/>
      </c>
      <c r="AG187" s="964" t="str">
        <f t="shared" si="121"/>
        <v/>
      </c>
      <c r="AH187" s="964" t="str">
        <f t="shared" si="121"/>
        <v/>
      </c>
      <c r="AI187" s="964" t="str">
        <f t="shared" si="121"/>
        <v/>
      </c>
      <c r="AJ187" s="964" t="str">
        <f t="shared" si="121"/>
        <v/>
      </c>
      <c r="AK187" s="964" t="str">
        <f t="shared" si="121"/>
        <v/>
      </c>
    </row>
    <row r="188" spans="2:37" s="1380" customFormat="1">
      <c r="B188" s="1381" t="s">
        <v>1169</v>
      </c>
      <c r="C188" s="1382" t="s">
        <v>1168</v>
      </c>
      <c r="D188" s="1380" t="s">
        <v>598</v>
      </c>
      <c r="E188" s="1383"/>
      <c r="F188" s="1384" t="s">
        <v>729</v>
      </c>
      <c r="G188" s="1384" t="s">
        <v>729</v>
      </c>
      <c r="H188" s="1384" t="s">
        <v>729</v>
      </c>
      <c r="I188" s="1384"/>
      <c r="J188" s="1384"/>
      <c r="K188" s="1384"/>
      <c r="L188" s="1384"/>
      <c r="M188" s="1384"/>
      <c r="N188" s="1384">
        <f>1/I180</f>
        <v>0.68</v>
      </c>
      <c r="O188" s="1384">
        <f>1/J180</f>
        <v>0.74</v>
      </c>
      <c r="P188" s="1384"/>
      <c r="Q188" s="1384" t="str">
        <f t="shared" ref="Q188:AK188" si="122">IF(Q$180=0,"",Q$180)</f>
        <v/>
      </c>
      <c r="R188" s="1384" t="str">
        <f t="shared" si="122"/>
        <v/>
      </c>
      <c r="S188" s="1384" t="str">
        <f t="shared" si="122"/>
        <v/>
      </c>
      <c r="T188" s="1384">
        <f t="shared" si="122"/>
        <v>412.544978449685</v>
      </c>
      <c r="U188" s="1384">
        <f t="shared" si="122"/>
        <v>126.93691644605696</v>
      </c>
      <c r="V188" s="1384" t="str">
        <f t="shared" si="122"/>
        <v/>
      </c>
      <c r="W188" s="1384" t="str">
        <f t="shared" si="122"/>
        <v/>
      </c>
      <c r="X188" s="1384" t="str">
        <f t="shared" si="122"/>
        <v/>
      </c>
      <c r="Y188" s="1384">
        <f t="shared" si="122"/>
        <v>6.188174676745275</v>
      </c>
      <c r="Z188" s="1384">
        <f t="shared" si="122"/>
        <v>1.9040537466908543</v>
      </c>
      <c r="AA188" s="1384" t="str">
        <f t="shared" si="122"/>
        <v/>
      </c>
      <c r="AB188" s="1384" t="str">
        <f t="shared" si="122"/>
        <v/>
      </c>
      <c r="AC188" s="1384" t="str">
        <f t="shared" si="122"/>
        <v/>
      </c>
      <c r="AD188" s="1384" t="str">
        <f t="shared" si="122"/>
        <v/>
      </c>
      <c r="AE188" s="1384">
        <f t="shared" si="122"/>
        <v>20</v>
      </c>
      <c r="AF188" s="1384" t="str">
        <f t="shared" si="122"/>
        <v/>
      </c>
      <c r="AG188" s="1384" t="str">
        <f t="shared" si="122"/>
        <v/>
      </c>
      <c r="AH188" s="1384" t="str">
        <f t="shared" si="122"/>
        <v/>
      </c>
      <c r="AI188" s="1384">
        <f t="shared" si="122"/>
        <v>2015</v>
      </c>
      <c r="AJ188" s="1384">
        <f t="shared" si="122"/>
        <v>31.536000000000001</v>
      </c>
      <c r="AK188" s="1384" t="str">
        <f t="shared" si="122"/>
        <v/>
      </c>
    </row>
    <row r="189" spans="2:37" s="1380" customFormat="1">
      <c r="B189" s="1381"/>
      <c r="C189" s="1382"/>
      <c r="D189" s="1380" t="s">
        <v>546</v>
      </c>
      <c r="E189" s="1383"/>
      <c r="F189" s="1384"/>
      <c r="G189" s="1384"/>
      <c r="H189" s="1384"/>
      <c r="I189" s="1384"/>
      <c r="J189" s="1384"/>
      <c r="K189" s="1384"/>
      <c r="L189" s="1384"/>
      <c r="M189" s="1384"/>
      <c r="N189" s="1384"/>
      <c r="O189" s="1384"/>
      <c r="P189" s="1384"/>
      <c r="Q189" s="1384"/>
      <c r="R189" s="1384"/>
      <c r="S189" s="1384"/>
      <c r="T189" s="1384"/>
      <c r="U189" s="1384"/>
      <c r="V189" s="1384"/>
      <c r="W189" s="1384"/>
      <c r="X189" s="1384"/>
      <c r="Y189" s="1384"/>
      <c r="Z189" s="1384"/>
      <c r="AA189" s="1384"/>
      <c r="AB189" s="1384"/>
      <c r="AC189" s="1384"/>
      <c r="AD189" s="1384"/>
      <c r="AE189" s="1384"/>
      <c r="AF189" s="1384"/>
      <c r="AG189" s="1384"/>
      <c r="AH189" s="1384"/>
      <c r="AI189" s="1384"/>
      <c r="AJ189" s="1384"/>
      <c r="AK189" s="1384"/>
    </row>
    <row r="190" spans="2:37" s="1380" customFormat="1">
      <c r="B190" s="1385"/>
      <c r="C190" s="1386"/>
      <c r="E190" s="1383" t="s">
        <v>663</v>
      </c>
      <c r="F190" s="1384"/>
      <c r="G190" s="1384"/>
      <c r="H190" s="1384"/>
      <c r="I190" s="1384"/>
      <c r="J190" s="1384"/>
      <c r="K190" s="1384"/>
      <c r="L190" s="1384"/>
      <c r="M190" s="1384"/>
      <c r="N190" s="1384"/>
      <c r="O190" s="1384"/>
      <c r="P190" s="1384"/>
      <c r="Q190" s="1384" t="str">
        <f t="shared" ref="Q190:AK190" si="123">IF(Q$181=0,"",Q$181)</f>
        <v/>
      </c>
      <c r="R190" s="1384" t="str">
        <f t="shared" si="123"/>
        <v/>
      </c>
      <c r="S190" s="1384" t="str">
        <f t="shared" si="123"/>
        <v/>
      </c>
      <c r="T190" s="1384" t="str">
        <f t="shared" si="123"/>
        <v/>
      </c>
      <c r="U190" s="1384" t="str">
        <f t="shared" si="123"/>
        <v/>
      </c>
      <c r="V190" s="1384" t="str">
        <f t="shared" si="123"/>
        <v/>
      </c>
      <c r="W190" s="1384" t="str">
        <f t="shared" si="123"/>
        <v/>
      </c>
      <c r="X190" s="1384" t="str">
        <f t="shared" si="123"/>
        <v/>
      </c>
      <c r="Y190" s="1384" t="str">
        <f t="shared" si="123"/>
        <v/>
      </c>
      <c r="Z190" s="1384" t="str">
        <f t="shared" si="123"/>
        <v/>
      </c>
      <c r="AA190" s="1384" t="str">
        <f t="shared" si="123"/>
        <v/>
      </c>
      <c r="AB190" s="1384" t="str">
        <f t="shared" si="123"/>
        <v/>
      </c>
      <c r="AC190" s="1384" t="str">
        <f t="shared" si="123"/>
        <v/>
      </c>
      <c r="AD190" s="1384" t="str">
        <f t="shared" si="123"/>
        <v/>
      </c>
      <c r="AE190" s="1384" t="str">
        <f t="shared" si="123"/>
        <v/>
      </c>
      <c r="AF190" s="1384" t="str">
        <f t="shared" si="123"/>
        <v/>
      </c>
      <c r="AG190" s="1384" t="str">
        <f t="shared" si="123"/>
        <v/>
      </c>
      <c r="AH190" s="1384" t="str">
        <f t="shared" si="123"/>
        <v/>
      </c>
      <c r="AI190" s="1384" t="str">
        <f t="shared" si="123"/>
        <v/>
      </c>
      <c r="AJ190" s="1384" t="str">
        <f t="shared" si="123"/>
        <v/>
      </c>
      <c r="AK190" s="1384" t="str">
        <f t="shared" si="123"/>
        <v/>
      </c>
    </row>
    <row r="191" spans="2:37" s="1438" customFormat="1">
      <c r="B191" s="1436" t="s">
        <v>1237</v>
      </c>
      <c r="C191" s="1437" t="s">
        <v>1268</v>
      </c>
      <c r="D191" s="1438" t="s">
        <v>598</v>
      </c>
      <c r="E191" s="1439"/>
      <c r="F191" s="1440" t="s">
        <v>729</v>
      </c>
      <c r="G191" s="1440" t="s">
        <v>729</v>
      </c>
      <c r="H191" s="1440" t="s">
        <v>729</v>
      </c>
      <c r="I191" s="1440"/>
      <c r="J191" s="1440"/>
      <c r="K191" s="1440"/>
      <c r="L191" s="1440"/>
      <c r="M191" s="1440"/>
      <c r="N191" s="1440">
        <f>1/I182</f>
        <v>0.68</v>
      </c>
      <c r="O191" s="1440">
        <f>1/J182</f>
        <v>0.74</v>
      </c>
      <c r="P191" s="1440"/>
      <c r="Q191" s="1440" t="str">
        <f t="shared" ref="Q191:AK191" si="124">IF(Q$180=0,"",Q$180)</f>
        <v/>
      </c>
      <c r="R191" s="1440" t="str">
        <f t="shared" si="124"/>
        <v/>
      </c>
      <c r="S191" s="1440" t="str">
        <f t="shared" si="124"/>
        <v/>
      </c>
      <c r="T191" s="1440">
        <f t="shared" si="124"/>
        <v>412.544978449685</v>
      </c>
      <c r="U191" s="1440">
        <f t="shared" si="124"/>
        <v>126.93691644605696</v>
      </c>
      <c r="V191" s="1440" t="str">
        <f t="shared" si="124"/>
        <v/>
      </c>
      <c r="W191" s="1440" t="str">
        <f t="shared" si="124"/>
        <v/>
      </c>
      <c r="X191" s="1440" t="str">
        <f t="shared" si="124"/>
        <v/>
      </c>
      <c r="Y191" s="1440">
        <f t="shared" si="124"/>
        <v>6.188174676745275</v>
      </c>
      <c r="Z191" s="1440">
        <f t="shared" si="124"/>
        <v>1.9040537466908543</v>
      </c>
      <c r="AA191" s="1440" t="str">
        <f t="shared" si="124"/>
        <v/>
      </c>
      <c r="AB191" s="1440" t="str">
        <f t="shared" si="124"/>
        <v/>
      </c>
      <c r="AC191" s="1440" t="str">
        <f t="shared" si="124"/>
        <v/>
      </c>
      <c r="AD191" s="1440" t="str">
        <f t="shared" si="124"/>
        <v/>
      </c>
      <c r="AE191" s="1440">
        <f t="shared" si="124"/>
        <v>20</v>
      </c>
      <c r="AF191" s="1440" t="str">
        <f t="shared" si="124"/>
        <v/>
      </c>
      <c r="AG191" s="1440" t="str">
        <f t="shared" si="124"/>
        <v/>
      </c>
      <c r="AH191" s="1440" t="str">
        <f t="shared" si="124"/>
        <v/>
      </c>
      <c r="AI191" s="1440">
        <f t="shared" si="124"/>
        <v>2015</v>
      </c>
      <c r="AJ191" s="1440">
        <f t="shared" si="124"/>
        <v>31.536000000000001</v>
      </c>
      <c r="AK191" s="1440" t="str">
        <f t="shared" si="124"/>
        <v/>
      </c>
    </row>
    <row r="192" spans="2:37" s="1169" customFormat="1">
      <c r="B192" s="1427"/>
      <c r="C192" s="1177"/>
      <c r="D192" s="1172" t="s">
        <v>279</v>
      </c>
      <c r="E192" s="1172"/>
      <c r="F192" s="1426"/>
      <c r="G192" s="1426"/>
      <c r="H192" s="1426"/>
      <c r="I192" s="1426"/>
      <c r="J192" s="1426"/>
      <c r="K192" s="1426"/>
      <c r="L192" s="1426"/>
      <c r="M192" s="1426"/>
      <c r="N192" s="1426"/>
      <c r="O192" s="1426"/>
      <c r="P192" s="1426"/>
      <c r="Q192" s="1426"/>
      <c r="R192" s="1426"/>
      <c r="S192" s="1426"/>
      <c r="T192" s="1426"/>
      <c r="U192" s="1426"/>
      <c r="V192" s="1426"/>
      <c r="W192" s="1426"/>
      <c r="X192" s="1426"/>
      <c r="Y192" s="1426"/>
      <c r="Z192" s="1426"/>
      <c r="AA192" s="1426"/>
      <c r="AB192" s="1426"/>
      <c r="AC192" s="1426"/>
      <c r="AD192" s="1426"/>
      <c r="AE192" s="1426"/>
      <c r="AF192" s="1426"/>
      <c r="AG192" s="1426"/>
      <c r="AH192" s="1426"/>
      <c r="AI192" s="1426"/>
      <c r="AJ192" s="1426"/>
      <c r="AK192" s="1426"/>
    </row>
    <row r="193" spans="2:37" s="1169" customFormat="1">
      <c r="B193" s="1170"/>
      <c r="C193" s="1171"/>
      <c r="E193" s="1172" t="s">
        <v>663</v>
      </c>
      <c r="F193" s="1426"/>
      <c r="G193" s="1426"/>
      <c r="H193" s="1426"/>
      <c r="I193" s="1426"/>
      <c r="J193" s="1426"/>
      <c r="K193" s="1426"/>
      <c r="L193" s="1426"/>
      <c r="M193" s="1426"/>
      <c r="N193" s="1426"/>
      <c r="O193" s="1426"/>
      <c r="P193" s="1426"/>
      <c r="Q193" s="1426" t="str">
        <f t="shared" ref="Q193:AK193" si="125">IF(Q$181=0,"",Q$181)</f>
        <v/>
      </c>
      <c r="R193" s="1426" t="str">
        <f t="shared" si="125"/>
        <v/>
      </c>
      <c r="S193" s="1426" t="str">
        <f t="shared" si="125"/>
        <v/>
      </c>
      <c r="T193" s="1426" t="str">
        <f t="shared" si="125"/>
        <v/>
      </c>
      <c r="U193" s="1426" t="str">
        <f t="shared" si="125"/>
        <v/>
      </c>
      <c r="V193" s="1426" t="str">
        <f t="shared" si="125"/>
        <v/>
      </c>
      <c r="W193" s="1426" t="str">
        <f t="shared" si="125"/>
        <v/>
      </c>
      <c r="X193" s="1426" t="str">
        <f t="shared" si="125"/>
        <v/>
      </c>
      <c r="Y193" s="1426" t="str">
        <f t="shared" si="125"/>
        <v/>
      </c>
      <c r="Z193" s="1426" t="str">
        <f t="shared" si="125"/>
        <v/>
      </c>
      <c r="AA193" s="1426" t="str">
        <f t="shared" si="125"/>
        <v/>
      </c>
      <c r="AB193" s="1426" t="str">
        <f t="shared" si="125"/>
        <v/>
      </c>
      <c r="AC193" s="1426" t="str">
        <f t="shared" si="125"/>
        <v/>
      </c>
      <c r="AD193" s="1426" t="str">
        <f t="shared" si="125"/>
        <v/>
      </c>
      <c r="AE193" s="1426" t="str">
        <f t="shared" si="125"/>
        <v/>
      </c>
      <c r="AF193" s="1426" t="str">
        <f t="shared" si="125"/>
        <v/>
      </c>
      <c r="AG193" s="1426" t="str">
        <f t="shared" si="125"/>
        <v/>
      </c>
      <c r="AH193" s="1426" t="str">
        <f t="shared" si="125"/>
        <v/>
      </c>
      <c r="AI193" s="1426" t="str">
        <f t="shared" si="125"/>
        <v/>
      </c>
      <c r="AJ193" s="1426" t="str">
        <f t="shared" si="125"/>
        <v/>
      </c>
      <c r="AK193" s="1426" t="str">
        <f t="shared" si="125"/>
        <v/>
      </c>
    </row>
    <row r="194" spans="2:37" s="1169" customFormat="1">
      <c r="B194" s="1427" t="s">
        <v>1238</v>
      </c>
      <c r="C194" s="1177" t="s">
        <v>1269</v>
      </c>
      <c r="D194" s="1169" t="s">
        <v>546</v>
      </c>
      <c r="E194" s="1172"/>
      <c r="F194" s="1426" t="s">
        <v>729</v>
      </c>
      <c r="G194" s="1426" t="s">
        <v>729</v>
      </c>
      <c r="H194" s="1426" t="s">
        <v>729</v>
      </c>
      <c r="I194" s="1426"/>
      <c r="J194" s="1426"/>
      <c r="K194" s="1426"/>
      <c r="L194" s="1426"/>
      <c r="M194" s="1426"/>
      <c r="N194" s="1426">
        <f>1/I184</f>
        <v>0.68</v>
      </c>
      <c r="O194" s="1426">
        <f>1/J184</f>
        <v>0.74</v>
      </c>
      <c r="P194" s="1426"/>
      <c r="Q194" s="1426" t="str">
        <f t="shared" ref="Q194:AK194" si="126">IF(Q$180=0,"",Q$180)</f>
        <v/>
      </c>
      <c r="R194" s="1426" t="str">
        <f t="shared" si="126"/>
        <v/>
      </c>
      <c r="S194" s="1426" t="str">
        <f t="shared" si="126"/>
        <v/>
      </c>
      <c r="T194" s="1426">
        <f t="shared" si="126"/>
        <v>412.544978449685</v>
      </c>
      <c r="U194" s="1426">
        <f t="shared" si="126"/>
        <v>126.93691644605696</v>
      </c>
      <c r="V194" s="1426" t="str">
        <f t="shared" si="126"/>
        <v/>
      </c>
      <c r="W194" s="1426" t="str">
        <f t="shared" si="126"/>
        <v/>
      </c>
      <c r="X194" s="1426" t="str">
        <f t="shared" si="126"/>
        <v/>
      </c>
      <c r="Y194" s="1426">
        <f t="shared" si="126"/>
        <v>6.188174676745275</v>
      </c>
      <c r="Z194" s="1426">
        <f t="shared" si="126"/>
        <v>1.9040537466908543</v>
      </c>
      <c r="AA194" s="1426" t="str">
        <f t="shared" si="126"/>
        <v/>
      </c>
      <c r="AB194" s="1426" t="str">
        <f t="shared" si="126"/>
        <v/>
      </c>
      <c r="AC194" s="1426" t="str">
        <f t="shared" si="126"/>
        <v/>
      </c>
      <c r="AD194" s="1426" t="str">
        <f t="shared" si="126"/>
        <v/>
      </c>
      <c r="AE194" s="1426">
        <f t="shared" si="126"/>
        <v>20</v>
      </c>
      <c r="AF194" s="1426" t="str">
        <f t="shared" si="126"/>
        <v/>
      </c>
      <c r="AG194" s="1426" t="str">
        <f t="shared" si="126"/>
        <v/>
      </c>
      <c r="AH194" s="1426" t="str">
        <f t="shared" si="126"/>
        <v/>
      </c>
      <c r="AI194" s="1426">
        <f t="shared" si="126"/>
        <v>2015</v>
      </c>
      <c r="AJ194" s="1426">
        <f t="shared" si="126"/>
        <v>31.536000000000001</v>
      </c>
      <c r="AK194" s="1426" t="str">
        <f t="shared" si="126"/>
        <v/>
      </c>
    </row>
    <row r="195" spans="2:37" s="1169" customFormat="1">
      <c r="B195" s="1427"/>
      <c r="C195" s="1177"/>
      <c r="D195" s="1172" t="s">
        <v>279</v>
      </c>
      <c r="E195" s="1172"/>
      <c r="F195" s="1426"/>
      <c r="G195" s="1426"/>
      <c r="H195" s="1426"/>
      <c r="I195" s="1426"/>
      <c r="J195" s="1426"/>
      <c r="K195" s="1426"/>
      <c r="L195" s="1426"/>
      <c r="M195" s="1426"/>
      <c r="N195" s="1426"/>
      <c r="O195" s="1426"/>
      <c r="P195" s="1426"/>
      <c r="Q195" s="1426"/>
      <c r="R195" s="1426"/>
      <c r="S195" s="1426"/>
      <c r="T195" s="1426"/>
      <c r="U195" s="1426"/>
      <c r="V195" s="1426"/>
      <c r="W195" s="1426"/>
      <c r="X195" s="1426"/>
      <c r="Y195" s="1426"/>
      <c r="Z195" s="1426"/>
      <c r="AA195" s="1426"/>
      <c r="AB195" s="1426"/>
      <c r="AC195" s="1426"/>
      <c r="AD195" s="1426"/>
      <c r="AE195" s="1426"/>
      <c r="AF195" s="1426"/>
      <c r="AG195" s="1426"/>
      <c r="AH195" s="1426"/>
      <c r="AI195" s="1426"/>
      <c r="AJ195" s="1426"/>
      <c r="AK195" s="1426"/>
    </row>
    <row r="196" spans="2:37" s="1169" customFormat="1">
      <c r="B196" s="1170"/>
      <c r="C196" s="1171"/>
      <c r="E196" s="1172" t="s">
        <v>663</v>
      </c>
      <c r="F196" s="1426"/>
      <c r="G196" s="1426"/>
      <c r="H196" s="1426"/>
      <c r="I196" s="1426"/>
      <c r="J196" s="1426"/>
      <c r="K196" s="1426"/>
      <c r="L196" s="1426"/>
      <c r="M196" s="1426"/>
      <c r="N196" s="1426"/>
      <c r="O196" s="1426"/>
      <c r="P196" s="1426"/>
      <c r="Q196" s="1426" t="str">
        <f t="shared" ref="Q196:AK196" si="127">IF(Q$181=0,"",Q$181)</f>
        <v/>
      </c>
      <c r="R196" s="1426" t="str">
        <f t="shared" si="127"/>
        <v/>
      </c>
      <c r="S196" s="1426" t="str">
        <f t="shared" si="127"/>
        <v/>
      </c>
      <c r="T196" s="1426" t="str">
        <f t="shared" si="127"/>
        <v/>
      </c>
      <c r="U196" s="1426" t="str">
        <f t="shared" si="127"/>
        <v/>
      </c>
      <c r="V196" s="1426" t="str">
        <f t="shared" si="127"/>
        <v/>
      </c>
      <c r="W196" s="1426" t="str">
        <f t="shared" si="127"/>
        <v/>
      </c>
      <c r="X196" s="1426" t="str">
        <f t="shared" si="127"/>
        <v/>
      </c>
      <c r="Y196" s="1426" t="str">
        <f t="shared" si="127"/>
        <v/>
      </c>
      <c r="Z196" s="1426" t="str">
        <f t="shared" si="127"/>
        <v/>
      </c>
      <c r="AA196" s="1426" t="str">
        <f t="shared" si="127"/>
        <v/>
      </c>
      <c r="AB196" s="1426" t="str">
        <f t="shared" si="127"/>
        <v/>
      </c>
      <c r="AC196" s="1426" t="str">
        <f t="shared" si="127"/>
        <v/>
      </c>
      <c r="AD196" s="1426" t="str">
        <f t="shared" si="127"/>
        <v/>
      </c>
      <c r="AE196" s="1426" t="str">
        <f t="shared" si="127"/>
        <v/>
      </c>
      <c r="AF196" s="1426" t="str">
        <f t="shared" si="127"/>
        <v/>
      </c>
      <c r="AG196" s="1426" t="str">
        <f t="shared" si="127"/>
        <v/>
      </c>
      <c r="AH196" s="1426" t="str">
        <f t="shared" si="127"/>
        <v/>
      </c>
      <c r="AI196" s="1426" t="str">
        <f t="shared" si="127"/>
        <v/>
      </c>
      <c r="AJ196" s="1426" t="str">
        <f t="shared" si="127"/>
        <v/>
      </c>
      <c r="AK196" s="1426" t="str">
        <f t="shared" si="127"/>
        <v/>
      </c>
    </row>
    <row r="197" spans="2:37" s="1169" customFormat="1">
      <c r="B197" s="1427" t="s">
        <v>1239</v>
      </c>
      <c r="C197" s="1177" t="s">
        <v>1270</v>
      </c>
      <c r="D197" s="1169" t="s">
        <v>596</v>
      </c>
      <c r="E197" s="1172"/>
      <c r="F197" s="1426" t="s">
        <v>729</v>
      </c>
      <c r="G197" s="1426" t="s">
        <v>729</v>
      </c>
      <c r="H197" s="1426" t="s">
        <v>729</v>
      </c>
      <c r="I197" s="1426"/>
      <c r="J197" s="1426"/>
      <c r="K197" s="1426"/>
      <c r="L197" s="1426"/>
      <c r="M197" s="1426"/>
      <c r="N197" s="1426">
        <f>1/I186</f>
        <v>0.68</v>
      </c>
      <c r="O197" s="1426">
        <f>1/J186</f>
        <v>0.74</v>
      </c>
      <c r="P197" s="1426"/>
      <c r="Q197" s="1426" t="str">
        <f t="shared" ref="Q197:AK197" si="128">IF(Q$180=0,"",Q$180)</f>
        <v/>
      </c>
      <c r="R197" s="1426" t="str">
        <f t="shared" si="128"/>
        <v/>
      </c>
      <c r="S197" s="1426" t="str">
        <f t="shared" si="128"/>
        <v/>
      </c>
      <c r="T197" s="1426">
        <f t="shared" si="128"/>
        <v>412.544978449685</v>
      </c>
      <c r="U197" s="1426">
        <f t="shared" si="128"/>
        <v>126.93691644605696</v>
      </c>
      <c r="V197" s="1426" t="str">
        <f t="shared" si="128"/>
        <v/>
      </c>
      <c r="W197" s="1426" t="str">
        <f t="shared" si="128"/>
        <v/>
      </c>
      <c r="X197" s="1426" t="str">
        <f t="shared" si="128"/>
        <v/>
      </c>
      <c r="Y197" s="1426">
        <f t="shared" si="128"/>
        <v>6.188174676745275</v>
      </c>
      <c r="Z197" s="1426">
        <f t="shared" si="128"/>
        <v>1.9040537466908543</v>
      </c>
      <c r="AA197" s="1426" t="str">
        <f t="shared" si="128"/>
        <v/>
      </c>
      <c r="AB197" s="1426" t="str">
        <f t="shared" si="128"/>
        <v/>
      </c>
      <c r="AC197" s="1426" t="str">
        <f t="shared" si="128"/>
        <v/>
      </c>
      <c r="AD197" s="1426" t="str">
        <f t="shared" si="128"/>
        <v/>
      </c>
      <c r="AE197" s="1426">
        <f t="shared" si="128"/>
        <v>20</v>
      </c>
      <c r="AF197" s="1426" t="str">
        <f t="shared" si="128"/>
        <v/>
      </c>
      <c r="AG197" s="1426" t="str">
        <f t="shared" si="128"/>
        <v/>
      </c>
      <c r="AH197" s="1426" t="str">
        <f t="shared" si="128"/>
        <v/>
      </c>
      <c r="AI197" s="1426">
        <f t="shared" si="128"/>
        <v>2015</v>
      </c>
      <c r="AJ197" s="1426">
        <f t="shared" si="128"/>
        <v>31.536000000000001</v>
      </c>
      <c r="AK197" s="1426" t="str">
        <f t="shared" si="128"/>
        <v/>
      </c>
    </row>
    <row r="198" spans="2:37" s="1169" customFormat="1">
      <c r="B198" s="1427"/>
      <c r="C198" s="1177"/>
      <c r="D198" s="1172" t="s">
        <v>279</v>
      </c>
      <c r="E198" s="1172"/>
      <c r="F198" s="1426"/>
      <c r="G198" s="1426"/>
      <c r="H198" s="1426"/>
      <c r="I198" s="1426"/>
      <c r="J198" s="1426"/>
      <c r="K198" s="1426"/>
      <c r="L198" s="1426"/>
      <c r="M198" s="1426"/>
      <c r="N198" s="1426"/>
      <c r="O198" s="1426"/>
      <c r="P198" s="1426"/>
      <c r="Q198" s="1426"/>
      <c r="R198" s="1426"/>
      <c r="S198" s="1426"/>
      <c r="T198" s="1426"/>
      <c r="U198" s="1426"/>
      <c r="V198" s="1426"/>
      <c r="W198" s="1426"/>
      <c r="X198" s="1426"/>
      <c r="Y198" s="1426"/>
      <c r="Z198" s="1426"/>
      <c r="AA198" s="1426"/>
      <c r="AB198" s="1426"/>
      <c r="AC198" s="1426"/>
      <c r="AD198" s="1426"/>
      <c r="AE198" s="1426"/>
      <c r="AF198" s="1426"/>
      <c r="AG198" s="1426"/>
      <c r="AH198" s="1426"/>
      <c r="AI198" s="1426"/>
      <c r="AJ198" s="1426"/>
      <c r="AK198" s="1426"/>
    </row>
    <row r="199" spans="2:37" s="1169" customFormat="1">
      <c r="B199" s="1170"/>
      <c r="C199" s="1171"/>
      <c r="E199" s="1172" t="s">
        <v>663</v>
      </c>
      <c r="F199" s="1426"/>
      <c r="G199" s="1426"/>
      <c r="H199" s="1426"/>
      <c r="I199" s="1426"/>
      <c r="J199" s="1426"/>
      <c r="K199" s="1426"/>
      <c r="L199" s="1426"/>
      <c r="M199" s="1426"/>
      <c r="N199" s="1426"/>
      <c r="O199" s="1426"/>
      <c r="P199" s="1426"/>
      <c r="Q199" s="1426" t="str">
        <f t="shared" ref="Q199:AK199" si="129">IF(Q$181=0,"",Q$181)</f>
        <v/>
      </c>
      <c r="R199" s="1426" t="str">
        <f t="shared" si="129"/>
        <v/>
      </c>
      <c r="S199" s="1426" t="str">
        <f t="shared" si="129"/>
        <v/>
      </c>
      <c r="T199" s="1426" t="str">
        <f t="shared" si="129"/>
        <v/>
      </c>
      <c r="U199" s="1426" t="str">
        <f t="shared" si="129"/>
        <v/>
      </c>
      <c r="V199" s="1426" t="str">
        <f t="shared" si="129"/>
        <v/>
      </c>
      <c r="W199" s="1426" t="str">
        <f t="shared" si="129"/>
        <v/>
      </c>
      <c r="X199" s="1426" t="str">
        <f t="shared" si="129"/>
        <v/>
      </c>
      <c r="Y199" s="1426" t="str">
        <f t="shared" si="129"/>
        <v/>
      </c>
      <c r="Z199" s="1426" t="str">
        <f t="shared" si="129"/>
        <v/>
      </c>
      <c r="AA199" s="1426" t="str">
        <f t="shared" si="129"/>
        <v/>
      </c>
      <c r="AB199" s="1426" t="str">
        <f t="shared" si="129"/>
        <v/>
      </c>
      <c r="AC199" s="1426" t="str">
        <f t="shared" si="129"/>
        <v/>
      </c>
      <c r="AD199" s="1426" t="str">
        <f t="shared" si="129"/>
        <v/>
      </c>
      <c r="AE199" s="1426" t="str">
        <f t="shared" si="129"/>
        <v/>
      </c>
      <c r="AF199" s="1426" t="str">
        <f t="shared" si="129"/>
        <v/>
      </c>
      <c r="AG199" s="1426" t="str">
        <f t="shared" si="129"/>
        <v/>
      </c>
      <c r="AH199" s="1426" t="str">
        <f t="shared" si="129"/>
        <v/>
      </c>
      <c r="AI199" s="1426" t="str">
        <f t="shared" si="129"/>
        <v/>
      </c>
      <c r="AJ199" s="1426" t="str">
        <f t="shared" si="129"/>
        <v/>
      </c>
      <c r="AK199" s="1426" t="str">
        <f t="shared" si="129"/>
        <v/>
      </c>
    </row>
    <row r="200" spans="2:37" s="1169" customFormat="1">
      <c r="B200" s="1427" t="s">
        <v>1240</v>
      </c>
      <c r="C200" s="1177" t="s">
        <v>1271</v>
      </c>
      <c r="D200" s="1169" t="s">
        <v>598</v>
      </c>
      <c r="E200" s="1172"/>
      <c r="F200" s="1426" t="s">
        <v>729</v>
      </c>
      <c r="G200" s="1426" t="s">
        <v>729</v>
      </c>
      <c r="H200" s="1426" t="s">
        <v>729</v>
      </c>
      <c r="I200" s="1426"/>
      <c r="J200" s="1426"/>
      <c r="K200" s="1426"/>
      <c r="L200" s="1426"/>
      <c r="M200" s="1426"/>
      <c r="N200" s="1426">
        <f>N191</f>
        <v>0.68</v>
      </c>
      <c r="O200" s="1426">
        <f>O191</f>
        <v>0.74</v>
      </c>
      <c r="P200" s="1426"/>
      <c r="Q200" s="1426" t="str">
        <f t="shared" ref="Q200:AK200" si="130">IF(Q$180=0,"",Q$180)</f>
        <v/>
      </c>
      <c r="R200" s="1426" t="str">
        <f t="shared" si="130"/>
        <v/>
      </c>
      <c r="S200" s="1426" t="str">
        <f t="shared" si="130"/>
        <v/>
      </c>
      <c r="T200" s="1426">
        <f t="shared" si="130"/>
        <v>412.544978449685</v>
      </c>
      <c r="U200" s="1426">
        <f t="shared" si="130"/>
        <v>126.93691644605696</v>
      </c>
      <c r="V200" s="1426" t="str">
        <f t="shared" si="130"/>
        <v/>
      </c>
      <c r="W200" s="1426" t="str">
        <f t="shared" si="130"/>
        <v/>
      </c>
      <c r="X200" s="1426" t="str">
        <f t="shared" si="130"/>
        <v/>
      </c>
      <c r="Y200" s="1426">
        <f t="shared" si="130"/>
        <v>6.188174676745275</v>
      </c>
      <c r="Z200" s="1426">
        <f t="shared" si="130"/>
        <v>1.9040537466908543</v>
      </c>
      <c r="AA200" s="1426" t="str">
        <f t="shared" si="130"/>
        <v/>
      </c>
      <c r="AB200" s="1426" t="str">
        <f t="shared" si="130"/>
        <v/>
      </c>
      <c r="AC200" s="1426" t="str">
        <f t="shared" si="130"/>
        <v/>
      </c>
      <c r="AD200" s="1426" t="str">
        <f t="shared" si="130"/>
        <v/>
      </c>
      <c r="AE200" s="1426">
        <f t="shared" si="130"/>
        <v>20</v>
      </c>
      <c r="AF200" s="1426" t="str">
        <f t="shared" si="130"/>
        <v/>
      </c>
      <c r="AG200" s="1426" t="str">
        <f t="shared" si="130"/>
        <v/>
      </c>
      <c r="AH200" s="1426" t="str">
        <f t="shared" si="130"/>
        <v/>
      </c>
      <c r="AI200" s="1426">
        <f t="shared" si="130"/>
        <v>2015</v>
      </c>
      <c r="AJ200" s="1426">
        <f t="shared" si="130"/>
        <v>31.536000000000001</v>
      </c>
      <c r="AK200" s="1426" t="str">
        <f t="shared" si="130"/>
        <v/>
      </c>
    </row>
    <row r="201" spans="2:37" s="1169" customFormat="1">
      <c r="B201" s="1427"/>
      <c r="C201" s="1177"/>
      <c r="D201" s="1169" t="s">
        <v>546</v>
      </c>
      <c r="E201" s="1172"/>
      <c r="F201" s="1426"/>
      <c r="G201" s="1426"/>
      <c r="H201" s="1426"/>
      <c r="I201" s="1426"/>
      <c r="J201" s="1426"/>
      <c r="K201" s="1426"/>
      <c r="L201" s="1426"/>
      <c r="M201" s="1426"/>
      <c r="N201" s="1426"/>
      <c r="O201" s="1426"/>
      <c r="P201" s="1426"/>
      <c r="Q201" s="1426"/>
      <c r="R201" s="1426"/>
      <c r="S201" s="1426"/>
      <c r="T201" s="1426"/>
      <c r="U201" s="1426"/>
      <c r="V201" s="1426"/>
      <c r="W201" s="1426"/>
      <c r="X201" s="1426"/>
      <c r="Y201" s="1426"/>
      <c r="Z201" s="1426"/>
      <c r="AA201" s="1426"/>
      <c r="AB201" s="1426"/>
      <c r="AC201" s="1426"/>
      <c r="AD201" s="1426"/>
      <c r="AE201" s="1426"/>
      <c r="AF201" s="1426"/>
      <c r="AG201" s="1426"/>
      <c r="AH201" s="1426"/>
      <c r="AI201" s="1426"/>
      <c r="AJ201" s="1426"/>
      <c r="AK201" s="1426"/>
    </row>
    <row r="202" spans="2:37" s="1169" customFormat="1">
      <c r="B202" s="1427"/>
      <c r="C202" s="1177"/>
      <c r="D202" s="1172" t="s">
        <v>279</v>
      </c>
      <c r="E202" s="1172"/>
      <c r="F202" s="1426"/>
      <c r="G202" s="1426"/>
      <c r="H202" s="1426"/>
      <c r="I202" s="1426"/>
      <c r="J202" s="1426"/>
      <c r="K202" s="1426"/>
      <c r="L202" s="1426"/>
      <c r="M202" s="1426"/>
      <c r="N202" s="1426"/>
      <c r="O202" s="1426"/>
      <c r="P202" s="1426"/>
      <c r="Q202" s="1426"/>
      <c r="R202" s="1426"/>
      <c r="S202" s="1426"/>
      <c r="T202" s="1426"/>
      <c r="U202" s="1426"/>
      <c r="V202" s="1426"/>
      <c r="W202" s="1426"/>
      <c r="X202" s="1426"/>
      <c r="Y202" s="1426"/>
      <c r="Z202" s="1426"/>
      <c r="AA202" s="1426"/>
      <c r="AB202" s="1426"/>
      <c r="AC202" s="1426"/>
      <c r="AD202" s="1426"/>
      <c r="AE202" s="1426"/>
      <c r="AF202" s="1426"/>
      <c r="AG202" s="1426"/>
      <c r="AH202" s="1426"/>
      <c r="AI202" s="1426"/>
      <c r="AJ202" s="1426"/>
      <c r="AK202" s="1426"/>
    </row>
    <row r="203" spans="2:37" s="1169" customFormat="1">
      <c r="B203" s="1170"/>
      <c r="C203" s="1171"/>
      <c r="E203" s="1172" t="s">
        <v>663</v>
      </c>
      <c r="F203" s="1426"/>
      <c r="G203" s="1426"/>
      <c r="H203" s="1426"/>
      <c r="I203" s="1426"/>
      <c r="J203" s="1426"/>
      <c r="K203" s="1426"/>
      <c r="L203" s="1426"/>
      <c r="M203" s="1426"/>
      <c r="N203" s="1426"/>
      <c r="O203" s="1426"/>
      <c r="P203" s="1426"/>
      <c r="Q203" s="1426" t="str">
        <f t="shared" ref="Q203:AK203" si="131">IF(Q$181=0,"",Q$181)</f>
        <v/>
      </c>
      <c r="R203" s="1426" t="str">
        <f t="shared" si="131"/>
        <v/>
      </c>
      <c r="S203" s="1426" t="str">
        <f t="shared" si="131"/>
        <v/>
      </c>
      <c r="T203" s="1426" t="str">
        <f t="shared" si="131"/>
        <v/>
      </c>
      <c r="U203" s="1426" t="str">
        <f t="shared" si="131"/>
        <v/>
      </c>
      <c r="V203" s="1426" t="str">
        <f t="shared" si="131"/>
        <v/>
      </c>
      <c r="W203" s="1426" t="str">
        <f t="shared" si="131"/>
        <v/>
      </c>
      <c r="X203" s="1426" t="str">
        <f t="shared" si="131"/>
        <v/>
      </c>
      <c r="Y203" s="1426" t="str">
        <f t="shared" si="131"/>
        <v/>
      </c>
      <c r="Z203" s="1426" t="str">
        <f t="shared" si="131"/>
        <v/>
      </c>
      <c r="AA203" s="1426" t="str">
        <f t="shared" si="131"/>
        <v/>
      </c>
      <c r="AB203" s="1426" t="str">
        <f t="shared" si="131"/>
        <v/>
      </c>
      <c r="AC203" s="1426" t="str">
        <f t="shared" si="131"/>
        <v/>
      </c>
      <c r="AD203" s="1426" t="str">
        <f t="shared" si="131"/>
        <v/>
      </c>
      <c r="AE203" s="1426" t="str">
        <f t="shared" si="131"/>
        <v/>
      </c>
      <c r="AF203" s="1426" t="str">
        <f t="shared" si="131"/>
        <v/>
      </c>
      <c r="AG203" s="1426" t="str">
        <f t="shared" si="131"/>
        <v/>
      </c>
      <c r="AH203" s="1426" t="str">
        <f t="shared" si="131"/>
        <v/>
      </c>
      <c r="AI203" s="1426" t="str">
        <f t="shared" si="131"/>
        <v/>
      </c>
      <c r="AJ203" s="1426" t="str">
        <f t="shared" si="131"/>
        <v/>
      </c>
      <c r="AK203" s="1426" t="str">
        <f t="shared" si="131"/>
        <v/>
      </c>
    </row>
    <row r="204" spans="2:37" s="554" customFormat="1">
      <c r="B204" s="984" t="s">
        <v>978</v>
      </c>
      <c r="C204" s="661" t="s">
        <v>1217</v>
      </c>
      <c r="D204" s="554" t="s">
        <v>279</v>
      </c>
      <c r="E204" s="519"/>
      <c r="F204" s="1168" t="s">
        <v>729</v>
      </c>
      <c r="G204" s="1168" t="s">
        <v>729</v>
      </c>
      <c r="H204" s="1168" t="s">
        <v>729</v>
      </c>
      <c r="I204" s="964">
        <f>IF(I$180=0,"",I$180)</f>
        <v>1.4705882352941175</v>
      </c>
      <c r="J204" s="964">
        <f>IF(J$180=0,"",J$180)</f>
        <v>1.3513513513513513</v>
      </c>
      <c r="K204" s="964" t="str">
        <f>IF(K$180=0,"",K$180)</f>
        <v/>
      </c>
      <c r="L204" s="964"/>
      <c r="M204" s="964"/>
      <c r="N204" s="964"/>
      <c r="O204" s="964"/>
      <c r="P204" s="964"/>
      <c r="Q204" s="964" t="str">
        <f t="shared" ref="Q204:AK204" si="132">IF(Q$180=0,"",Q$180)</f>
        <v/>
      </c>
      <c r="R204" s="964" t="str">
        <f t="shared" si="132"/>
        <v/>
      </c>
      <c r="S204" s="964" t="str">
        <f t="shared" si="132"/>
        <v/>
      </c>
      <c r="T204" s="964">
        <f t="shared" si="132"/>
        <v>412.544978449685</v>
      </c>
      <c r="U204" s="964">
        <f t="shared" si="132"/>
        <v>126.93691644605696</v>
      </c>
      <c r="V204" s="964" t="str">
        <f t="shared" si="132"/>
        <v/>
      </c>
      <c r="W204" s="964" t="str">
        <f t="shared" si="132"/>
        <v/>
      </c>
      <c r="X204" s="964" t="str">
        <f t="shared" si="132"/>
        <v/>
      </c>
      <c r="Y204" s="964">
        <f t="shared" si="132"/>
        <v>6.188174676745275</v>
      </c>
      <c r="Z204" s="964">
        <f t="shared" si="132"/>
        <v>1.9040537466908543</v>
      </c>
      <c r="AA204" s="964" t="str">
        <f t="shared" si="132"/>
        <v/>
      </c>
      <c r="AB204" s="964" t="str">
        <f t="shared" si="132"/>
        <v/>
      </c>
      <c r="AC204" s="964" t="str">
        <f t="shared" si="132"/>
        <v/>
      </c>
      <c r="AD204" s="964" t="str">
        <f t="shared" si="132"/>
        <v/>
      </c>
      <c r="AE204" s="964">
        <f t="shared" si="132"/>
        <v>20</v>
      </c>
      <c r="AF204" s="964" t="str">
        <f t="shared" si="132"/>
        <v/>
      </c>
      <c r="AG204" s="964" t="str">
        <f t="shared" si="132"/>
        <v/>
      </c>
      <c r="AH204" s="964" t="str">
        <f t="shared" si="132"/>
        <v/>
      </c>
      <c r="AI204" s="964">
        <f t="shared" si="132"/>
        <v>2015</v>
      </c>
      <c r="AJ204" s="964">
        <f t="shared" si="132"/>
        <v>31.536000000000001</v>
      </c>
      <c r="AK204" s="964" t="str">
        <f t="shared" si="132"/>
        <v/>
      </c>
    </row>
    <row r="205" spans="2:37" s="628" customFormat="1">
      <c r="B205" s="973"/>
      <c r="C205" s="639"/>
      <c r="E205" s="630" t="s">
        <v>233</v>
      </c>
      <c r="F205" s="964"/>
      <c r="G205" s="964"/>
      <c r="H205" s="964"/>
      <c r="I205" s="964" t="str">
        <f>IF(I$181=0,"",I$181)</f>
        <v/>
      </c>
      <c r="J205" s="964" t="str">
        <f>IF(J$181=0,"",J$181)</f>
        <v/>
      </c>
      <c r="K205" s="964">
        <f>IF(K$181=0,"",K$181)</f>
        <v>1</v>
      </c>
      <c r="L205" s="964"/>
      <c r="M205" s="964"/>
      <c r="N205" s="964"/>
      <c r="O205" s="964"/>
      <c r="P205" s="964"/>
      <c r="Q205" s="964" t="str">
        <f t="shared" ref="Q205:AK205" si="133">IF(Q$181=0,"",Q$181)</f>
        <v/>
      </c>
      <c r="R205" s="964" t="str">
        <f t="shared" si="133"/>
        <v/>
      </c>
      <c r="S205" s="964" t="str">
        <f t="shared" si="133"/>
        <v/>
      </c>
      <c r="T205" s="964" t="str">
        <f t="shared" si="133"/>
        <v/>
      </c>
      <c r="U205" s="964" t="str">
        <f t="shared" si="133"/>
        <v/>
      </c>
      <c r="V205" s="964" t="str">
        <f t="shared" si="133"/>
        <v/>
      </c>
      <c r="W205" s="964" t="str">
        <f t="shared" si="133"/>
        <v/>
      </c>
      <c r="X205" s="964" t="str">
        <f t="shared" si="133"/>
        <v/>
      </c>
      <c r="Y205" s="964" t="str">
        <f t="shared" si="133"/>
        <v/>
      </c>
      <c r="Z205" s="964" t="str">
        <f t="shared" si="133"/>
        <v/>
      </c>
      <c r="AA205" s="964" t="str">
        <f t="shared" si="133"/>
        <v/>
      </c>
      <c r="AB205" s="964" t="str">
        <f t="shared" si="133"/>
        <v/>
      </c>
      <c r="AC205" s="964" t="str">
        <f t="shared" si="133"/>
        <v/>
      </c>
      <c r="AD205" s="964" t="str">
        <f t="shared" si="133"/>
        <v/>
      </c>
      <c r="AE205" s="964" t="str">
        <f t="shared" si="133"/>
        <v/>
      </c>
      <c r="AF205" s="964" t="str">
        <f t="shared" si="133"/>
        <v/>
      </c>
      <c r="AG205" s="964" t="str">
        <f t="shared" si="133"/>
        <v/>
      </c>
      <c r="AH205" s="964" t="str">
        <f t="shared" si="133"/>
        <v/>
      </c>
      <c r="AI205" s="964" t="str">
        <f t="shared" si="133"/>
        <v/>
      </c>
      <c r="AJ205" s="964" t="str">
        <f t="shared" si="133"/>
        <v/>
      </c>
      <c r="AK205" s="964" t="str">
        <f t="shared" si="133"/>
        <v/>
      </c>
    </row>
    <row r="206" spans="2:37" s="628" customFormat="1">
      <c r="B206" s="1229" t="s">
        <v>980</v>
      </c>
      <c r="C206" s="638" t="s">
        <v>1002</v>
      </c>
      <c r="D206" s="628" t="s">
        <v>598</v>
      </c>
      <c r="E206" s="630"/>
      <c r="F206" s="964" t="s">
        <v>729</v>
      </c>
      <c r="G206" s="964" t="s">
        <v>729</v>
      </c>
      <c r="H206" s="964" t="s">
        <v>729</v>
      </c>
      <c r="I206" s="964">
        <f>IF(I$180=0,"",I$180)</f>
        <v>1.4705882352941175</v>
      </c>
      <c r="J206" s="964">
        <f>IF(J$180=0,"",J$180)</f>
        <v>1.3513513513513513</v>
      </c>
      <c r="K206" s="964" t="str">
        <f>IF(K$180=0,"",K$180)</f>
        <v/>
      </c>
      <c r="L206" s="964"/>
      <c r="M206" s="964"/>
      <c r="N206" s="964"/>
      <c r="O206" s="964"/>
      <c r="P206" s="964"/>
      <c r="Q206" s="964" t="str">
        <f t="shared" ref="Q206:AK206" si="134">IF(Q$180=0,"",Q$180)</f>
        <v/>
      </c>
      <c r="R206" s="964" t="str">
        <f t="shared" si="134"/>
        <v/>
      </c>
      <c r="S206" s="964" t="str">
        <f t="shared" si="134"/>
        <v/>
      </c>
      <c r="T206" s="964">
        <f t="shared" si="134"/>
        <v>412.544978449685</v>
      </c>
      <c r="U206" s="964">
        <f t="shared" si="134"/>
        <v>126.93691644605696</v>
      </c>
      <c r="V206" s="964" t="str">
        <f t="shared" si="134"/>
        <v/>
      </c>
      <c r="W206" s="964" t="str">
        <f t="shared" si="134"/>
        <v/>
      </c>
      <c r="X206" s="964" t="str">
        <f t="shared" si="134"/>
        <v/>
      </c>
      <c r="Y206" s="964">
        <f t="shared" si="134"/>
        <v>6.188174676745275</v>
      </c>
      <c r="Z206" s="964">
        <f t="shared" si="134"/>
        <v>1.9040537466908543</v>
      </c>
      <c r="AA206" s="964" t="str">
        <f t="shared" si="134"/>
        <v/>
      </c>
      <c r="AB206" s="964" t="str">
        <f t="shared" si="134"/>
        <v/>
      </c>
      <c r="AC206" s="964" t="str">
        <f t="shared" si="134"/>
        <v/>
      </c>
      <c r="AD206" s="964" t="str">
        <f t="shared" si="134"/>
        <v/>
      </c>
      <c r="AE206" s="964">
        <f t="shared" si="134"/>
        <v>20</v>
      </c>
      <c r="AF206" s="964" t="str">
        <f t="shared" si="134"/>
        <v/>
      </c>
      <c r="AG206" s="964" t="str">
        <f t="shared" si="134"/>
        <v/>
      </c>
      <c r="AH206" s="964" t="str">
        <f t="shared" si="134"/>
        <v/>
      </c>
      <c r="AI206" s="964">
        <f t="shared" si="134"/>
        <v>2015</v>
      </c>
      <c r="AJ206" s="964">
        <f t="shared" si="134"/>
        <v>31.536000000000001</v>
      </c>
      <c r="AK206" s="964" t="str">
        <f t="shared" si="134"/>
        <v/>
      </c>
    </row>
    <row r="207" spans="2:37" s="628" customFormat="1">
      <c r="B207" s="973"/>
      <c r="C207" s="639"/>
      <c r="E207" s="630" t="s">
        <v>233</v>
      </c>
      <c r="F207" s="964"/>
      <c r="G207" s="964"/>
      <c r="H207" s="964"/>
      <c r="I207" s="964" t="str">
        <f>IF(I$181=0,"",I$181)</f>
        <v/>
      </c>
      <c r="J207" s="964" t="str">
        <f>IF(J$181=0,"",J$181)</f>
        <v/>
      </c>
      <c r="K207" s="964">
        <f>IF(K$181=0,"",K$181)</f>
        <v>1</v>
      </c>
      <c r="L207" s="964"/>
      <c r="M207" s="964"/>
      <c r="N207" s="964"/>
      <c r="O207" s="964"/>
      <c r="P207" s="964"/>
      <c r="Q207" s="964" t="str">
        <f t="shared" ref="Q207:AK207" si="135">IF(Q$181=0,"",Q$181)</f>
        <v/>
      </c>
      <c r="R207" s="964" t="str">
        <f t="shared" si="135"/>
        <v/>
      </c>
      <c r="S207" s="964" t="str">
        <f t="shared" si="135"/>
        <v/>
      </c>
      <c r="T207" s="964" t="str">
        <f t="shared" si="135"/>
        <v/>
      </c>
      <c r="U207" s="964" t="str">
        <f t="shared" si="135"/>
        <v/>
      </c>
      <c r="V207" s="964" t="str">
        <f t="shared" si="135"/>
        <v/>
      </c>
      <c r="W207" s="964" t="str">
        <f t="shared" si="135"/>
        <v/>
      </c>
      <c r="X207" s="964" t="str">
        <f t="shared" si="135"/>
        <v/>
      </c>
      <c r="Y207" s="964" t="str">
        <f t="shared" si="135"/>
        <v/>
      </c>
      <c r="Z207" s="964" t="str">
        <f t="shared" si="135"/>
        <v/>
      </c>
      <c r="AA207" s="964" t="str">
        <f t="shared" si="135"/>
        <v/>
      </c>
      <c r="AB207" s="964" t="str">
        <f t="shared" si="135"/>
        <v/>
      </c>
      <c r="AC207" s="964" t="str">
        <f t="shared" si="135"/>
        <v/>
      </c>
      <c r="AD207" s="964" t="str">
        <f t="shared" si="135"/>
        <v/>
      </c>
      <c r="AE207" s="964" t="str">
        <f t="shared" si="135"/>
        <v/>
      </c>
      <c r="AF207" s="964" t="str">
        <f t="shared" si="135"/>
        <v/>
      </c>
      <c r="AG207" s="964" t="str">
        <f t="shared" si="135"/>
        <v/>
      </c>
      <c r="AH207" s="964" t="str">
        <f t="shared" si="135"/>
        <v/>
      </c>
      <c r="AI207" s="964" t="str">
        <f t="shared" si="135"/>
        <v/>
      </c>
      <c r="AJ207" s="964" t="str">
        <f t="shared" si="135"/>
        <v/>
      </c>
      <c r="AK207" s="964" t="str">
        <f t="shared" si="135"/>
        <v/>
      </c>
    </row>
    <row r="208" spans="2:37" s="628" customFormat="1">
      <c r="B208" s="1229" t="s">
        <v>981</v>
      </c>
      <c r="C208" s="638" t="s">
        <v>1003</v>
      </c>
      <c r="D208" s="628" t="s">
        <v>546</v>
      </c>
      <c r="E208" s="630"/>
      <c r="F208" s="964" t="s">
        <v>729</v>
      </c>
      <c r="G208" s="964" t="s">
        <v>729</v>
      </c>
      <c r="H208" s="964" t="s">
        <v>729</v>
      </c>
      <c r="I208" s="964">
        <f>IF(I$180=0,"",I$180)</f>
        <v>1.4705882352941175</v>
      </c>
      <c r="J208" s="964">
        <f>IF(J$180=0,"",J$180)</f>
        <v>1.3513513513513513</v>
      </c>
      <c r="K208" s="964" t="str">
        <f>IF(K$180=0,"",K$180)</f>
        <v/>
      </c>
      <c r="L208" s="964"/>
      <c r="M208" s="964"/>
      <c r="N208" s="964"/>
      <c r="O208" s="964"/>
      <c r="P208" s="964"/>
      <c r="Q208" s="964" t="str">
        <f t="shared" ref="Q208:AK208" si="136">IF(Q$180=0,"",Q$180)</f>
        <v/>
      </c>
      <c r="R208" s="964" t="str">
        <f t="shared" si="136"/>
        <v/>
      </c>
      <c r="S208" s="964" t="str">
        <f t="shared" si="136"/>
        <v/>
      </c>
      <c r="T208" s="964">
        <f t="shared" si="136"/>
        <v>412.544978449685</v>
      </c>
      <c r="U208" s="964">
        <f t="shared" si="136"/>
        <v>126.93691644605696</v>
      </c>
      <c r="V208" s="964" t="str">
        <f t="shared" si="136"/>
        <v/>
      </c>
      <c r="W208" s="964" t="str">
        <f t="shared" si="136"/>
        <v/>
      </c>
      <c r="X208" s="964" t="str">
        <f t="shared" si="136"/>
        <v/>
      </c>
      <c r="Y208" s="964">
        <f t="shared" si="136"/>
        <v>6.188174676745275</v>
      </c>
      <c r="Z208" s="964">
        <f t="shared" si="136"/>
        <v>1.9040537466908543</v>
      </c>
      <c r="AA208" s="964" t="str">
        <f t="shared" si="136"/>
        <v/>
      </c>
      <c r="AB208" s="964" t="str">
        <f t="shared" si="136"/>
        <v/>
      </c>
      <c r="AC208" s="964" t="str">
        <f t="shared" si="136"/>
        <v/>
      </c>
      <c r="AD208" s="964" t="str">
        <f t="shared" si="136"/>
        <v/>
      </c>
      <c r="AE208" s="964">
        <f t="shared" si="136"/>
        <v>20</v>
      </c>
      <c r="AF208" s="964" t="str">
        <f t="shared" si="136"/>
        <v/>
      </c>
      <c r="AG208" s="964" t="str">
        <f t="shared" si="136"/>
        <v/>
      </c>
      <c r="AH208" s="964" t="str">
        <f t="shared" si="136"/>
        <v/>
      </c>
      <c r="AI208" s="964">
        <f t="shared" si="136"/>
        <v>2015</v>
      </c>
      <c r="AJ208" s="964">
        <f t="shared" si="136"/>
        <v>31.536000000000001</v>
      </c>
      <c r="AK208" s="964" t="str">
        <f t="shared" si="136"/>
        <v/>
      </c>
    </row>
    <row r="209" spans="2:37" s="628" customFormat="1">
      <c r="B209" s="973"/>
      <c r="C209" s="639"/>
      <c r="E209" s="630" t="s">
        <v>233</v>
      </c>
      <c r="F209" s="964"/>
      <c r="G209" s="964"/>
      <c r="H209" s="964"/>
      <c r="I209" s="964" t="str">
        <f>IF(I$181=0,"",I$181)</f>
        <v/>
      </c>
      <c r="J209" s="964" t="str">
        <f>IF(J$181=0,"",J$181)</f>
        <v/>
      </c>
      <c r="K209" s="964">
        <f>IF(K$181=0,"",K$181)</f>
        <v>1</v>
      </c>
      <c r="L209" s="964"/>
      <c r="M209" s="964"/>
      <c r="N209" s="964"/>
      <c r="O209" s="964"/>
      <c r="P209" s="964"/>
      <c r="Q209" s="964" t="str">
        <f t="shared" ref="Q209:AK209" si="137">IF(Q$181=0,"",Q$181)</f>
        <v/>
      </c>
      <c r="R209" s="964" t="str">
        <f t="shared" si="137"/>
        <v/>
      </c>
      <c r="S209" s="964" t="str">
        <f t="shared" si="137"/>
        <v/>
      </c>
      <c r="T209" s="964" t="str">
        <f t="shared" si="137"/>
        <v/>
      </c>
      <c r="U209" s="964" t="str">
        <f t="shared" si="137"/>
        <v/>
      </c>
      <c r="V209" s="964" t="str">
        <f t="shared" si="137"/>
        <v/>
      </c>
      <c r="W209" s="964" t="str">
        <f t="shared" si="137"/>
        <v/>
      </c>
      <c r="X209" s="964" t="str">
        <f t="shared" si="137"/>
        <v/>
      </c>
      <c r="Y209" s="964" t="str">
        <f t="shared" si="137"/>
        <v/>
      </c>
      <c r="Z209" s="964" t="str">
        <f t="shared" si="137"/>
        <v/>
      </c>
      <c r="AA209" s="964" t="str">
        <f t="shared" si="137"/>
        <v/>
      </c>
      <c r="AB209" s="964" t="str">
        <f t="shared" si="137"/>
        <v/>
      </c>
      <c r="AC209" s="964" t="str">
        <f t="shared" si="137"/>
        <v/>
      </c>
      <c r="AD209" s="964" t="str">
        <f t="shared" si="137"/>
        <v/>
      </c>
      <c r="AE209" s="964" t="str">
        <f t="shared" si="137"/>
        <v/>
      </c>
      <c r="AF209" s="964" t="str">
        <f t="shared" si="137"/>
        <v/>
      </c>
      <c r="AG209" s="964" t="str">
        <f t="shared" si="137"/>
        <v/>
      </c>
      <c r="AH209" s="964" t="str">
        <f t="shared" si="137"/>
        <v/>
      </c>
      <c r="AI209" s="964" t="str">
        <f t="shared" si="137"/>
        <v/>
      </c>
      <c r="AJ209" s="964" t="str">
        <f t="shared" si="137"/>
        <v/>
      </c>
      <c r="AK209" s="964" t="str">
        <f t="shared" si="137"/>
        <v/>
      </c>
    </row>
    <row r="210" spans="2:37" s="628" customFormat="1">
      <c r="B210" s="1229" t="s">
        <v>982</v>
      </c>
      <c r="C210" s="638" t="s">
        <v>1005</v>
      </c>
      <c r="D210" s="628" t="s">
        <v>596</v>
      </c>
      <c r="E210" s="630"/>
      <c r="F210" s="964" t="s">
        <v>729</v>
      </c>
      <c r="G210" s="964" t="s">
        <v>729</v>
      </c>
      <c r="H210" s="964" t="s">
        <v>729</v>
      </c>
      <c r="I210" s="964">
        <f>IF(I$180=0,"",I$180)</f>
        <v>1.4705882352941175</v>
      </c>
      <c r="J210" s="964">
        <f>IF(J$180=0,"",J$180)</f>
        <v>1.3513513513513513</v>
      </c>
      <c r="K210" s="964" t="str">
        <f>IF(K$180=0,"",K$180)</f>
        <v/>
      </c>
      <c r="L210" s="964"/>
      <c r="M210" s="964"/>
      <c r="N210" s="964"/>
      <c r="O210" s="964"/>
      <c r="P210" s="964"/>
      <c r="Q210" s="964" t="str">
        <f t="shared" ref="Q210:AK210" si="138">IF(Q$180=0,"",Q$180)</f>
        <v/>
      </c>
      <c r="R210" s="964" t="str">
        <f t="shared" si="138"/>
        <v/>
      </c>
      <c r="S210" s="964" t="str">
        <f t="shared" si="138"/>
        <v/>
      </c>
      <c r="T210" s="964">
        <f t="shared" si="138"/>
        <v>412.544978449685</v>
      </c>
      <c r="U210" s="964">
        <f t="shared" si="138"/>
        <v>126.93691644605696</v>
      </c>
      <c r="V210" s="964" t="str">
        <f t="shared" si="138"/>
        <v/>
      </c>
      <c r="W210" s="964" t="str">
        <f t="shared" si="138"/>
        <v/>
      </c>
      <c r="X210" s="964" t="str">
        <f t="shared" si="138"/>
        <v/>
      </c>
      <c r="Y210" s="964">
        <f t="shared" si="138"/>
        <v>6.188174676745275</v>
      </c>
      <c r="Z210" s="964">
        <f t="shared" si="138"/>
        <v>1.9040537466908543</v>
      </c>
      <c r="AA210" s="964" t="str">
        <f t="shared" si="138"/>
        <v/>
      </c>
      <c r="AB210" s="964" t="str">
        <f t="shared" si="138"/>
        <v/>
      </c>
      <c r="AC210" s="964" t="str">
        <f t="shared" si="138"/>
        <v/>
      </c>
      <c r="AD210" s="964" t="str">
        <f t="shared" si="138"/>
        <v/>
      </c>
      <c r="AE210" s="964">
        <f t="shared" si="138"/>
        <v>20</v>
      </c>
      <c r="AF210" s="964" t="str">
        <f t="shared" si="138"/>
        <v/>
      </c>
      <c r="AG210" s="964" t="str">
        <f t="shared" si="138"/>
        <v/>
      </c>
      <c r="AH210" s="964" t="str">
        <f t="shared" si="138"/>
        <v/>
      </c>
      <c r="AI210" s="964">
        <f t="shared" si="138"/>
        <v>2015</v>
      </c>
      <c r="AJ210" s="964">
        <f t="shared" si="138"/>
        <v>31.536000000000001</v>
      </c>
      <c r="AK210" s="964" t="str">
        <f t="shared" si="138"/>
        <v/>
      </c>
    </row>
    <row r="211" spans="2:37" s="628" customFormat="1">
      <c r="B211" s="973"/>
      <c r="C211" s="639"/>
      <c r="E211" s="630" t="s">
        <v>233</v>
      </c>
      <c r="F211" s="964"/>
      <c r="G211" s="964"/>
      <c r="H211" s="964"/>
      <c r="I211" s="964" t="str">
        <f>IF(I$181=0,"",I$181)</f>
        <v/>
      </c>
      <c r="J211" s="964" t="str">
        <f>IF(J$181=0,"",J$181)</f>
        <v/>
      </c>
      <c r="K211" s="964">
        <f>IF(K$181=0,"",K$181)</f>
        <v>1</v>
      </c>
      <c r="L211" s="964"/>
      <c r="M211" s="964"/>
      <c r="N211" s="964"/>
      <c r="O211" s="964"/>
      <c r="P211" s="964"/>
      <c r="Q211" s="964" t="str">
        <f t="shared" ref="Q211:AK211" si="139">IF(Q$181=0,"",Q$181)</f>
        <v/>
      </c>
      <c r="R211" s="964" t="str">
        <f t="shared" si="139"/>
        <v/>
      </c>
      <c r="S211" s="964" t="str">
        <f t="shared" si="139"/>
        <v/>
      </c>
      <c r="T211" s="964" t="str">
        <f t="shared" si="139"/>
        <v/>
      </c>
      <c r="U211" s="964" t="str">
        <f t="shared" si="139"/>
        <v/>
      </c>
      <c r="V211" s="964" t="str">
        <f t="shared" si="139"/>
        <v/>
      </c>
      <c r="W211" s="964" t="str">
        <f t="shared" si="139"/>
        <v/>
      </c>
      <c r="X211" s="964" t="str">
        <f t="shared" si="139"/>
        <v/>
      </c>
      <c r="Y211" s="964" t="str">
        <f t="shared" si="139"/>
        <v/>
      </c>
      <c r="Z211" s="964" t="str">
        <f t="shared" si="139"/>
        <v/>
      </c>
      <c r="AA211" s="964" t="str">
        <f t="shared" si="139"/>
        <v/>
      </c>
      <c r="AB211" s="964" t="str">
        <f t="shared" si="139"/>
        <v/>
      </c>
      <c r="AC211" s="964" t="str">
        <f t="shared" si="139"/>
        <v/>
      </c>
      <c r="AD211" s="964" t="str">
        <f t="shared" si="139"/>
        <v/>
      </c>
      <c r="AE211" s="964" t="str">
        <f t="shared" si="139"/>
        <v/>
      </c>
      <c r="AF211" s="964" t="str">
        <f t="shared" si="139"/>
        <v/>
      </c>
      <c r="AG211" s="964" t="str">
        <f t="shared" si="139"/>
        <v/>
      </c>
      <c r="AH211" s="964" t="str">
        <f t="shared" si="139"/>
        <v/>
      </c>
      <c r="AI211" s="964" t="str">
        <f t="shared" si="139"/>
        <v/>
      </c>
      <c r="AJ211" s="964" t="str">
        <f t="shared" si="139"/>
        <v/>
      </c>
      <c r="AK211" s="964" t="str">
        <f t="shared" si="139"/>
        <v/>
      </c>
    </row>
    <row r="212" spans="2:37" s="1380" customFormat="1">
      <c r="B212" s="1381" t="s">
        <v>983</v>
      </c>
      <c r="C212" s="1382" t="s">
        <v>1170</v>
      </c>
      <c r="D212" s="1380" t="s">
        <v>598</v>
      </c>
      <c r="E212" s="1383"/>
      <c r="F212" s="1384" t="s">
        <v>729</v>
      </c>
      <c r="G212" s="1384" t="s">
        <v>729</v>
      </c>
      <c r="H212" s="1384" t="s">
        <v>729</v>
      </c>
      <c r="I212" s="1384"/>
      <c r="J212" s="1384"/>
      <c r="K212" s="1384"/>
      <c r="L212" s="1384"/>
      <c r="M212" s="1384"/>
      <c r="N212" s="1384">
        <f>1/I210</f>
        <v>0.68</v>
      </c>
      <c r="O212" s="1384">
        <f>1/J210</f>
        <v>0.74</v>
      </c>
      <c r="P212" s="1384"/>
      <c r="Q212" s="1384" t="str">
        <f t="shared" ref="Q212:AK212" si="140">IF(Q$180=0,"",Q$180)</f>
        <v/>
      </c>
      <c r="R212" s="1384" t="str">
        <f t="shared" si="140"/>
        <v/>
      </c>
      <c r="S212" s="1384" t="str">
        <f t="shared" si="140"/>
        <v/>
      </c>
      <c r="T212" s="1384">
        <f t="shared" si="140"/>
        <v>412.544978449685</v>
      </c>
      <c r="U212" s="1384">
        <f t="shared" si="140"/>
        <v>126.93691644605696</v>
      </c>
      <c r="V212" s="1384" t="str">
        <f t="shared" si="140"/>
        <v/>
      </c>
      <c r="W212" s="1384" t="str">
        <f t="shared" si="140"/>
        <v/>
      </c>
      <c r="X212" s="1384" t="str">
        <f t="shared" si="140"/>
        <v/>
      </c>
      <c r="Y212" s="1384">
        <f t="shared" si="140"/>
        <v>6.188174676745275</v>
      </c>
      <c r="Z212" s="1384">
        <f t="shared" si="140"/>
        <v>1.9040537466908543</v>
      </c>
      <c r="AA212" s="1384" t="str">
        <f t="shared" si="140"/>
        <v/>
      </c>
      <c r="AB212" s="1384" t="str">
        <f t="shared" si="140"/>
        <v/>
      </c>
      <c r="AC212" s="1384" t="str">
        <f t="shared" si="140"/>
        <v/>
      </c>
      <c r="AD212" s="1384" t="str">
        <f t="shared" si="140"/>
        <v/>
      </c>
      <c r="AE212" s="1384">
        <f t="shared" si="140"/>
        <v>20</v>
      </c>
      <c r="AF212" s="1384" t="str">
        <f t="shared" si="140"/>
        <v/>
      </c>
      <c r="AG212" s="1384" t="str">
        <f t="shared" si="140"/>
        <v/>
      </c>
      <c r="AH212" s="1384" t="str">
        <f t="shared" si="140"/>
        <v/>
      </c>
      <c r="AI212" s="1384">
        <f t="shared" si="140"/>
        <v>2015</v>
      </c>
      <c r="AJ212" s="1384">
        <f t="shared" si="140"/>
        <v>31.536000000000001</v>
      </c>
      <c r="AK212" s="1384" t="str">
        <f t="shared" si="140"/>
        <v/>
      </c>
    </row>
    <row r="213" spans="2:37" s="1380" customFormat="1">
      <c r="B213" s="1381"/>
      <c r="C213" s="1382"/>
      <c r="D213" s="1380" t="s">
        <v>546</v>
      </c>
      <c r="E213" s="1383"/>
      <c r="F213" s="1384"/>
      <c r="G213" s="1384"/>
      <c r="H213" s="1384"/>
      <c r="I213" s="1384"/>
      <c r="J213" s="1384"/>
      <c r="K213" s="1384"/>
      <c r="L213" s="1384"/>
      <c r="M213" s="1384"/>
      <c r="N213" s="1384"/>
      <c r="O213" s="1384"/>
      <c r="P213" s="1384"/>
      <c r="Q213" s="1384"/>
      <c r="R213" s="1384"/>
      <c r="S213" s="1384"/>
      <c r="T213" s="1384"/>
      <c r="U213" s="1384"/>
      <c r="V213" s="1384"/>
      <c r="W213" s="1384"/>
      <c r="X213" s="1384"/>
      <c r="Y213" s="1384"/>
      <c r="Z213" s="1384"/>
      <c r="AA213" s="1384"/>
      <c r="AB213" s="1384"/>
      <c r="AC213" s="1384"/>
      <c r="AD213" s="1384"/>
      <c r="AE213" s="1384"/>
      <c r="AF213" s="1384"/>
      <c r="AG213" s="1384"/>
      <c r="AH213" s="1384"/>
      <c r="AI213" s="1384"/>
      <c r="AJ213" s="1384"/>
      <c r="AK213" s="1384"/>
    </row>
    <row r="214" spans="2:37" s="1380" customFormat="1">
      <c r="B214" s="1385"/>
      <c r="C214" s="1386"/>
      <c r="E214" s="1383" t="s">
        <v>233</v>
      </c>
      <c r="F214" s="1384"/>
      <c r="G214" s="1384"/>
      <c r="H214" s="1384"/>
      <c r="I214" s="1384"/>
      <c r="J214" s="1384"/>
      <c r="K214" s="1384"/>
      <c r="L214" s="1384"/>
      <c r="M214" s="1384"/>
      <c r="N214" s="1384"/>
      <c r="O214" s="1384"/>
      <c r="P214" s="1384"/>
      <c r="Q214" s="1384" t="str">
        <f t="shared" ref="Q214:AK214" si="141">IF(Q$181=0,"",Q$181)</f>
        <v/>
      </c>
      <c r="R214" s="1384" t="str">
        <f t="shared" si="141"/>
        <v/>
      </c>
      <c r="S214" s="1384" t="str">
        <f t="shared" si="141"/>
        <v/>
      </c>
      <c r="T214" s="1384" t="str">
        <f t="shared" si="141"/>
        <v/>
      </c>
      <c r="U214" s="1384" t="str">
        <f t="shared" si="141"/>
        <v/>
      </c>
      <c r="V214" s="1384" t="str">
        <f t="shared" si="141"/>
        <v/>
      </c>
      <c r="W214" s="1384" t="str">
        <f t="shared" si="141"/>
        <v/>
      </c>
      <c r="X214" s="1384" t="str">
        <f t="shared" si="141"/>
        <v/>
      </c>
      <c r="Y214" s="1384" t="str">
        <f t="shared" si="141"/>
        <v/>
      </c>
      <c r="Z214" s="1384" t="str">
        <f t="shared" si="141"/>
        <v/>
      </c>
      <c r="AA214" s="1384" t="str">
        <f t="shared" si="141"/>
        <v/>
      </c>
      <c r="AB214" s="1384" t="str">
        <f t="shared" si="141"/>
        <v/>
      </c>
      <c r="AC214" s="1384" t="str">
        <f t="shared" si="141"/>
        <v/>
      </c>
      <c r="AD214" s="1384" t="str">
        <f t="shared" si="141"/>
        <v/>
      </c>
      <c r="AE214" s="1384" t="str">
        <f t="shared" si="141"/>
        <v/>
      </c>
      <c r="AF214" s="1384" t="str">
        <f t="shared" si="141"/>
        <v/>
      </c>
      <c r="AG214" s="1384" t="str">
        <f t="shared" si="141"/>
        <v/>
      </c>
      <c r="AH214" s="1384" t="str">
        <f t="shared" si="141"/>
        <v/>
      </c>
      <c r="AI214" s="1384" t="str">
        <f t="shared" si="141"/>
        <v/>
      </c>
      <c r="AJ214" s="1384" t="str">
        <f t="shared" si="141"/>
        <v/>
      </c>
      <c r="AK214" s="1384" t="str">
        <f t="shared" si="141"/>
        <v/>
      </c>
    </row>
    <row r="215" spans="2:37" s="1169" customFormat="1">
      <c r="B215" s="1427" t="s">
        <v>1241</v>
      </c>
      <c r="C215" s="1177" t="s">
        <v>1268</v>
      </c>
      <c r="D215" s="1169" t="s">
        <v>598</v>
      </c>
      <c r="E215" s="1172"/>
      <c r="F215" s="1426" t="s">
        <v>729</v>
      </c>
      <c r="G215" s="1426" t="s">
        <v>729</v>
      </c>
      <c r="H215" s="1426" t="s">
        <v>729</v>
      </c>
      <c r="I215" s="1426"/>
      <c r="J215" s="1426"/>
      <c r="K215" s="1426"/>
      <c r="L215" s="1426"/>
      <c r="M215" s="1426"/>
      <c r="N215" s="1426">
        <f>1/I206</f>
        <v>0.68</v>
      </c>
      <c r="O215" s="1426">
        <f>1/J206</f>
        <v>0.74</v>
      </c>
      <c r="P215" s="1426"/>
      <c r="Q215" s="1426" t="str">
        <f t="shared" ref="Q215:AK215" si="142">IF(Q$180=0,"",Q$180)</f>
        <v/>
      </c>
      <c r="R215" s="1426" t="str">
        <f t="shared" si="142"/>
        <v/>
      </c>
      <c r="S215" s="1426" t="str">
        <f t="shared" si="142"/>
        <v/>
      </c>
      <c r="T215" s="1426">
        <f t="shared" si="142"/>
        <v>412.544978449685</v>
      </c>
      <c r="U215" s="1426">
        <f t="shared" si="142"/>
        <v>126.93691644605696</v>
      </c>
      <c r="V215" s="1426" t="str">
        <f t="shared" si="142"/>
        <v/>
      </c>
      <c r="W215" s="1426" t="str">
        <f t="shared" si="142"/>
        <v/>
      </c>
      <c r="X215" s="1426" t="str">
        <f t="shared" si="142"/>
        <v/>
      </c>
      <c r="Y215" s="1426">
        <f t="shared" si="142"/>
        <v>6.188174676745275</v>
      </c>
      <c r="Z215" s="1426">
        <f t="shared" si="142"/>
        <v>1.9040537466908543</v>
      </c>
      <c r="AA215" s="1426" t="str">
        <f t="shared" si="142"/>
        <v/>
      </c>
      <c r="AB215" s="1426" t="str">
        <f t="shared" si="142"/>
        <v/>
      </c>
      <c r="AC215" s="1426" t="str">
        <f t="shared" si="142"/>
        <v/>
      </c>
      <c r="AD215" s="1426" t="str">
        <f t="shared" si="142"/>
        <v/>
      </c>
      <c r="AE215" s="1426">
        <f t="shared" si="142"/>
        <v>20</v>
      </c>
      <c r="AF215" s="1426" t="str">
        <f t="shared" si="142"/>
        <v/>
      </c>
      <c r="AG215" s="1426" t="str">
        <f t="shared" si="142"/>
        <v/>
      </c>
      <c r="AH215" s="1426" t="str">
        <f t="shared" si="142"/>
        <v/>
      </c>
      <c r="AI215" s="1426">
        <f t="shared" si="142"/>
        <v>2015</v>
      </c>
      <c r="AJ215" s="1426">
        <f t="shared" si="142"/>
        <v>31.536000000000001</v>
      </c>
      <c r="AK215" s="1426" t="str">
        <f t="shared" si="142"/>
        <v/>
      </c>
    </row>
    <row r="216" spans="2:37" s="1169" customFormat="1">
      <c r="B216" s="1427"/>
      <c r="C216" s="1177"/>
      <c r="D216" s="1172" t="s">
        <v>279</v>
      </c>
      <c r="E216" s="1172"/>
      <c r="F216" s="1426"/>
      <c r="G216" s="1426"/>
      <c r="H216" s="1426"/>
      <c r="I216" s="1426"/>
      <c r="J216" s="1426"/>
      <c r="K216" s="1426"/>
      <c r="L216" s="1426"/>
      <c r="M216" s="1426"/>
      <c r="N216" s="1426"/>
      <c r="O216" s="1426"/>
      <c r="P216" s="1426"/>
      <c r="Q216" s="1426"/>
      <c r="R216" s="1426"/>
      <c r="S216" s="1426"/>
      <c r="T216" s="1426"/>
      <c r="U216" s="1426"/>
      <c r="V216" s="1426"/>
      <c r="W216" s="1426"/>
      <c r="X216" s="1426"/>
      <c r="Y216" s="1426"/>
      <c r="Z216" s="1426"/>
      <c r="AA216" s="1426"/>
      <c r="AB216" s="1426"/>
      <c r="AC216" s="1426"/>
      <c r="AD216" s="1426"/>
      <c r="AE216" s="1426"/>
      <c r="AF216" s="1426"/>
      <c r="AG216" s="1426"/>
      <c r="AH216" s="1426"/>
      <c r="AI216" s="1426"/>
      <c r="AJ216" s="1426"/>
      <c r="AK216" s="1426"/>
    </row>
    <row r="217" spans="2:37" s="1169" customFormat="1">
      <c r="B217" s="1170"/>
      <c r="C217" s="1171"/>
      <c r="E217" s="1172" t="s">
        <v>233</v>
      </c>
      <c r="F217" s="1426"/>
      <c r="G217" s="1426"/>
      <c r="H217" s="1426"/>
      <c r="I217" s="1426"/>
      <c r="J217" s="1426"/>
      <c r="K217" s="1426"/>
      <c r="L217" s="1426"/>
      <c r="M217" s="1426"/>
      <c r="N217" s="1426"/>
      <c r="O217" s="1426"/>
      <c r="P217" s="1426"/>
      <c r="Q217" s="1426" t="str">
        <f t="shared" ref="Q217:AK217" si="143">IF(Q$181=0,"",Q$181)</f>
        <v/>
      </c>
      <c r="R217" s="1426" t="str">
        <f t="shared" si="143"/>
        <v/>
      </c>
      <c r="S217" s="1426" t="str">
        <f t="shared" si="143"/>
        <v/>
      </c>
      <c r="T217" s="1426" t="str">
        <f t="shared" si="143"/>
        <v/>
      </c>
      <c r="U217" s="1426" t="str">
        <f t="shared" si="143"/>
        <v/>
      </c>
      <c r="V217" s="1426" t="str">
        <f t="shared" si="143"/>
        <v/>
      </c>
      <c r="W217" s="1426" t="str">
        <f t="shared" si="143"/>
        <v/>
      </c>
      <c r="X217" s="1426" t="str">
        <f t="shared" si="143"/>
        <v/>
      </c>
      <c r="Y217" s="1426" t="str">
        <f t="shared" si="143"/>
        <v/>
      </c>
      <c r="Z217" s="1426" t="str">
        <f t="shared" si="143"/>
        <v/>
      </c>
      <c r="AA217" s="1426" t="str">
        <f t="shared" si="143"/>
        <v/>
      </c>
      <c r="AB217" s="1426" t="str">
        <f t="shared" si="143"/>
        <v/>
      </c>
      <c r="AC217" s="1426" t="str">
        <f t="shared" si="143"/>
        <v/>
      </c>
      <c r="AD217" s="1426" t="str">
        <f t="shared" si="143"/>
        <v/>
      </c>
      <c r="AE217" s="1426" t="str">
        <f t="shared" si="143"/>
        <v/>
      </c>
      <c r="AF217" s="1426" t="str">
        <f t="shared" si="143"/>
        <v/>
      </c>
      <c r="AG217" s="1426" t="str">
        <f t="shared" si="143"/>
        <v/>
      </c>
      <c r="AH217" s="1426" t="str">
        <f t="shared" si="143"/>
        <v/>
      </c>
      <c r="AI217" s="1426" t="str">
        <f t="shared" si="143"/>
        <v/>
      </c>
      <c r="AJ217" s="1426" t="str">
        <f t="shared" si="143"/>
        <v/>
      </c>
      <c r="AK217" s="1426" t="str">
        <f t="shared" si="143"/>
        <v/>
      </c>
    </row>
    <row r="218" spans="2:37" s="1169" customFormat="1">
      <c r="B218" s="1427" t="s">
        <v>1242</v>
      </c>
      <c r="C218" s="1177" t="s">
        <v>1269</v>
      </c>
      <c r="D218" s="1169" t="s">
        <v>546</v>
      </c>
      <c r="E218" s="1172"/>
      <c r="F218" s="1426" t="s">
        <v>729</v>
      </c>
      <c r="G218" s="1426" t="s">
        <v>729</v>
      </c>
      <c r="H218" s="1426" t="s">
        <v>729</v>
      </c>
      <c r="I218" s="1426"/>
      <c r="J218" s="1426"/>
      <c r="K218" s="1426"/>
      <c r="L218" s="1426"/>
      <c r="M218" s="1426"/>
      <c r="N218" s="1426">
        <f>1/I208</f>
        <v>0.68</v>
      </c>
      <c r="O218" s="1426">
        <f>1/J208</f>
        <v>0.74</v>
      </c>
      <c r="P218" s="1426"/>
      <c r="Q218" s="1426" t="str">
        <f t="shared" ref="Q218:AK218" si="144">IF(Q$180=0,"",Q$180)</f>
        <v/>
      </c>
      <c r="R218" s="1426" t="str">
        <f t="shared" si="144"/>
        <v/>
      </c>
      <c r="S218" s="1426" t="str">
        <f t="shared" si="144"/>
        <v/>
      </c>
      <c r="T218" s="1426">
        <f t="shared" si="144"/>
        <v>412.544978449685</v>
      </c>
      <c r="U218" s="1426">
        <f t="shared" si="144"/>
        <v>126.93691644605696</v>
      </c>
      <c r="V218" s="1426" t="str">
        <f t="shared" si="144"/>
        <v/>
      </c>
      <c r="W218" s="1426" t="str">
        <f t="shared" si="144"/>
        <v/>
      </c>
      <c r="X218" s="1426" t="str">
        <f t="shared" si="144"/>
        <v/>
      </c>
      <c r="Y218" s="1426">
        <f t="shared" si="144"/>
        <v>6.188174676745275</v>
      </c>
      <c r="Z218" s="1426">
        <f t="shared" si="144"/>
        <v>1.9040537466908543</v>
      </c>
      <c r="AA218" s="1426" t="str">
        <f t="shared" si="144"/>
        <v/>
      </c>
      <c r="AB218" s="1426" t="str">
        <f t="shared" si="144"/>
        <v/>
      </c>
      <c r="AC218" s="1426" t="str">
        <f t="shared" si="144"/>
        <v/>
      </c>
      <c r="AD218" s="1426" t="str">
        <f t="shared" si="144"/>
        <v/>
      </c>
      <c r="AE218" s="1426">
        <f t="shared" si="144"/>
        <v>20</v>
      </c>
      <c r="AF218" s="1426" t="str">
        <f t="shared" si="144"/>
        <v/>
      </c>
      <c r="AG218" s="1426" t="str">
        <f t="shared" si="144"/>
        <v/>
      </c>
      <c r="AH218" s="1426" t="str">
        <f t="shared" si="144"/>
        <v/>
      </c>
      <c r="AI218" s="1426">
        <f t="shared" si="144"/>
        <v>2015</v>
      </c>
      <c r="AJ218" s="1426">
        <f t="shared" si="144"/>
        <v>31.536000000000001</v>
      </c>
      <c r="AK218" s="1426" t="str">
        <f t="shared" si="144"/>
        <v/>
      </c>
    </row>
    <row r="219" spans="2:37" s="1169" customFormat="1">
      <c r="B219" s="1427"/>
      <c r="C219" s="1177"/>
      <c r="D219" s="1172" t="s">
        <v>279</v>
      </c>
      <c r="E219" s="1172"/>
      <c r="F219" s="1426"/>
      <c r="G219" s="1426"/>
      <c r="H219" s="1426"/>
      <c r="I219" s="1426"/>
      <c r="J219" s="1426"/>
      <c r="K219" s="1426"/>
      <c r="L219" s="1426"/>
      <c r="M219" s="1426"/>
      <c r="N219" s="1426"/>
      <c r="O219" s="1426"/>
      <c r="P219" s="1426"/>
      <c r="Q219" s="1426"/>
      <c r="R219" s="1426"/>
      <c r="S219" s="1426"/>
      <c r="T219" s="1426"/>
      <c r="U219" s="1426"/>
      <c r="V219" s="1426"/>
      <c r="W219" s="1426"/>
      <c r="X219" s="1426"/>
      <c r="Y219" s="1426"/>
      <c r="Z219" s="1426"/>
      <c r="AA219" s="1426"/>
      <c r="AB219" s="1426"/>
      <c r="AC219" s="1426"/>
      <c r="AD219" s="1426"/>
      <c r="AE219" s="1426"/>
      <c r="AF219" s="1426"/>
      <c r="AG219" s="1426"/>
      <c r="AH219" s="1426"/>
      <c r="AI219" s="1426"/>
      <c r="AJ219" s="1426"/>
      <c r="AK219" s="1426"/>
    </row>
    <row r="220" spans="2:37" s="1169" customFormat="1">
      <c r="B220" s="1170"/>
      <c r="C220" s="1171"/>
      <c r="E220" s="1172" t="s">
        <v>233</v>
      </c>
      <c r="F220" s="1426"/>
      <c r="G220" s="1426"/>
      <c r="H220" s="1426"/>
      <c r="I220" s="1426"/>
      <c r="J220" s="1426"/>
      <c r="K220" s="1426"/>
      <c r="L220" s="1426"/>
      <c r="M220" s="1426"/>
      <c r="N220" s="1426"/>
      <c r="O220" s="1426"/>
      <c r="P220" s="1426"/>
      <c r="Q220" s="1426" t="str">
        <f t="shared" ref="Q220:AK220" si="145">IF(Q$181=0,"",Q$181)</f>
        <v/>
      </c>
      <c r="R220" s="1426" t="str">
        <f t="shared" si="145"/>
        <v/>
      </c>
      <c r="S220" s="1426" t="str">
        <f t="shared" si="145"/>
        <v/>
      </c>
      <c r="T220" s="1426" t="str">
        <f t="shared" si="145"/>
        <v/>
      </c>
      <c r="U220" s="1426" t="str">
        <f t="shared" si="145"/>
        <v/>
      </c>
      <c r="V220" s="1426" t="str">
        <f t="shared" si="145"/>
        <v/>
      </c>
      <c r="W220" s="1426" t="str">
        <f t="shared" si="145"/>
        <v/>
      </c>
      <c r="X220" s="1426" t="str">
        <f t="shared" si="145"/>
        <v/>
      </c>
      <c r="Y220" s="1426" t="str">
        <f t="shared" si="145"/>
        <v/>
      </c>
      <c r="Z220" s="1426" t="str">
        <f t="shared" si="145"/>
        <v/>
      </c>
      <c r="AA220" s="1426" t="str">
        <f t="shared" si="145"/>
        <v/>
      </c>
      <c r="AB220" s="1426" t="str">
        <f t="shared" si="145"/>
        <v/>
      </c>
      <c r="AC220" s="1426" t="str">
        <f t="shared" si="145"/>
        <v/>
      </c>
      <c r="AD220" s="1426" t="str">
        <f t="shared" si="145"/>
        <v/>
      </c>
      <c r="AE220" s="1426" t="str">
        <f t="shared" si="145"/>
        <v/>
      </c>
      <c r="AF220" s="1426" t="str">
        <f t="shared" si="145"/>
        <v/>
      </c>
      <c r="AG220" s="1426" t="str">
        <f t="shared" si="145"/>
        <v/>
      </c>
      <c r="AH220" s="1426" t="str">
        <f t="shared" si="145"/>
        <v/>
      </c>
      <c r="AI220" s="1426" t="str">
        <f t="shared" si="145"/>
        <v/>
      </c>
      <c r="AJ220" s="1426" t="str">
        <f t="shared" si="145"/>
        <v/>
      </c>
      <c r="AK220" s="1426" t="str">
        <f t="shared" si="145"/>
        <v/>
      </c>
    </row>
    <row r="221" spans="2:37" s="1169" customFormat="1">
      <c r="B221" s="1427" t="s">
        <v>1243</v>
      </c>
      <c r="C221" s="1177" t="s">
        <v>1270</v>
      </c>
      <c r="D221" s="1169" t="s">
        <v>596</v>
      </c>
      <c r="E221" s="1172"/>
      <c r="F221" s="1426" t="s">
        <v>729</v>
      </c>
      <c r="G221" s="1426" t="s">
        <v>729</v>
      </c>
      <c r="H221" s="1426" t="s">
        <v>729</v>
      </c>
      <c r="I221" s="1426"/>
      <c r="J221" s="1426"/>
      <c r="K221" s="1426"/>
      <c r="L221" s="1426"/>
      <c r="M221" s="1426"/>
      <c r="N221" s="1426">
        <f>1/I210</f>
        <v>0.68</v>
      </c>
      <c r="O221" s="1426">
        <f>1/J210</f>
        <v>0.74</v>
      </c>
      <c r="P221" s="1426"/>
      <c r="Q221" s="1426" t="str">
        <f t="shared" ref="Q221:AK221" si="146">IF(Q$180=0,"",Q$180)</f>
        <v/>
      </c>
      <c r="R221" s="1426" t="str">
        <f t="shared" si="146"/>
        <v/>
      </c>
      <c r="S221" s="1426" t="str">
        <f t="shared" si="146"/>
        <v/>
      </c>
      <c r="T221" s="1426">
        <f t="shared" si="146"/>
        <v>412.544978449685</v>
      </c>
      <c r="U221" s="1426">
        <f t="shared" si="146"/>
        <v>126.93691644605696</v>
      </c>
      <c r="V221" s="1426" t="str">
        <f t="shared" si="146"/>
        <v/>
      </c>
      <c r="W221" s="1426" t="str">
        <f t="shared" si="146"/>
        <v/>
      </c>
      <c r="X221" s="1426" t="str">
        <f t="shared" si="146"/>
        <v/>
      </c>
      <c r="Y221" s="1426">
        <f t="shared" si="146"/>
        <v>6.188174676745275</v>
      </c>
      <c r="Z221" s="1426">
        <f t="shared" si="146"/>
        <v>1.9040537466908543</v>
      </c>
      <c r="AA221" s="1426" t="str">
        <f t="shared" si="146"/>
        <v/>
      </c>
      <c r="AB221" s="1426" t="str">
        <f t="shared" si="146"/>
        <v/>
      </c>
      <c r="AC221" s="1426" t="str">
        <f t="shared" si="146"/>
        <v/>
      </c>
      <c r="AD221" s="1426" t="str">
        <f t="shared" si="146"/>
        <v/>
      </c>
      <c r="AE221" s="1426">
        <f t="shared" si="146"/>
        <v>20</v>
      </c>
      <c r="AF221" s="1426" t="str">
        <f t="shared" si="146"/>
        <v/>
      </c>
      <c r="AG221" s="1426" t="str">
        <f t="shared" si="146"/>
        <v/>
      </c>
      <c r="AH221" s="1426" t="str">
        <f t="shared" si="146"/>
        <v/>
      </c>
      <c r="AI221" s="1426">
        <f t="shared" si="146"/>
        <v>2015</v>
      </c>
      <c r="AJ221" s="1426">
        <f t="shared" si="146"/>
        <v>31.536000000000001</v>
      </c>
      <c r="AK221" s="1426" t="str">
        <f t="shared" si="146"/>
        <v/>
      </c>
    </row>
    <row r="222" spans="2:37" s="1169" customFormat="1">
      <c r="B222" s="1427"/>
      <c r="C222" s="1177"/>
      <c r="D222" s="1172" t="s">
        <v>279</v>
      </c>
      <c r="E222" s="1172"/>
      <c r="F222" s="1426"/>
      <c r="G222" s="1426"/>
      <c r="H222" s="1426"/>
      <c r="I222" s="1426"/>
      <c r="J222" s="1426"/>
      <c r="K222" s="1426"/>
      <c r="L222" s="1426"/>
      <c r="M222" s="1426"/>
      <c r="N222" s="1426"/>
      <c r="O222" s="1426"/>
      <c r="P222" s="1426"/>
      <c r="Q222" s="1426"/>
      <c r="R222" s="1426"/>
      <c r="S222" s="1426"/>
      <c r="T222" s="1426"/>
      <c r="U222" s="1426"/>
      <c r="V222" s="1426"/>
      <c r="W222" s="1426"/>
      <c r="X222" s="1426"/>
      <c r="Y222" s="1426"/>
      <c r="Z222" s="1426"/>
      <c r="AA222" s="1426"/>
      <c r="AB222" s="1426"/>
      <c r="AC222" s="1426"/>
      <c r="AD222" s="1426"/>
      <c r="AE222" s="1426"/>
      <c r="AF222" s="1426"/>
      <c r="AG222" s="1426"/>
      <c r="AH222" s="1426"/>
      <c r="AI222" s="1426"/>
      <c r="AJ222" s="1426"/>
      <c r="AK222" s="1426"/>
    </row>
    <row r="223" spans="2:37" s="1169" customFormat="1">
      <c r="B223" s="1170"/>
      <c r="C223" s="1171"/>
      <c r="E223" s="1172" t="s">
        <v>233</v>
      </c>
      <c r="F223" s="1426"/>
      <c r="G223" s="1426"/>
      <c r="H223" s="1426"/>
      <c r="I223" s="1426"/>
      <c r="J223" s="1426"/>
      <c r="K223" s="1426"/>
      <c r="L223" s="1426"/>
      <c r="M223" s="1426"/>
      <c r="N223" s="1426"/>
      <c r="O223" s="1426"/>
      <c r="P223" s="1426"/>
      <c r="Q223" s="1426" t="str">
        <f t="shared" ref="Q223:AK223" si="147">IF(Q$181=0,"",Q$181)</f>
        <v/>
      </c>
      <c r="R223" s="1426" t="str">
        <f t="shared" si="147"/>
        <v/>
      </c>
      <c r="S223" s="1426" t="str">
        <f t="shared" si="147"/>
        <v/>
      </c>
      <c r="T223" s="1426" t="str">
        <f t="shared" si="147"/>
        <v/>
      </c>
      <c r="U223" s="1426" t="str">
        <f t="shared" si="147"/>
        <v/>
      </c>
      <c r="V223" s="1426" t="str">
        <f t="shared" si="147"/>
        <v/>
      </c>
      <c r="W223" s="1426" t="str">
        <f t="shared" si="147"/>
        <v/>
      </c>
      <c r="X223" s="1426" t="str">
        <f t="shared" si="147"/>
        <v/>
      </c>
      <c r="Y223" s="1426" t="str">
        <f t="shared" si="147"/>
        <v/>
      </c>
      <c r="Z223" s="1426" t="str">
        <f t="shared" si="147"/>
        <v/>
      </c>
      <c r="AA223" s="1426" t="str">
        <f t="shared" si="147"/>
        <v/>
      </c>
      <c r="AB223" s="1426" t="str">
        <f t="shared" si="147"/>
        <v/>
      </c>
      <c r="AC223" s="1426" t="str">
        <f t="shared" si="147"/>
        <v/>
      </c>
      <c r="AD223" s="1426" t="str">
        <f t="shared" si="147"/>
        <v/>
      </c>
      <c r="AE223" s="1426" t="str">
        <f t="shared" si="147"/>
        <v/>
      </c>
      <c r="AF223" s="1426" t="str">
        <f t="shared" si="147"/>
        <v/>
      </c>
      <c r="AG223" s="1426" t="str">
        <f t="shared" si="147"/>
        <v/>
      </c>
      <c r="AH223" s="1426" t="str">
        <f t="shared" si="147"/>
        <v/>
      </c>
      <c r="AI223" s="1426" t="str">
        <f t="shared" si="147"/>
        <v/>
      </c>
      <c r="AJ223" s="1426" t="str">
        <f t="shared" si="147"/>
        <v/>
      </c>
      <c r="AK223" s="1426" t="str">
        <f t="shared" si="147"/>
        <v/>
      </c>
    </row>
    <row r="224" spans="2:37" s="1169" customFormat="1">
      <c r="B224" s="1427" t="s">
        <v>1244</v>
      </c>
      <c r="C224" s="1177" t="s">
        <v>1271</v>
      </c>
      <c r="D224" s="1169" t="s">
        <v>598</v>
      </c>
      <c r="E224" s="1172"/>
      <c r="F224" s="1426" t="s">
        <v>729</v>
      </c>
      <c r="G224" s="1426" t="s">
        <v>729</v>
      </c>
      <c r="H224" s="1426" t="s">
        <v>729</v>
      </c>
      <c r="I224" s="1426"/>
      <c r="J224" s="1426"/>
      <c r="K224" s="1426"/>
      <c r="L224" s="1426"/>
      <c r="M224" s="1426"/>
      <c r="N224" s="1426">
        <f>N221</f>
        <v>0.68</v>
      </c>
      <c r="O224" s="1426">
        <f>O221</f>
        <v>0.74</v>
      </c>
      <c r="P224" s="1426"/>
      <c r="Q224" s="1426" t="str">
        <f t="shared" ref="Q224:AK224" si="148">IF(Q$180=0,"",Q$180)</f>
        <v/>
      </c>
      <c r="R224" s="1426" t="str">
        <f t="shared" si="148"/>
        <v/>
      </c>
      <c r="S224" s="1426" t="str">
        <f t="shared" si="148"/>
        <v/>
      </c>
      <c r="T224" s="1426">
        <f t="shared" si="148"/>
        <v>412.544978449685</v>
      </c>
      <c r="U224" s="1426">
        <f t="shared" si="148"/>
        <v>126.93691644605696</v>
      </c>
      <c r="V224" s="1426" t="str">
        <f t="shared" si="148"/>
        <v/>
      </c>
      <c r="W224" s="1426" t="str">
        <f t="shared" si="148"/>
        <v/>
      </c>
      <c r="X224" s="1426" t="str">
        <f t="shared" si="148"/>
        <v/>
      </c>
      <c r="Y224" s="1426">
        <f t="shared" si="148"/>
        <v>6.188174676745275</v>
      </c>
      <c r="Z224" s="1426">
        <f t="shared" si="148"/>
        <v>1.9040537466908543</v>
      </c>
      <c r="AA224" s="1426" t="str">
        <f t="shared" si="148"/>
        <v/>
      </c>
      <c r="AB224" s="1426" t="str">
        <f t="shared" si="148"/>
        <v/>
      </c>
      <c r="AC224" s="1426" t="str">
        <f t="shared" si="148"/>
        <v/>
      </c>
      <c r="AD224" s="1426" t="str">
        <f t="shared" si="148"/>
        <v/>
      </c>
      <c r="AE224" s="1426">
        <f t="shared" si="148"/>
        <v>20</v>
      </c>
      <c r="AF224" s="1426" t="str">
        <f t="shared" si="148"/>
        <v/>
      </c>
      <c r="AG224" s="1426" t="str">
        <f t="shared" si="148"/>
        <v/>
      </c>
      <c r="AH224" s="1426" t="str">
        <f t="shared" si="148"/>
        <v/>
      </c>
      <c r="AI224" s="1426">
        <f t="shared" si="148"/>
        <v>2015</v>
      </c>
      <c r="AJ224" s="1426">
        <f t="shared" si="148"/>
        <v>31.536000000000001</v>
      </c>
      <c r="AK224" s="1426" t="str">
        <f t="shared" si="148"/>
        <v/>
      </c>
    </row>
    <row r="225" spans="2:37" s="1169" customFormat="1">
      <c r="B225" s="1427"/>
      <c r="C225" s="1177"/>
      <c r="D225" s="1169" t="s">
        <v>546</v>
      </c>
      <c r="E225" s="1172"/>
      <c r="F225" s="1426"/>
      <c r="G225" s="1426"/>
      <c r="H225" s="1426"/>
      <c r="I225" s="1426"/>
      <c r="J225" s="1426"/>
      <c r="K225" s="1426"/>
      <c r="L225" s="1426"/>
      <c r="M225" s="1426"/>
      <c r="N225" s="1426"/>
      <c r="O225" s="1426"/>
      <c r="P225" s="1426"/>
      <c r="Q225" s="1426"/>
      <c r="R225" s="1426"/>
      <c r="S225" s="1426"/>
      <c r="T225" s="1426"/>
      <c r="U225" s="1426"/>
      <c r="V225" s="1426"/>
      <c r="W225" s="1426"/>
      <c r="X225" s="1426"/>
      <c r="Y225" s="1426"/>
      <c r="Z225" s="1426"/>
      <c r="AA225" s="1426"/>
      <c r="AB225" s="1426"/>
      <c r="AC225" s="1426"/>
      <c r="AD225" s="1426"/>
      <c r="AE225" s="1426"/>
      <c r="AF225" s="1426"/>
      <c r="AG225" s="1426"/>
      <c r="AH225" s="1426"/>
      <c r="AI225" s="1426"/>
      <c r="AJ225" s="1426"/>
      <c r="AK225" s="1426"/>
    </row>
    <row r="226" spans="2:37" s="1169" customFormat="1">
      <c r="B226" s="1427"/>
      <c r="C226" s="1177"/>
      <c r="D226" s="1172" t="s">
        <v>279</v>
      </c>
      <c r="E226" s="1172"/>
      <c r="F226" s="1426"/>
      <c r="G226" s="1426"/>
      <c r="H226" s="1426"/>
      <c r="I226" s="1426"/>
      <c r="J226" s="1426"/>
      <c r="K226" s="1426"/>
      <c r="L226" s="1426"/>
      <c r="M226" s="1426"/>
      <c r="N226" s="1426"/>
      <c r="O226" s="1426"/>
      <c r="P226" s="1426"/>
      <c r="Q226" s="1426"/>
      <c r="R226" s="1426"/>
      <c r="S226" s="1426"/>
      <c r="T226" s="1426"/>
      <c r="U226" s="1426"/>
      <c r="V226" s="1426"/>
      <c r="W226" s="1426"/>
      <c r="X226" s="1426"/>
      <c r="Y226" s="1426"/>
      <c r="Z226" s="1426"/>
      <c r="AA226" s="1426"/>
      <c r="AB226" s="1426"/>
      <c r="AC226" s="1426"/>
      <c r="AD226" s="1426"/>
      <c r="AE226" s="1426"/>
      <c r="AF226" s="1426"/>
      <c r="AG226" s="1426"/>
      <c r="AH226" s="1426"/>
      <c r="AI226" s="1426"/>
      <c r="AJ226" s="1426"/>
      <c r="AK226" s="1426"/>
    </row>
    <row r="227" spans="2:37" s="1169" customFormat="1">
      <c r="B227" s="1170"/>
      <c r="C227" s="1171"/>
      <c r="E227" s="1172" t="s">
        <v>233</v>
      </c>
      <c r="F227" s="1426"/>
      <c r="G227" s="1426"/>
      <c r="H227" s="1426"/>
      <c r="I227" s="1426"/>
      <c r="J227" s="1426"/>
      <c r="K227" s="1426"/>
      <c r="L227" s="1426"/>
      <c r="M227" s="1426"/>
      <c r="N227" s="1426"/>
      <c r="O227" s="1426"/>
      <c r="P227" s="1426"/>
      <c r="Q227" s="1426" t="str">
        <f t="shared" ref="Q227:AK227" si="149">IF(Q$181=0,"",Q$181)</f>
        <v/>
      </c>
      <c r="R227" s="1426" t="str">
        <f t="shared" si="149"/>
        <v/>
      </c>
      <c r="S227" s="1426" t="str">
        <f t="shared" si="149"/>
        <v/>
      </c>
      <c r="T227" s="1426" t="str">
        <f t="shared" si="149"/>
        <v/>
      </c>
      <c r="U227" s="1426" t="str">
        <f t="shared" si="149"/>
        <v/>
      </c>
      <c r="V227" s="1426" t="str">
        <f t="shared" si="149"/>
        <v/>
      </c>
      <c r="W227" s="1426" t="str">
        <f t="shared" si="149"/>
        <v/>
      </c>
      <c r="X227" s="1426" t="str">
        <f t="shared" si="149"/>
        <v/>
      </c>
      <c r="Y227" s="1426" t="str">
        <f t="shared" si="149"/>
        <v/>
      </c>
      <c r="Z227" s="1426" t="str">
        <f t="shared" si="149"/>
        <v/>
      </c>
      <c r="AA227" s="1426" t="str">
        <f t="shared" si="149"/>
        <v/>
      </c>
      <c r="AB227" s="1426" t="str">
        <f t="shared" si="149"/>
        <v/>
      </c>
      <c r="AC227" s="1426" t="str">
        <f t="shared" si="149"/>
        <v/>
      </c>
      <c r="AD227" s="1426" t="str">
        <f t="shared" si="149"/>
        <v/>
      </c>
      <c r="AE227" s="1426" t="str">
        <f t="shared" si="149"/>
        <v/>
      </c>
      <c r="AF227" s="1426" t="str">
        <f t="shared" si="149"/>
        <v/>
      </c>
      <c r="AG227" s="1426" t="str">
        <f t="shared" si="149"/>
        <v/>
      </c>
      <c r="AH227" s="1426" t="str">
        <f t="shared" si="149"/>
        <v/>
      </c>
      <c r="AI227" s="1426" t="str">
        <f t="shared" si="149"/>
        <v/>
      </c>
      <c r="AJ227" s="1426" t="str">
        <f t="shared" si="149"/>
        <v/>
      </c>
      <c r="AK227" s="1426" t="str">
        <f t="shared" si="149"/>
        <v/>
      </c>
    </row>
    <row r="228" spans="2:37" s="554" customFormat="1">
      <c r="B228" s="984" t="s">
        <v>985</v>
      </c>
      <c r="C228" s="216" t="s">
        <v>1150</v>
      </c>
      <c r="D228" s="554" t="s">
        <v>279</v>
      </c>
      <c r="E228" s="519"/>
      <c r="F228" s="1168">
        <f>IF('INPUT-Data(HP)'!K39=0,"",'INPUT-Data(HP)'!K39)</f>
        <v>1.6666666666666667</v>
      </c>
      <c r="G228" s="1168">
        <f>IF('INPUT-Data(HP)'!L39=0,"",'INPUT-Data(HP)'!L39)</f>
        <v>1.6666666666666667</v>
      </c>
      <c r="H228" s="1409"/>
      <c r="I228" s="1168">
        <f>IF('INPUT-Data(HP)'!N39=0,"",'INPUT-Data(HP)'!N39)</f>
        <v>1.4705882352941175</v>
      </c>
      <c r="J228" s="1168">
        <f>IF('INPUT-Data(HP)'!O39=0,"",'INPUT-Data(HP)'!O39)</f>
        <v>1.3513513513513513</v>
      </c>
      <c r="K228" s="1168" t="str">
        <f>IF(K$180=0,"",K$180)</f>
        <v/>
      </c>
      <c r="L228" s="1168"/>
      <c r="M228" s="1168"/>
      <c r="N228" s="1168"/>
      <c r="O228" s="1168"/>
      <c r="P228" s="1168"/>
      <c r="Q228" s="1168" t="str">
        <f>IF(Q$180=0,"",Q$180)</f>
        <v/>
      </c>
      <c r="R228" s="1168">
        <f>IF('INPUT-Data(HP)'!X39=0,"",'INPUT-Data(HP)'!X39)</f>
        <v>920.29264423391282</v>
      </c>
      <c r="S228" s="1168" t="str">
        <f>IF(S$180=0,"",S$180)</f>
        <v/>
      </c>
      <c r="T228" s="1168">
        <f>IF('INPUT-Data(HP)'!Z39=0,"",'INPUT-Data(HP)'!Z39)</f>
        <v>682.28592589755613</v>
      </c>
      <c r="U228" s="1168">
        <f>IF('INPUT-Data(HP)'!AA39=0,"",'INPUT-Data(HP)'!AA39)</f>
        <v>349.07652022665661</v>
      </c>
      <c r="V228" s="1168" t="str">
        <f>IF(V$180=0,"",V$180)</f>
        <v/>
      </c>
      <c r="W228" s="1168">
        <f>IF('INPUT-Data(HP)'!AC39=0,"",'INPUT-Data(HP)'!AC39)</f>
        <v>23.007316105847821</v>
      </c>
      <c r="X228" s="1168" t="str">
        <f>IF(X$180=0,"",X$180)</f>
        <v/>
      </c>
      <c r="Y228" s="1168">
        <f>IF('INPUT-Data(HP)'!AE39=0,"",'INPUT-Data(HP)'!AE39)</f>
        <v>17.057148147438905</v>
      </c>
      <c r="Z228" s="1168">
        <f>IF('INPUT-Data(HP)'!AF39=0,"",'INPUT-Data(HP)'!AF39)</f>
        <v>8.7269130056664164</v>
      </c>
      <c r="AA228" s="1168" t="str">
        <f t="shared" ref="AA228:AK228" si="150">IF(AA$180=0,"",AA$180)</f>
        <v/>
      </c>
      <c r="AB228" s="1168" t="str">
        <f t="shared" si="150"/>
        <v/>
      </c>
      <c r="AC228" s="1168" t="str">
        <f t="shared" si="150"/>
        <v/>
      </c>
      <c r="AD228" s="1168" t="str">
        <f t="shared" si="150"/>
        <v/>
      </c>
      <c r="AE228" s="1168">
        <f t="shared" si="150"/>
        <v>20</v>
      </c>
      <c r="AF228" s="1168" t="str">
        <f t="shared" si="150"/>
        <v/>
      </c>
      <c r="AG228" s="1168" t="str">
        <f t="shared" si="150"/>
        <v/>
      </c>
      <c r="AH228" s="1168" t="str">
        <f t="shared" si="150"/>
        <v/>
      </c>
      <c r="AI228" s="1168">
        <f t="shared" si="150"/>
        <v>2015</v>
      </c>
      <c r="AJ228" s="1168">
        <f t="shared" si="150"/>
        <v>31.536000000000001</v>
      </c>
      <c r="AK228" s="1168" t="str">
        <f t="shared" si="150"/>
        <v/>
      </c>
    </row>
    <row r="229" spans="2:37" s="628" customFormat="1">
      <c r="B229" s="973"/>
      <c r="C229" s="639"/>
      <c r="E229" s="638" t="s">
        <v>232</v>
      </c>
      <c r="F229" s="964"/>
      <c r="G229" s="964"/>
      <c r="H229" s="964"/>
      <c r="I229" s="964" t="str">
        <f>IF(I$181=0,"",I$181)</f>
        <v/>
      </c>
      <c r="J229" s="964" t="str">
        <f>IF(J$181=0,"",J$181)</f>
        <v/>
      </c>
      <c r="K229" s="964">
        <f>IF(K$181=0,"",K$181)</f>
        <v>1</v>
      </c>
      <c r="L229" s="964"/>
      <c r="M229" s="964"/>
      <c r="N229" s="964"/>
      <c r="O229" s="964"/>
      <c r="P229" s="964"/>
      <c r="Q229" s="964" t="str">
        <f t="shared" ref="Q229:AK229" si="151">IF(Q$181=0,"",Q$181)</f>
        <v/>
      </c>
      <c r="R229" s="964" t="str">
        <f t="shared" si="151"/>
        <v/>
      </c>
      <c r="S229" s="964" t="str">
        <f t="shared" si="151"/>
        <v/>
      </c>
      <c r="T229" s="964" t="str">
        <f t="shared" si="151"/>
        <v/>
      </c>
      <c r="U229" s="964" t="str">
        <f t="shared" si="151"/>
        <v/>
      </c>
      <c r="V229" s="964" t="str">
        <f t="shared" si="151"/>
        <v/>
      </c>
      <c r="W229" s="964" t="str">
        <f t="shared" si="151"/>
        <v/>
      </c>
      <c r="X229" s="964" t="str">
        <f t="shared" si="151"/>
        <v/>
      </c>
      <c r="Y229" s="964" t="str">
        <f t="shared" si="151"/>
        <v/>
      </c>
      <c r="Z229" s="964" t="str">
        <f t="shared" si="151"/>
        <v/>
      </c>
      <c r="AA229" s="964" t="str">
        <f t="shared" si="151"/>
        <v/>
      </c>
      <c r="AB229" s="964" t="str">
        <f t="shared" si="151"/>
        <v/>
      </c>
      <c r="AC229" s="964" t="str">
        <f t="shared" si="151"/>
        <v/>
      </c>
      <c r="AD229" s="964" t="str">
        <f t="shared" si="151"/>
        <v/>
      </c>
      <c r="AE229" s="964" t="str">
        <f t="shared" si="151"/>
        <v/>
      </c>
      <c r="AF229" s="964" t="str">
        <f t="shared" si="151"/>
        <v/>
      </c>
      <c r="AG229" s="964" t="str">
        <f t="shared" si="151"/>
        <v/>
      </c>
      <c r="AH229" s="964" t="str">
        <f t="shared" si="151"/>
        <v/>
      </c>
      <c r="AI229" s="964" t="str">
        <f t="shared" si="151"/>
        <v/>
      </c>
      <c r="AJ229" s="964" t="str">
        <f t="shared" si="151"/>
        <v/>
      </c>
      <c r="AK229" s="964" t="str">
        <f t="shared" si="151"/>
        <v/>
      </c>
    </row>
    <row r="230" spans="2:37" s="628" customFormat="1">
      <c r="B230" s="1229" t="s">
        <v>990</v>
      </c>
      <c r="C230" s="638" t="s">
        <v>1151</v>
      </c>
      <c r="D230" s="628" t="s">
        <v>598</v>
      </c>
      <c r="E230" s="630"/>
      <c r="F230" s="964">
        <v>1.5037593984962405</v>
      </c>
      <c r="G230" s="964">
        <v>1.5037593984962405</v>
      </c>
      <c r="H230" s="967"/>
      <c r="I230" s="964">
        <f>I228</f>
        <v>1.4705882352941175</v>
      </c>
      <c r="J230" s="964">
        <f>J228</f>
        <v>1.3513513513513513</v>
      </c>
      <c r="K230" s="634"/>
      <c r="L230" s="634"/>
      <c r="M230" s="634"/>
      <c r="N230" s="634"/>
      <c r="O230" s="634"/>
      <c r="P230" s="632"/>
      <c r="Q230" s="966"/>
      <c r="R230" s="966">
        <v>920.29264423391282</v>
      </c>
      <c r="S230" s="643"/>
      <c r="T230" s="966">
        <v>682.28592589755613</v>
      </c>
      <c r="U230" s="966">
        <v>349.07652022665661</v>
      </c>
      <c r="V230" s="966"/>
      <c r="W230" s="966">
        <v>23.007316105847821</v>
      </c>
      <c r="X230" s="966" t="s">
        <v>729</v>
      </c>
      <c r="Y230" s="966">
        <v>17.057148147438905</v>
      </c>
      <c r="Z230" s="966">
        <v>8.7269130056664164</v>
      </c>
      <c r="AA230" s="643"/>
      <c r="AB230" s="643"/>
      <c r="AC230" s="643"/>
      <c r="AD230" s="643"/>
      <c r="AE230" s="643">
        <v>20</v>
      </c>
      <c r="AF230" s="643"/>
      <c r="AG230" s="643"/>
      <c r="AH230" s="643"/>
      <c r="AI230" s="631">
        <v>2015</v>
      </c>
      <c r="AJ230" s="634">
        <v>31.536000000000001</v>
      </c>
      <c r="AK230" s="634"/>
    </row>
    <row r="231" spans="2:37" s="628" customFormat="1">
      <c r="B231" s="973"/>
      <c r="C231" s="639"/>
      <c r="E231" s="638" t="s">
        <v>232</v>
      </c>
      <c r="F231" s="964"/>
      <c r="G231" s="964"/>
      <c r="H231" s="964"/>
      <c r="I231" s="964"/>
      <c r="J231" s="964"/>
      <c r="K231" s="634">
        <v>1</v>
      </c>
      <c r="L231" s="634"/>
      <c r="M231" s="634"/>
      <c r="N231" s="634"/>
      <c r="O231" s="634"/>
      <c r="P231" s="632"/>
      <c r="Q231" s="966"/>
      <c r="R231" s="966"/>
      <c r="S231" s="643"/>
      <c r="T231" s="643"/>
      <c r="U231" s="643"/>
      <c r="V231" s="643"/>
      <c r="W231" s="643"/>
      <c r="X231" s="643"/>
      <c r="Y231" s="643"/>
      <c r="Z231" s="643"/>
      <c r="AA231" s="643"/>
      <c r="AB231" s="643"/>
      <c r="AC231" s="643"/>
      <c r="AD231" s="643"/>
      <c r="AE231" s="643"/>
      <c r="AF231" s="643"/>
      <c r="AG231" s="643"/>
      <c r="AH231" s="643"/>
      <c r="AI231" s="631"/>
      <c r="AJ231" s="634"/>
      <c r="AK231" s="634"/>
    </row>
    <row r="232" spans="2:37" s="628" customFormat="1">
      <c r="B232" s="1229" t="s">
        <v>1019</v>
      </c>
      <c r="C232" s="638" t="s">
        <v>1152</v>
      </c>
      <c r="D232" s="628" t="s">
        <v>546</v>
      </c>
      <c r="E232" s="630"/>
      <c r="F232" s="964">
        <v>1.5037593984962405</v>
      </c>
      <c r="G232" s="964">
        <v>1.5037593984962405</v>
      </c>
      <c r="H232" s="967"/>
      <c r="I232" s="964">
        <f>I230</f>
        <v>1.4705882352941175</v>
      </c>
      <c r="J232" s="964">
        <f>J230</f>
        <v>1.3513513513513513</v>
      </c>
      <c r="K232" s="634"/>
      <c r="L232" s="634"/>
      <c r="M232" s="634"/>
      <c r="N232" s="634"/>
      <c r="O232" s="634"/>
      <c r="P232" s="632"/>
      <c r="Q232" s="966"/>
      <c r="R232" s="966">
        <v>920.29264423391282</v>
      </c>
      <c r="S232" s="643"/>
      <c r="T232" s="966">
        <v>682.28592589755613</v>
      </c>
      <c r="U232" s="966">
        <v>349.07652022665661</v>
      </c>
      <c r="V232" s="966"/>
      <c r="W232" s="966">
        <v>23.007316105847821</v>
      </c>
      <c r="X232" s="966" t="s">
        <v>729</v>
      </c>
      <c r="Y232" s="966">
        <v>17.057148147438905</v>
      </c>
      <c r="Z232" s="966">
        <v>8.7269130056664164</v>
      </c>
      <c r="AA232" s="643"/>
      <c r="AB232" s="643"/>
      <c r="AC232" s="643"/>
      <c r="AD232" s="643"/>
      <c r="AE232" s="643">
        <v>20</v>
      </c>
      <c r="AF232" s="643"/>
      <c r="AG232" s="643"/>
      <c r="AH232" s="643"/>
      <c r="AI232" s="631">
        <v>2015</v>
      </c>
      <c r="AJ232" s="634">
        <v>31.536000000000001</v>
      </c>
      <c r="AK232" s="634"/>
    </row>
    <row r="233" spans="2:37" s="628" customFormat="1">
      <c r="B233" s="973"/>
      <c r="C233" s="639"/>
      <c r="E233" s="638" t="s">
        <v>232</v>
      </c>
      <c r="F233" s="964"/>
      <c r="G233" s="964"/>
      <c r="H233" s="964"/>
      <c r="I233" s="964"/>
      <c r="J233" s="964"/>
      <c r="K233" s="634">
        <v>1</v>
      </c>
      <c r="L233" s="634"/>
      <c r="M233" s="634"/>
      <c r="N233" s="634"/>
      <c r="O233" s="634"/>
      <c r="P233" s="632"/>
      <c r="Q233" s="966"/>
      <c r="R233" s="966"/>
      <c r="S233" s="643"/>
      <c r="T233" s="643"/>
      <c r="U233" s="643"/>
      <c r="V233" s="643"/>
      <c r="W233" s="643"/>
      <c r="X233" s="643"/>
      <c r="Y233" s="643"/>
      <c r="Z233" s="643"/>
      <c r="AA233" s="643"/>
      <c r="AB233" s="643"/>
      <c r="AC233" s="643"/>
      <c r="AD233" s="643"/>
      <c r="AE233" s="643"/>
      <c r="AF233" s="643"/>
      <c r="AG233" s="643"/>
      <c r="AH233" s="643"/>
      <c r="AI233" s="631"/>
      <c r="AJ233" s="634"/>
      <c r="AK233" s="634"/>
    </row>
    <row r="234" spans="2:37" s="1380" customFormat="1">
      <c r="B234" s="1381" t="s">
        <v>1218</v>
      </c>
      <c r="C234" s="1382" t="s">
        <v>1171</v>
      </c>
      <c r="D234" s="1169" t="s">
        <v>598</v>
      </c>
      <c r="E234" s="1383"/>
      <c r="F234" s="1384"/>
      <c r="G234" s="1384"/>
      <c r="H234" s="1387"/>
      <c r="I234" s="1384"/>
      <c r="J234" s="1384"/>
      <c r="K234" s="1388"/>
      <c r="L234" s="1388">
        <v>0.67</v>
      </c>
      <c r="M234" s="1388"/>
      <c r="N234" s="1388">
        <f>N237</f>
        <v>0.68</v>
      </c>
      <c r="O234" s="1388">
        <f>O237</f>
        <v>0.74</v>
      </c>
      <c r="P234" s="632"/>
      <c r="Q234" s="1390"/>
      <c r="R234" s="1390">
        <v>920.29264423391282</v>
      </c>
      <c r="S234" s="1391"/>
      <c r="T234" s="1390">
        <v>682.28592589755613</v>
      </c>
      <c r="U234" s="1390">
        <v>349.07652022665661</v>
      </c>
      <c r="V234" s="1390"/>
      <c r="W234" s="1390">
        <v>23.007316105847821</v>
      </c>
      <c r="X234" s="1390" t="s">
        <v>729</v>
      </c>
      <c r="Y234" s="1390">
        <v>17.057148147438905</v>
      </c>
      <c r="Z234" s="1390">
        <v>8.7269130056664164</v>
      </c>
      <c r="AA234" s="1391"/>
      <c r="AB234" s="1391"/>
      <c r="AC234" s="1391"/>
      <c r="AD234" s="1391"/>
      <c r="AE234" s="1391">
        <v>20</v>
      </c>
      <c r="AF234" s="1391"/>
      <c r="AG234" s="1391"/>
      <c r="AH234" s="1391"/>
      <c r="AI234" s="1392">
        <v>2015</v>
      </c>
      <c r="AJ234" s="1388">
        <v>31.536000000000001</v>
      </c>
      <c r="AK234" s="1388"/>
    </row>
    <row r="235" spans="2:37" s="1380" customFormat="1">
      <c r="B235" s="1381"/>
      <c r="C235" s="1382"/>
      <c r="D235" s="1169" t="s">
        <v>546</v>
      </c>
      <c r="E235" s="1383"/>
      <c r="F235" s="1384"/>
      <c r="G235" s="1384"/>
      <c r="H235" s="1387"/>
      <c r="I235" s="1384"/>
      <c r="J235" s="1384"/>
      <c r="K235" s="1388"/>
      <c r="L235" s="1388"/>
      <c r="M235" s="1388"/>
      <c r="N235" s="1388"/>
      <c r="O235" s="1388"/>
      <c r="P235" s="1389"/>
      <c r="Q235" s="1390"/>
      <c r="R235" s="1390"/>
      <c r="S235" s="1391"/>
      <c r="T235" s="1390"/>
      <c r="U235" s="1390"/>
      <c r="V235" s="1390"/>
      <c r="W235" s="1390"/>
      <c r="X235" s="1390"/>
      <c r="Y235" s="1390"/>
      <c r="Z235" s="1390"/>
      <c r="AA235" s="1391"/>
      <c r="AB235" s="1391"/>
      <c r="AC235" s="1391"/>
      <c r="AD235" s="1391"/>
      <c r="AE235" s="1391"/>
      <c r="AF235" s="1391"/>
      <c r="AG235" s="1391"/>
      <c r="AH235" s="1391"/>
      <c r="AI235" s="1392"/>
      <c r="AJ235" s="1388"/>
      <c r="AK235" s="1388"/>
    </row>
    <row r="236" spans="2:37" s="1380" customFormat="1">
      <c r="B236" s="1385"/>
      <c r="C236" s="1386"/>
      <c r="E236" s="1382" t="s">
        <v>232</v>
      </c>
      <c r="F236" s="1384"/>
      <c r="G236" s="1384"/>
      <c r="H236" s="1384"/>
      <c r="I236" s="1384"/>
      <c r="J236" s="1384"/>
      <c r="K236" s="1388"/>
      <c r="L236" s="1388"/>
      <c r="M236" s="1388"/>
      <c r="N236" s="1388"/>
      <c r="O236" s="1388"/>
      <c r="P236" s="1389"/>
      <c r="Q236" s="1390"/>
      <c r="R236" s="1390"/>
      <c r="S236" s="1391"/>
      <c r="T236" s="1391"/>
      <c r="U236" s="1391"/>
      <c r="V236" s="1391"/>
      <c r="W236" s="1391"/>
      <c r="X236" s="1391"/>
      <c r="Y236" s="1391"/>
      <c r="Z236" s="1391"/>
      <c r="AA236" s="1391"/>
      <c r="AB236" s="1391"/>
      <c r="AC236" s="1391"/>
      <c r="AD236" s="1391"/>
      <c r="AE236" s="1391"/>
      <c r="AF236" s="1391"/>
      <c r="AG236" s="1391"/>
      <c r="AH236" s="1391"/>
      <c r="AI236" s="1392"/>
      <c r="AJ236" s="1388"/>
      <c r="AK236" s="1388"/>
    </row>
    <row r="237" spans="2:37" s="1169" customFormat="1">
      <c r="B237" s="1427" t="s">
        <v>1245</v>
      </c>
      <c r="C237" s="1177" t="s">
        <v>1265</v>
      </c>
      <c r="D237" s="1169" t="s">
        <v>598</v>
      </c>
      <c r="E237" s="1172"/>
      <c r="F237" s="1426"/>
      <c r="G237" s="1426"/>
      <c r="H237" s="1433"/>
      <c r="I237" s="1426"/>
      <c r="J237" s="1426"/>
      <c r="K237" s="1173"/>
      <c r="L237" s="1426">
        <f>1/G230</f>
        <v>0.66500000000000004</v>
      </c>
      <c r="M237" s="1426"/>
      <c r="N237" s="1426">
        <f>1/I230</f>
        <v>0.68</v>
      </c>
      <c r="O237" s="1426">
        <f>1/J230</f>
        <v>0.74</v>
      </c>
      <c r="P237" s="632"/>
      <c r="Q237" s="1434"/>
      <c r="R237" s="1434">
        <v>920.29264423391282</v>
      </c>
      <c r="S237" s="1175"/>
      <c r="T237" s="1434">
        <v>682.28592589755613</v>
      </c>
      <c r="U237" s="1434">
        <v>349.07652022665661</v>
      </c>
      <c r="V237" s="1434"/>
      <c r="W237" s="1434">
        <v>23.007316105847821</v>
      </c>
      <c r="X237" s="1434" t="s">
        <v>729</v>
      </c>
      <c r="Y237" s="1434">
        <v>17.057148147438905</v>
      </c>
      <c r="Z237" s="1434">
        <v>8.7269130056664164</v>
      </c>
      <c r="AA237" s="1175"/>
      <c r="AB237" s="1175"/>
      <c r="AC237" s="1175"/>
      <c r="AD237" s="1175"/>
      <c r="AE237" s="1175">
        <v>20</v>
      </c>
      <c r="AF237" s="1175"/>
      <c r="AG237" s="1175"/>
      <c r="AH237" s="1175"/>
      <c r="AI237" s="1176">
        <v>2015</v>
      </c>
      <c r="AJ237" s="1173">
        <v>31.536000000000001</v>
      </c>
      <c r="AK237" s="1173"/>
    </row>
    <row r="238" spans="2:37" s="1169" customFormat="1">
      <c r="B238" s="1427"/>
      <c r="C238" s="1177"/>
      <c r="D238" s="1172" t="s">
        <v>279</v>
      </c>
      <c r="E238" s="1172"/>
      <c r="F238" s="1426"/>
      <c r="G238" s="1426"/>
      <c r="H238" s="1433"/>
      <c r="I238" s="1426"/>
      <c r="J238" s="1426"/>
      <c r="K238" s="1173"/>
      <c r="L238" s="1426"/>
      <c r="M238" s="1426"/>
      <c r="N238" s="1426"/>
      <c r="O238" s="1426"/>
      <c r="P238" s="1174"/>
      <c r="Q238" s="1434"/>
      <c r="R238" s="1434"/>
      <c r="S238" s="1175"/>
      <c r="T238" s="1434"/>
      <c r="U238" s="1434"/>
      <c r="V238" s="1434"/>
      <c r="W238" s="1434"/>
      <c r="X238" s="1434"/>
      <c r="Y238" s="1434"/>
      <c r="Z238" s="1434"/>
      <c r="AA238" s="1175"/>
      <c r="AB238" s="1175"/>
      <c r="AC238" s="1175"/>
      <c r="AD238" s="1175"/>
      <c r="AE238" s="1175"/>
      <c r="AF238" s="1175"/>
      <c r="AG238" s="1175"/>
      <c r="AH238" s="1175"/>
      <c r="AI238" s="1176"/>
      <c r="AJ238" s="1173"/>
      <c r="AK238" s="1173"/>
    </row>
    <row r="239" spans="2:37" s="1169" customFormat="1">
      <c r="B239" s="1170"/>
      <c r="C239" s="1171"/>
      <c r="E239" s="1177" t="s">
        <v>232</v>
      </c>
      <c r="F239" s="1426"/>
      <c r="G239" s="1426"/>
      <c r="H239" s="1426"/>
      <c r="I239" s="1426"/>
      <c r="J239" s="1426"/>
      <c r="K239" s="1173"/>
      <c r="L239" s="1426"/>
      <c r="M239" s="1426"/>
      <c r="N239" s="1426"/>
      <c r="O239" s="1426"/>
      <c r="P239" s="1174"/>
      <c r="Q239" s="1434"/>
      <c r="R239" s="1434"/>
      <c r="S239" s="1175"/>
      <c r="T239" s="1175"/>
      <c r="U239" s="1175"/>
      <c r="V239" s="1175"/>
      <c r="W239" s="1175"/>
      <c r="X239" s="1175"/>
      <c r="Y239" s="1175"/>
      <c r="Z239" s="1175"/>
      <c r="AA239" s="1175"/>
      <c r="AB239" s="1175"/>
      <c r="AC239" s="1175"/>
      <c r="AD239" s="1175"/>
      <c r="AE239" s="1175"/>
      <c r="AF239" s="1175"/>
      <c r="AG239" s="1175"/>
      <c r="AH239" s="1175"/>
      <c r="AI239" s="1176"/>
      <c r="AJ239" s="1173"/>
      <c r="AK239" s="1173"/>
    </row>
    <row r="240" spans="2:37" s="1169" customFormat="1">
      <c r="B240" s="1427" t="s">
        <v>1246</v>
      </c>
      <c r="C240" s="1177" t="s">
        <v>1266</v>
      </c>
      <c r="D240" s="1169" t="s">
        <v>546</v>
      </c>
      <c r="E240" s="1172"/>
      <c r="F240" s="1426"/>
      <c r="G240" s="1426"/>
      <c r="H240" s="1433"/>
      <c r="I240" s="1426"/>
      <c r="J240" s="1426"/>
      <c r="K240" s="1173"/>
      <c r="L240" s="1426">
        <f>1/G232</f>
        <v>0.66500000000000004</v>
      </c>
      <c r="M240" s="1426"/>
      <c r="N240" s="1426">
        <f>1/I232</f>
        <v>0.68</v>
      </c>
      <c r="O240" s="1426">
        <f>1/J232</f>
        <v>0.74</v>
      </c>
      <c r="P240" s="632"/>
      <c r="Q240" s="1434"/>
      <c r="R240" s="1434">
        <v>920.29264423391282</v>
      </c>
      <c r="S240" s="1175"/>
      <c r="T240" s="1434">
        <v>682.28592589755613</v>
      </c>
      <c r="U240" s="1434">
        <v>349.07652022665661</v>
      </c>
      <c r="V240" s="1434"/>
      <c r="W240" s="1434">
        <v>23.007316105847821</v>
      </c>
      <c r="X240" s="1434" t="s">
        <v>729</v>
      </c>
      <c r="Y240" s="1434">
        <v>17.057148147438905</v>
      </c>
      <c r="Z240" s="1434">
        <v>8.7269130056664164</v>
      </c>
      <c r="AA240" s="1175"/>
      <c r="AB240" s="1175"/>
      <c r="AC240" s="1175"/>
      <c r="AD240" s="1175"/>
      <c r="AE240" s="1175">
        <v>20</v>
      </c>
      <c r="AF240" s="1175"/>
      <c r="AG240" s="1175"/>
      <c r="AH240" s="1175"/>
      <c r="AI240" s="1176">
        <v>2015</v>
      </c>
      <c r="AJ240" s="1173">
        <v>31.536000000000001</v>
      </c>
      <c r="AK240" s="1173"/>
    </row>
    <row r="241" spans="1:42" s="1169" customFormat="1">
      <c r="B241" s="1427"/>
      <c r="C241" s="1177"/>
      <c r="D241" s="1172" t="s">
        <v>279</v>
      </c>
      <c r="E241" s="1172"/>
      <c r="F241" s="1426"/>
      <c r="G241" s="1426"/>
      <c r="H241" s="1433"/>
      <c r="I241" s="1426"/>
      <c r="J241" s="1426"/>
      <c r="K241" s="1173"/>
      <c r="L241" s="1426"/>
      <c r="M241" s="1426"/>
      <c r="N241" s="1426"/>
      <c r="O241" s="1426"/>
      <c r="P241" s="1174"/>
      <c r="Q241" s="1434"/>
      <c r="R241" s="1434"/>
      <c r="S241" s="1175"/>
      <c r="T241" s="1434"/>
      <c r="U241" s="1434"/>
      <c r="V241" s="1434"/>
      <c r="W241" s="1434"/>
      <c r="X241" s="1434"/>
      <c r="Y241" s="1434"/>
      <c r="Z241" s="1434"/>
      <c r="AA241" s="1175"/>
      <c r="AB241" s="1175"/>
      <c r="AC241" s="1175"/>
      <c r="AD241" s="1175"/>
      <c r="AE241" s="1175"/>
      <c r="AF241" s="1175"/>
      <c r="AG241" s="1175"/>
      <c r="AH241" s="1175"/>
      <c r="AI241" s="1176"/>
      <c r="AJ241" s="1173"/>
      <c r="AK241" s="1173"/>
    </row>
    <row r="242" spans="1:42" s="1169" customFormat="1">
      <c r="B242" s="1170"/>
      <c r="C242" s="1171"/>
      <c r="E242" s="1177" t="s">
        <v>232</v>
      </c>
      <c r="F242" s="1426"/>
      <c r="G242" s="1426"/>
      <c r="H242" s="1426"/>
      <c r="I242" s="1426"/>
      <c r="J242" s="1426"/>
      <c r="K242" s="1173"/>
      <c r="L242" s="1426"/>
      <c r="M242" s="1426"/>
      <c r="N242" s="1426"/>
      <c r="O242" s="1426"/>
      <c r="P242" s="1174"/>
      <c r="Q242" s="1434"/>
      <c r="R242" s="1434"/>
      <c r="S242" s="1175"/>
      <c r="T242" s="1175"/>
      <c r="U242" s="1175"/>
      <c r="V242" s="1175"/>
      <c r="W242" s="1175"/>
      <c r="X242" s="1175"/>
      <c r="Y242" s="1175"/>
      <c r="Z242" s="1175"/>
      <c r="AA242" s="1175"/>
      <c r="AB242" s="1175"/>
      <c r="AC242" s="1175"/>
      <c r="AD242" s="1175"/>
      <c r="AE242" s="1175"/>
      <c r="AF242" s="1175"/>
      <c r="AG242" s="1175"/>
      <c r="AH242" s="1175"/>
      <c r="AI242" s="1176"/>
      <c r="AJ242" s="1173"/>
      <c r="AK242" s="1173"/>
    </row>
    <row r="243" spans="1:42" s="1169" customFormat="1">
      <c r="B243" s="1427" t="s">
        <v>1247</v>
      </c>
      <c r="C243" s="1177" t="s">
        <v>1267</v>
      </c>
      <c r="D243" s="1169" t="s">
        <v>598</v>
      </c>
      <c r="E243" s="1172"/>
      <c r="F243" s="1426"/>
      <c r="G243" s="1426"/>
      <c r="H243" s="1433"/>
      <c r="I243" s="1426"/>
      <c r="J243" s="1426"/>
      <c r="K243" s="1173"/>
      <c r="L243" s="1426">
        <f>L240</f>
        <v>0.66500000000000004</v>
      </c>
      <c r="M243" s="1426"/>
      <c r="N243" s="1426">
        <f t="shared" ref="N243:O243" si="152">N240</f>
        <v>0.68</v>
      </c>
      <c r="O243" s="1426">
        <f t="shared" si="152"/>
        <v>0.74</v>
      </c>
      <c r="P243" s="632"/>
      <c r="Q243" s="1434"/>
      <c r="R243" s="1434">
        <v>920.29264423391282</v>
      </c>
      <c r="S243" s="1175"/>
      <c r="T243" s="1434">
        <v>682.28592589755613</v>
      </c>
      <c r="U243" s="1434">
        <v>349.07652022665661</v>
      </c>
      <c r="V243" s="1434"/>
      <c r="W243" s="1434">
        <v>23.007316105847821</v>
      </c>
      <c r="X243" s="1434" t="s">
        <v>729</v>
      </c>
      <c r="Y243" s="1434">
        <v>17.057148147438905</v>
      </c>
      <c r="Z243" s="1434">
        <v>8.7269130056664164</v>
      </c>
      <c r="AA243" s="1175"/>
      <c r="AB243" s="1175"/>
      <c r="AC243" s="1175"/>
      <c r="AD243" s="1175"/>
      <c r="AE243" s="1175">
        <v>20</v>
      </c>
      <c r="AF243" s="1175"/>
      <c r="AG243" s="1175"/>
      <c r="AH243" s="1175"/>
      <c r="AI243" s="1176">
        <v>2015</v>
      </c>
      <c r="AJ243" s="1173">
        <v>31.536000000000001</v>
      </c>
      <c r="AK243" s="1173"/>
    </row>
    <row r="244" spans="1:42" s="1169" customFormat="1">
      <c r="B244" s="1427"/>
      <c r="C244" s="1177"/>
      <c r="D244" s="1169" t="s">
        <v>546</v>
      </c>
      <c r="E244" s="1172"/>
      <c r="F244" s="1426"/>
      <c r="G244" s="1426"/>
      <c r="H244" s="1433"/>
      <c r="I244" s="1426"/>
      <c r="J244" s="1426"/>
      <c r="K244" s="1173"/>
      <c r="L244" s="1426"/>
      <c r="M244" s="1426"/>
      <c r="N244" s="1426"/>
      <c r="O244" s="1426"/>
      <c r="P244" s="1174"/>
      <c r="Q244" s="1434"/>
      <c r="R244" s="1434"/>
      <c r="S244" s="1175"/>
      <c r="T244" s="1434"/>
      <c r="U244" s="1434"/>
      <c r="V244" s="1434"/>
      <c r="W244" s="1434"/>
      <c r="X244" s="1434"/>
      <c r="Y244" s="1434"/>
      <c r="Z244" s="1434"/>
      <c r="AA244" s="1175"/>
      <c r="AB244" s="1175"/>
      <c r="AC244" s="1175"/>
      <c r="AD244" s="1175"/>
      <c r="AE244" s="1175"/>
      <c r="AF244" s="1175"/>
      <c r="AG244" s="1175"/>
      <c r="AH244" s="1175"/>
      <c r="AI244" s="1176"/>
      <c r="AJ244" s="1173"/>
      <c r="AK244" s="1173"/>
    </row>
    <row r="245" spans="1:42" s="1169" customFormat="1">
      <c r="B245" s="1427"/>
      <c r="C245" s="1177"/>
      <c r="D245" s="1172" t="s">
        <v>279</v>
      </c>
      <c r="E245" s="1172"/>
      <c r="F245" s="1426"/>
      <c r="G245" s="1426"/>
      <c r="H245" s="1433"/>
      <c r="I245" s="1426"/>
      <c r="J245" s="1426"/>
      <c r="K245" s="1173"/>
      <c r="L245" s="1173"/>
      <c r="M245" s="1173"/>
      <c r="N245" s="1173"/>
      <c r="O245" s="1173"/>
      <c r="P245" s="1174"/>
      <c r="Q245" s="1434"/>
      <c r="R245" s="1434"/>
      <c r="S245" s="1175"/>
      <c r="T245" s="1434"/>
      <c r="U245" s="1434"/>
      <c r="V245" s="1434"/>
      <c r="W245" s="1434"/>
      <c r="X245" s="1434"/>
      <c r="Y245" s="1434"/>
      <c r="Z245" s="1434"/>
      <c r="AA245" s="1175"/>
      <c r="AB245" s="1175"/>
      <c r="AC245" s="1175"/>
      <c r="AD245" s="1175"/>
      <c r="AE245" s="1175"/>
      <c r="AF245" s="1175"/>
      <c r="AG245" s="1175"/>
      <c r="AH245" s="1175"/>
      <c r="AI245" s="1176"/>
      <c r="AJ245" s="1173"/>
      <c r="AK245" s="1173"/>
    </row>
    <row r="246" spans="1:42" s="1169" customFormat="1">
      <c r="B246" s="1170"/>
      <c r="C246" s="1171"/>
      <c r="E246" s="1177" t="s">
        <v>232</v>
      </c>
      <c r="F246" s="1426"/>
      <c r="G246" s="1426"/>
      <c r="H246" s="1426"/>
      <c r="I246" s="1426"/>
      <c r="J246" s="1426"/>
      <c r="K246" s="1173"/>
      <c r="L246" s="1173"/>
      <c r="M246" s="1173"/>
      <c r="N246" s="1173"/>
      <c r="O246" s="1173"/>
      <c r="P246" s="1174"/>
      <c r="Q246" s="1434"/>
      <c r="R246" s="1434"/>
      <c r="S246" s="1175"/>
      <c r="T246" s="1175"/>
      <c r="U246" s="1175"/>
      <c r="V246" s="1175"/>
      <c r="W246" s="1175"/>
      <c r="X246" s="1175"/>
      <c r="Y246" s="1175"/>
      <c r="Z246" s="1175"/>
      <c r="AA246" s="1175"/>
      <c r="AB246" s="1175"/>
      <c r="AC246" s="1175"/>
      <c r="AD246" s="1175"/>
      <c r="AE246" s="1175"/>
      <c r="AF246" s="1175"/>
      <c r="AG246" s="1175"/>
      <c r="AH246" s="1175"/>
      <c r="AI246" s="1176"/>
      <c r="AJ246" s="1173"/>
      <c r="AK246" s="1173"/>
    </row>
    <row r="247" spans="1:42" s="8" customFormat="1">
      <c r="B247" s="973"/>
      <c r="C247" s="35"/>
      <c r="D247" s="14"/>
      <c r="E247" s="34"/>
      <c r="F247" s="15"/>
      <c r="G247" s="15"/>
      <c r="H247" s="15"/>
      <c r="I247" s="15"/>
      <c r="J247" s="15"/>
      <c r="K247" s="21"/>
      <c r="L247" s="632"/>
      <c r="M247" s="632"/>
      <c r="N247" s="632"/>
      <c r="O247" s="632"/>
      <c r="P247" s="43"/>
      <c r="Q247" s="43"/>
      <c r="R247" s="43"/>
      <c r="S247" s="43"/>
      <c r="T247" s="43"/>
      <c r="U247" s="43"/>
      <c r="V247" s="43"/>
      <c r="W247" s="43"/>
      <c r="X247" s="43"/>
      <c r="Y247" s="23"/>
      <c r="Z247" s="23"/>
      <c r="AA247" s="23"/>
      <c r="AB247" s="23"/>
      <c r="AC247" s="23"/>
      <c r="AD247" s="20"/>
      <c r="AE247" s="20"/>
      <c r="AF247" s="20"/>
      <c r="AG247" s="20"/>
      <c r="AH247" s="20"/>
      <c r="AI247" s="23"/>
      <c r="AJ247" s="139"/>
      <c r="AK247" s="653"/>
    </row>
    <row r="248" spans="1:42" s="8" customFormat="1">
      <c r="B248" s="973"/>
      <c r="C248" s="639"/>
      <c r="D248" s="628"/>
      <c r="E248" s="638"/>
      <c r="F248" s="629"/>
      <c r="G248" s="629"/>
      <c r="H248" s="629"/>
      <c r="I248" s="629"/>
      <c r="J248" s="629"/>
      <c r="K248" s="632"/>
      <c r="L248" s="632"/>
      <c r="M248" s="632"/>
      <c r="N248" s="632"/>
      <c r="O248" s="632"/>
      <c r="P248" s="643"/>
      <c r="Q248" s="643"/>
      <c r="R248" s="643"/>
      <c r="S248" s="643"/>
      <c r="T248" s="643"/>
      <c r="U248" s="643"/>
      <c r="V248" s="643"/>
      <c r="W248" s="643"/>
      <c r="X248" s="643"/>
      <c r="Y248" s="634"/>
      <c r="Z248" s="634"/>
      <c r="AA248" s="634"/>
      <c r="AB248" s="634"/>
      <c r="AC248" s="634"/>
      <c r="AD248" s="631"/>
      <c r="AE248" s="631"/>
      <c r="AF248" s="631"/>
      <c r="AG248" s="631"/>
      <c r="AH248" s="631"/>
      <c r="AI248" s="634"/>
      <c r="AJ248" s="653"/>
      <c r="AK248" s="653"/>
    </row>
    <row r="249" spans="1:42" s="624" customFormat="1">
      <c r="B249" s="968"/>
      <c r="E249" s="626" t="s">
        <v>556</v>
      </c>
      <c r="F249" s="680"/>
      <c r="G249" s="681"/>
      <c r="H249" s="625"/>
      <c r="I249" s="625"/>
      <c r="J249" s="625"/>
      <c r="K249" s="625"/>
      <c r="L249" s="625"/>
      <c r="M249" s="625"/>
      <c r="N249" s="625"/>
      <c r="O249" s="625"/>
      <c r="P249" s="625"/>
      <c r="T249" s="622"/>
      <c r="X249" s="622"/>
      <c r="AA249" s="622"/>
      <c r="AD249" s="622"/>
      <c r="AE249" s="622"/>
      <c r="AF249" s="622"/>
      <c r="AG249" s="622"/>
      <c r="AH249" s="622"/>
    </row>
    <row r="250" spans="1:42" s="624" customFormat="1" ht="39">
      <c r="B250" s="969" t="s">
        <v>0</v>
      </c>
      <c r="C250" s="636" t="s">
        <v>103</v>
      </c>
      <c r="D250" s="623" t="s">
        <v>2</v>
      </c>
      <c r="E250" s="623" t="s">
        <v>3</v>
      </c>
      <c r="F250" s="40" t="s">
        <v>28</v>
      </c>
      <c r="G250" s="40" t="s">
        <v>91</v>
      </c>
      <c r="H250" s="40" t="s">
        <v>92</v>
      </c>
      <c r="I250" s="40" t="s">
        <v>93</v>
      </c>
      <c r="J250" s="40" t="s">
        <v>455</v>
      </c>
      <c r="K250" s="40" t="s">
        <v>36</v>
      </c>
      <c r="L250" s="40" t="s">
        <v>1070</v>
      </c>
      <c r="M250" s="40" t="s">
        <v>1071</v>
      </c>
      <c r="N250" s="40" t="s">
        <v>1072</v>
      </c>
      <c r="O250" s="40" t="s">
        <v>1076</v>
      </c>
      <c r="P250" s="40" t="s">
        <v>38</v>
      </c>
      <c r="Q250" s="40" t="s">
        <v>22</v>
      </c>
      <c r="R250" s="40" t="s">
        <v>44</v>
      </c>
      <c r="S250" s="40" t="s">
        <v>95</v>
      </c>
      <c r="T250" s="40" t="s">
        <v>94</v>
      </c>
      <c r="U250" s="40" t="s">
        <v>236</v>
      </c>
      <c r="V250" s="40" t="s">
        <v>4</v>
      </c>
      <c r="W250" s="40" t="s">
        <v>96</v>
      </c>
      <c r="X250" s="40" t="s">
        <v>97</v>
      </c>
      <c r="Y250" s="40" t="s">
        <v>98</v>
      </c>
      <c r="Z250" s="40" t="s">
        <v>237</v>
      </c>
      <c r="AA250" s="40" t="s">
        <v>21</v>
      </c>
      <c r="AB250" s="40" t="s">
        <v>99</v>
      </c>
      <c r="AC250" s="40" t="s">
        <v>100</v>
      </c>
      <c r="AD250" s="40" t="s">
        <v>101</v>
      </c>
      <c r="AE250" s="207" t="s">
        <v>32</v>
      </c>
      <c r="AF250" s="40" t="s">
        <v>477</v>
      </c>
      <c r="AG250" s="40" t="s">
        <v>478</v>
      </c>
      <c r="AH250" s="40" t="s">
        <v>479</v>
      </c>
      <c r="AI250" s="40" t="s">
        <v>102</v>
      </c>
      <c r="AJ250" s="40" t="s">
        <v>31</v>
      </c>
      <c r="AK250" s="40" t="s">
        <v>1067</v>
      </c>
      <c r="AL250" s="40" t="s">
        <v>1068</v>
      </c>
      <c r="AM250" s="40" t="s">
        <v>968</v>
      </c>
      <c r="AN250" s="40" t="s">
        <v>1069</v>
      </c>
      <c r="AO250" s="40" t="s">
        <v>1143</v>
      </c>
    </row>
    <row r="251" spans="1:42" s="624" customFormat="1" ht="22.5" customHeight="1">
      <c r="B251" s="970" t="s">
        <v>25</v>
      </c>
      <c r="C251" s="217" t="s">
        <v>15</v>
      </c>
      <c r="D251" s="217" t="s">
        <v>19</v>
      </c>
      <c r="E251" s="217" t="s">
        <v>20</v>
      </c>
      <c r="F251" s="218"/>
      <c r="G251" s="218"/>
      <c r="H251" s="218"/>
      <c r="I251" s="218"/>
      <c r="J251" s="218"/>
      <c r="K251" s="218"/>
      <c r="L251" s="218"/>
      <c r="M251" s="218"/>
      <c r="N251" s="218"/>
      <c r="O251" s="218"/>
      <c r="P251" s="218"/>
      <c r="Q251" s="218" t="s">
        <v>33</v>
      </c>
      <c r="R251" s="218" t="s">
        <v>33</v>
      </c>
      <c r="S251" s="218" t="s">
        <v>33</v>
      </c>
      <c r="T251" s="218" t="s">
        <v>33</v>
      </c>
      <c r="U251" s="218" t="s">
        <v>33</v>
      </c>
      <c r="V251" s="218" t="s">
        <v>33</v>
      </c>
      <c r="W251" s="218" t="s">
        <v>33</v>
      </c>
      <c r="X251" s="218" t="s">
        <v>33</v>
      </c>
      <c r="Y251" s="218" t="s">
        <v>33</v>
      </c>
      <c r="Z251" s="218"/>
      <c r="AA251" s="218" t="s">
        <v>35</v>
      </c>
      <c r="AB251" s="218" t="s">
        <v>35</v>
      </c>
      <c r="AC251" s="218" t="s">
        <v>35</v>
      </c>
      <c r="AD251" s="218" t="s">
        <v>35</v>
      </c>
      <c r="AE251" s="218" t="s">
        <v>34</v>
      </c>
      <c r="AF251" s="218"/>
      <c r="AG251" s="218"/>
      <c r="AH251" s="218"/>
      <c r="AI251" s="218"/>
      <c r="AJ251" s="218"/>
      <c r="AK251" s="218"/>
    </row>
    <row r="252" spans="1:42" s="578" customFormat="1">
      <c r="B252" s="987" t="s">
        <v>1020</v>
      </c>
      <c r="C252" s="577" t="s">
        <v>1118</v>
      </c>
      <c r="D252" s="578" t="s">
        <v>601</v>
      </c>
      <c r="E252" s="539"/>
      <c r="F252" s="576">
        <f>IF('INPUT-Data(HP)'!K9=0,"",'INPUT-Data(HP)'!K9)</f>
        <v>3</v>
      </c>
      <c r="G252" s="576">
        <f t="shared" ref="G252:G253" si="153">F252</f>
        <v>3</v>
      </c>
      <c r="H252" s="509" t="str">
        <f>IF('INPUT-Data(HP)'!M9=0,"",'INPUT-Data(HP)'!M9)</f>
        <v/>
      </c>
      <c r="I252" s="509" t="str">
        <f>IF('INPUT-Data(HP)'!N9=0,"",'INPUT-Data(HP)'!N9)</f>
        <v/>
      </c>
      <c r="J252" s="509"/>
      <c r="K252" s="509"/>
      <c r="L252" s="509"/>
      <c r="M252" s="509"/>
      <c r="N252" s="509"/>
      <c r="O252" s="509"/>
      <c r="P252" s="619">
        <f>'INPUT-Data(HP)'!V9</f>
        <v>0.71</v>
      </c>
      <c r="Q252" s="609">
        <f>F1*IF('INPUT-Data(HP)'!W9=0,"",'INPUT-Data(HP)'!W9)</f>
        <v>3153.1323920420759</v>
      </c>
      <c r="R252" s="609">
        <f>F1*IF('INPUT-Data(HP)'!X9=0,"",'INPUT-Data(HP)'!X9)</f>
        <v>2382.7535158160231</v>
      </c>
      <c r="S252" s="609"/>
      <c r="T252" s="609"/>
      <c r="U252" s="609"/>
      <c r="V252" s="609">
        <f>F1*IF('INPUT-Data(HP)'!AB9=0,"",'INPUT-Data(HP)'!AB9)</f>
        <v>62.996335908306463</v>
      </c>
      <c r="W252" s="609">
        <f t="shared" ref="W252" si="154">V252</f>
        <v>62.996335908306463</v>
      </c>
      <c r="X252" s="609" t="str">
        <f>IF('INPUT-Data(HP)'!AD9=0,"",'INPUT-Data(HP)'!AD9)</f>
        <v/>
      </c>
      <c r="Y252" s="609"/>
      <c r="Z252" s="609"/>
      <c r="AA252" s="576">
        <f>F1*IF('INPUT-Data(HP)'!AG9=0,"",'INPUT-Data(HP)'!AG9)</f>
        <v>1.4082418626609055</v>
      </c>
      <c r="AB252" s="576"/>
      <c r="AC252" s="576"/>
      <c r="AD252" s="576"/>
      <c r="AE252" s="575">
        <f>IF('INPUT-Data(HP)'!AK9=0,"",'INPUT-Data(HP)'!AK9)</f>
        <v>20</v>
      </c>
      <c r="AF252" s="575"/>
      <c r="AG252" s="575"/>
      <c r="AH252" s="575"/>
      <c r="AI252" s="575">
        <f>IF('INPUT-Data(HP)'!AL9=0,"",'INPUT-Data(HP)'!AL9)</f>
        <v>2015</v>
      </c>
      <c r="AJ252" s="576">
        <v>31.536000000000001</v>
      </c>
      <c r="AK252" s="576"/>
    </row>
    <row r="253" spans="1:42" s="578" customFormat="1">
      <c r="B253" s="1333"/>
      <c r="D253" s="539" t="s">
        <v>399</v>
      </c>
      <c r="E253" s="539"/>
      <c r="F253" s="576">
        <f>IF('INPUT-Data(HP)'!P9=0,"",'INPUT-Data(HP)'!P9)</f>
        <v>0.2</v>
      </c>
      <c r="G253" s="576">
        <f t="shared" si="153"/>
        <v>0.2</v>
      </c>
      <c r="H253" s="509" t="str">
        <f>IF('INPUT-Data(HP)'!R9=0,"",'INPUT-Data(HP)'!R9)</f>
        <v/>
      </c>
      <c r="I253" s="576" t="str">
        <f>IF('INPUT-Data(HP)'!S9=0,"",'INPUT-Data(HP)'!S9)</f>
        <v/>
      </c>
      <c r="J253" s="576"/>
      <c r="K253" s="509"/>
      <c r="L253" s="509"/>
      <c r="M253" s="509"/>
      <c r="N253" s="509"/>
      <c r="O253" s="509"/>
      <c r="Q253" s="1334"/>
      <c r="R253" s="1334"/>
      <c r="S253" s="1334"/>
      <c r="T253" s="1335"/>
      <c r="U253" s="1335"/>
      <c r="V253" s="1334"/>
      <c r="W253" s="1334"/>
      <c r="X253" s="1334"/>
      <c r="Y253" s="1335"/>
      <c r="Z253" s="1335"/>
      <c r="AC253" s="1290"/>
      <c r="AI253" s="1290"/>
    </row>
    <row r="254" spans="1:42" s="578" customFormat="1">
      <c r="B254" s="1333"/>
      <c r="E254" s="1336" t="s">
        <v>232</v>
      </c>
      <c r="F254" s="509"/>
      <c r="G254" s="509"/>
      <c r="H254" s="509"/>
      <c r="I254" s="509"/>
      <c r="J254" s="509"/>
      <c r="K254" s="509">
        <f>'INPUT-Data(HP)'!T9</f>
        <v>1</v>
      </c>
      <c r="L254" s="509"/>
      <c r="M254" s="509"/>
      <c r="N254" s="509"/>
      <c r="O254" s="509"/>
      <c r="Q254" s="1334"/>
      <c r="R254" s="1334"/>
      <c r="S254" s="1334"/>
      <c r="T254" s="1335"/>
      <c r="U254" s="1335"/>
      <c r="V254" s="1334"/>
      <c r="W254" s="1334"/>
      <c r="X254" s="1334"/>
      <c r="Y254" s="1335"/>
      <c r="Z254" s="1335"/>
      <c r="AC254" s="1290"/>
      <c r="AI254" s="1290"/>
    </row>
    <row r="255" spans="1:42" s="14" customFormat="1">
      <c r="A255" s="628" t="s">
        <v>599</v>
      </c>
      <c r="B255" s="973" t="s">
        <v>112</v>
      </c>
      <c r="C255" s="638" t="s">
        <v>1144</v>
      </c>
      <c r="D255" s="663" t="s">
        <v>340</v>
      </c>
      <c r="E255" s="19"/>
      <c r="F255" s="15">
        <f>IF('INPUT-Data(HP)'!K22=0,"",'INPUT-Data(HP)'!K22)</f>
        <v>1.81</v>
      </c>
      <c r="G255" s="15" t="str">
        <f>IF('INPUT-Data(HP)'!L22=0,"",'INPUT-Data(HP)'!L22)</f>
        <v/>
      </c>
      <c r="H255" s="15">
        <f>IF('INPUT-Data(HP)'!M22=0,"",'INPUT-Data(HP)'!M22)</f>
        <v>1.81</v>
      </c>
      <c r="I255" s="15">
        <f>IF('INPUT-Data(HP)'!N22=0,"",'INPUT-Data(HP)'!N22)</f>
        <v>1.55</v>
      </c>
      <c r="J255" s="15"/>
      <c r="K255" s="15"/>
      <c r="L255" s="629"/>
      <c r="M255" s="629"/>
      <c r="N255" s="629"/>
      <c r="O255" s="629"/>
      <c r="P255" s="21">
        <f>'INPUT-Data(HP)'!V22</f>
        <v>0.9</v>
      </c>
      <c r="Q255" s="43">
        <f>F1*IF('INPUT-Data(HP)'!W22=0,"",'INPUT-Data(HP)'!W22)</f>
        <v>1420.5697096595127</v>
      </c>
      <c r="R255" s="43">
        <f>F1*IF('INPUT-Data(HP)'!X22=0,"",'INPUT-Data(HP)'!X22)</f>
        <v>1263.1722669768239</v>
      </c>
      <c r="S255" s="43">
        <f>F1*IF('INPUT-Data(HP)'!Y22=0,"",'INPUT-Data(HP)'!Y22)</f>
        <v>1263.1722669768239</v>
      </c>
      <c r="T255" s="43"/>
      <c r="U255" s="43"/>
      <c r="V255" s="43">
        <f>F1*IF('INPUT-Data(HP)'!AB22=0,"",'INPUT-Data(HP)'!AB22)</f>
        <v>34.253382052440912</v>
      </c>
      <c r="W255" s="43">
        <f>V255</f>
        <v>34.253382052440912</v>
      </c>
      <c r="X255" s="43">
        <f>F1*IF('INPUT-Data(HP)'!AD22=0,"",'INPUT-Data(HP)'!AD22)</f>
        <v>34.253382052440912</v>
      </c>
      <c r="Y255" s="43"/>
      <c r="Z255" s="43"/>
      <c r="AA255" s="23">
        <f>F1*IF('INPUT-Data(HP)'!AG22=0,"",'INPUT-Data(HP)'!AG22)</f>
        <v>0.4960683743337575</v>
      </c>
      <c r="AB255" s="23"/>
      <c r="AC255" s="23">
        <f>F1*IF('INPUT-Data(HP)'!AI22=0,"",'INPUT-Data(HP)'!AI22)</f>
        <v>0.4960683743337575</v>
      </c>
      <c r="AD255" s="23"/>
      <c r="AE255" s="20">
        <f>IF('INPUT-Data(HP)'!AK22=0,"",'INPUT-Data(HP)'!AK22)</f>
        <v>20</v>
      </c>
      <c r="AF255" s="20"/>
      <c r="AG255" s="20"/>
      <c r="AH255" s="20"/>
      <c r="AI255" s="20">
        <f>IF('INPUT-Data(HP)'!AL22=0,"",'INPUT-Data(HP)'!AL22)</f>
        <v>2015</v>
      </c>
      <c r="AJ255" s="23">
        <v>31.536000000000001</v>
      </c>
      <c r="AK255" s="344">
        <v>0</v>
      </c>
      <c r="AL255" s="340">
        <v>0</v>
      </c>
      <c r="AM255" s="340">
        <v>83.38</v>
      </c>
      <c r="AN255" s="340">
        <v>83.38</v>
      </c>
      <c r="AO255" s="340"/>
      <c r="AP255" s="628"/>
    </row>
    <row r="256" spans="1:42" s="14" customFormat="1">
      <c r="A256" s="628" t="s">
        <v>599</v>
      </c>
      <c r="B256" s="973"/>
      <c r="C256" s="35"/>
      <c r="D256" s="14" t="s">
        <v>399</v>
      </c>
      <c r="E256" s="19"/>
      <c r="F256" s="15">
        <f>IF('INPUT-Data(HP)'!P22=0,"",'INPUT-Data(HP)'!P22)</f>
        <v>6.5000000000000002E-2</v>
      </c>
      <c r="G256" s="15" t="str">
        <f>IF('INPUT-Data(HP)'!Q22=0,"",'INPUT-Data(HP)'!Q22)</f>
        <v/>
      </c>
      <c r="H256" s="14">
        <f>IF('INPUT-Data(HP)'!R22=0,"",'INPUT-Data(HP)'!R22)</f>
        <v>6.5000000000000002E-2</v>
      </c>
      <c r="I256" s="14">
        <f>IF('INPUT-Data(HP)'!S22=0,"",'INPUT-Data(HP)'!S22)</f>
        <v>0.05</v>
      </c>
      <c r="K256" s="15"/>
      <c r="L256" s="629"/>
      <c r="M256" s="629"/>
      <c r="N256" s="629"/>
      <c r="O256" s="629"/>
      <c r="P256" s="21"/>
      <c r="Q256" s="43"/>
      <c r="R256" s="43"/>
      <c r="S256" s="43"/>
      <c r="T256" s="43"/>
      <c r="U256" s="43"/>
      <c r="V256" s="43"/>
      <c r="W256" s="43"/>
      <c r="X256" s="43"/>
      <c r="Y256" s="43"/>
      <c r="Z256" s="43"/>
      <c r="AA256" s="23"/>
      <c r="AB256" s="23"/>
      <c r="AC256" s="23"/>
      <c r="AD256" s="23"/>
      <c r="AE256" s="20"/>
      <c r="AF256" s="20"/>
      <c r="AG256" s="20"/>
      <c r="AH256" s="20"/>
      <c r="AI256" s="20"/>
      <c r="AJ256" s="23"/>
      <c r="AK256" s="634"/>
      <c r="AO256" s="628"/>
      <c r="AP256" s="628"/>
    </row>
    <row r="257" spans="1:42" s="14" customFormat="1">
      <c r="A257" s="628" t="s">
        <v>599</v>
      </c>
      <c r="B257" s="973"/>
      <c r="C257" s="35"/>
      <c r="E257" s="19" t="s">
        <v>232</v>
      </c>
      <c r="F257" s="15"/>
      <c r="G257" s="15"/>
      <c r="H257" s="15"/>
      <c r="I257" s="15"/>
      <c r="J257" s="15"/>
      <c r="K257" s="23">
        <f>'INPUT-Data(HP)'!T22</f>
        <v>1</v>
      </c>
      <c r="L257" s="634"/>
      <c r="M257" s="634"/>
      <c r="N257" s="634"/>
      <c r="O257" s="634"/>
      <c r="P257" s="21"/>
      <c r="Q257" s="43"/>
      <c r="R257" s="43"/>
      <c r="S257" s="43"/>
      <c r="T257" s="43"/>
      <c r="U257" s="43"/>
      <c r="V257" s="43"/>
      <c r="W257" s="43"/>
      <c r="X257" s="43"/>
      <c r="Y257" s="43"/>
      <c r="Z257" s="43"/>
      <c r="AA257" s="23"/>
      <c r="AB257" s="23"/>
      <c r="AC257" s="23"/>
      <c r="AD257" s="23"/>
      <c r="AE257" s="20"/>
      <c r="AF257" s="20"/>
      <c r="AG257" s="20"/>
      <c r="AH257" s="20"/>
      <c r="AI257" s="20"/>
      <c r="AJ257" s="23"/>
      <c r="AK257" s="634"/>
      <c r="AO257" s="628"/>
      <c r="AP257" s="628"/>
    </row>
    <row r="258" spans="1:42" s="562" customFormat="1">
      <c r="A258" s="628" t="s">
        <v>599</v>
      </c>
      <c r="B258" s="980" t="s">
        <v>529</v>
      </c>
      <c r="C258" s="561" t="s">
        <v>1145</v>
      </c>
      <c r="D258" s="560" t="s">
        <v>345</v>
      </c>
      <c r="E258" s="560"/>
      <c r="F258" s="559">
        <f>IF('INPUT-Data(HP)'!K22=0,"",'INPUT-Data(HP)'!K22)</f>
        <v>1.81</v>
      </c>
      <c r="G258" s="559">
        <f t="shared" ref="G258:G259" si="155">F258</f>
        <v>1.81</v>
      </c>
      <c r="H258" s="559">
        <f>IF('INPUT-Data(HP)'!M22=0,"",'INPUT-Data(HP)'!M22)</f>
        <v>1.81</v>
      </c>
      <c r="I258" s="559">
        <f>IF('INPUT-Data(HP)'!N22=0,"",'INPUT-Data(HP)'!N22)</f>
        <v>1.55</v>
      </c>
      <c r="J258" s="559"/>
      <c r="K258" s="559"/>
      <c r="L258" s="559"/>
      <c r="M258" s="559"/>
      <c r="N258" s="559"/>
      <c r="O258" s="559"/>
      <c r="P258" s="518">
        <f>'INPUT-Data(HP)'!V22</f>
        <v>0.9</v>
      </c>
      <c r="Q258" s="543">
        <f>F1*IF('INPUT-Data(HP)'!W22=0,"",'INPUT-Data(HP)'!W22)</f>
        <v>1420.5697096595127</v>
      </c>
      <c r="R258" s="543">
        <f>F1*IF('INPUT-Data(HP)'!X22=0,"",'INPUT-Data(HP)'!X22)</f>
        <v>1263.1722669768239</v>
      </c>
      <c r="S258" s="543">
        <f>F1*IF('INPUT-Data(HP)'!Y22=0,"",'INPUT-Data(HP)'!Y22)</f>
        <v>1263.1722669768239</v>
      </c>
      <c r="T258" s="543"/>
      <c r="U258" s="543"/>
      <c r="V258" s="543">
        <f>F1*IF('INPUT-Data(HP)'!AB22=0,"",'INPUT-Data(HP)'!AB22)</f>
        <v>34.253382052440912</v>
      </c>
      <c r="W258" s="543">
        <f t="shared" ref="W258" si="156">V258</f>
        <v>34.253382052440912</v>
      </c>
      <c r="X258" s="543">
        <f>F1*IF('INPUT-Data(HP)'!AD22=0,"",'INPUT-Data(HP)'!AD22)</f>
        <v>34.253382052440912</v>
      </c>
      <c r="Y258" s="543"/>
      <c r="Z258" s="543"/>
      <c r="AA258" s="605">
        <f>F1*IF('INPUT-Data(HP)'!AG22=0,"",'INPUT-Data(HP)'!AG22)</f>
        <v>0.4960683743337575</v>
      </c>
      <c r="AB258" s="605"/>
      <c r="AC258" s="605">
        <f>F1*IF('INPUT-Data(HP)'!AI22=0,"",'INPUT-Data(HP)'!AI22)</f>
        <v>0.4960683743337575</v>
      </c>
      <c r="AD258" s="605"/>
      <c r="AE258" s="607">
        <f>IF('INPUT-Data(HP)'!AK22=0,"",'INPUT-Data(HP)'!AK22)</f>
        <v>20</v>
      </c>
      <c r="AF258" s="607"/>
      <c r="AG258" s="607"/>
      <c r="AH258" s="607"/>
      <c r="AI258" s="607">
        <f>IF('INPUT-Data(HP)'!AL22=0,"",'INPUT-Data(HP)'!AL22)</f>
        <v>2015</v>
      </c>
      <c r="AJ258" s="605">
        <v>31.536000000000001</v>
      </c>
      <c r="AK258" s="344">
        <v>0</v>
      </c>
      <c r="AL258" s="340">
        <v>0</v>
      </c>
      <c r="AM258" s="340">
        <v>83.38</v>
      </c>
      <c r="AN258" s="340">
        <v>83.38</v>
      </c>
      <c r="AO258" s="340"/>
    </row>
    <row r="259" spans="1:42" s="562" customFormat="1">
      <c r="A259" s="628" t="s">
        <v>599</v>
      </c>
      <c r="B259" s="981"/>
      <c r="D259" s="560" t="s">
        <v>555</v>
      </c>
      <c r="E259" s="560"/>
      <c r="F259" s="559">
        <f>IF('INPUT-Data(HP)'!P22=0,"",'INPUT-Data(HP)'!P22)</f>
        <v>6.5000000000000002E-2</v>
      </c>
      <c r="G259" s="559">
        <f t="shared" si="155"/>
        <v>6.5000000000000002E-2</v>
      </c>
      <c r="H259" s="559">
        <f>IF('INPUT-Data(HP)'!R22=0,"",'INPUT-Data(HP)'!R22)</f>
        <v>6.5000000000000002E-2</v>
      </c>
      <c r="I259" s="605">
        <f>IF('INPUT-Data(HP)'!S22=0,"",'INPUT-Data(HP)'!S22)</f>
        <v>0.05</v>
      </c>
      <c r="J259" s="605"/>
      <c r="K259" s="559"/>
      <c r="L259" s="559"/>
      <c r="M259" s="559"/>
      <c r="N259" s="559"/>
      <c r="O259" s="559"/>
      <c r="Q259" s="557"/>
      <c r="R259" s="557"/>
      <c r="S259" s="557"/>
      <c r="T259" s="556"/>
      <c r="U259" s="556"/>
      <c r="V259" s="557"/>
      <c r="W259" s="557"/>
      <c r="X259" s="557"/>
      <c r="Y259" s="556"/>
      <c r="Z259" s="556"/>
      <c r="AC259" s="558"/>
      <c r="AI259" s="558"/>
    </row>
    <row r="260" spans="1:42" s="562" customFormat="1">
      <c r="A260" s="628" t="s">
        <v>599</v>
      </c>
      <c r="B260" s="981"/>
      <c r="E260" s="555" t="s">
        <v>527</v>
      </c>
      <c r="F260" s="559"/>
      <c r="G260" s="559"/>
      <c r="H260" s="559"/>
      <c r="I260" s="559"/>
      <c r="J260" s="559"/>
      <c r="K260" s="559">
        <f>'INPUT-Data(HP)'!T22</f>
        <v>1</v>
      </c>
      <c r="L260" s="559"/>
      <c r="M260" s="559"/>
      <c r="N260" s="559"/>
      <c r="O260" s="559"/>
      <c r="Q260" s="557"/>
      <c r="R260" s="557"/>
      <c r="S260" s="557"/>
      <c r="T260" s="556"/>
      <c r="U260" s="556"/>
      <c r="V260" s="557"/>
      <c r="W260" s="557"/>
      <c r="X260" s="557"/>
      <c r="Y260" s="556"/>
      <c r="Z260" s="556"/>
      <c r="AC260" s="558"/>
      <c r="AI260" s="558"/>
    </row>
    <row r="261" spans="1:42" s="340" customFormat="1">
      <c r="B261" s="982" t="s">
        <v>1176</v>
      </c>
      <c r="C261" s="341" t="s">
        <v>1146</v>
      </c>
      <c r="D261" s="663" t="s">
        <v>340</v>
      </c>
      <c r="E261" s="342"/>
      <c r="F261" s="343">
        <f>F258</f>
        <v>1.81</v>
      </c>
      <c r="G261" s="343">
        <f t="shared" ref="G261:AE261" si="157">G258</f>
        <v>1.81</v>
      </c>
      <c r="H261" s="343">
        <f t="shared" si="157"/>
        <v>1.81</v>
      </c>
      <c r="I261" s="343"/>
      <c r="J261" s="343"/>
      <c r="K261" s="343"/>
      <c r="L261" s="343"/>
      <c r="M261" s="343"/>
      <c r="N261" s="343"/>
      <c r="O261" s="343"/>
      <c r="P261" s="343">
        <f t="shared" si="157"/>
        <v>0.9</v>
      </c>
      <c r="Q261" s="343">
        <f t="shared" si="157"/>
        <v>1420.5697096595127</v>
      </c>
      <c r="R261" s="343">
        <f t="shared" si="157"/>
        <v>1263.1722669768239</v>
      </c>
      <c r="S261" s="343">
        <f t="shared" si="157"/>
        <v>1263.1722669768239</v>
      </c>
      <c r="T261" s="343"/>
      <c r="U261" s="343"/>
      <c r="V261" s="343">
        <f t="shared" si="157"/>
        <v>34.253382052440912</v>
      </c>
      <c r="W261" s="343">
        <f t="shared" si="157"/>
        <v>34.253382052440912</v>
      </c>
      <c r="X261" s="343">
        <f t="shared" si="157"/>
        <v>34.253382052440912</v>
      </c>
      <c r="Y261" s="343"/>
      <c r="Z261" s="343"/>
      <c r="AA261" s="343">
        <f t="shared" si="157"/>
        <v>0.4960683743337575</v>
      </c>
      <c r="AB261" s="343"/>
      <c r="AC261" s="343">
        <f t="shared" si="157"/>
        <v>0.4960683743337575</v>
      </c>
      <c r="AD261" s="343"/>
      <c r="AE261" s="343">
        <f t="shared" si="157"/>
        <v>20</v>
      </c>
      <c r="AF261" s="345"/>
      <c r="AG261" s="345"/>
      <c r="AH261" s="345"/>
      <c r="AI261" s="345">
        <v>2010</v>
      </c>
      <c r="AJ261" s="344">
        <v>31.536000000000001</v>
      </c>
      <c r="AK261" s="344">
        <v>0</v>
      </c>
      <c r="AL261" s="340">
        <v>0</v>
      </c>
      <c r="AM261" s="340">
        <f>AM60</f>
        <v>83.38</v>
      </c>
      <c r="AN261" s="340">
        <f>AN60</f>
        <v>83.38</v>
      </c>
    </row>
    <row r="262" spans="1:42" s="340" customFormat="1">
      <c r="B262" s="983"/>
      <c r="D262" s="342" t="s">
        <v>279</v>
      </c>
      <c r="E262" s="342"/>
      <c r="F262" s="343">
        <f>F259</f>
        <v>6.5000000000000002E-2</v>
      </c>
      <c r="G262" s="343">
        <f t="shared" ref="G262:H262" si="158">G259</f>
        <v>6.5000000000000002E-2</v>
      </c>
      <c r="H262" s="343">
        <f t="shared" si="158"/>
        <v>6.5000000000000002E-2</v>
      </c>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I262" s="346"/>
    </row>
    <row r="263" spans="1:42" s="340" customFormat="1">
      <c r="B263" s="983"/>
      <c r="E263" s="349" t="s">
        <v>630</v>
      </c>
      <c r="F263" s="343"/>
      <c r="G263" s="343"/>
      <c r="H263" s="343"/>
      <c r="I263" s="343"/>
      <c r="J263" s="343"/>
      <c r="K263" s="343">
        <f>'INPUT-Data(HP)'!T24</f>
        <v>1</v>
      </c>
      <c r="L263" s="343"/>
      <c r="M263" s="343"/>
      <c r="N263" s="343"/>
      <c r="O263" s="343"/>
      <c r="Q263" s="347"/>
      <c r="R263" s="347"/>
      <c r="S263" s="347"/>
      <c r="T263" s="348"/>
      <c r="U263" s="348"/>
      <c r="V263" s="347"/>
      <c r="W263" s="347"/>
      <c r="X263" s="347"/>
      <c r="Y263" s="348"/>
      <c r="Z263" s="348"/>
      <c r="AC263" s="346"/>
      <c r="AI263" s="346"/>
    </row>
    <row r="264" spans="1:42" s="1199" customFormat="1">
      <c r="B264" s="1200" t="s">
        <v>1177</v>
      </c>
      <c r="C264" s="1201" t="s">
        <v>1010</v>
      </c>
      <c r="D264" s="663" t="s">
        <v>340</v>
      </c>
      <c r="E264" s="1202"/>
      <c r="F264" s="1211">
        <f t="shared" ref="F264:H265" si="159">F36/F30*F261</f>
        <v>2.084242424242424</v>
      </c>
      <c r="G264" s="1211">
        <f t="shared" si="159"/>
        <v>2.084242424242424</v>
      </c>
      <c r="H264" s="1211">
        <f t="shared" si="159"/>
        <v>2.084242424242424</v>
      </c>
      <c r="I264" s="1203"/>
      <c r="J264" s="1203"/>
      <c r="K264" s="1203"/>
      <c r="L264" s="1203"/>
      <c r="M264" s="1203"/>
      <c r="N264" s="1203"/>
      <c r="O264" s="1203"/>
      <c r="P264" s="1211">
        <f>P36/P30*P261</f>
        <v>0.9</v>
      </c>
      <c r="Q264" s="1211">
        <f>Q36/Q30*Q261</f>
        <v>2010.5436334628521</v>
      </c>
      <c r="R264" s="1211">
        <f>R36/R30*R261</f>
        <v>1712.8341337539</v>
      </c>
      <c r="S264" s="1211">
        <f>S36/S30*S261</f>
        <v>1712.8341337539</v>
      </c>
      <c r="T264" s="1203"/>
      <c r="U264" s="1203"/>
      <c r="V264" s="1203">
        <f>V36/V30*V261</f>
        <v>49.47710740908132</v>
      </c>
      <c r="W264" s="1203">
        <f>W36/W30*W261</f>
        <v>49.47710740908132</v>
      </c>
      <c r="X264" s="1203">
        <f>X36/X30*X261</f>
        <v>49.47710740908132</v>
      </c>
      <c r="Y264" s="1203"/>
      <c r="Z264" s="1203"/>
      <c r="AA264" s="1203">
        <f>AA36/AA30*AA261</f>
        <v>3.4104700735445834</v>
      </c>
      <c r="AB264" s="1203"/>
      <c r="AC264" s="1203">
        <f>AC36/AC30*AC261</f>
        <v>3.4104700735445834</v>
      </c>
      <c r="AD264" s="1203"/>
      <c r="AE264" s="1203">
        <f>AE36/AE30*AE261</f>
        <v>20</v>
      </c>
      <c r="AF264" s="1204"/>
      <c r="AG264" s="1204"/>
      <c r="AH264" s="1204"/>
      <c r="AI264" s="1204">
        <v>2030</v>
      </c>
      <c r="AJ264" s="1205">
        <v>31.536000000000001</v>
      </c>
      <c r="AK264" s="1205">
        <v>0</v>
      </c>
      <c r="AL264" s="1199">
        <v>0</v>
      </c>
      <c r="AM264" s="1199">
        <f>AM261*0.1</f>
        <v>8.3379999999999992</v>
      </c>
      <c r="AN264" s="1199">
        <f>AN261*0.1</f>
        <v>8.3379999999999992</v>
      </c>
      <c r="AO264" s="1199">
        <f>AN261-AN264</f>
        <v>75.042000000000002</v>
      </c>
    </row>
    <row r="265" spans="1:42" s="1199" customFormat="1">
      <c r="B265" s="1206"/>
      <c r="D265" s="1202" t="s">
        <v>279</v>
      </c>
      <c r="E265" s="1202"/>
      <c r="F265" s="1211">
        <f t="shared" si="159"/>
        <v>0.16250000000000001</v>
      </c>
      <c r="G265" s="1211">
        <f t="shared" si="159"/>
        <v>0.16250000000000001</v>
      </c>
      <c r="H265" s="1211">
        <f t="shared" si="159"/>
        <v>0.16250000000000001</v>
      </c>
      <c r="I265" s="1203"/>
      <c r="J265" s="1203"/>
      <c r="K265" s="1203"/>
      <c r="L265" s="1203"/>
      <c r="M265" s="1203"/>
      <c r="N265" s="1203"/>
      <c r="O265" s="1203"/>
      <c r="P265" s="1203"/>
      <c r="Q265" s="1203"/>
      <c r="R265" s="1203"/>
      <c r="S265" s="1203"/>
      <c r="T265" s="1203"/>
      <c r="U265" s="1203"/>
      <c r="V265" s="1203"/>
      <c r="W265" s="1203"/>
      <c r="X265" s="1203"/>
      <c r="Y265" s="1203"/>
      <c r="Z265" s="1203"/>
      <c r="AA265" s="1203"/>
      <c r="AB265" s="1203"/>
      <c r="AC265" s="1203"/>
      <c r="AD265" s="1203"/>
      <c r="AE265" s="1203"/>
      <c r="AI265" s="1207"/>
    </row>
    <row r="266" spans="1:42" s="1199" customFormat="1">
      <c r="B266" s="1206"/>
      <c r="E266" s="1208" t="s">
        <v>630</v>
      </c>
      <c r="F266" s="1203"/>
      <c r="G266" s="1203"/>
      <c r="H266" s="1203"/>
      <c r="I266" s="1203"/>
      <c r="J266" s="1203"/>
      <c r="K266" s="1203">
        <f>'INPUT-Data(HP)'!T27</f>
        <v>1</v>
      </c>
      <c r="L266" s="1203"/>
      <c r="M266" s="1203"/>
      <c r="N266" s="1203"/>
      <c r="O266" s="1203"/>
      <c r="Q266" s="1209"/>
      <c r="R266" s="1209"/>
      <c r="S266" s="1209"/>
      <c r="T266" s="1210"/>
      <c r="U266" s="1210"/>
      <c r="V266" s="1209"/>
      <c r="W266" s="1209"/>
      <c r="X266" s="1209"/>
      <c r="Y266" s="1210"/>
      <c r="Z266" s="1210"/>
      <c r="AC266" s="1207"/>
      <c r="AI266" s="1207"/>
    </row>
    <row r="267" spans="1:42" s="1380" customFormat="1">
      <c r="B267" s="1385" t="s">
        <v>1184</v>
      </c>
      <c r="C267" s="1386" t="s">
        <v>1178</v>
      </c>
      <c r="D267" s="1380" t="s">
        <v>279</v>
      </c>
      <c r="E267" s="1383"/>
      <c r="F267" s="1393">
        <f>1.50375939849624+0.018</f>
        <v>1.5217593984962401</v>
      </c>
      <c r="G267" s="1393">
        <f>1.50375939849624+0.018</f>
        <v>1.5217593984962401</v>
      </c>
      <c r="H267" s="1393" t="s">
        <v>729</v>
      </c>
      <c r="I267" s="1394">
        <f>1.47058823529412+0.018</f>
        <v>1.48858823529412</v>
      </c>
      <c r="J267" s="1394">
        <f>1.33333333333333+0.018</f>
        <v>1.3513333333333299</v>
      </c>
      <c r="K267" s="1394" t="s">
        <v>729</v>
      </c>
      <c r="L267" s="1394"/>
      <c r="M267" s="1394"/>
      <c r="N267" s="1394"/>
      <c r="O267" s="1394"/>
      <c r="P267" s="1393"/>
      <c r="Q267" s="1393">
        <v>888.55841512239863</v>
      </c>
      <c r="R267" s="1393">
        <v>539.48189489574213</v>
      </c>
      <c r="S267" s="1393" t="s">
        <v>729</v>
      </c>
      <c r="T267" s="1394">
        <v>539.48189489574213</v>
      </c>
      <c r="U267" s="1394">
        <v>444.27920756119931</v>
      </c>
      <c r="V267" s="1394"/>
      <c r="W267" s="1394">
        <v>24.276685270308395</v>
      </c>
      <c r="X267" s="1394" t="s">
        <v>729</v>
      </c>
      <c r="Y267" s="1394">
        <v>24.276685270308395</v>
      </c>
      <c r="Z267" s="1394">
        <v>19.992564340253967</v>
      </c>
      <c r="AA267" s="1394"/>
      <c r="AB267" s="1394"/>
      <c r="AC267" s="1394"/>
      <c r="AD267" s="1394"/>
      <c r="AE267" s="1394">
        <v>20</v>
      </c>
      <c r="AF267" s="1392" t="s">
        <v>729</v>
      </c>
      <c r="AG267" s="1392" t="s">
        <v>729</v>
      </c>
      <c r="AH267" s="1392" t="s">
        <v>729</v>
      </c>
      <c r="AI267" s="1392">
        <v>2015</v>
      </c>
      <c r="AJ267" s="1388">
        <v>31.536000000000001</v>
      </c>
      <c r="AK267" s="1388" t="s">
        <v>729</v>
      </c>
    </row>
    <row r="268" spans="1:42" s="1380" customFormat="1">
      <c r="B268" s="1395"/>
      <c r="D268" s="1383"/>
      <c r="E268" s="1383" t="s">
        <v>630</v>
      </c>
      <c r="F268" s="1393" t="s">
        <v>729</v>
      </c>
      <c r="G268" s="1393" t="s">
        <v>729</v>
      </c>
      <c r="H268" s="1393" t="s">
        <v>729</v>
      </c>
      <c r="I268" s="1394" t="s">
        <v>729</v>
      </c>
      <c r="J268" s="1394" t="s">
        <v>729</v>
      </c>
      <c r="K268" s="1394">
        <v>1</v>
      </c>
      <c r="L268" s="1394"/>
      <c r="M268" s="1394"/>
      <c r="N268" s="1394"/>
      <c r="O268" s="1394"/>
      <c r="P268" s="1394"/>
      <c r="Q268" s="1394" t="s">
        <v>729</v>
      </c>
      <c r="R268" s="1394" t="s">
        <v>729</v>
      </c>
      <c r="S268" s="1394" t="s">
        <v>729</v>
      </c>
      <c r="T268" s="1394" t="s">
        <v>729</v>
      </c>
      <c r="U268" s="1394" t="s">
        <v>729</v>
      </c>
      <c r="V268" s="1394"/>
      <c r="W268" s="1394" t="s">
        <v>729</v>
      </c>
      <c r="X268" s="1394" t="s">
        <v>729</v>
      </c>
      <c r="Y268" s="1394" t="s">
        <v>729</v>
      </c>
      <c r="Z268" s="1394" t="s">
        <v>729</v>
      </c>
      <c r="AA268" s="1394"/>
      <c r="AB268" s="1394"/>
      <c r="AC268" s="1394"/>
      <c r="AD268" s="1394"/>
      <c r="AE268" s="1394" t="s">
        <v>729</v>
      </c>
      <c r="AF268" s="1380" t="s">
        <v>729</v>
      </c>
      <c r="AG268" s="1380" t="s">
        <v>729</v>
      </c>
      <c r="AH268" s="1380" t="s">
        <v>729</v>
      </c>
      <c r="AI268" s="1302" t="s">
        <v>729</v>
      </c>
      <c r="AJ268" s="1380" t="s">
        <v>729</v>
      </c>
      <c r="AK268" s="1380" t="s">
        <v>729</v>
      </c>
    </row>
    <row r="269" spans="1:42" s="1380" customFormat="1">
      <c r="B269" s="1395" t="s">
        <v>1249</v>
      </c>
      <c r="C269" s="1380" t="s">
        <v>1179</v>
      </c>
      <c r="D269" s="1380" t="s">
        <v>1009</v>
      </c>
      <c r="E269" s="1382"/>
      <c r="F269" s="1394">
        <f>F267</f>
        <v>1.5217593984962401</v>
      </c>
      <c r="G269" s="1394">
        <f>G267</f>
        <v>1.5217593984962401</v>
      </c>
      <c r="H269" s="1394" t="s">
        <v>729</v>
      </c>
      <c r="I269" s="1394">
        <f>I267</f>
        <v>1.48858823529412</v>
      </c>
      <c r="J269" s="1394">
        <f>J267</f>
        <v>1.3513333333333299</v>
      </c>
      <c r="K269" s="1394" t="s">
        <v>729</v>
      </c>
      <c r="L269" s="1394"/>
      <c r="M269" s="1394"/>
      <c r="N269" s="1394"/>
      <c r="O269" s="1394"/>
      <c r="Q269" s="1396">
        <v>888.55841512239863</v>
      </c>
      <c r="R269" s="1396">
        <v>539.48189489574213</v>
      </c>
      <c r="S269" s="1396" t="s">
        <v>729</v>
      </c>
      <c r="T269" s="1397">
        <v>539.48189489574213</v>
      </c>
      <c r="U269" s="1397">
        <v>444.27920756119931</v>
      </c>
      <c r="V269" s="1396"/>
      <c r="W269" s="1396">
        <v>24.276685270308395</v>
      </c>
      <c r="X269" s="1396" t="s">
        <v>729</v>
      </c>
      <c r="Y269" s="1397">
        <v>24.276685270308395</v>
      </c>
      <c r="Z269" s="1397">
        <v>19.992564340253967</v>
      </c>
      <c r="AC269" s="1302"/>
      <c r="AE269" s="1380">
        <v>20</v>
      </c>
      <c r="AF269" s="1380" t="s">
        <v>729</v>
      </c>
      <c r="AG269" s="1380" t="s">
        <v>729</v>
      </c>
      <c r="AH269" s="1380" t="s">
        <v>729</v>
      </c>
      <c r="AI269" s="1302">
        <v>2015</v>
      </c>
      <c r="AJ269" s="1380">
        <v>31.536000000000001</v>
      </c>
      <c r="AK269" s="1380" t="s">
        <v>729</v>
      </c>
    </row>
    <row r="270" spans="1:42" s="1380" customFormat="1">
      <c r="B270" s="1385"/>
      <c r="C270" s="1386"/>
      <c r="E270" s="1383" t="s">
        <v>630</v>
      </c>
      <c r="F270" s="1393" t="s">
        <v>729</v>
      </c>
      <c r="G270" s="1393" t="s">
        <v>729</v>
      </c>
      <c r="H270" s="1393" t="s">
        <v>729</v>
      </c>
      <c r="I270" s="1394" t="s">
        <v>729</v>
      </c>
      <c r="J270" s="1394" t="s">
        <v>729</v>
      </c>
      <c r="K270" s="1394">
        <v>1</v>
      </c>
      <c r="L270" s="1394"/>
      <c r="M270" s="1394"/>
      <c r="N270" s="1394"/>
      <c r="O270" s="1394"/>
      <c r="P270" s="1393"/>
      <c r="Q270" s="1393" t="s">
        <v>729</v>
      </c>
      <c r="R270" s="1393" t="s">
        <v>729</v>
      </c>
      <c r="S270" s="1393" t="s">
        <v>729</v>
      </c>
      <c r="T270" s="1394" t="s">
        <v>729</v>
      </c>
      <c r="U270" s="1394" t="s">
        <v>729</v>
      </c>
      <c r="V270" s="1394" t="s">
        <v>729</v>
      </c>
      <c r="W270" s="1394" t="s">
        <v>729</v>
      </c>
      <c r="X270" s="1394" t="s">
        <v>729</v>
      </c>
      <c r="Y270" s="1394" t="s">
        <v>729</v>
      </c>
      <c r="Z270" s="1394" t="s">
        <v>729</v>
      </c>
      <c r="AA270" s="1394"/>
      <c r="AB270" s="1394"/>
      <c r="AC270" s="1394"/>
      <c r="AD270" s="1394"/>
      <c r="AE270" s="1394" t="s">
        <v>729</v>
      </c>
      <c r="AF270" s="1392" t="s">
        <v>729</v>
      </c>
      <c r="AG270" s="1392" t="s">
        <v>729</v>
      </c>
      <c r="AH270" s="1392" t="s">
        <v>729</v>
      </c>
      <c r="AI270" s="1392" t="s">
        <v>729</v>
      </c>
      <c r="AJ270" s="1388" t="s">
        <v>729</v>
      </c>
      <c r="AK270" s="1388" t="s">
        <v>729</v>
      </c>
    </row>
    <row r="271" spans="1:42" s="1169" customFormat="1">
      <c r="B271" s="1441" t="s">
        <v>1250</v>
      </c>
      <c r="C271" s="1169" t="s">
        <v>1263</v>
      </c>
      <c r="D271" s="1169" t="s">
        <v>1009</v>
      </c>
      <c r="E271" s="1177"/>
      <c r="F271" s="1442"/>
      <c r="G271" s="1442"/>
      <c r="H271" s="1442"/>
      <c r="I271" s="1442"/>
      <c r="J271" s="1442"/>
      <c r="K271" s="1442"/>
      <c r="L271" s="1442">
        <f>1/G269</f>
        <v>0.6571341047659518</v>
      </c>
      <c r="M271" s="1442"/>
      <c r="N271" s="1442">
        <f t="shared" ref="N271:O271" si="160">1/I269</f>
        <v>0.67177744408440576</v>
      </c>
      <c r="O271" s="1442">
        <f t="shared" si="160"/>
        <v>0.74000986679822578</v>
      </c>
      <c r="Q271" s="1443">
        <v>888.55841512239863</v>
      </c>
      <c r="R271" s="1443">
        <v>539.48189489574213</v>
      </c>
      <c r="S271" s="1443" t="s">
        <v>729</v>
      </c>
      <c r="T271" s="1444">
        <v>539.48189489574213</v>
      </c>
      <c r="U271" s="1444">
        <v>444.27920756119931</v>
      </c>
      <c r="V271" s="1443"/>
      <c r="W271" s="1443">
        <v>24.276685270308395</v>
      </c>
      <c r="X271" s="1443" t="s">
        <v>729</v>
      </c>
      <c r="Y271" s="1444">
        <v>24.276685270308395</v>
      </c>
      <c r="Z271" s="1444">
        <v>19.992564340253967</v>
      </c>
      <c r="AC271" s="1267"/>
      <c r="AE271" s="1169">
        <v>20</v>
      </c>
      <c r="AF271" s="1169" t="s">
        <v>729</v>
      </c>
      <c r="AG271" s="1169" t="s">
        <v>729</v>
      </c>
      <c r="AH271" s="1169" t="s">
        <v>729</v>
      </c>
      <c r="AI271" s="1267">
        <v>2015</v>
      </c>
      <c r="AJ271" s="1169">
        <v>31.536000000000001</v>
      </c>
      <c r="AK271" s="1169" t="s">
        <v>729</v>
      </c>
    </row>
    <row r="272" spans="1:42" s="1169" customFormat="1">
      <c r="B272" s="1441"/>
      <c r="D272" s="1169" t="s">
        <v>279</v>
      </c>
      <c r="E272" s="1177"/>
      <c r="F272" s="1442"/>
      <c r="G272" s="1442"/>
      <c r="H272" s="1442"/>
      <c r="I272" s="1442"/>
      <c r="J272" s="1442"/>
      <c r="K272" s="1442"/>
      <c r="L272" s="1442"/>
      <c r="M272" s="1442"/>
      <c r="N272" s="1442"/>
      <c r="O272" s="1442"/>
      <c r="Q272" s="1443"/>
      <c r="R272" s="1443"/>
      <c r="S272" s="1443"/>
      <c r="T272" s="1444"/>
      <c r="U272" s="1444"/>
      <c r="V272" s="1443"/>
      <c r="W272" s="1443"/>
      <c r="X272" s="1443"/>
      <c r="Y272" s="1444"/>
      <c r="Z272" s="1444"/>
      <c r="AC272" s="1267"/>
      <c r="AI272" s="1267"/>
    </row>
    <row r="273" spans="1:40" s="1169" customFormat="1">
      <c r="B273" s="1170"/>
      <c r="C273" s="1171"/>
      <c r="E273" s="1172" t="s">
        <v>630</v>
      </c>
      <c r="F273" s="1445"/>
      <c r="G273" s="1445"/>
      <c r="H273" s="1445"/>
      <c r="I273" s="1442"/>
      <c r="J273" s="1442"/>
      <c r="K273" s="1442"/>
      <c r="L273" s="1442"/>
      <c r="M273" s="1442"/>
      <c r="N273" s="1442"/>
      <c r="O273" s="1442"/>
      <c r="P273" s="1445"/>
      <c r="Q273" s="1445" t="s">
        <v>729</v>
      </c>
      <c r="R273" s="1445" t="s">
        <v>729</v>
      </c>
      <c r="S273" s="1445" t="s">
        <v>729</v>
      </c>
      <c r="T273" s="1442" t="s">
        <v>729</v>
      </c>
      <c r="U273" s="1442" t="s">
        <v>729</v>
      </c>
      <c r="V273" s="1442" t="s">
        <v>729</v>
      </c>
      <c r="W273" s="1442" t="s">
        <v>729</v>
      </c>
      <c r="X273" s="1442" t="s">
        <v>729</v>
      </c>
      <c r="Y273" s="1442" t="s">
        <v>729</v>
      </c>
      <c r="Z273" s="1442" t="s">
        <v>729</v>
      </c>
      <c r="AA273" s="1442"/>
      <c r="AB273" s="1442"/>
      <c r="AC273" s="1442"/>
      <c r="AD273" s="1442"/>
      <c r="AE273" s="1442" t="s">
        <v>729</v>
      </c>
      <c r="AF273" s="1176" t="s">
        <v>729</v>
      </c>
      <c r="AG273" s="1176" t="s">
        <v>729</v>
      </c>
      <c r="AH273" s="1176" t="s">
        <v>729</v>
      </c>
      <c r="AI273" s="1176" t="s">
        <v>729</v>
      </c>
      <c r="AJ273" s="1173" t="s">
        <v>729</v>
      </c>
      <c r="AK273" s="1173" t="s">
        <v>729</v>
      </c>
    </row>
    <row r="274" spans="1:40" s="1398" customFormat="1">
      <c r="B274" s="1399" t="s">
        <v>1182</v>
      </c>
      <c r="C274" s="1400" t="s">
        <v>1180</v>
      </c>
      <c r="D274" s="1398" t="s">
        <v>279</v>
      </c>
      <c r="E274" s="1401"/>
      <c r="F274" s="1402">
        <f t="shared" ref="F274:I277" si="161">IF(F331&gt;0,F331,"")</f>
        <v>1.6666666666666667</v>
      </c>
      <c r="G274" s="1402">
        <f t="shared" si="161"/>
        <v>1.6666666666666667</v>
      </c>
      <c r="H274" s="1402">
        <f t="shared" si="161"/>
        <v>1.4705882352941175</v>
      </c>
      <c r="I274" s="1402">
        <f t="shared" si="161"/>
        <v>1.3513513513513513</v>
      </c>
      <c r="J274" s="1402" t="str">
        <f t="shared" ref="J274:Z276" si="162">IF(J331&gt;0,J331,"")</f>
        <v/>
      </c>
      <c r="K274" s="1402" t="str">
        <f t="shared" si="162"/>
        <v/>
      </c>
      <c r="L274" s="1402"/>
      <c r="M274" s="1402"/>
      <c r="N274" s="1402"/>
      <c r="O274" s="1402"/>
      <c r="P274" s="1402"/>
      <c r="Q274" s="1402" t="str">
        <f t="shared" si="162"/>
        <v/>
      </c>
      <c r="R274" s="1402">
        <f t="shared" si="162"/>
        <v>1142.4322480145127</v>
      </c>
      <c r="S274" s="1402" t="str">
        <f t="shared" si="162"/>
        <v/>
      </c>
      <c r="T274" s="1402">
        <f t="shared" si="162"/>
        <v>952.02687334542713</v>
      </c>
      <c r="U274" s="1402">
        <f t="shared" si="162"/>
        <v>571.21612400725633</v>
      </c>
      <c r="V274" s="1402" t="str">
        <f t="shared" si="162"/>
        <v/>
      </c>
      <c r="W274" s="1402">
        <f t="shared" si="162"/>
        <v>51.40945116065307</v>
      </c>
      <c r="X274" s="1402" t="str">
        <f t="shared" si="162"/>
        <v/>
      </c>
      <c r="Y274" s="1402">
        <f t="shared" si="162"/>
        <v>42.841209300544222</v>
      </c>
      <c r="Z274" s="1402">
        <f t="shared" si="162"/>
        <v>25.704725580326535</v>
      </c>
      <c r="AA274" s="1402" t="str">
        <f>IF(AA331&gt;0,AA331,"")</f>
        <v/>
      </c>
      <c r="AB274" s="1402" t="str">
        <f t="shared" ref="AB274:AN274" si="163">IF(AB331&gt;0,AB331,"")</f>
        <v/>
      </c>
      <c r="AC274" s="1402" t="str">
        <f t="shared" si="163"/>
        <v/>
      </c>
      <c r="AD274" s="1402" t="str">
        <f t="shared" si="163"/>
        <v/>
      </c>
      <c r="AE274" s="1402">
        <f t="shared" si="163"/>
        <v>20</v>
      </c>
      <c r="AF274" s="1402" t="str">
        <f t="shared" si="163"/>
        <v/>
      </c>
      <c r="AG274" s="1402" t="str">
        <f t="shared" si="163"/>
        <v/>
      </c>
      <c r="AH274" s="1402" t="str">
        <f t="shared" si="163"/>
        <v/>
      </c>
      <c r="AI274" s="1402">
        <f t="shared" si="163"/>
        <v>2015</v>
      </c>
      <c r="AJ274" s="1402">
        <f t="shared" si="163"/>
        <v>31.536000000000001</v>
      </c>
      <c r="AK274" s="1402" t="str">
        <f t="shared" si="163"/>
        <v/>
      </c>
      <c r="AL274" s="1402" t="str">
        <f t="shared" si="163"/>
        <v/>
      </c>
      <c r="AM274" s="1402" t="str">
        <f t="shared" si="163"/>
        <v/>
      </c>
      <c r="AN274" s="1402" t="str">
        <f t="shared" si="163"/>
        <v/>
      </c>
    </row>
    <row r="275" spans="1:40" s="1398" customFormat="1">
      <c r="B275" s="1399"/>
      <c r="C275" s="1400"/>
      <c r="E275" s="1403" t="s">
        <v>630</v>
      </c>
      <c r="F275" s="1402" t="str">
        <f t="shared" si="161"/>
        <v/>
      </c>
      <c r="G275" s="1402" t="str">
        <f t="shared" si="161"/>
        <v/>
      </c>
      <c r="H275" s="1402" t="str">
        <f t="shared" si="161"/>
        <v/>
      </c>
      <c r="I275" s="1402" t="str">
        <f t="shared" si="161"/>
        <v/>
      </c>
      <c r="J275" s="1402" t="str">
        <f t="shared" ref="J275:Y275" si="164">IF(J332&gt;0,J332,"")</f>
        <v/>
      </c>
      <c r="K275" s="1402">
        <f t="shared" si="164"/>
        <v>1</v>
      </c>
      <c r="L275" s="1402"/>
      <c r="M275" s="1402"/>
      <c r="N275" s="1402"/>
      <c r="O275" s="1402"/>
      <c r="P275" s="1402"/>
      <c r="Q275" s="1402" t="str">
        <f t="shared" si="164"/>
        <v/>
      </c>
      <c r="R275" s="1402" t="str">
        <f t="shared" si="164"/>
        <v/>
      </c>
      <c r="S275" s="1402" t="str">
        <f t="shared" si="164"/>
        <v/>
      </c>
      <c r="T275" s="1402" t="str">
        <f t="shared" si="164"/>
        <v/>
      </c>
      <c r="U275" s="1402" t="str">
        <f t="shared" si="164"/>
        <v/>
      </c>
      <c r="V275" s="1402" t="str">
        <f t="shared" si="164"/>
        <v/>
      </c>
      <c r="W275" s="1402" t="str">
        <f t="shared" si="164"/>
        <v/>
      </c>
      <c r="X275" s="1402" t="str">
        <f t="shared" si="164"/>
        <v/>
      </c>
      <c r="Y275" s="1402" t="str">
        <f t="shared" si="164"/>
        <v/>
      </c>
      <c r="Z275" s="1402" t="str">
        <f t="shared" si="162"/>
        <v/>
      </c>
      <c r="AA275" s="1402" t="str">
        <f t="shared" ref="AA275:AN275" si="165">IF(AA332&gt;0,AA332,"")</f>
        <v/>
      </c>
      <c r="AB275" s="1402" t="str">
        <f t="shared" si="165"/>
        <v/>
      </c>
      <c r="AC275" s="1402" t="str">
        <f t="shared" si="165"/>
        <v/>
      </c>
      <c r="AD275" s="1402" t="str">
        <f t="shared" si="165"/>
        <v/>
      </c>
      <c r="AE275" s="1402" t="str">
        <f t="shared" si="165"/>
        <v/>
      </c>
      <c r="AF275" s="1402" t="str">
        <f t="shared" si="165"/>
        <v/>
      </c>
      <c r="AG275" s="1402" t="str">
        <f t="shared" si="165"/>
        <v/>
      </c>
      <c r="AH275" s="1402" t="str">
        <f t="shared" si="165"/>
        <v/>
      </c>
      <c r="AI275" s="1402" t="str">
        <f t="shared" si="165"/>
        <v/>
      </c>
      <c r="AJ275" s="1402" t="str">
        <f t="shared" si="165"/>
        <v/>
      </c>
      <c r="AK275" s="1402" t="str">
        <f t="shared" si="165"/>
        <v/>
      </c>
      <c r="AL275" s="1402" t="str">
        <f t="shared" si="165"/>
        <v/>
      </c>
      <c r="AM275" s="1402" t="str">
        <f t="shared" si="165"/>
        <v/>
      </c>
      <c r="AN275" s="1402" t="str">
        <f t="shared" si="165"/>
        <v/>
      </c>
    </row>
    <row r="276" spans="1:40" s="1398" customFormat="1">
      <c r="B276" s="1399" t="s">
        <v>1183</v>
      </c>
      <c r="C276" s="1400" t="s">
        <v>1181</v>
      </c>
      <c r="D276" s="1398" t="s">
        <v>1009</v>
      </c>
      <c r="E276" s="1401"/>
      <c r="F276" s="1402">
        <f t="shared" si="161"/>
        <v>1.6666666666666667</v>
      </c>
      <c r="G276" s="1402">
        <f t="shared" si="161"/>
        <v>1.6666666666666667</v>
      </c>
      <c r="H276" s="1402">
        <f t="shared" si="161"/>
        <v>1.4705882352941175</v>
      </c>
      <c r="I276" s="1402">
        <f t="shared" si="161"/>
        <v>1.3513513513513513</v>
      </c>
      <c r="J276" s="1402" t="str">
        <f t="shared" si="162"/>
        <v/>
      </c>
      <c r="K276" s="1402" t="str">
        <f t="shared" si="162"/>
        <v/>
      </c>
      <c r="L276" s="1402"/>
      <c r="M276" s="1402"/>
      <c r="N276" s="1402"/>
      <c r="O276" s="1402"/>
      <c r="P276" s="1402"/>
      <c r="Q276" s="1402" t="str">
        <f t="shared" si="162"/>
        <v/>
      </c>
      <c r="R276" s="1402">
        <f t="shared" si="162"/>
        <v>1142.4322480145127</v>
      </c>
      <c r="S276" s="1402" t="str">
        <f t="shared" si="162"/>
        <v/>
      </c>
      <c r="T276" s="1402">
        <f t="shared" si="162"/>
        <v>952.02687334542713</v>
      </c>
      <c r="U276" s="1402">
        <f t="shared" si="162"/>
        <v>571.21612400725633</v>
      </c>
      <c r="V276" s="1402" t="str">
        <f t="shared" si="162"/>
        <v/>
      </c>
      <c r="W276" s="1402">
        <f t="shared" si="162"/>
        <v>51.40945116065307</v>
      </c>
      <c r="X276" s="1402" t="str">
        <f t="shared" si="162"/>
        <v/>
      </c>
      <c r="Y276" s="1402">
        <f t="shared" si="162"/>
        <v>42.841209300544222</v>
      </c>
      <c r="Z276" s="1402">
        <f t="shared" si="162"/>
        <v>25.704725580326535</v>
      </c>
      <c r="AA276" s="1402" t="str">
        <f t="shared" ref="AA276:AN276" si="166">IF(AA333&gt;0,AA333,"")</f>
        <v/>
      </c>
      <c r="AB276" s="1402" t="str">
        <f t="shared" si="166"/>
        <v/>
      </c>
      <c r="AC276" s="1402" t="str">
        <f t="shared" si="166"/>
        <v/>
      </c>
      <c r="AD276" s="1402" t="str">
        <f t="shared" si="166"/>
        <v/>
      </c>
      <c r="AE276" s="1402">
        <f t="shared" si="166"/>
        <v>20</v>
      </c>
      <c r="AF276" s="1402" t="str">
        <f t="shared" si="166"/>
        <v/>
      </c>
      <c r="AG276" s="1402" t="str">
        <f t="shared" si="166"/>
        <v/>
      </c>
      <c r="AH276" s="1402" t="str">
        <f t="shared" si="166"/>
        <v/>
      </c>
      <c r="AI276" s="1402">
        <f t="shared" si="166"/>
        <v>2015</v>
      </c>
      <c r="AJ276" s="1402">
        <f t="shared" si="166"/>
        <v>31.536000000000001</v>
      </c>
      <c r="AK276" s="1402" t="str">
        <f t="shared" si="166"/>
        <v/>
      </c>
      <c r="AL276" s="1402" t="str">
        <f t="shared" si="166"/>
        <v/>
      </c>
      <c r="AM276" s="1402" t="str">
        <f t="shared" si="166"/>
        <v/>
      </c>
      <c r="AN276" s="1402" t="str">
        <f t="shared" si="166"/>
        <v/>
      </c>
    </row>
    <row r="277" spans="1:40" s="1398" customFormat="1">
      <c r="B277" s="1399"/>
      <c r="C277" s="1400"/>
      <c r="E277" s="1403" t="s">
        <v>630</v>
      </c>
      <c r="F277" s="1402" t="str">
        <f t="shared" si="161"/>
        <v/>
      </c>
      <c r="G277" s="1402" t="str">
        <f t="shared" si="161"/>
        <v/>
      </c>
      <c r="H277" s="1402" t="str">
        <f t="shared" si="161"/>
        <v/>
      </c>
      <c r="I277" s="1402" t="str">
        <f t="shared" si="161"/>
        <v/>
      </c>
      <c r="J277" s="1402" t="str">
        <f>IF(J334&gt;0,J334,"")</f>
        <v/>
      </c>
      <c r="K277" s="1402">
        <f>IF(K334&gt;0,K334,"")</f>
        <v>1</v>
      </c>
      <c r="L277" s="1402"/>
      <c r="M277" s="1402"/>
      <c r="N277" s="1402"/>
      <c r="O277" s="1402"/>
      <c r="P277" s="1402"/>
      <c r="Q277" s="1402" t="str">
        <f t="shared" ref="Q277:AA277" si="167">IF(Q334&gt;0,Q334,"")</f>
        <v/>
      </c>
      <c r="R277" s="1402" t="str">
        <f t="shared" si="167"/>
        <v/>
      </c>
      <c r="S277" s="1402" t="str">
        <f t="shared" si="167"/>
        <v/>
      </c>
      <c r="T277" s="1402" t="str">
        <f t="shared" si="167"/>
        <v/>
      </c>
      <c r="U277" s="1402" t="str">
        <f t="shared" si="167"/>
        <v/>
      </c>
      <c r="V277" s="1402" t="str">
        <f t="shared" si="167"/>
        <v/>
      </c>
      <c r="W277" s="1402" t="str">
        <f t="shared" si="167"/>
        <v/>
      </c>
      <c r="X277" s="1402" t="str">
        <f t="shared" si="167"/>
        <v/>
      </c>
      <c r="Y277" s="1402" t="str">
        <f t="shared" si="167"/>
        <v/>
      </c>
      <c r="Z277" s="1402" t="str">
        <f t="shared" si="167"/>
        <v/>
      </c>
      <c r="AA277" s="1402" t="str">
        <f t="shared" si="167"/>
        <v/>
      </c>
      <c r="AB277" s="1402" t="str">
        <f t="shared" ref="AB277:AN277" si="168">IF(AB334&gt;0,AB334,"")</f>
        <v/>
      </c>
      <c r="AC277" s="1402" t="str">
        <f t="shared" si="168"/>
        <v/>
      </c>
      <c r="AD277" s="1402" t="str">
        <f t="shared" si="168"/>
        <v/>
      </c>
      <c r="AE277" s="1402" t="str">
        <f t="shared" si="168"/>
        <v/>
      </c>
      <c r="AF277" s="1402" t="str">
        <f t="shared" si="168"/>
        <v/>
      </c>
      <c r="AG277" s="1402" t="str">
        <f t="shared" si="168"/>
        <v/>
      </c>
      <c r="AH277" s="1402" t="str">
        <f t="shared" si="168"/>
        <v/>
      </c>
      <c r="AI277" s="1402" t="str">
        <f t="shared" si="168"/>
        <v/>
      </c>
      <c r="AJ277" s="1402" t="str">
        <f t="shared" si="168"/>
        <v/>
      </c>
      <c r="AK277" s="1402" t="str">
        <f t="shared" si="168"/>
        <v/>
      </c>
      <c r="AL277" s="1402" t="str">
        <f t="shared" si="168"/>
        <v/>
      </c>
      <c r="AM277" s="1402" t="str">
        <f t="shared" si="168"/>
        <v/>
      </c>
      <c r="AN277" s="1402" t="str">
        <f t="shared" si="168"/>
        <v/>
      </c>
    </row>
    <row r="278" spans="1:40" s="1169" customFormat="1">
      <c r="B278" s="1170" t="s">
        <v>1248</v>
      </c>
      <c r="C278" s="1171" t="s">
        <v>1264</v>
      </c>
      <c r="D278" s="1169" t="s">
        <v>1009</v>
      </c>
      <c r="E278" s="1177"/>
      <c r="F278" s="1173" t="str">
        <f>IF(F338&gt;0,F338,"")</f>
        <v/>
      </c>
      <c r="G278" s="1173" t="str">
        <f>IF(G338&gt;0,G338,"")</f>
        <v/>
      </c>
      <c r="H278" s="1173" t="str">
        <f>IF(H338&gt;0,H338,"")</f>
        <v/>
      </c>
      <c r="I278" s="1173" t="str">
        <f>IF(I338&gt;0,I338,"")</f>
        <v/>
      </c>
      <c r="J278" s="1173" t="str">
        <f t="shared" ref="J278:K278" si="169">IF(J338&gt;0,J338,"")</f>
        <v/>
      </c>
      <c r="K278" s="1173" t="str">
        <f t="shared" si="169"/>
        <v/>
      </c>
      <c r="L278" s="1173">
        <f>1/G276</f>
        <v>0.6</v>
      </c>
      <c r="M278" s="1173">
        <f t="shared" ref="M278:N278" si="170">1/H276</f>
        <v>0.68</v>
      </c>
      <c r="N278" s="1173">
        <f t="shared" si="170"/>
        <v>0.74</v>
      </c>
      <c r="O278" s="1173"/>
      <c r="P278" s="1173"/>
      <c r="Q278" s="1173" t="str">
        <f>IF(Q338&gt;0,Q338,"")</f>
        <v/>
      </c>
      <c r="R278" s="1173">
        <f>R276</f>
        <v>1142.4322480145127</v>
      </c>
      <c r="S278" s="1173" t="str">
        <f>IF(S338&gt;0,S338,"")</f>
        <v/>
      </c>
      <c r="T278" s="1173">
        <f t="shared" ref="T278:U278" si="171">T276</f>
        <v>952.02687334542713</v>
      </c>
      <c r="U278" s="1173">
        <f t="shared" si="171"/>
        <v>571.21612400725633</v>
      </c>
      <c r="V278" s="1173" t="str">
        <f>IF(V338&gt;0,V338,"")</f>
        <v/>
      </c>
      <c r="W278" s="1173">
        <f>W276</f>
        <v>51.40945116065307</v>
      </c>
      <c r="X278" s="1173" t="str">
        <f>IF(X338&gt;0,X338,"")</f>
        <v/>
      </c>
      <c r="Y278" s="1173">
        <f t="shared" ref="Y278:Z278" si="172">Y276</f>
        <v>42.841209300544222</v>
      </c>
      <c r="Z278" s="1173">
        <f t="shared" si="172"/>
        <v>25.704725580326535</v>
      </c>
      <c r="AA278" s="1173" t="str">
        <f>IF(AA338&gt;0,AA338,"")</f>
        <v/>
      </c>
      <c r="AB278" s="1173" t="str">
        <f>IF(AB338&gt;0,AB338,"")</f>
        <v/>
      </c>
      <c r="AC278" s="1173" t="str">
        <f>IF(AC338&gt;0,AC338,"")</f>
        <v/>
      </c>
      <c r="AD278" s="1173" t="str">
        <f>IF(AD338&gt;0,AD338,"")</f>
        <v/>
      </c>
      <c r="AE278" s="1173">
        <f>AE276</f>
        <v>20</v>
      </c>
      <c r="AF278" s="1173" t="str">
        <f>IF(AF338&gt;0,AF338,"")</f>
        <v/>
      </c>
      <c r="AG278" s="1173" t="str">
        <f>IF(AG338&gt;0,AG338,"")</f>
        <v/>
      </c>
      <c r="AH278" s="1173" t="str">
        <f>IF(AH338&gt;0,AH338,"")</f>
        <v/>
      </c>
      <c r="AI278" s="1173">
        <f>AI276</f>
        <v>2015</v>
      </c>
      <c r="AJ278" s="1173">
        <f>AJ276</f>
        <v>31.536000000000001</v>
      </c>
      <c r="AK278" s="1173" t="str">
        <f>IF(AK338&gt;0,AK338,"")</f>
        <v/>
      </c>
      <c r="AL278" s="1173" t="str">
        <f>IF(AL338&gt;0,AL338,"")</f>
        <v/>
      </c>
      <c r="AM278" s="1173" t="str">
        <f>IF(AM338&gt;0,AM338,"")</f>
        <v/>
      </c>
      <c r="AN278" s="1173" t="str">
        <f>IF(AN338&gt;0,AN338,"")</f>
        <v/>
      </c>
    </row>
    <row r="279" spans="1:40" s="1169" customFormat="1">
      <c r="B279" s="1170"/>
      <c r="C279" s="1171"/>
      <c r="D279" s="1169" t="s">
        <v>279</v>
      </c>
      <c r="E279" s="1177"/>
      <c r="F279" s="1173"/>
      <c r="G279" s="1173"/>
      <c r="H279" s="1173"/>
      <c r="I279" s="1173"/>
      <c r="J279" s="1173"/>
      <c r="K279" s="1173"/>
      <c r="L279" s="1173"/>
      <c r="M279" s="1173"/>
      <c r="N279" s="1173"/>
      <c r="O279" s="1173"/>
      <c r="P279" s="1173"/>
      <c r="Q279" s="1173"/>
      <c r="R279" s="1173"/>
      <c r="S279" s="1173"/>
      <c r="T279" s="1173"/>
      <c r="U279" s="1173"/>
      <c r="V279" s="1173"/>
      <c r="W279" s="1173"/>
      <c r="X279" s="1173"/>
      <c r="Y279" s="1173"/>
      <c r="Z279" s="1173"/>
      <c r="AA279" s="1173"/>
      <c r="AB279" s="1173"/>
      <c r="AC279" s="1173"/>
      <c r="AD279" s="1173"/>
      <c r="AE279" s="1173"/>
      <c r="AF279" s="1173"/>
      <c r="AG279" s="1173"/>
      <c r="AH279" s="1173"/>
      <c r="AI279" s="1173"/>
      <c r="AJ279" s="1173"/>
      <c r="AK279" s="1173"/>
      <c r="AL279" s="1173"/>
      <c r="AM279" s="1173"/>
      <c r="AN279" s="1173"/>
    </row>
    <row r="280" spans="1:40" s="1169" customFormat="1">
      <c r="B280" s="1170"/>
      <c r="C280" s="1171"/>
      <c r="E280" s="1172" t="s">
        <v>630</v>
      </c>
      <c r="F280" s="1173" t="str">
        <f t="shared" ref="F280:K280" si="173">IF(F339&gt;0,F339,"")</f>
        <v/>
      </c>
      <c r="G280" s="1173" t="str">
        <f t="shared" si="173"/>
        <v/>
      </c>
      <c r="H280" s="1173" t="str">
        <f t="shared" si="173"/>
        <v/>
      </c>
      <c r="I280" s="1173" t="str">
        <f t="shared" si="173"/>
        <v/>
      </c>
      <c r="J280" s="1173" t="str">
        <f t="shared" si="173"/>
        <v/>
      </c>
      <c r="K280" s="1173" t="str">
        <f t="shared" si="173"/>
        <v/>
      </c>
      <c r="L280" s="1173"/>
      <c r="M280" s="1173"/>
      <c r="N280" s="1173"/>
      <c r="O280" s="1173"/>
      <c r="P280" s="1173" t="str">
        <f t="shared" ref="P280:AA280" si="174">IF(P339&gt;0,P339,"")</f>
        <v/>
      </c>
      <c r="Q280" s="1173" t="str">
        <f t="shared" si="174"/>
        <v/>
      </c>
      <c r="R280" s="1173" t="str">
        <f t="shared" si="174"/>
        <v/>
      </c>
      <c r="S280" s="1173" t="str">
        <f t="shared" si="174"/>
        <v/>
      </c>
      <c r="T280" s="1173" t="str">
        <f t="shared" si="174"/>
        <v/>
      </c>
      <c r="U280" s="1173" t="str">
        <f t="shared" si="174"/>
        <v/>
      </c>
      <c r="V280" s="1173" t="str">
        <f t="shared" si="174"/>
        <v/>
      </c>
      <c r="W280" s="1173" t="str">
        <f t="shared" si="174"/>
        <v/>
      </c>
      <c r="X280" s="1173" t="str">
        <f t="shared" si="174"/>
        <v/>
      </c>
      <c r="Y280" s="1173" t="str">
        <f t="shared" si="174"/>
        <v/>
      </c>
      <c r="Z280" s="1173" t="str">
        <f t="shared" si="174"/>
        <v/>
      </c>
      <c r="AA280" s="1173" t="str">
        <f t="shared" si="174"/>
        <v/>
      </c>
      <c r="AB280" s="1173" t="str">
        <f t="shared" ref="AB280:AN280" si="175">IF(AB339&gt;0,AB339,"")</f>
        <v/>
      </c>
      <c r="AC280" s="1173" t="str">
        <f t="shared" si="175"/>
        <v/>
      </c>
      <c r="AD280" s="1173" t="str">
        <f t="shared" si="175"/>
        <v/>
      </c>
      <c r="AE280" s="1173" t="str">
        <f t="shared" si="175"/>
        <v/>
      </c>
      <c r="AF280" s="1173" t="str">
        <f t="shared" si="175"/>
        <v/>
      </c>
      <c r="AG280" s="1173" t="str">
        <f t="shared" si="175"/>
        <v/>
      </c>
      <c r="AH280" s="1173" t="str">
        <f t="shared" si="175"/>
        <v/>
      </c>
      <c r="AI280" s="1173" t="str">
        <f t="shared" si="175"/>
        <v/>
      </c>
      <c r="AJ280" s="1173" t="str">
        <f t="shared" si="175"/>
        <v/>
      </c>
      <c r="AK280" s="1173" t="str">
        <f t="shared" si="175"/>
        <v/>
      </c>
      <c r="AL280" s="1173" t="str">
        <f t="shared" si="175"/>
        <v/>
      </c>
      <c r="AM280" s="1173" t="str">
        <f t="shared" si="175"/>
        <v/>
      </c>
      <c r="AN280" s="1173" t="str">
        <f t="shared" si="175"/>
        <v/>
      </c>
    </row>
    <row r="281" spans="1:40" s="582" customFormat="1">
      <c r="A281" s="628" t="s">
        <v>599</v>
      </c>
      <c r="B281" s="976" t="s">
        <v>549</v>
      </c>
      <c r="C281" s="508" t="str">
        <f>D367</f>
        <v>H2 Production-Methane Steam Reforming + Carbon Capture, small size, centralized</v>
      </c>
      <c r="D281" s="582" t="s">
        <v>347</v>
      </c>
      <c r="E281" s="535"/>
      <c r="F281" s="545">
        <f>IF('INPUT-Data(HP)'!K24=0,"",'INPUT-Data(HP)'!K24)</f>
        <v>1.81</v>
      </c>
      <c r="G281" s="545">
        <f t="shared" ref="G281:G282" si="176">F281</f>
        <v>1.81</v>
      </c>
      <c r="H281" s="545">
        <f>IF('INPUT-Data(HP)'!M24=0,"",'INPUT-Data(HP)'!M24)</f>
        <v>1.81</v>
      </c>
      <c r="I281" s="545">
        <f>IF('INPUT-Data(HP)'!N24=0,"",'INPUT-Data(HP)'!N24)</f>
        <v>1.55</v>
      </c>
      <c r="J281" s="545"/>
      <c r="K281" s="545"/>
      <c r="L281" s="545"/>
      <c r="M281" s="545"/>
      <c r="N281" s="545"/>
      <c r="O281" s="545"/>
      <c r="P281" s="615">
        <f>'INPUT-Data(HP)'!V24</f>
        <v>0.9</v>
      </c>
      <c r="Q281" s="610">
        <f>F1*IF('INPUT-Data(HP)'!W24=0,"",'INPUT-Data(HP)'!W24)</f>
        <v>1420.5697096595127</v>
      </c>
      <c r="R281" s="610">
        <f>F1*IF('INPUT-Data(HP)'!X24=0,"",'INPUT-Data(HP)'!X24)</f>
        <v>1263.1722669768239</v>
      </c>
      <c r="S281" s="610">
        <f>F1*IF('INPUT-Data(HP)'!Y24=0,"",'INPUT-Data(HP)'!Y24)</f>
        <v>1263.1722669768239</v>
      </c>
      <c r="T281" s="610">
        <f>F1*IF('INPUT-Data(HP)'!Z24=0,"",'INPUT-Data(HP)'!Z24)</f>
        <v>890.16764646711465</v>
      </c>
      <c r="U281" s="610"/>
      <c r="V281" s="610">
        <f>F1*IF('INPUT-Data(HP)'!AB24=0,"",'INPUT-Data(HP)'!AB24)</f>
        <v>34.253382052440912</v>
      </c>
      <c r="W281" s="610">
        <f t="shared" ref="W281" si="177">V281</f>
        <v>34.253382052440912</v>
      </c>
      <c r="X281" s="610">
        <f>F1*IF('INPUT-Data(HP)'!AD24=0,"",'INPUT-Data(HP)'!AD24)</f>
        <v>34.253382052440912</v>
      </c>
      <c r="Y281" s="610">
        <f>F1*IF('INPUT-Data(HP)'!AE24=0,"",'INPUT-Data(HP)'!AE24)</f>
        <v>17.652049646656668</v>
      </c>
      <c r="Z281" s="610"/>
      <c r="AA281" s="581">
        <f>F1*IF('INPUT-Data(HP)'!AG24=0,"",'INPUT-Data(HP)'!AG24)</f>
        <v>0.4960683743337575</v>
      </c>
      <c r="AB281" s="581"/>
      <c r="AC281" s="581">
        <f>F1*IF('INPUT-Data(HP)'!AI24=0,"",'INPUT-Data(HP)'!AI24)</f>
        <v>0.4960683743337575</v>
      </c>
      <c r="AD281" s="581">
        <f>F1*IF('INPUT-Data(HP)'!AJ24=0,"",'INPUT-Data(HP)'!AJ24)</f>
        <v>0.3109682346569822</v>
      </c>
      <c r="AE281" s="580">
        <f>IF('INPUT-Data(HP)'!AK24=0,"",'INPUT-Data(HP)'!AK24)</f>
        <v>20</v>
      </c>
      <c r="AF281" s="580"/>
      <c r="AG281" s="580"/>
      <c r="AH281" s="580"/>
      <c r="AI281" s="580">
        <f>IF('INPUT-Data(HP)'!AL24=0,"",'INPUT-Data(HP)'!AL24)</f>
        <v>2015</v>
      </c>
      <c r="AJ281" s="581">
        <v>31.536000000000001</v>
      </c>
      <c r="AK281" s="581"/>
    </row>
    <row r="282" spans="1:40" s="582" customFormat="1">
      <c r="A282" s="628" t="s">
        <v>599</v>
      </c>
      <c r="B282" s="976"/>
      <c r="C282" s="508"/>
      <c r="D282" s="535" t="s">
        <v>399</v>
      </c>
      <c r="E282" s="535"/>
      <c r="F282" s="545">
        <f>IF('INPUT-Data(HP)'!P24=0,"",'INPUT-Data(HP)'!P24)</f>
        <v>6.5000000000000002E-2</v>
      </c>
      <c r="G282" s="545">
        <f t="shared" si="176"/>
        <v>6.5000000000000002E-2</v>
      </c>
      <c r="H282" s="545">
        <f>IF('INPUT-Data(HP)'!R24=0,"",'INPUT-Data(HP)'!R24)</f>
        <v>6.5000000000000002E-2</v>
      </c>
      <c r="I282" s="545">
        <f>IF('INPUT-Data(HP)'!S24=0,"",'INPUT-Data(HP)'!S24)</f>
        <v>0.05</v>
      </c>
      <c r="J282" s="545"/>
      <c r="K282" s="545"/>
      <c r="L282" s="545"/>
      <c r="M282" s="545"/>
      <c r="N282" s="545"/>
      <c r="O282" s="545"/>
      <c r="P282" s="615"/>
      <c r="Q282" s="610"/>
      <c r="R282" s="610"/>
      <c r="S282" s="610"/>
      <c r="T282" s="610"/>
      <c r="U282" s="610"/>
      <c r="V282" s="610"/>
      <c r="W282" s="610"/>
      <c r="X282" s="610"/>
      <c r="Y282" s="610"/>
      <c r="Z282" s="610"/>
      <c r="AA282" s="581"/>
      <c r="AB282" s="581"/>
      <c r="AC282" s="581"/>
      <c r="AD282" s="581"/>
      <c r="AE282" s="580"/>
      <c r="AF282" s="580"/>
      <c r="AG282" s="580"/>
      <c r="AH282" s="580"/>
      <c r="AI282" s="580"/>
    </row>
    <row r="283" spans="1:40" s="582" customFormat="1">
      <c r="A283" s="628" t="s">
        <v>599</v>
      </c>
      <c r="B283" s="976"/>
      <c r="C283" s="508"/>
      <c r="E283" s="579" t="s">
        <v>525</v>
      </c>
      <c r="F283" s="545"/>
      <c r="G283" s="545"/>
      <c r="H283" s="545"/>
      <c r="I283" s="545"/>
      <c r="J283" s="545"/>
      <c r="K283" s="545">
        <f>'INPUT-Data(HP)'!T24</f>
        <v>1</v>
      </c>
      <c r="L283" s="545"/>
      <c r="M283" s="545"/>
      <c r="N283" s="545"/>
      <c r="O283" s="545"/>
      <c r="P283" s="615"/>
      <c r="Q283" s="610"/>
      <c r="R283" s="610"/>
      <c r="S283" s="610"/>
      <c r="T283" s="610"/>
      <c r="U283" s="610"/>
      <c r="V283" s="610"/>
      <c r="W283" s="610"/>
      <c r="X283" s="610"/>
      <c r="Y283" s="610"/>
      <c r="Z283" s="610"/>
      <c r="AA283" s="581"/>
      <c r="AB283" s="581"/>
      <c r="AC283" s="581"/>
      <c r="AD283" s="581"/>
      <c r="AE283" s="580"/>
      <c r="AF283" s="580"/>
      <c r="AG283" s="580"/>
      <c r="AH283" s="580"/>
      <c r="AI283" s="580"/>
    </row>
    <row r="284" spans="1:40" s="574" customFormat="1">
      <c r="A284" s="628" t="s">
        <v>599</v>
      </c>
      <c r="B284" s="977" t="s">
        <v>530</v>
      </c>
      <c r="C284" s="573" t="str">
        <f>D365</f>
        <v>H2 Production-Methane Steam Reforming, small size, centralized</v>
      </c>
      <c r="D284" s="574" t="s">
        <v>343</v>
      </c>
      <c r="E284" s="512"/>
      <c r="F284" s="602">
        <f>IF('INPUT-Data(HP)'!K22=0,"",'INPUT-Data(HP)'!K22)</f>
        <v>1.81</v>
      </c>
      <c r="G284" s="602">
        <f t="shared" ref="G284:G285" si="178">F284</f>
        <v>1.81</v>
      </c>
      <c r="H284" s="602">
        <f>IF('INPUT-Data(HP)'!M22=0,"",'INPUT-Data(HP)'!M22)</f>
        <v>1.81</v>
      </c>
      <c r="I284" s="602">
        <f>IF('INPUT-Data(HP)'!N22=0,"",'INPUT-Data(HP)'!N22)</f>
        <v>1.55</v>
      </c>
      <c r="J284" s="602"/>
      <c r="K284" s="602"/>
      <c r="L284" s="602"/>
      <c r="M284" s="602"/>
      <c r="N284" s="602"/>
      <c r="O284" s="602"/>
      <c r="P284" s="608">
        <f>'INPUT-Data(HP)'!V22</f>
        <v>0.9</v>
      </c>
      <c r="Q284" s="701">
        <f>F1*IF('INPUT-Data(HP)'!W22=0,"",'INPUT-Data(HP)'!W22)</f>
        <v>1420.5697096595127</v>
      </c>
      <c r="R284" s="701">
        <f>F1*IF('INPUT-Data(HP)'!X22=0,"",'INPUT-Data(HP)'!X22)</f>
        <v>1263.1722669768239</v>
      </c>
      <c r="S284" s="701">
        <f>F1*IF('INPUT-Data(HP)'!Y22=0,"",'INPUT-Data(HP)'!Y22)</f>
        <v>1263.1722669768239</v>
      </c>
      <c r="T284" s="701">
        <f>F1*IF('INPUT-Data(HP)'!Z22=0,"",'INPUT-Data(HP)'!Z22)</f>
        <v>890.16764646711465</v>
      </c>
      <c r="U284" s="701"/>
      <c r="V284" s="701">
        <f>F1*IF('INPUT-Data(HP)'!AB22=0,"",'INPUT-Data(HP)'!AB22)</f>
        <v>34.253382052440912</v>
      </c>
      <c r="W284" s="701">
        <f t="shared" ref="W284" si="179">V284</f>
        <v>34.253382052440912</v>
      </c>
      <c r="X284" s="701">
        <f>F1*IF('INPUT-Data(HP)'!AD22=0,"",'INPUT-Data(HP)'!AD22)</f>
        <v>34.253382052440912</v>
      </c>
      <c r="Y284" s="701">
        <f>F1*IF('INPUT-Data(HP)'!AE22=0,"",'INPUT-Data(HP)'!AE22)</f>
        <v>17.652049646656668</v>
      </c>
      <c r="Z284" s="701"/>
      <c r="AA284" s="700">
        <f>F1*IF('INPUT-Data(HP)'!AG22=0,"",'INPUT-Data(HP)'!AG22)</f>
        <v>0.4960683743337575</v>
      </c>
      <c r="AB284" s="700"/>
      <c r="AC284" s="700">
        <f>F1*IF('INPUT-Data(HP)'!AI22=0,"",'INPUT-Data(HP)'!AI22)</f>
        <v>0.4960683743337575</v>
      </c>
      <c r="AD284" s="700">
        <f>F1*IF('INPUT-Data(HP)'!AJ22=0,"",'INPUT-Data(HP)'!AJ22)</f>
        <v>0.3109682346569822</v>
      </c>
      <c r="AE284" s="572">
        <f>IF('INPUT-Data(HP)'!AK22=0,"",'INPUT-Data(HP)'!AK22)</f>
        <v>20</v>
      </c>
      <c r="AF284" s="572"/>
      <c r="AG284" s="572"/>
      <c r="AH284" s="572"/>
      <c r="AI284" s="572">
        <f>IF('INPUT-Data(HP)'!AL22=0,"",'INPUT-Data(HP)'!AL22)</f>
        <v>2015</v>
      </c>
      <c r="AJ284" s="700">
        <v>31.536000000000001</v>
      </c>
      <c r="AK284" s="700"/>
    </row>
    <row r="285" spans="1:40" s="574" customFormat="1">
      <c r="A285" s="628" t="s">
        <v>599</v>
      </c>
      <c r="B285" s="978"/>
      <c r="D285" s="512" t="s">
        <v>534</v>
      </c>
      <c r="E285" s="512"/>
      <c r="F285" s="602">
        <f>IF('INPUT-Data(HP)'!P22=0,"",'INPUT-Data(HP)'!P22)</f>
        <v>6.5000000000000002E-2</v>
      </c>
      <c r="G285" s="602">
        <f t="shared" si="178"/>
        <v>6.5000000000000002E-2</v>
      </c>
      <c r="H285" s="602">
        <f>IF('INPUT-Data(HP)'!R22=0,"",'INPUT-Data(HP)'!R22)</f>
        <v>6.5000000000000002E-2</v>
      </c>
      <c r="I285" s="700">
        <f>IF('INPUT-Data(HP)'!S22=0,"",'INPUT-Data(HP)'!S22)</f>
        <v>0.05</v>
      </c>
      <c r="J285" s="700"/>
      <c r="K285" s="602"/>
      <c r="L285" s="602"/>
      <c r="M285" s="602"/>
      <c r="N285" s="602"/>
      <c r="O285" s="602"/>
      <c r="Q285" s="570"/>
      <c r="R285" s="570"/>
      <c r="S285" s="570"/>
      <c r="T285" s="569"/>
      <c r="U285" s="569"/>
      <c r="V285" s="570"/>
      <c r="W285" s="570"/>
      <c r="X285" s="570"/>
      <c r="Y285" s="569"/>
      <c r="Z285" s="569"/>
      <c r="AC285" s="571"/>
      <c r="AI285" s="571"/>
    </row>
    <row r="286" spans="1:40" s="574" customFormat="1">
      <c r="A286" s="628" t="s">
        <v>599</v>
      </c>
      <c r="B286" s="978"/>
      <c r="E286" s="568" t="s">
        <v>536</v>
      </c>
      <c r="F286" s="602"/>
      <c r="G286" s="602"/>
      <c r="H286" s="602"/>
      <c r="I286" s="602"/>
      <c r="J286" s="602"/>
      <c r="K286" s="602">
        <f>'INPUT-Data(HP)'!T22</f>
        <v>1</v>
      </c>
      <c r="L286" s="602"/>
      <c r="M286" s="602"/>
      <c r="N286" s="602"/>
      <c r="O286" s="602"/>
      <c r="Q286" s="570"/>
      <c r="R286" s="570"/>
      <c r="S286" s="570"/>
      <c r="T286" s="569"/>
      <c r="U286" s="569"/>
      <c r="V286" s="570"/>
      <c r="W286" s="570"/>
      <c r="X286" s="570"/>
      <c r="Y286" s="569"/>
      <c r="Z286" s="569"/>
      <c r="AC286" s="571"/>
      <c r="AI286" s="571"/>
    </row>
    <row r="287" spans="1:40" s="567" customFormat="1">
      <c r="A287" s="628" t="s">
        <v>599</v>
      </c>
      <c r="B287" s="979" t="s">
        <v>531</v>
      </c>
      <c r="C287" s="566" t="str">
        <f>D366</f>
        <v>H2 Production-Methane Steam Reforming + Carbon Capture, large size, centralized</v>
      </c>
      <c r="D287" s="567" t="s">
        <v>342</v>
      </c>
      <c r="F287" s="565">
        <f>IF('INPUT-Data(HP)'!K23=0,"",'INPUT-Data(HP)'!K23)</f>
        <v>1.81</v>
      </c>
      <c r="G287" s="565">
        <f t="shared" ref="G287:G288" si="180">F287</f>
        <v>1.81</v>
      </c>
      <c r="H287" s="565">
        <f>IF('INPUT-Data(HP)'!M23=0,"",'INPUT-Data(HP)'!M23)</f>
        <v>1.81</v>
      </c>
      <c r="I287" s="565">
        <f>IF('INPUT-Data(HP)'!N23=0,"",'INPUT-Data(HP)'!N23)</f>
        <v>1.55</v>
      </c>
      <c r="J287" s="565"/>
      <c r="K287" s="565"/>
      <c r="L287" s="565"/>
      <c r="M287" s="565"/>
      <c r="N287" s="565"/>
      <c r="O287" s="565"/>
      <c r="P287" s="564">
        <f>'INPUT-Data(HP)'!V23</f>
        <v>0.9</v>
      </c>
      <c r="Q287" s="563">
        <f>F1*IF('INPUT-Data(HP)'!W23=0,"",'INPUT-Data(HP)'!W23)</f>
        <v>1420.5697096595127</v>
      </c>
      <c r="R287" s="563">
        <f>F1*IF('INPUT-Data(HP)'!X23=0,"",'INPUT-Data(HP)'!X23)</f>
        <v>1263.1722669768239</v>
      </c>
      <c r="S287" s="563">
        <f>F1*IF('INPUT-Data(HP)'!Y23=0,"",'INPUT-Data(HP)'!Y23)</f>
        <v>1263.1722669768239</v>
      </c>
      <c r="T287" s="563">
        <f>F1*IF('INPUT-Data(HP)'!Z23=0,"",'INPUT-Data(HP)'!Z23)</f>
        <v>890.16764646711465</v>
      </c>
      <c r="U287" s="563"/>
      <c r="V287" s="563">
        <f>F1*IF('INPUT-Data(HP)'!AB23=0,"",'INPUT-Data(HP)'!AB23)</f>
        <v>34.253382052440912</v>
      </c>
      <c r="W287" s="563">
        <f t="shared" ref="W287" si="181">V287</f>
        <v>34.253382052440912</v>
      </c>
      <c r="X287" s="563">
        <f>F1*IF('INPUT-Data(HP)'!AD23=0,"",'INPUT-Data(HP)'!AD23)</f>
        <v>34.253382052440912</v>
      </c>
      <c r="Y287" s="563">
        <f>F1*IF('INPUT-Data(HP)'!AE23=0,"",'INPUT-Data(HP)'!AE23)</f>
        <v>17.652049646656668</v>
      </c>
      <c r="Z287" s="563"/>
      <c r="AA287" s="517">
        <f>F1*IF('INPUT-Data(HP)'!AG23=0,"",'INPUT-Data(HP)'!AG23)</f>
        <v>0.4960683743337575</v>
      </c>
      <c r="AB287" s="517"/>
      <c r="AC287" s="517">
        <f>F1*IF('INPUT-Data(HP)'!AI23=0,"",'INPUT-Data(HP)'!AI23)</f>
        <v>0.4960683743337575</v>
      </c>
      <c r="AD287" s="517">
        <f>F1*IF('INPUT-Data(HP)'!AJ23=0,"",'INPUT-Data(HP)'!AJ23)</f>
        <v>0.3109682346569822</v>
      </c>
      <c r="AE287" s="546">
        <f>IF('INPUT-Data(HP)'!AK23=0,"",'INPUT-Data(HP)'!AK23)</f>
        <v>20</v>
      </c>
      <c r="AF287" s="546"/>
      <c r="AG287" s="546"/>
      <c r="AH287" s="546"/>
      <c r="AI287" s="546">
        <f>IF('INPUT-Data(HP)'!AL23=0,"",'INPUT-Data(HP)'!AL23)</f>
        <v>2015</v>
      </c>
      <c r="AJ287" s="517">
        <v>31.536000000000001</v>
      </c>
      <c r="AK287" s="517"/>
    </row>
    <row r="288" spans="1:40" s="567" customFormat="1">
      <c r="A288" s="628" t="s">
        <v>599</v>
      </c>
      <c r="B288" s="979"/>
      <c r="C288" s="566"/>
      <c r="D288" s="567" t="s">
        <v>535</v>
      </c>
      <c r="E288" s="566"/>
      <c r="F288" s="565">
        <f>IF('INPUT-Data(HP)'!P23=0,"",'INPUT-Data(HP)'!P23)</f>
        <v>6.5000000000000002E-2</v>
      </c>
      <c r="G288" s="517">
        <f t="shared" si="180"/>
        <v>6.5000000000000002E-2</v>
      </c>
      <c r="H288" s="517">
        <f>IF('INPUT-Data(HP)'!R23=0,"",'INPUT-Data(HP)'!R23)</f>
        <v>6.5000000000000002E-2</v>
      </c>
      <c r="I288" s="517">
        <f>IF('INPUT-Data(HP)'!S23=0,"",'INPUT-Data(HP)'!S23)</f>
        <v>0.05</v>
      </c>
      <c r="J288" s="517"/>
      <c r="K288" s="565"/>
      <c r="L288" s="565"/>
      <c r="M288" s="565"/>
      <c r="N288" s="565"/>
      <c r="O288" s="565"/>
      <c r="P288" s="564"/>
      <c r="Q288" s="563"/>
      <c r="R288" s="563"/>
      <c r="S288" s="563"/>
      <c r="T288" s="563"/>
      <c r="U288" s="563"/>
      <c r="V288" s="563"/>
      <c r="W288" s="563"/>
      <c r="X288" s="563"/>
      <c r="Y288" s="563"/>
      <c r="Z288" s="563"/>
      <c r="AA288" s="517"/>
      <c r="AB288" s="517"/>
      <c r="AC288" s="517"/>
      <c r="AD288" s="517"/>
      <c r="AE288" s="546"/>
      <c r="AF288" s="546"/>
      <c r="AG288" s="546"/>
      <c r="AH288" s="546"/>
      <c r="AI288" s="546"/>
      <c r="AJ288" s="517"/>
      <c r="AK288" s="517"/>
    </row>
    <row r="289" spans="1:42" s="567" customFormat="1">
      <c r="A289" s="628" t="s">
        <v>599</v>
      </c>
      <c r="B289" s="979"/>
      <c r="C289" s="566"/>
      <c r="E289" s="567" t="s">
        <v>537</v>
      </c>
      <c r="F289" s="517"/>
      <c r="G289" s="517"/>
      <c r="H289" s="517"/>
      <c r="I289" s="517"/>
      <c r="J289" s="517"/>
      <c r="K289" s="517">
        <f>'INPUT-Data(HP)'!T23</f>
        <v>1</v>
      </c>
      <c r="L289" s="517"/>
      <c r="M289" s="517"/>
      <c r="N289" s="517"/>
      <c r="O289" s="517"/>
      <c r="P289" s="564"/>
      <c r="Q289" s="563"/>
      <c r="R289" s="563"/>
      <c r="S289" s="563"/>
      <c r="T289" s="563"/>
      <c r="U289" s="563"/>
      <c r="V289" s="563"/>
      <c r="W289" s="563"/>
      <c r="X289" s="563"/>
      <c r="Y289" s="563"/>
      <c r="Z289" s="563"/>
      <c r="AA289" s="517"/>
      <c r="AB289" s="517"/>
      <c r="AC289" s="517"/>
      <c r="AD289" s="517"/>
      <c r="AE289" s="546"/>
      <c r="AF289" s="546"/>
      <c r="AG289" s="546"/>
      <c r="AH289" s="546"/>
      <c r="AI289" s="546"/>
      <c r="AJ289" s="517"/>
      <c r="AK289" s="517"/>
    </row>
    <row r="290" spans="1:42" s="14" customFormat="1">
      <c r="B290" s="973" t="s">
        <v>348</v>
      </c>
      <c r="C290" s="35" t="s">
        <v>147</v>
      </c>
      <c r="D290" s="14" t="s">
        <v>603</v>
      </c>
      <c r="F290" s="15">
        <f>IF('INPUT-Data(HP)'!K26=0,"",'INPUT-Data(HP)'!K26)</f>
        <v>88.432835820895519</v>
      </c>
      <c r="G290" s="15">
        <f t="shared" ref="G290:G291" si="182">F290</f>
        <v>88.432835820895519</v>
      </c>
      <c r="H290" s="15" t="str">
        <f>IF('INPUT-Data(HP)'!M26=0,"",'INPUT-Data(HP)'!M26)</f>
        <v/>
      </c>
      <c r="I290" s="15" t="str">
        <f>IF('INPUT-Data(HP)'!N26=0,"",'INPUT-Data(HP)'!N26)</f>
        <v/>
      </c>
      <c r="J290" s="15"/>
      <c r="K290" s="15"/>
      <c r="L290" s="629"/>
      <c r="M290" s="629"/>
      <c r="N290" s="629"/>
      <c r="O290" s="629"/>
      <c r="P290" s="21">
        <f>'INPUT-Data(HP)'!V26</f>
        <v>0.9</v>
      </c>
      <c r="Q290" s="43">
        <f>IF('INPUT-Data(HP)'!W26=0,"",'INPUT-Data(HP)'!W26)</f>
        <v>5673.8731007110709</v>
      </c>
      <c r="R290" s="43">
        <f t="shared" ref="R290" si="183">Q290</f>
        <v>5673.8731007110709</v>
      </c>
      <c r="S290" s="43"/>
      <c r="T290" s="43"/>
      <c r="U290" s="43"/>
      <c r="V290" s="43"/>
      <c r="W290" s="43"/>
      <c r="X290" s="43" t="str">
        <f>IF('INPUT-Data(HP)'!AD26=0,"",'INPUT-Data(HP)'!AD26)</f>
        <v/>
      </c>
      <c r="Y290" s="43"/>
      <c r="Z290" s="43"/>
      <c r="AA290" s="23">
        <f>F1*IF('INPUT-Data(HP)'!AG26=0,"",'INPUT-Data(HP)'!AG26)</f>
        <v>15.104171397624851</v>
      </c>
      <c r="AB290" s="23"/>
      <c r="AC290" s="23"/>
      <c r="AD290" s="23"/>
      <c r="AE290" s="20">
        <f>IF('INPUT-Data(HP)'!AK26=0,"",'INPUT-Data(HP)'!AK26)</f>
        <v>10</v>
      </c>
      <c r="AF290" s="20"/>
      <c r="AG290" s="20"/>
      <c r="AH290" s="20"/>
      <c r="AI290" s="20">
        <f>IF('INPUT-Data(HP)'!AL26=0,"",'INPUT-Data(HP)'!AL26)</f>
        <v>2015</v>
      </c>
      <c r="AJ290" s="23">
        <v>31.536000000000001</v>
      </c>
      <c r="AK290" s="634"/>
      <c r="AO290" s="628"/>
      <c r="AP290" s="628"/>
    </row>
    <row r="291" spans="1:42" s="14" customFormat="1">
      <c r="B291" s="973"/>
      <c r="C291" s="35"/>
      <c r="D291" s="14" t="s">
        <v>399</v>
      </c>
      <c r="E291" s="34"/>
      <c r="F291" s="15">
        <f>IF('INPUT-Data(HP)'!P26=0,"",'INPUT-Data(HP)'!P26)</f>
        <v>0.17699999999999999</v>
      </c>
      <c r="G291" s="23">
        <f t="shared" si="182"/>
        <v>0.17699999999999999</v>
      </c>
      <c r="H291" s="23" t="str">
        <f>IF('INPUT-Data(HP)'!R26=0,"",'INPUT-Data(HP)'!R26)</f>
        <v/>
      </c>
      <c r="I291" s="23" t="str">
        <f>IF('INPUT-Data(HP)'!S26=0,"",'INPUT-Data(HP)'!S26)</f>
        <v/>
      </c>
      <c r="J291" s="23"/>
      <c r="K291" s="15"/>
      <c r="L291" s="629"/>
      <c r="M291" s="629"/>
      <c r="N291" s="629"/>
      <c r="O291" s="629"/>
      <c r="P291" s="21"/>
      <c r="Q291" s="43"/>
      <c r="R291" s="43"/>
      <c r="S291" s="43"/>
      <c r="T291" s="43"/>
      <c r="U291" s="43"/>
      <c r="V291" s="43"/>
      <c r="W291" s="43"/>
      <c r="X291" s="43"/>
      <c r="Y291" s="43"/>
      <c r="Z291" s="43"/>
      <c r="AA291" s="23"/>
      <c r="AB291" s="23"/>
      <c r="AC291" s="23"/>
      <c r="AD291" s="23"/>
      <c r="AE291" s="20"/>
      <c r="AF291" s="20"/>
      <c r="AG291" s="20"/>
      <c r="AH291" s="20"/>
      <c r="AI291" s="20"/>
      <c r="AJ291" s="23"/>
      <c r="AK291" s="634"/>
      <c r="AO291" s="628"/>
      <c r="AP291" s="628"/>
    </row>
    <row r="292" spans="1:42" s="14" customFormat="1">
      <c r="B292" s="973"/>
      <c r="C292" s="35"/>
      <c r="E292" s="19" t="s">
        <v>232</v>
      </c>
      <c r="F292" s="23"/>
      <c r="G292" s="23"/>
      <c r="H292" s="23"/>
      <c r="I292" s="23"/>
      <c r="J292" s="23"/>
      <c r="K292" s="23">
        <f>'INPUT-Data(HP)'!T26</f>
        <v>1</v>
      </c>
      <c r="L292" s="634"/>
      <c r="M292" s="634"/>
      <c r="N292" s="634"/>
      <c r="O292" s="634"/>
      <c r="P292" s="21"/>
      <c r="Q292" s="43"/>
      <c r="R292" s="43"/>
      <c r="S292" s="43"/>
      <c r="T292" s="43"/>
      <c r="U292" s="43"/>
      <c r="V292" s="43"/>
      <c r="W292" s="43"/>
      <c r="X292" s="43"/>
      <c r="Y292" s="43"/>
      <c r="Z292" s="43"/>
      <c r="AA292" s="23"/>
      <c r="AB292" s="23"/>
      <c r="AC292" s="23"/>
      <c r="AD292" s="23"/>
      <c r="AE292" s="20"/>
      <c r="AF292" s="20"/>
      <c r="AG292" s="20"/>
      <c r="AH292" s="20"/>
      <c r="AI292" s="20"/>
      <c r="AJ292" s="23"/>
      <c r="AK292" s="634"/>
      <c r="AO292" s="628"/>
      <c r="AP292" s="628"/>
    </row>
    <row r="293" spans="1:42" s="554" customFormat="1" ht="14.75">
      <c r="A293" s="628" t="s">
        <v>599</v>
      </c>
      <c r="B293" s="984" t="s">
        <v>113</v>
      </c>
      <c r="C293" s="1021" t="s">
        <v>148</v>
      </c>
      <c r="D293" s="663" t="s">
        <v>340</v>
      </c>
      <c r="E293" s="519"/>
      <c r="F293" s="510">
        <f>IF('INPUT-Data(HP)'!K27=0,"",'INPUT-Data(HP)'!K27)</f>
        <v>1.72</v>
      </c>
      <c r="G293" s="510">
        <f t="shared" ref="G293:G294" si="184">F293</f>
        <v>1.72</v>
      </c>
      <c r="H293" s="510" t="str">
        <f>IF('INPUT-Data(HP)'!M27=0,"",'INPUT-Data(HP)'!M27)</f>
        <v/>
      </c>
      <c r="I293" s="510" t="str">
        <f>IF('INPUT-Data(HP)'!N27=0,"",'INPUT-Data(HP)'!N27)</f>
        <v/>
      </c>
      <c r="J293" s="510"/>
      <c r="K293" s="510"/>
      <c r="L293" s="510"/>
      <c r="M293" s="510"/>
      <c r="N293" s="510"/>
      <c r="O293" s="510"/>
      <c r="P293" s="617">
        <f>'INPUT-Data(HP)'!V27</f>
        <v>0.33</v>
      </c>
      <c r="Q293" s="606">
        <f>F1*IF('INPUT-Data(HP)'!W27=0,"",'INPUT-Data(HP)'!W27)</f>
        <v>654.94708014380888</v>
      </c>
      <c r="R293" s="606">
        <f t="shared" ref="R293" si="185">Q293</f>
        <v>654.94708014380888</v>
      </c>
      <c r="S293" s="606"/>
      <c r="T293" s="606"/>
      <c r="U293" s="606"/>
      <c r="V293" s="606">
        <f>F1*IF('INPUT-Data(HP)'!AB27=0,"",'INPUT-Data(HP)'!AB27)</f>
        <v>13.175994200540153</v>
      </c>
      <c r="W293" s="606">
        <f t="shared" ref="W293" si="186">V293</f>
        <v>13.175994200540153</v>
      </c>
      <c r="X293" s="606" t="str">
        <f>IF('INPUT-Data(HP)'!AD27=0,"",'INPUT-Data(HP)'!AD27)</f>
        <v/>
      </c>
      <c r="Y293" s="606"/>
      <c r="Z293" s="606"/>
      <c r="AA293" s="606" t="str">
        <f>IF('INPUT-Data(HP)'!AG27=0,"",'INPUT-Data(HP)'!AG27)</f>
        <v/>
      </c>
      <c r="AB293" s="553"/>
      <c r="AC293" s="553"/>
      <c r="AD293" s="553"/>
      <c r="AE293" s="552">
        <f>IF('INPUT-Data(HP)'!AK27=0,"",'INPUT-Data(HP)'!AK27)</f>
        <v>20</v>
      </c>
      <c r="AF293" s="552"/>
      <c r="AG293" s="552"/>
      <c r="AH293" s="552"/>
      <c r="AI293" s="552">
        <f>IF('INPUT-Data(HP)'!AL27=0,"",'INPUT-Data(HP)'!AL27)</f>
        <v>2015</v>
      </c>
      <c r="AJ293" s="553">
        <v>31.536000000000001</v>
      </c>
      <c r="AK293" s="553"/>
    </row>
    <row r="294" spans="1:42" s="628" customFormat="1">
      <c r="A294" s="628" t="s">
        <v>599</v>
      </c>
      <c r="B294" s="985"/>
      <c r="D294" s="630" t="s">
        <v>341</v>
      </c>
      <c r="E294" s="630"/>
      <c r="F294" s="629">
        <f>IF('INPUT-Data(HP)'!P27=0,"",'INPUT-Data(HP)'!P27)</f>
        <v>0.23400000000000001</v>
      </c>
      <c r="G294" s="629">
        <f t="shared" si="184"/>
        <v>0.23400000000000001</v>
      </c>
      <c r="H294" s="629" t="str">
        <f>IF('INPUT-Data(HP)'!R27=0,"",'INPUT-Data(HP)'!R27)</f>
        <v/>
      </c>
      <c r="I294" s="634" t="str">
        <f>IF('INPUT-Data(HP)'!S27=0,"",'INPUT-Data(HP)'!S27)</f>
        <v/>
      </c>
      <c r="J294" s="634"/>
      <c r="K294" s="629"/>
      <c r="L294" s="629"/>
      <c r="M294" s="629"/>
      <c r="N294" s="629"/>
      <c r="O294" s="629"/>
      <c r="Q294" s="644"/>
      <c r="R294" s="644"/>
      <c r="S294" s="644"/>
      <c r="T294" s="645"/>
      <c r="U294" s="645"/>
      <c r="V294" s="644"/>
      <c r="W294" s="644"/>
      <c r="X294" s="644"/>
      <c r="Y294" s="645"/>
      <c r="Z294" s="645"/>
      <c r="AC294" s="633"/>
      <c r="AI294" s="633"/>
    </row>
    <row r="295" spans="1:42" s="627" customFormat="1">
      <c r="A295" s="628" t="s">
        <v>599</v>
      </c>
      <c r="B295" s="986"/>
      <c r="E295" s="640" t="s">
        <v>232</v>
      </c>
      <c r="F295" s="551"/>
      <c r="G295" s="551"/>
      <c r="H295" s="551"/>
      <c r="I295" s="551"/>
      <c r="J295" s="551"/>
      <c r="K295" s="551">
        <f>'INPUT-Data(HP)'!T27</f>
        <v>1</v>
      </c>
      <c r="L295" s="551"/>
      <c r="M295" s="551"/>
      <c r="N295" s="551"/>
      <c r="O295" s="551"/>
      <c r="Q295" s="550"/>
      <c r="R295" s="550"/>
      <c r="S295" s="550"/>
      <c r="T295" s="520"/>
      <c r="U295" s="520"/>
      <c r="V295" s="550"/>
      <c r="W295" s="550"/>
      <c r="X295" s="550"/>
      <c r="Y295" s="520"/>
      <c r="Z295" s="520"/>
      <c r="AC295" s="691"/>
      <c r="AI295" s="691"/>
    </row>
    <row r="296" spans="1:42" s="628" customFormat="1">
      <c r="B296" s="973" t="s">
        <v>1185</v>
      </c>
      <c r="C296" s="639" t="s">
        <v>768</v>
      </c>
      <c r="D296" s="628" t="s">
        <v>279</v>
      </c>
      <c r="E296" s="630"/>
      <c r="F296" s="634">
        <f>IF('INPUT-Data(HP)'!K32=0,"",'INPUT-Data(HP)'!K32)+0.018</f>
        <v>1.6053015873015872</v>
      </c>
      <c r="G296" s="634">
        <f>F296</f>
        <v>1.6053015873015872</v>
      </c>
      <c r="H296" s="634"/>
      <c r="I296" s="634">
        <f>IF('INPUT-Data(HP)'!N32=0,"",'INPUT-Data(HP)'!N32)+0.018</f>
        <v>1.5564615384615383</v>
      </c>
      <c r="J296" s="634">
        <f>IF('INPUT-Data(HP)'!O32=0,"",'INPUT-Data(HP)'!O32)+0.018</f>
        <v>1.4465714285714286</v>
      </c>
      <c r="K296" s="634"/>
      <c r="L296" s="634"/>
      <c r="M296" s="634"/>
      <c r="N296" s="634"/>
      <c r="O296" s="634"/>
      <c r="P296" s="632"/>
      <c r="Q296" s="643">
        <f>IF('INPUT-Data(HP)'!W32=0,"",'INPUT-Data(HP)'!W32)</f>
        <v>888.55841512239863</v>
      </c>
      <c r="R296" s="643">
        <f>IF('INPUT-Data(HP)'!X32=0,"",'INPUT-Data(HP)'!X32)</f>
        <v>539.48189489574213</v>
      </c>
      <c r="S296" s="643"/>
      <c r="T296" s="643">
        <f>IF('INPUT-Data(HP)'!Z32=0,"",'INPUT-Data(HP)'!Z32)</f>
        <v>539.48189489574213</v>
      </c>
      <c r="U296" s="643">
        <f>IF('INPUT-Data(HP)'!AA32=0,"",'INPUT-Data(HP)'!AA32)</f>
        <v>444.27920756119931</v>
      </c>
      <c r="V296" s="643"/>
      <c r="W296" s="643">
        <f>'INPUT-Data(HP)'!AC32</f>
        <v>24.276685270308395</v>
      </c>
      <c r="X296" s="643"/>
      <c r="Y296" s="643">
        <f>'INPUT-Data(HP)'!AE32</f>
        <v>24.276685270308395</v>
      </c>
      <c r="Z296" s="643">
        <f>'INPUT-Data(HP)'!AF32</f>
        <v>19.992564340253967</v>
      </c>
      <c r="AA296" s="643"/>
      <c r="AB296" s="643"/>
      <c r="AC296" s="643"/>
      <c r="AD296" s="643"/>
      <c r="AE296" s="643">
        <f>IF('INPUT-Data(HP)'!AK32=0,"",'INPUT-Data(HP)'!AK32)</f>
        <v>20</v>
      </c>
      <c r="AF296" s="643"/>
      <c r="AG296" s="643"/>
      <c r="AH296" s="643"/>
      <c r="AI296" s="631">
        <f>IF('INPUT-Data(HP)'!AL32=0,"",'INPUT-Data(HP)'!AL32)</f>
        <v>2015</v>
      </c>
      <c r="AJ296" s="634">
        <v>31.536000000000001</v>
      </c>
      <c r="AK296" s="634"/>
    </row>
    <row r="297" spans="1:42" s="628" customFormat="1">
      <c r="B297" s="973"/>
      <c r="C297" s="639"/>
      <c r="E297" s="630" t="s">
        <v>232</v>
      </c>
      <c r="F297" s="634"/>
      <c r="G297" s="634"/>
      <c r="H297" s="634"/>
      <c r="I297" s="634"/>
      <c r="J297" s="634"/>
      <c r="K297" s="634">
        <f>'INPUT-Data(HP)'!T32</f>
        <v>1</v>
      </c>
      <c r="L297" s="634"/>
      <c r="M297" s="634"/>
      <c r="N297" s="634"/>
      <c r="O297" s="634"/>
      <c r="P297" s="632"/>
      <c r="Q297" s="643"/>
      <c r="R297" s="643"/>
      <c r="S297" s="643"/>
      <c r="T297" s="643"/>
      <c r="U297" s="643"/>
      <c r="V297" s="643"/>
      <c r="W297" s="643"/>
      <c r="X297" s="643"/>
      <c r="Y297" s="643"/>
      <c r="Z297" s="643"/>
      <c r="AA297" s="643"/>
      <c r="AB297" s="643"/>
      <c r="AC297" s="643"/>
      <c r="AD297" s="643"/>
      <c r="AE297" s="643"/>
      <c r="AF297" s="643"/>
      <c r="AG297" s="643"/>
      <c r="AH297" s="643"/>
      <c r="AI297" s="631"/>
      <c r="AJ297" s="634"/>
      <c r="AK297" s="634"/>
    </row>
    <row r="298" spans="1:42" s="628" customFormat="1">
      <c r="B298" s="973" t="s">
        <v>1186</v>
      </c>
      <c r="C298" s="638" t="s">
        <v>1119</v>
      </c>
      <c r="D298" s="628" t="s">
        <v>1009</v>
      </c>
      <c r="E298" s="630"/>
      <c r="F298" s="634">
        <f>F296</f>
        <v>1.6053015873015872</v>
      </c>
      <c r="G298" s="634">
        <f>G296</f>
        <v>1.6053015873015872</v>
      </c>
      <c r="H298" s="634"/>
      <c r="I298" s="634">
        <f>I296</f>
        <v>1.5564615384615383</v>
      </c>
      <c r="J298" s="634">
        <f>J296</f>
        <v>1.4465714285714286</v>
      </c>
      <c r="K298" s="634"/>
      <c r="L298" s="634"/>
      <c r="M298" s="634"/>
      <c r="N298" s="634"/>
      <c r="O298" s="634"/>
      <c r="P298" s="632"/>
      <c r="Q298" s="643">
        <f>Q296</f>
        <v>888.55841512239863</v>
      </c>
      <c r="R298" s="643">
        <f>R296</f>
        <v>539.48189489574213</v>
      </c>
      <c r="S298" s="643"/>
      <c r="T298" s="643">
        <f t="shared" ref="T298:Z298" si="187">T296</f>
        <v>539.48189489574213</v>
      </c>
      <c r="U298" s="643">
        <f t="shared" si="187"/>
        <v>444.27920756119931</v>
      </c>
      <c r="V298" s="643"/>
      <c r="W298" s="643">
        <f t="shared" si="187"/>
        <v>24.276685270308395</v>
      </c>
      <c r="X298" s="643"/>
      <c r="Y298" s="643">
        <f t="shared" si="187"/>
        <v>24.276685270308395</v>
      </c>
      <c r="Z298" s="643">
        <f t="shared" si="187"/>
        <v>19.992564340253967</v>
      </c>
      <c r="AA298" s="643"/>
      <c r="AB298" s="643"/>
      <c r="AC298" s="643"/>
      <c r="AD298" s="643"/>
      <c r="AE298" s="643">
        <v>20</v>
      </c>
      <c r="AF298" s="643"/>
      <c r="AG298" s="643"/>
      <c r="AH298" s="643"/>
      <c r="AI298" s="631">
        <f>IF('INPUT-Data(HP)'!AL34=0,"",'INPUT-Data(HP)'!AL34)</f>
        <v>2015</v>
      </c>
      <c r="AJ298" s="634">
        <v>31.536000000000001</v>
      </c>
      <c r="AK298" s="634"/>
    </row>
    <row r="299" spans="1:42" s="628" customFormat="1">
      <c r="B299" s="973"/>
      <c r="C299" s="639"/>
      <c r="E299" s="630" t="s">
        <v>232</v>
      </c>
      <c r="F299" s="634"/>
      <c r="G299" s="634"/>
      <c r="H299" s="634"/>
      <c r="I299" s="634"/>
      <c r="J299" s="634"/>
      <c r="K299" s="634">
        <f>'INPUT-Data(HP)'!T34</f>
        <v>1</v>
      </c>
      <c r="L299" s="634"/>
      <c r="M299" s="634"/>
      <c r="N299" s="634"/>
      <c r="O299" s="634"/>
      <c r="P299" s="632"/>
      <c r="Q299" s="643"/>
      <c r="R299" s="643"/>
      <c r="S299" s="643"/>
      <c r="T299" s="643"/>
      <c r="U299" s="643"/>
      <c r="V299" s="643"/>
      <c r="W299" s="643"/>
      <c r="X299" s="643"/>
      <c r="Y299" s="643"/>
      <c r="Z299" s="643"/>
      <c r="AA299" s="643"/>
      <c r="AB299" s="643"/>
      <c r="AC299" s="643"/>
      <c r="AD299" s="643"/>
      <c r="AE299" s="643"/>
      <c r="AF299" s="643"/>
      <c r="AG299" s="643"/>
      <c r="AH299" s="643"/>
      <c r="AI299" s="631"/>
      <c r="AJ299" s="634"/>
      <c r="AK299" s="634"/>
    </row>
    <row r="300" spans="1:42" s="1169" customFormat="1">
      <c r="B300" s="1170" t="s">
        <v>1251</v>
      </c>
      <c r="C300" s="1177" t="s">
        <v>1261</v>
      </c>
      <c r="D300" s="1169" t="s">
        <v>1009</v>
      </c>
      <c r="E300" s="1172"/>
      <c r="F300" s="1173"/>
      <c r="G300" s="1173"/>
      <c r="H300" s="1173"/>
      <c r="I300" s="1173"/>
      <c r="J300" s="1173"/>
      <c r="K300" s="1173"/>
      <c r="L300" s="1173">
        <f>1/G298</f>
        <v>0.62293590681669864</v>
      </c>
      <c r="M300" s="1173"/>
      <c r="N300" s="1173">
        <f t="shared" ref="N300:O300" si="188">1/I298</f>
        <v>0.64248294949095586</v>
      </c>
      <c r="O300" s="1173">
        <f t="shared" si="188"/>
        <v>0.69128974916057673</v>
      </c>
      <c r="P300" s="1174"/>
      <c r="Q300" s="1175">
        <f>Q298</f>
        <v>888.55841512239863</v>
      </c>
      <c r="R300" s="1175">
        <f>R298</f>
        <v>539.48189489574213</v>
      </c>
      <c r="S300" s="1175"/>
      <c r="T300" s="1175">
        <f t="shared" ref="T300:U300" si="189">T298</f>
        <v>539.48189489574213</v>
      </c>
      <c r="U300" s="1175">
        <f t="shared" si="189"/>
        <v>444.27920756119931</v>
      </c>
      <c r="V300" s="1175"/>
      <c r="W300" s="1175">
        <f t="shared" ref="W300" si="190">W298</f>
        <v>24.276685270308395</v>
      </c>
      <c r="X300" s="1175"/>
      <c r="Y300" s="1175">
        <f t="shared" ref="Y300:Z300" si="191">Y298</f>
        <v>24.276685270308395</v>
      </c>
      <c r="Z300" s="1175">
        <f t="shared" si="191"/>
        <v>19.992564340253967</v>
      </c>
      <c r="AA300" s="1175"/>
      <c r="AB300" s="1175"/>
      <c r="AC300" s="1175"/>
      <c r="AD300" s="1175"/>
      <c r="AE300" s="1175">
        <v>20</v>
      </c>
      <c r="AF300" s="1175"/>
      <c r="AG300" s="1175"/>
      <c r="AH300" s="1175"/>
      <c r="AI300" s="1176">
        <f>IF('INPUT-Data(HP)'!AL36=0,"",'INPUT-Data(HP)'!AL36)</f>
        <v>2015</v>
      </c>
      <c r="AJ300" s="1173">
        <v>31.536000000000001</v>
      </c>
      <c r="AK300" s="1173"/>
    </row>
    <row r="301" spans="1:42" s="1169" customFormat="1">
      <c r="B301" s="1170"/>
      <c r="C301" s="1177"/>
      <c r="D301" s="1169" t="s">
        <v>279</v>
      </c>
      <c r="E301" s="1172"/>
      <c r="F301" s="1173"/>
      <c r="G301" s="1173"/>
      <c r="H301" s="1173"/>
      <c r="I301" s="1173"/>
      <c r="J301" s="1173"/>
      <c r="K301" s="1173"/>
      <c r="L301" s="1173"/>
      <c r="M301" s="1173"/>
      <c r="N301" s="1173"/>
      <c r="O301" s="1173"/>
      <c r="P301" s="1174"/>
      <c r="Q301" s="1175"/>
      <c r="R301" s="1175"/>
      <c r="S301" s="1175"/>
      <c r="T301" s="1175"/>
      <c r="U301" s="1175"/>
      <c r="V301" s="1175"/>
      <c r="W301" s="1175"/>
      <c r="X301" s="1175"/>
      <c r="Y301" s="1175"/>
      <c r="Z301" s="1175"/>
      <c r="AA301" s="1175"/>
      <c r="AB301" s="1175"/>
      <c r="AC301" s="1175"/>
      <c r="AD301" s="1175"/>
      <c r="AE301" s="1175"/>
      <c r="AF301" s="1175"/>
      <c r="AG301" s="1175"/>
      <c r="AH301" s="1175"/>
      <c r="AI301" s="1176"/>
      <c r="AJ301" s="1173"/>
      <c r="AK301" s="1173"/>
    </row>
    <row r="302" spans="1:42" s="1169" customFormat="1">
      <c r="B302" s="1170"/>
      <c r="C302" s="1171"/>
      <c r="E302" s="1172" t="s">
        <v>232</v>
      </c>
      <c r="F302" s="1173"/>
      <c r="G302" s="1173"/>
      <c r="H302" s="1173"/>
      <c r="I302" s="1173"/>
      <c r="J302" s="1173"/>
      <c r="K302" s="1173"/>
      <c r="L302" s="1173"/>
      <c r="M302" s="1173"/>
      <c r="N302" s="1173"/>
      <c r="O302" s="1173"/>
      <c r="P302" s="1174"/>
      <c r="Q302" s="1175"/>
      <c r="R302" s="1175"/>
      <c r="S302" s="1175"/>
      <c r="T302" s="1175"/>
      <c r="U302" s="1175"/>
      <c r="V302" s="1175"/>
      <c r="W302" s="1175"/>
      <c r="X302" s="1175"/>
      <c r="Y302" s="1175"/>
      <c r="Z302" s="1175"/>
      <c r="AA302" s="1175"/>
      <c r="AB302" s="1175"/>
      <c r="AC302" s="1175"/>
      <c r="AD302" s="1175"/>
      <c r="AE302" s="1175"/>
      <c r="AF302" s="1175"/>
      <c r="AG302" s="1175"/>
      <c r="AH302" s="1175"/>
      <c r="AI302" s="1176"/>
      <c r="AJ302" s="1173"/>
      <c r="AK302" s="1173"/>
    </row>
    <row r="303" spans="1:42" s="578" customFormat="1">
      <c r="B303" s="987" t="s">
        <v>1187</v>
      </c>
      <c r="C303" s="577" t="s">
        <v>988</v>
      </c>
      <c r="D303" s="578" t="s">
        <v>1006</v>
      </c>
      <c r="E303" s="539"/>
      <c r="F303" s="509">
        <f>IF('INPUT-Data(HP)'!$K35=0,"",'INPUT-Data(HP)'!$K35)+0.018</f>
        <v>1.6053015873015872</v>
      </c>
      <c r="G303" s="509">
        <f>F303</f>
        <v>1.6053015873015872</v>
      </c>
      <c r="H303" s="578" t="str">
        <f>IF('INPUT-Data(HP)'!$M35=0,"",'INPUT-Data(HP)'!$M35)</f>
        <v/>
      </c>
      <c r="I303" s="578">
        <f>IF('INPUT-Data(HP)'!N35=0,"",'INPUT-Data(HP)'!N35)+0.018</f>
        <v>1.5564615384615383</v>
      </c>
      <c r="J303" s="578">
        <f>IF('INPUT-Data(HP)'!O35=0,"",'INPUT-Data(HP)'!O35)+0.018</f>
        <v>1.4465714285714286</v>
      </c>
      <c r="K303" s="509"/>
      <c r="L303" s="509"/>
      <c r="M303" s="509"/>
      <c r="N303" s="509"/>
      <c r="O303" s="509"/>
      <c r="P303" s="619"/>
      <c r="Q303" s="609">
        <f>F1*IF('INPUT-Data(HP)'!$W35=0,"",'INPUT-Data(HP)'!$W35)</f>
        <v>888.55841512239863</v>
      </c>
      <c r="R303" s="609">
        <f>F1*IF('INPUT-Data(HP)'!$X35=0,"",'INPUT-Data(HP)'!$X35)</f>
        <v>539.48189489574213</v>
      </c>
      <c r="S303" s="609"/>
      <c r="T303" s="609">
        <f>IF('INPUT-Data(HP)'!Z35=0,"",'INPUT-Data(HP)'!Z35)</f>
        <v>539.48189489574213</v>
      </c>
      <c r="U303" s="609">
        <f>IF('INPUT-Data(HP)'!AA35=0,"",'INPUT-Data(HP)'!AA35)</f>
        <v>444.27920756119931</v>
      </c>
      <c r="V303" s="609"/>
      <c r="W303" s="609">
        <f>W298</f>
        <v>24.276685270308395</v>
      </c>
      <c r="X303" s="609" t="str">
        <f>IF('INPUT-Data(HP)'!$AD35=0,"",'INPUT-Data(HP)'!$AD35)</f>
        <v/>
      </c>
      <c r="Y303" s="609">
        <f>IF('INPUT-Data(HP)'!AE35=0,"",'INPUT-Data(HP)'!AE35)</f>
        <v>24.276685270308395</v>
      </c>
      <c r="Z303" s="609">
        <f>IF('INPUT-Data(HP)'!AF35=0,"",'INPUT-Data(HP)'!AF35)</f>
        <v>19.992564340253967</v>
      </c>
      <c r="AA303" s="609"/>
      <c r="AB303" s="576"/>
      <c r="AC303" s="576"/>
      <c r="AD303" s="576"/>
      <c r="AE303" s="575">
        <f>IF('INPUT-Data(HP)'!$AK35=0,"",'INPUT-Data(HP)'!$AK35)</f>
        <v>20</v>
      </c>
      <c r="AF303" s="575"/>
      <c r="AG303" s="575"/>
      <c r="AH303" s="575"/>
      <c r="AI303" s="575">
        <f>IF('INPUT-Data(HP)'!$AL35=0,"",'INPUT-Data(HP)'!$AL35)</f>
        <v>2015</v>
      </c>
      <c r="AJ303" s="576">
        <v>31.536000000000001</v>
      </c>
      <c r="AK303" s="576"/>
    </row>
    <row r="304" spans="1:42" s="578" customFormat="1">
      <c r="B304" s="987"/>
      <c r="C304" s="577"/>
      <c r="E304" s="539" t="s">
        <v>526</v>
      </c>
      <c r="F304" s="509"/>
      <c r="G304" s="509"/>
      <c r="H304" s="509"/>
      <c r="I304" s="509"/>
      <c r="J304" s="509"/>
      <c r="K304" s="576">
        <f>'INPUT-Data(HP)'!$T35</f>
        <v>1</v>
      </c>
      <c r="L304" s="576"/>
      <c r="M304" s="576"/>
      <c r="N304" s="576"/>
      <c r="O304" s="576"/>
      <c r="P304" s="619"/>
      <c r="Q304" s="609"/>
      <c r="R304" s="609"/>
      <c r="S304" s="609"/>
      <c r="T304" s="609"/>
      <c r="U304" s="609"/>
      <c r="V304" s="609"/>
      <c r="W304" s="609"/>
      <c r="X304" s="609"/>
      <c r="Y304" s="609"/>
      <c r="Z304" s="609"/>
      <c r="AA304" s="609"/>
      <c r="AB304" s="576"/>
      <c r="AC304" s="576"/>
      <c r="AD304" s="576"/>
      <c r="AE304" s="575"/>
      <c r="AF304" s="575"/>
      <c r="AG304" s="575"/>
      <c r="AH304" s="575"/>
      <c r="AI304" s="575"/>
      <c r="AJ304" s="576"/>
      <c r="AK304" s="576"/>
    </row>
    <row r="305" spans="2:42" s="1179" customFormat="1">
      <c r="B305" s="1180" t="s">
        <v>1188</v>
      </c>
      <c r="C305" s="333" t="s">
        <v>989</v>
      </c>
      <c r="D305" s="1179" t="s">
        <v>1009</v>
      </c>
      <c r="E305" s="1181"/>
      <c r="F305" s="1182">
        <f>F303</f>
        <v>1.6053015873015872</v>
      </c>
      <c r="G305" s="1182">
        <f>G303</f>
        <v>1.6053015873015872</v>
      </c>
      <c r="H305" s="1182" t="str">
        <f>IF('INPUT-Data(HP)'!$M35=0,"",'INPUT-Data(HP)'!$M35)</f>
        <v/>
      </c>
      <c r="I305" s="1182">
        <f>I303</f>
        <v>1.5564615384615383</v>
      </c>
      <c r="J305" s="1182">
        <f>J303</f>
        <v>1.4465714285714286</v>
      </c>
      <c r="K305" s="1182"/>
      <c r="L305" s="1182"/>
      <c r="M305" s="1182"/>
      <c r="N305" s="1182"/>
      <c r="O305" s="1182"/>
      <c r="P305" s="1183"/>
      <c r="Q305" s="1184">
        <f>Q303</f>
        <v>888.55841512239863</v>
      </c>
      <c r="R305" s="1184">
        <f>R303</f>
        <v>539.48189489574213</v>
      </c>
      <c r="S305" s="1184"/>
      <c r="T305" s="1184">
        <f>T303</f>
        <v>539.48189489574213</v>
      </c>
      <c r="U305" s="1184">
        <f>U303</f>
        <v>444.27920756119931</v>
      </c>
      <c r="V305" s="1184"/>
      <c r="W305" s="1184">
        <f>W303</f>
        <v>24.276685270308395</v>
      </c>
      <c r="X305" s="1184" t="str">
        <f>IF('INPUT-Data(HP)'!$AD35=0,"",'INPUT-Data(HP)'!$AD35)</f>
        <v/>
      </c>
      <c r="Y305" s="1184">
        <f>IF('INPUT-Data(HP)'!AE35=0,"",'INPUT-Data(HP)'!AE35)</f>
        <v>24.276685270308395</v>
      </c>
      <c r="Z305" s="1184">
        <f>IF('INPUT-Data(HP)'!AF35=0,"",'INPUT-Data(HP)'!AF35)</f>
        <v>19.992564340253967</v>
      </c>
      <c r="AA305" s="1184"/>
      <c r="AB305" s="1185"/>
      <c r="AC305" s="1185"/>
      <c r="AD305" s="1185"/>
      <c r="AE305" s="1186">
        <f>IF('INPUT-Data(HP)'!$AK35=0,"",'INPUT-Data(HP)'!$AK35)</f>
        <v>20</v>
      </c>
      <c r="AF305" s="1186"/>
      <c r="AG305" s="1186"/>
      <c r="AH305" s="1186"/>
      <c r="AI305" s="1186">
        <f>IF('INPUT-Data(HP)'!$AL35=0,"",'INPUT-Data(HP)'!$AL35)</f>
        <v>2015</v>
      </c>
      <c r="AJ305" s="1185">
        <v>31.536000000000001</v>
      </c>
      <c r="AK305" s="1185"/>
    </row>
    <row r="306" spans="2:42" s="1179" customFormat="1" ht="15.75" customHeight="1">
      <c r="B306" s="1180"/>
      <c r="C306" s="333"/>
      <c r="D306" s="1181"/>
      <c r="E306" s="1181" t="s">
        <v>526</v>
      </c>
      <c r="F306" s="1182"/>
      <c r="G306" s="1182"/>
      <c r="H306" s="1182"/>
      <c r="I306" s="1182"/>
      <c r="J306" s="1182"/>
      <c r="K306" s="1182">
        <f>'INPUT-Data(HP)'!$T35</f>
        <v>1</v>
      </c>
      <c r="L306" s="1182"/>
      <c r="M306" s="1182"/>
      <c r="N306" s="1182"/>
      <c r="O306" s="1182"/>
      <c r="P306" s="1183"/>
      <c r="Q306" s="1184"/>
      <c r="R306" s="1184"/>
      <c r="S306" s="1184"/>
      <c r="T306" s="1184"/>
      <c r="U306" s="1184"/>
      <c r="V306" s="1184"/>
      <c r="W306" s="1184"/>
      <c r="X306" s="1184"/>
      <c r="Y306" s="1184"/>
      <c r="Z306" s="1184"/>
      <c r="AA306" s="1185"/>
      <c r="AB306" s="1185"/>
      <c r="AC306" s="1185"/>
      <c r="AD306" s="1185"/>
      <c r="AE306" s="1186"/>
      <c r="AF306" s="1186"/>
      <c r="AG306" s="1186"/>
      <c r="AH306" s="1186"/>
      <c r="AI306" s="1186"/>
    </row>
    <row r="307" spans="2:42" s="1169" customFormat="1">
      <c r="B307" s="1170" t="s">
        <v>1252</v>
      </c>
      <c r="C307" s="1171" t="s">
        <v>1262</v>
      </c>
      <c r="D307" s="1169" t="s">
        <v>1009</v>
      </c>
      <c r="E307" s="1172"/>
      <c r="F307" s="1173"/>
      <c r="G307" s="1173"/>
      <c r="H307" s="1173"/>
      <c r="I307" s="1173"/>
      <c r="J307" s="1173"/>
      <c r="K307" s="1173"/>
      <c r="L307" s="1173">
        <f>1/G305</f>
        <v>0.62293590681669864</v>
      </c>
      <c r="M307" s="1173"/>
      <c r="N307" s="1173">
        <f t="shared" ref="N307" si="192">1/I305</f>
        <v>0.64248294949095586</v>
      </c>
      <c r="O307" s="1173">
        <f t="shared" ref="O307" si="193">1/J305</f>
        <v>0.69128974916057673</v>
      </c>
      <c r="P307" s="1174"/>
      <c r="Q307" s="1175">
        <f>Q305</f>
        <v>888.55841512239863</v>
      </c>
      <c r="R307" s="1175">
        <f>R305</f>
        <v>539.48189489574213</v>
      </c>
      <c r="S307" s="1175"/>
      <c r="T307" s="1175">
        <f>T305</f>
        <v>539.48189489574213</v>
      </c>
      <c r="U307" s="1175">
        <f>U305</f>
        <v>444.27920756119931</v>
      </c>
      <c r="V307" s="1175"/>
      <c r="W307" s="1175">
        <f>W305</f>
        <v>24.276685270308395</v>
      </c>
      <c r="X307" s="1175" t="str">
        <f>IF('INPUT-Data(HP)'!$AD37=0,"",'INPUT-Data(HP)'!$AD37)</f>
        <v/>
      </c>
      <c r="Y307" s="1175">
        <f>IF('INPUT-Data(HP)'!AE37=0,"",'INPUT-Data(HP)'!AE37)</f>
        <v>64.391255712488658</v>
      </c>
      <c r="Z307" s="1175" t="str">
        <f>IF('INPUT-Data(HP)'!AF37=0,"",'INPUT-Data(HP)'!AF37)</f>
        <v/>
      </c>
      <c r="AA307" s="1175"/>
      <c r="AB307" s="1173"/>
      <c r="AC307" s="1173"/>
      <c r="AD307" s="1173"/>
      <c r="AE307" s="1176">
        <f>IF('INPUT-Data(HP)'!$AK37=0,"",'INPUT-Data(HP)'!$AK37)</f>
        <v>20</v>
      </c>
      <c r="AF307" s="1176"/>
      <c r="AG307" s="1176"/>
      <c r="AH307" s="1176"/>
      <c r="AI307" s="1176">
        <f>IF('INPUT-Data(HP)'!$AL37=0,"",'INPUT-Data(HP)'!$AL37)</f>
        <v>2020</v>
      </c>
      <c r="AJ307" s="1173">
        <v>31.536000000000001</v>
      </c>
      <c r="AK307" s="1173"/>
    </row>
    <row r="308" spans="2:42" s="1169" customFormat="1">
      <c r="B308" s="1170"/>
      <c r="C308" s="1171"/>
      <c r="D308" s="1169" t="s">
        <v>1006</v>
      </c>
      <c r="E308" s="1172"/>
      <c r="F308" s="1173"/>
      <c r="G308" s="1173"/>
      <c r="H308" s="1173"/>
      <c r="I308" s="1173"/>
      <c r="J308" s="1173"/>
      <c r="K308" s="1173"/>
      <c r="L308" s="1173"/>
      <c r="M308" s="1173"/>
      <c r="N308" s="1173"/>
      <c r="O308" s="1173"/>
      <c r="P308" s="1174"/>
      <c r="Q308" s="1175"/>
      <c r="R308" s="1175"/>
      <c r="S308" s="1175"/>
      <c r="T308" s="1175"/>
      <c r="U308" s="1175"/>
      <c r="V308" s="1175"/>
      <c r="W308" s="1175"/>
      <c r="X308" s="1175"/>
      <c r="Y308" s="1175"/>
      <c r="Z308" s="1175"/>
      <c r="AA308" s="1175"/>
      <c r="AB308" s="1173"/>
      <c r="AC308" s="1173"/>
      <c r="AD308" s="1173"/>
      <c r="AE308" s="1176"/>
      <c r="AF308" s="1176"/>
      <c r="AG308" s="1176"/>
      <c r="AH308" s="1176"/>
      <c r="AI308" s="1176"/>
      <c r="AJ308" s="1173"/>
      <c r="AK308" s="1173"/>
    </row>
    <row r="309" spans="2:42" s="1169" customFormat="1" ht="15.75" customHeight="1">
      <c r="B309" s="1170"/>
      <c r="C309" s="1171"/>
      <c r="D309" s="1172"/>
      <c r="E309" s="1172" t="s">
        <v>526</v>
      </c>
      <c r="F309" s="1173"/>
      <c r="G309" s="1173"/>
      <c r="H309" s="1173"/>
      <c r="I309" s="1173"/>
      <c r="J309" s="1173"/>
      <c r="K309" s="1173"/>
      <c r="L309" s="1173"/>
      <c r="M309" s="1173"/>
      <c r="N309" s="1173"/>
      <c r="O309" s="1173"/>
      <c r="P309" s="1174"/>
      <c r="Q309" s="1175"/>
      <c r="R309" s="1175"/>
      <c r="S309" s="1175"/>
      <c r="T309" s="1175"/>
      <c r="U309" s="1175"/>
      <c r="V309" s="1175"/>
      <c r="W309" s="1175"/>
      <c r="X309" s="1175"/>
      <c r="Y309" s="1175"/>
      <c r="Z309" s="1175"/>
      <c r="AA309" s="1173"/>
      <c r="AB309" s="1173"/>
      <c r="AC309" s="1173"/>
      <c r="AD309" s="1173"/>
      <c r="AE309" s="1176"/>
      <c r="AF309" s="1176"/>
      <c r="AG309" s="1176"/>
      <c r="AH309" s="1176"/>
      <c r="AI309" s="1176"/>
    </row>
    <row r="310" spans="2:42" s="1192" customFormat="1">
      <c r="B310" s="1193" t="s">
        <v>1189</v>
      </c>
      <c r="C310" s="1194" t="s">
        <v>1021</v>
      </c>
      <c r="D310" s="1192" t="s">
        <v>555</v>
      </c>
      <c r="E310" s="1195"/>
      <c r="F310" s="1196">
        <f t="shared" ref="F310:K310" si="194">IF(F296=0,"",F296)</f>
        <v>1.6053015873015872</v>
      </c>
      <c r="G310" s="1196">
        <f t="shared" si="194"/>
        <v>1.6053015873015872</v>
      </c>
      <c r="H310" s="1196" t="str">
        <f t="shared" si="194"/>
        <v/>
      </c>
      <c r="I310" s="1196">
        <f t="shared" si="194"/>
        <v>1.5564615384615383</v>
      </c>
      <c r="J310" s="1196">
        <f t="shared" si="194"/>
        <v>1.4465714285714286</v>
      </c>
      <c r="K310" s="1196" t="str">
        <f t="shared" si="194"/>
        <v/>
      </c>
      <c r="L310" s="1196"/>
      <c r="M310" s="1196"/>
      <c r="N310" s="1196"/>
      <c r="O310" s="1196"/>
      <c r="P310" s="1196"/>
      <c r="Q310" s="1196">
        <f t="shared" ref="Q310:U310" si="195">IF(Q296=0,"",Q296)</f>
        <v>888.55841512239863</v>
      </c>
      <c r="R310" s="1196">
        <f t="shared" si="195"/>
        <v>539.48189489574213</v>
      </c>
      <c r="S310" s="1196" t="str">
        <f t="shared" si="195"/>
        <v/>
      </c>
      <c r="T310" s="1196">
        <f t="shared" si="195"/>
        <v>539.48189489574213</v>
      </c>
      <c r="U310" s="1196">
        <f t="shared" si="195"/>
        <v>444.27920756119931</v>
      </c>
      <c r="V310" s="1196"/>
      <c r="W310" s="1196">
        <f>IF(W296=0,"",W296)</f>
        <v>24.276685270308395</v>
      </c>
      <c r="X310" s="1196" t="str">
        <f>IF(X296=0,"",X296)</f>
        <v/>
      </c>
      <c r="Y310" s="1196">
        <f>IF(Y296=0,"",Y296)</f>
        <v>24.276685270308395</v>
      </c>
      <c r="Z310" s="1196">
        <f>IF(Z296=0,"",Z296)</f>
        <v>19.992564340253967</v>
      </c>
      <c r="AA310" s="1196"/>
      <c r="AB310" s="1196"/>
      <c r="AC310" s="1196"/>
      <c r="AD310" s="1196"/>
      <c r="AE310" s="1196">
        <f t="shared" ref="AE310:AK311" si="196">IF(AE296=0,"",AE296)</f>
        <v>20</v>
      </c>
      <c r="AF310" s="1196" t="str">
        <f t="shared" si="196"/>
        <v/>
      </c>
      <c r="AG310" s="1196" t="str">
        <f t="shared" si="196"/>
        <v/>
      </c>
      <c r="AH310" s="1196" t="str">
        <f t="shared" si="196"/>
        <v/>
      </c>
      <c r="AI310" s="1196">
        <f t="shared" si="196"/>
        <v>2015</v>
      </c>
      <c r="AJ310" s="1196">
        <f t="shared" si="196"/>
        <v>31.536000000000001</v>
      </c>
      <c r="AK310" s="1196" t="str">
        <f t="shared" si="196"/>
        <v/>
      </c>
    </row>
    <row r="311" spans="2:42" s="1192" customFormat="1">
      <c r="B311" s="1193"/>
      <c r="C311" s="1194"/>
      <c r="E311" s="1195" t="s">
        <v>527</v>
      </c>
      <c r="F311" s="1196" t="str">
        <f>IF(F297=0,"",F297)</f>
        <v/>
      </c>
      <c r="G311" s="1196" t="str">
        <f>IF(G297=0,"",G297)</f>
        <v/>
      </c>
      <c r="H311" s="1196" t="str">
        <f>IF(H297=0,"",H297)</f>
        <v/>
      </c>
      <c r="I311" s="1196" t="str">
        <f>IF(I297=0,"",I297)</f>
        <v/>
      </c>
      <c r="J311" s="1196" t="str">
        <f>IF(J297=0,"",J297)</f>
        <v/>
      </c>
      <c r="K311" s="1196">
        <f t="shared" ref="K311:Y311" si="197">IF(K297=0,"",K297)</f>
        <v>1</v>
      </c>
      <c r="L311" s="1196"/>
      <c r="M311" s="1196"/>
      <c r="N311" s="1196"/>
      <c r="O311" s="1196"/>
      <c r="P311" s="1196"/>
      <c r="Q311" s="1196" t="str">
        <f t="shared" si="197"/>
        <v/>
      </c>
      <c r="R311" s="1196" t="str">
        <f t="shared" si="197"/>
        <v/>
      </c>
      <c r="S311" s="1196" t="str">
        <f t="shared" si="197"/>
        <v/>
      </c>
      <c r="T311" s="1196" t="str">
        <f t="shared" si="197"/>
        <v/>
      </c>
      <c r="U311" s="1196" t="str">
        <f t="shared" si="197"/>
        <v/>
      </c>
      <c r="V311" s="1196"/>
      <c r="W311" s="1196" t="str">
        <f t="shared" si="197"/>
        <v/>
      </c>
      <c r="X311" s="1196" t="str">
        <f t="shared" si="197"/>
        <v/>
      </c>
      <c r="Y311" s="1196" t="str">
        <f t="shared" si="197"/>
        <v/>
      </c>
      <c r="Z311" s="1196" t="str">
        <f>IF(Z297=0,"",Z297)</f>
        <v/>
      </c>
      <c r="AA311" s="1196"/>
      <c r="AB311" s="1196"/>
      <c r="AC311" s="1196"/>
      <c r="AD311" s="1196"/>
      <c r="AE311" s="1196" t="str">
        <f t="shared" si="196"/>
        <v/>
      </c>
      <c r="AF311" s="1196" t="str">
        <f t="shared" si="196"/>
        <v/>
      </c>
      <c r="AG311" s="1196" t="str">
        <f t="shared" si="196"/>
        <v/>
      </c>
      <c r="AH311" s="1196" t="str">
        <f t="shared" si="196"/>
        <v/>
      </c>
      <c r="AI311" s="1196" t="str">
        <f t="shared" si="196"/>
        <v/>
      </c>
      <c r="AJ311" s="1196" t="str">
        <f t="shared" si="196"/>
        <v/>
      </c>
      <c r="AK311" s="1196" t="str">
        <f t="shared" si="196"/>
        <v/>
      </c>
    </row>
    <row r="312" spans="2:42" s="1187" customFormat="1">
      <c r="B312" s="1188" t="s">
        <v>1190</v>
      </c>
      <c r="C312" s="1189" t="s">
        <v>1022</v>
      </c>
      <c r="D312" s="1187" t="s">
        <v>1009</v>
      </c>
      <c r="E312" s="1190"/>
      <c r="F312" s="1191">
        <f t="shared" ref="F312:J313" si="198">IF(F296=0,"",F296)</f>
        <v>1.6053015873015872</v>
      </c>
      <c r="G312" s="1191">
        <f t="shared" si="198"/>
        <v>1.6053015873015872</v>
      </c>
      <c r="H312" s="1191" t="str">
        <f t="shared" si="198"/>
        <v/>
      </c>
      <c r="I312" s="1191">
        <f t="shared" si="198"/>
        <v>1.5564615384615383</v>
      </c>
      <c r="J312" s="1191">
        <f t="shared" si="198"/>
        <v>1.4465714285714286</v>
      </c>
      <c r="K312" s="1191" t="str">
        <f t="shared" ref="K312:AJ312" si="199">IF(K296=0,"",K296)</f>
        <v/>
      </c>
      <c r="L312" s="1191"/>
      <c r="M312" s="1191"/>
      <c r="N312" s="1191"/>
      <c r="O312" s="1191"/>
      <c r="P312" s="1191"/>
      <c r="Q312" s="1191">
        <f t="shared" si="199"/>
        <v>888.55841512239863</v>
      </c>
      <c r="R312" s="1191">
        <f t="shared" si="199"/>
        <v>539.48189489574213</v>
      </c>
      <c r="S312" s="1191" t="str">
        <f t="shared" si="199"/>
        <v/>
      </c>
      <c r="T312" s="1191">
        <f t="shared" si="199"/>
        <v>539.48189489574213</v>
      </c>
      <c r="U312" s="1191">
        <f t="shared" si="199"/>
        <v>444.27920756119931</v>
      </c>
      <c r="V312" s="1191"/>
      <c r="W312" s="1191">
        <f t="shared" si="199"/>
        <v>24.276685270308395</v>
      </c>
      <c r="X312" s="1191" t="str">
        <f t="shared" si="199"/>
        <v/>
      </c>
      <c r="Y312" s="1191">
        <f t="shared" si="199"/>
        <v>24.276685270308395</v>
      </c>
      <c r="Z312" s="1191">
        <f t="shared" si="199"/>
        <v>19.992564340253967</v>
      </c>
      <c r="AA312" s="1191"/>
      <c r="AB312" s="1191"/>
      <c r="AC312" s="1191"/>
      <c r="AD312" s="1191"/>
      <c r="AE312" s="1191">
        <f t="shared" si="199"/>
        <v>20</v>
      </c>
      <c r="AF312" s="1191" t="str">
        <f t="shared" si="199"/>
        <v/>
      </c>
      <c r="AG312" s="1191" t="str">
        <f t="shared" si="199"/>
        <v/>
      </c>
      <c r="AH312" s="1191" t="str">
        <f t="shared" si="199"/>
        <v/>
      </c>
      <c r="AI312" s="1191">
        <f t="shared" si="199"/>
        <v>2015</v>
      </c>
      <c r="AJ312" s="1191">
        <f t="shared" si="199"/>
        <v>31.536000000000001</v>
      </c>
      <c r="AK312" s="1191" t="str">
        <f>IF(AK298=0,"",AK298)</f>
        <v/>
      </c>
    </row>
    <row r="313" spans="2:42" s="1187" customFormat="1">
      <c r="B313" s="1188"/>
      <c r="C313" s="1189"/>
      <c r="E313" s="1190" t="s">
        <v>527</v>
      </c>
      <c r="F313" s="1191" t="str">
        <f t="shared" si="198"/>
        <v/>
      </c>
      <c r="G313" s="1191" t="str">
        <f t="shared" si="198"/>
        <v/>
      </c>
      <c r="H313" s="1191" t="str">
        <f t="shared" si="198"/>
        <v/>
      </c>
      <c r="I313" s="1191" t="str">
        <f t="shared" si="198"/>
        <v/>
      </c>
      <c r="J313" s="1191" t="str">
        <f t="shared" si="198"/>
        <v/>
      </c>
      <c r="K313" s="1191">
        <f t="shared" ref="K313:AJ313" si="200">IF(K297=0,"",K297)</f>
        <v>1</v>
      </c>
      <c r="L313" s="1191"/>
      <c r="M313" s="1191"/>
      <c r="N313" s="1191"/>
      <c r="O313" s="1191"/>
      <c r="P313" s="1191"/>
      <c r="Q313" s="1191" t="str">
        <f t="shared" si="200"/>
        <v/>
      </c>
      <c r="R313" s="1191" t="str">
        <f t="shared" si="200"/>
        <v/>
      </c>
      <c r="S313" s="1191" t="str">
        <f t="shared" si="200"/>
        <v/>
      </c>
      <c r="T313" s="1191" t="str">
        <f t="shared" si="200"/>
        <v/>
      </c>
      <c r="U313" s="1191" t="str">
        <f t="shared" si="200"/>
        <v/>
      </c>
      <c r="V313" s="1191" t="str">
        <f t="shared" si="200"/>
        <v/>
      </c>
      <c r="W313" s="1191" t="str">
        <f t="shared" si="200"/>
        <v/>
      </c>
      <c r="X313" s="1191" t="str">
        <f t="shared" si="200"/>
        <v/>
      </c>
      <c r="Y313" s="1191" t="str">
        <f t="shared" si="200"/>
        <v/>
      </c>
      <c r="Z313" s="1191" t="str">
        <f t="shared" si="200"/>
        <v/>
      </c>
      <c r="AA313" s="1191"/>
      <c r="AB313" s="1191"/>
      <c r="AC313" s="1191"/>
      <c r="AD313" s="1191"/>
      <c r="AE313" s="1191" t="str">
        <f t="shared" si="200"/>
        <v/>
      </c>
      <c r="AF313" s="1191" t="str">
        <f t="shared" si="200"/>
        <v/>
      </c>
      <c r="AG313" s="1191" t="str">
        <f t="shared" si="200"/>
        <v/>
      </c>
      <c r="AH313" s="1191" t="str">
        <f t="shared" si="200"/>
        <v/>
      </c>
      <c r="AI313" s="1191" t="str">
        <f t="shared" si="200"/>
        <v/>
      </c>
      <c r="AJ313" s="1191" t="str">
        <f t="shared" si="200"/>
        <v/>
      </c>
      <c r="AK313" s="1191" t="str">
        <f>IF(AK299=0,"",AK299)</f>
        <v/>
      </c>
    </row>
    <row r="314" spans="2:42" s="1169" customFormat="1">
      <c r="B314" s="1170" t="s">
        <v>1253</v>
      </c>
      <c r="C314" s="1171" t="s">
        <v>1260</v>
      </c>
      <c r="D314" s="1169" t="s">
        <v>1009</v>
      </c>
      <c r="E314" s="1172"/>
      <c r="F314" s="1173"/>
      <c r="G314" s="1173"/>
      <c r="H314" s="1173"/>
      <c r="I314" s="1173"/>
      <c r="J314" s="1173"/>
      <c r="K314" s="1173"/>
      <c r="L314" s="1173">
        <f>1/G312</f>
        <v>0.62293590681669864</v>
      </c>
      <c r="M314" s="1173"/>
      <c r="N314" s="1173">
        <f t="shared" ref="N314" si="201">1/I312</f>
        <v>0.64248294949095586</v>
      </c>
      <c r="O314" s="1173">
        <f t="shared" ref="O314" si="202">1/J312</f>
        <v>0.69128974916057673</v>
      </c>
      <c r="P314" s="1173"/>
      <c r="Q314" s="1173">
        <f t="shared" ref="Q314:U314" si="203">IF(Q298=0,"",Q298)</f>
        <v>888.55841512239863</v>
      </c>
      <c r="R314" s="1173">
        <f t="shared" si="203"/>
        <v>539.48189489574213</v>
      </c>
      <c r="S314" s="1173" t="str">
        <f t="shared" si="203"/>
        <v/>
      </c>
      <c r="T314" s="1173">
        <f t="shared" si="203"/>
        <v>539.48189489574213</v>
      </c>
      <c r="U314" s="1173">
        <f t="shared" si="203"/>
        <v>444.27920756119931</v>
      </c>
      <c r="V314" s="1173"/>
      <c r="W314" s="1173">
        <f t="shared" ref="W314:Z314" si="204">IF(W298=0,"",W298)</f>
        <v>24.276685270308395</v>
      </c>
      <c r="X314" s="1173" t="str">
        <f t="shared" si="204"/>
        <v/>
      </c>
      <c r="Y314" s="1173">
        <f t="shared" si="204"/>
        <v>24.276685270308395</v>
      </c>
      <c r="Z314" s="1173">
        <f t="shared" si="204"/>
        <v>19.992564340253967</v>
      </c>
      <c r="AA314" s="1173"/>
      <c r="AB314" s="1173"/>
      <c r="AC314" s="1173"/>
      <c r="AD314" s="1173"/>
      <c r="AE314" s="1173">
        <f t="shared" ref="AE314:AJ314" si="205">IF(AE298=0,"",AE298)</f>
        <v>20</v>
      </c>
      <c r="AF314" s="1173" t="str">
        <f t="shared" si="205"/>
        <v/>
      </c>
      <c r="AG314" s="1173" t="str">
        <f t="shared" si="205"/>
        <v/>
      </c>
      <c r="AH314" s="1173" t="str">
        <f t="shared" si="205"/>
        <v/>
      </c>
      <c r="AI314" s="1173">
        <f t="shared" si="205"/>
        <v>2015</v>
      </c>
      <c r="AJ314" s="1173">
        <f t="shared" si="205"/>
        <v>31.536000000000001</v>
      </c>
      <c r="AK314" s="1173" t="str">
        <f>IF(AK300=0,"",AK300)</f>
        <v/>
      </c>
    </row>
    <row r="315" spans="2:42" s="1169" customFormat="1">
      <c r="B315" s="1170"/>
      <c r="C315" s="1171"/>
      <c r="D315" s="1169" t="s">
        <v>555</v>
      </c>
      <c r="E315" s="1172"/>
      <c r="F315" s="1173"/>
      <c r="G315" s="1173"/>
      <c r="H315" s="1173"/>
      <c r="I315" s="1173"/>
      <c r="J315" s="1173"/>
      <c r="K315" s="1173"/>
      <c r="L315" s="1173"/>
      <c r="M315" s="1173"/>
      <c r="N315" s="1173"/>
      <c r="O315" s="1173"/>
      <c r="P315" s="1173"/>
      <c r="Q315" s="1173"/>
      <c r="R315" s="1173"/>
      <c r="S315" s="1173"/>
      <c r="T315" s="1173"/>
      <c r="U315" s="1173"/>
      <c r="V315" s="1173"/>
      <c r="W315" s="1173"/>
      <c r="X315" s="1173"/>
      <c r="Y315" s="1173"/>
      <c r="Z315" s="1173"/>
      <c r="AA315" s="1173"/>
      <c r="AB315" s="1173"/>
      <c r="AC315" s="1173"/>
      <c r="AD315" s="1173"/>
      <c r="AE315" s="1173"/>
      <c r="AF315" s="1173"/>
      <c r="AG315" s="1173"/>
      <c r="AH315" s="1173"/>
      <c r="AI315" s="1173"/>
      <c r="AJ315" s="1173"/>
      <c r="AK315" s="1173"/>
    </row>
    <row r="316" spans="2:42" s="1169" customFormat="1">
      <c r="B316" s="1170"/>
      <c r="C316" s="1171"/>
      <c r="E316" s="1172" t="s">
        <v>527</v>
      </c>
      <c r="F316" s="1173"/>
      <c r="G316" s="1173"/>
      <c r="H316" s="1173"/>
      <c r="I316" s="1173"/>
      <c r="J316" s="1173"/>
      <c r="K316" s="1173"/>
      <c r="L316" s="1173"/>
      <c r="M316" s="1173"/>
      <c r="N316" s="1173"/>
      <c r="O316" s="1173"/>
      <c r="P316" s="1173"/>
      <c r="Q316" s="1173" t="str">
        <f t="shared" ref="Q316:Z316" si="206">IF(Q299=0,"",Q299)</f>
        <v/>
      </c>
      <c r="R316" s="1173" t="str">
        <f t="shared" si="206"/>
        <v/>
      </c>
      <c r="S316" s="1173" t="str">
        <f t="shared" si="206"/>
        <v/>
      </c>
      <c r="T316" s="1173" t="str">
        <f t="shared" si="206"/>
        <v/>
      </c>
      <c r="U316" s="1173" t="str">
        <f t="shared" si="206"/>
        <v/>
      </c>
      <c r="V316" s="1173" t="str">
        <f t="shared" si="206"/>
        <v/>
      </c>
      <c r="W316" s="1173" t="str">
        <f t="shared" si="206"/>
        <v/>
      </c>
      <c r="X316" s="1173" t="str">
        <f t="shared" si="206"/>
        <v/>
      </c>
      <c r="Y316" s="1173" t="str">
        <f t="shared" si="206"/>
        <v/>
      </c>
      <c r="Z316" s="1173" t="str">
        <f t="shared" si="206"/>
        <v/>
      </c>
      <c r="AA316" s="1173"/>
      <c r="AB316" s="1173"/>
      <c r="AC316" s="1173"/>
      <c r="AD316" s="1173"/>
      <c r="AE316" s="1173" t="str">
        <f t="shared" ref="AE316:AJ316" si="207">IF(AE299=0,"",AE299)</f>
        <v/>
      </c>
      <c r="AF316" s="1173" t="str">
        <f t="shared" si="207"/>
        <v/>
      </c>
      <c r="AG316" s="1173" t="str">
        <f t="shared" si="207"/>
        <v/>
      </c>
      <c r="AH316" s="1173" t="str">
        <f t="shared" si="207"/>
        <v/>
      </c>
      <c r="AI316" s="1173" t="str">
        <f t="shared" si="207"/>
        <v/>
      </c>
      <c r="AJ316" s="1173" t="str">
        <f t="shared" si="207"/>
        <v/>
      </c>
      <c r="AK316" s="1173" t="str">
        <f>IF(AK302=0,"",AK302)</f>
        <v/>
      </c>
    </row>
    <row r="317" spans="2:42" s="554" customFormat="1">
      <c r="B317" s="984" t="s">
        <v>1023</v>
      </c>
      <c r="C317" s="216" t="s">
        <v>1120</v>
      </c>
      <c r="D317" s="554" t="s">
        <v>279</v>
      </c>
      <c r="E317" s="216"/>
      <c r="F317" s="553">
        <f>IF('INPUT-Data(HP)'!K40=0,"",'INPUT-Data(HP)'!K40)</f>
        <v>1.6666666666666667</v>
      </c>
      <c r="G317" s="553">
        <f>F317</f>
        <v>1.6666666666666667</v>
      </c>
      <c r="H317" s="553">
        <f>IF('INPUT-Data(HP)'!N40=0,"",'INPUT-Data(HP)'!N40)</f>
        <v>1.4705882352941175</v>
      </c>
      <c r="I317" s="553">
        <f>IF('INPUT-Data(HP)'!O40=0,"",'INPUT-Data(HP)'!O40)</f>
        <v>1.3513513513513513</v>
      </c>
      <c r="J317" s="553"/>
      <c r="K317" s="553"/>
      <c r="L317" s="553"/>
      <c r="M317" s="553"/>
      <c r="N317" s="553"/>
      <c r="O317" s="553"/>
      <c r="P317" s="617"/>
      <c r="Q317" s="1197"/>
      <c r="R317" s="1198">
        <f>'INPUT-Data(HP)'!X40</f>
        <v>1142.4322480145127</v>
      </c>
      <c r="S317" s="1198"/>
      <c r="T317" s="1198">
        <f>'INPUT-Data(HP)'!Z40</f>
        <v>952.02687334542713</v>
      </c>
      <c r="U317" s="1198">
        <f>'INPUT-Data(HP)'!AA40</f>
        <v>571.21612400725633</v>
      </c>
      <c r="V317" s="1197"/>
      <c r="W317" s="1198">
        <f>'INPUT-Data(HP)'!AC40</f>
        <v>51.40945116065307</v>
      </c>
      <c r="X317" s="1198" t="str">
        <f>IF('INPUT-Data(HP)'!AD40=0,"",'INPUT-Data(HP)'!AD40)</f>
        <v/>
      </c>
      <c r="Y317" s="1198">
        <f>IF('INPUT-Data(HP)'!AE40=0,"",'INPUT-Data(HP)'!AE40)</f>
        <v>42.841209300544222</v>
      </c>
      <c r="Z317" s="1198">
        <f>IF('INPUT-Data(HP)'!AF40=0,"",'INPUT-Data(HP)'!AF40)</f>
        <v>25.704725580326535</v>
      </c>
      <c r="AA317" s="606"/>
      <c r="AB317" s="606"/>
      <c r="AC317" s="606"/>
      <c r="AD317" s="606"/>
      <c r="AE317" s="606">
        <f>IF('INPUT-Data(HP)'!AK40=0,"",'INPUT-Data(HP)'!AK40)</f>
        <v>20</v>
      </c>
      <c r="AF317" s="606"/>
      <c r="AG317" s="606"/>
      <c r="AH317" s="606"/>
      <c r="AI317" s="552">
        <f>IF('INPUT-Data(HP)'!AL40=0,"",'INPUT-Data(HP)'!AL40)</f>
        <v>2015</v>
      </c>
      <c r="AJ317" s="553">
        <v>31.536000000000001</v>
      </c>
      <c r="AK317" s="553"/>
    </row>
    <row r="318" spans="2:42" s="14" customFormat="1">
      <c r="B318" s="973"/>
      <c r="C318" s="35"/>
      <c r="E318" s="19" t="s">
        <v>232</v>
      </c>
      <c r="F318" s="23"/>
      <c r="G318" s="23"/>
      <c r="H318" s="23"/>
      <c r="I318" s="23"/>
      <c r="J318" s="23"/>
      <c r="K318" s="23">
        <f>'INPUT-Data(HP)'!T40</f>
        <v>1</v>
      </c>
      <c r="L318" s="634"/>
      <c r="M318" s="634"/>
      <c r="N318" s="634"/>
      <c r="O318" s="634"/>
      <c r="P318" s="21"/>
      <c r="Q318" s="43"/>
      <c r="R318" s="43"/>
      <c r="S318" s="43"/>
      <c r="T318" s="43"/>
      <c r="U318" s="43"/>
      <c r="V318" s="43"/>
      <c r="W318" s="618"/>
      <c r="X318" s="618"/>
      <c r="Y318" s="618"/>
      <c r="Z318" s="43"/>
      <c r="AA318" s="43"/>
      <c r="AB318" s="43"/>
      <c r="AC318" s="43"/>
      <c r="AD318" s="43"/>
      <c r="AE318" s="43"/>
      <c r="AF318" s="43"/>
      <c r="AG318" s="43"/>
      <c r="AH318" s="43"/>
      <c r="AI318" s="20"/>
      <c r="AJ318" s="23"/>
      <c r="AK318" s="634"/>
      <c r="AO318" s="628"/>
      <c r="AP318" s="628"/>
    </row>
    <row r="319" spans="2:42" s="1179" customFormat="1">
      <c r="B319" s="1180" t="s">
        <v>1024</v>
      </c>
      <c r="C319" s="333" t="s">
        <v>991</v>
      </c>
      <c r="D319" s="1179" t="s">
        <v>1009</v>
      </c>
      <c r="E319" s="1446"/>
      <c r="F319" s="1185">
        <f>IF(F317=0,"",F317)</f>
        <v>1.6666666666666667</v>
      </c>
      <c r="G319" s="1185">
        <f>IF(G317=0,"",G317)</f>
        <v>1.6666666666666667</v>
      </c>
      <c r="H319" s="1185">
        <f>IF(H317=0,"",H317)</f>
        <v>1.4705882352941175</v>
      </c>
      <c r="I319" s="1185">
        <f>IF(I317=0,"",I317)</f>
        <v>1.3513513513513513</v>
      </c>
      <c r="J319" s="1185" t="str">
        <f t="shared" ref="J319:AJ319" si="208">IF(J317=0,"",J317)</f>
        <v/>
      </c>
      <c r="K319" s="1185" t="str">
        <f t="shared" si="208"/>
        <v/>
      </c>
      <c r="L319" s="1185"/>
      <c r="M319" s="1185"/>
      <c r="N319" s="1185"/>
      <c r="O319" s="1185"/>
      <c r="P319" s="1185"/>
      <c r="Q319" s="1185" t="str">
        <f t="shared" si="208"/>
        <v/>
      </c>
      <c r="R319" s="1185">
        <f t="shared" si="208"/>
        <v>1142.4322480145127</v>
      </c>
      <c r="S319" s="1185" t="str">
        <f t="shared" si="208"/>
        <v/>
      </c>
      <c r="T319" s="1185">
        <f t="shared" si="208"/>
        <v>952.02687334542713</v>
      </c>
      <c r="U319" s="1185">
        <f t="shared" si="208"/>
        <v>571.21612400725633</v>
      </c>
      <c r="V319" s="1185" t="str">
        <f t="shared" si="208"/>
        <v/>
      </c>
      <c r="W319" s="1185">
        <f t="shared" si="208"/>
        <v>51.40945116065307</v>
      </c>
      <c r="X319" s="1185" t="str">
        <f t="shared" si="208"/>
        <v/>
      </c>
      <c r="Y319" s="1185">
        <f t="shared" si="208"/>
        <v>42.841209300544222</v>
      </c>
      <c r="Z319" s="1185">
        <f t="shared" si="208"/>
        <v>25.704725580326535</v>
      </c>
      <c r="AA319" s="1185"/>
      <c r="AB319" s="1185"/>
      <c r="AC319" s="1185"/>
      <c r="AD319" s="1185"/>
      <c r="AE319" s="1185">
        <f t="shared" si="208"/>
        <v>20</v>
      </c>
      <c r="AF319" s="1185" t="str">
        <f t="shared" si="208"/>
        <v/>
      </c>
      <c r="AG319" s="1185" t="str">
        <f t="shared" si="208"/>
        <v/>
      </c>
      <c r="AH319" s="1185" t="str">
        <f t="shared" si="208"/>
        <v/>
      </c>
      <c r="AI319" s="1185">
        <f t="shared" si="208"/>
        <v>2015</v>
      </c>
      <c r="AJ319" s="1185">
        <f t="shared" si="208"/>
        <v>31.536000000000001</v>
      </c>
      <c r="AK319" s="1185"/>
    </row>
    <row r="320" spans="2:42" s="1179" customFormat="1">
      <c r="B320" s="1180"/>
      <c r="C320" s="333"/>
      <c r="E320" s="1181" t="s">
        <v>232</v>
      </c>
      <c r="F320" s="1185"/>
      <c r="G320" s="1185"/>
      <c r="H320" s="1185"/>
      <c r="I320" s="1185"/>
      <c r="J320" s="1185"/>
      <c r="K320" s="1185">
        <f>'INPUT-Data(HP)'!T42</f>
        <v>1</v>
      </c>
      <c r="L320" s="1185"/>
      <c r="M320" s="1185"/>
      <c r="N320" s="1185"/>
      <c r="O320" s="1185"/>
      <c r="P320" s="1183"/>
      <c r="Q320" s="1184"/>
      <c r="R320" s="1184"/>
      <c r="S320" s="1184"/>
      <c r="T320" s="1184"/>
      <c r="U320" s="1184"/>
      <c r="V320" s="1184"/>
      <c r="W320" s="1447"/>
      <c r="X320" s="1447"/>
      <c r="Y320" s="1447"/>
      <c r="Z320" s="1184"/>
      <c r="AA320" s="1184"/>
      <c r="AB320" s="1184"/>
      <c r="AC320" s="1184"/>
      <c r="AD320" s="1184"/>
      <c r="AE320" s="1184"/>
      <c r="AF320" s="1184"/>
      <c r="AG320" s="1184"/>
      <c r="AH320" s="1184"/>
      <c r="AI320" s="1186"/>
      <c r="AJ320" s="1185"/>
      <c r="AK320" s="1185"/>
    </row>
    <row r="321" spans="2:37" s="1169" customFormat="1">
      <c r="B321" s="1170" t="s">
        <v>1254</v>
      </c>
      <c r="C321" s="1171" t="s">
        <v>1259</v>
      </c>
      <c r="D321" s="1169" t="s">
        <v>1009</v>
      </c>
      <c r="E321" s="1177"/>
      <c r="F321" s="1173"/>
      <c r="G321" s="1173"/>
      <c r="H321" s="1173"/>
      <c r="I321" s="1173"/>
      <c r="J321" s="1173"/>
      <c r="K321" s="1173"/>
      <c r="L321" s="1173">
        <f>1/G319</f>
        <v>0.6</v>
      </c>
      <c r="M321" s="1173">
        <f>1/H319</f>
        <v>0.68</v>
      </c>
      <c r="N321" s="1173">
        <f t="shared" ref="N321" si="209">1/I319</f>
        <v>0.74</v>
      </c>
      <c r="O321" s="1173"/>
      <c r="P321" s="1173"/>
      <c r="Q321" s="1173" t="str">
        <f t="shared" ref="Q321:Z321" si="210">IF(Q319=0,"",Q319)</f>
        <v/>
      </c>
      <c r="R321" s="1173">
        <f t="shared" si="210"/>
        <v>1142.4322480145127</v>
      </c>
      <c r="S321" s="1173" t="str">
        <f t="shared" si="210"/>
        <v/>
      </c>
      <c r="T321" s="1173">
        <f t="shared" si="210"/>
        <v>952.02687334542713</v>
      </c>
      <c r="U321" s="1173">
        <f t="shared" si="210"/>
        <v>571.21612400725633</v>
      </c>
      <c r="V321" s="1173" t="str">
        <f t="shared" si="210"/>
        <v/>
      </c>
      <c r="W321" s="1173">
        <f t="shared" si="210"/>
        <v>51.40945116065307</v>
      </c>
      <c r="X321" s="1173" t="str">
        <f t="shared" si="210"/>
        <v/>
      </c>
      <c r="Y321" s="1173">
        <f t="shared" si="210"/>
        <v>42.841209300544222</v>
      </c>
      <c r="Z321" s="1173">
        <f t="shared" si="210"/>
        <v>25.704725580326535</v>
      </c>
      <c r="AA321" s="1173"/>
      <c r="AB321" s="1173"/>
      <c r="AC321" s="1173"/>
      <c r="AD321" s="1173"/>
      <c r="AE321" s="1173">
        <f t="shared" ref="AE321:AJ321" si="211">IF(AE319=0,"",AE319)</f>
        <v>20</v>
      </c>
      <c r="AF321" s="1173" t="str">
        <f t="shared" si="211"/>
        <v/>
      </c>
      <c r="AG321" s="1173" t="str">
        <f t="shared" si="211"/>
        <v/>
      </c>
      <c r="AH321" s="1173" t="str">
        <f t="shared" si="211"/>
        <v/>
      </c>
      <c r="AI321" s="1173">
        <f t="shared" si="211"/>
        <v>2015</v>
      </c>
      <c r="AJ321" s="1173">
        <f t="shared" si="211"/>
        <v>31.536000000000001</v>
      </c>
      <c r="AK321" s="1173"/>
    </row>
    <row r="322" spans="2:37" s="1169" customFormat="1">
      <c r="B322" s="1170"/>
      <c r="C322" s="1171"/>
      <c r="D322" s="1169" t="s">
        <v>279</v>
      </c>
      <c r="E322" s="1177"/>
      <c r="F322" s="1173"/>
      <c r="G322" s="1173"/>
      <c r="H322" s="1173"/>
      <c r="I322" s="1173"/>
      <c r="J322" s="1173"/>
      <c r="K322" s="1173"/>
      <c r="L322" s="1173"/>
      <c r="M322" s="1173"/>
      <c r="N322" s="1173"/>
      <c r="O322" s="1173"/>
      <c r="P322" s="1173"/>
      <c r="Q322" s="1173"/>
      <c r="R322" s="1173"/>
      <c r="S322" s="1173"/>
      <c r="T322" s="1173"/>
      <c r="U322" s="1173"/>
      <c r="V322" s="1173"/>
      <c r="W322" s="1173"/>
      <c r="X322" s="1173"/>
      <c r="Y322" s="1173"/>
      <c r="Z322" s="1173"/>
      <c r="AA322" s="1173"/>
      <c r="AB322" s="1173"/>
      <c r="AC322" s="1173"/>
      <c r="AD322" s="1173"/>
      <c r="AE322" s="1173"/>
      <c r="AF322" s="1173"/>
      <c r="AG322" s="1173"/>
      <c r="AH322" s="1173"/>
      <c r="AI322" s="1173"/>
      <c r="AJ322" s="1173"/>
      <c r="AK322" s="1173"/>
    </row>
    <row r="323" spans="2:37" s="1169" customFormat="1">
      <c r="B323" s="1170"/>
      <c r="C323" s="1171"/>
      <c r="E323" s="1172" t="s">
        <v>232</v>
      </c>
      <c r="F323" s="1173"/>
      <c r="G323" s="1173"/>
      <c r="H323" s="1173"/>
      <c r="I323" s="1173"/>
      <c r="J323" s="1173"/>
      <c r="K323" s="1173"/>
      <c r="L323" s="1173"/>
      <c r="M323" s="1173"/>
      <c r="N323" s="1173"/>
      <c r="O323" s="1173"/>
      <c r="P323" s="1174"/>
      <c r="Q323" s="1175"/>
      <c r="R323" s="1175"/>
      <c r="S323" s="1175"/>
      <c r="T323" s="1175"/>
      <c r="U323" s="1175"/>
      <c r="V323" s="1175"/>
      <c r="W323" s="1178"/>
      <c r="X323" s="1178"/>
      <c r="Y323" s="1178"/>
      <c r="Z323" s="1175"/>
      <c r="AA323" s="1175"/>
      <c r="AB323" s="1175"/>
      <c r="AC323" s="1175"/>
      <c r="AD323" s="1175"/>
      <c r="AE323" s="1175"/>
      <c r="AF323" s="1175"/>
      <c r="AG323" s="1175"/>
      <c r="AH323" s="1175"/>
      <c r="AI323" s="1176"/>
      <c r="AJ323" s="1173"/>
      <c r="AK323" s="1173"/>
    </row>
    <row r="324" spans="2:37" s="628" customFormat="1">
      <c r="B324" s="973" t="s">
        <v>992</v>
      </c>
      <c r="C324" s="639" t="s">
        <v>993</v>
      </c>
      <c r="D324" s="628" t="s">
        <v>1006</v>
      </c>
      <c r="E324" s="638"/>
      <c r="F324" s="634">
        <f>IF(F317=0,"",F317)</f>
        <v>1.6666666666666667</v>
      </c>
      <c r="G324" s="634">
        <f>IF(G317=0,"",G317)</f>
        <v>1.6666666666666667</v>
      </c>
      <c r="H324" s="634">
        <f>IF(H317=0,"",H317)</f>
        <v>1.4705882352941175</v>
      </c>
      <c r="I324" s="634">
        <f>IF(I317=0,"",I317)</f>
        <v>1.3513513513513513</v>
      </c>
      <c r="J324" s="634" t="str">
        <f>IF(J317=0,"",J317)</f>
        <v/>
      </c>
      <c r="K324" s="634" t="str">
        <f t="shared" ref="K324" si="212">IF(K317=0,"",K317)</f>
        <v/>
      </c>
      <c r="L324" s="634"/>
      <c r="M324" s="634"/>
      <c r="N324" s="634"/>
      <c r="O324" s="634"/>
      <c r="P324" s="634"/>
      <c r="Q324" s="634" t="str">
        <f t="shared" ref="Q324:Z324" si="213">IF(Q317=0,"",Q317)</f>
        <v/>
      </c>
      <c r="R324" s="634">
        <f t="shared" si="213"/>
        <v>1142.4322480145127</v>
      </c>
      <c r="S324" s="634" t="str">
        <f t="shared" si="213"/>
        <v/>
      </c>
      <c r="T324" s="634">
        <f t="shared" si="213"/>
        <v>952.02687334542713</v>
      </c>
      <c r="U324" s="634">
        <f t="shared" si="213"/>
        <v>571.21612400725633</v>
      </c>
      <c r="V324" s="634" t="str">
        <f t="shared" si="213"/>
        <v/>
      </c>
      <c r="W324" s="634">
        <f t="shared" si="213"/>
        <v>51.40945116065307</v>
      </c>
      <c r="X324" s="634" t="str">
        <f t="shared" si="213"/>
        <v/>
      </c>
      <c r="Y324" s="634">
        <f t="shared" si="213"/>
        <v>42.841209300544222</v>
      </c>
      <c r="Z324" s="634">
        <f t="shared" si="213"/>
        <v>25.704725580326535</v>
      </c>
      <c r="AA324" s="634"/>
      <c r="AB324" s="634"/>
      <c r="AC324" s="634"/>
      <c r="AD324" s="634"/>
      <c r="AE324" s="634">
        <f t="shared" ref="AE324:AJ324" si="214">IF(AE317=0,"",AE317)</f>
        <v>20</v>
      </c>
      <c r="AF324" s="634" t="str">
        <f t="shared" si="214"/>
        <v/>
      </c>
      <c r="AG324" s="634" t="str">
        <f t="shared" si="214"/>
        <v/>
      </c>
      <c r="AH324" s="634" t="str">
        <f t="shared" si="214"/>
        <v/>
      </c>
      <c r="AI324" s="634">
        <f t="shared" si="214"/>
        <v>2015</v>
      </c>
      <c r="AJ324" s="634">
        <f t="shared" si="214"/>
        <v>31.536000000000001</v>
      </c>
      <c r="AK324" s="634"/>
    </row>
    <row r="325" spans="2:37" s="628" customFormat="1">
      <c r="B325" s="973"/>
      <c r="C325" s="639"/>
      <c r="E325" s="630" t="s">
        <v>526</v>
      </c>
      <c r="F325" s="634"/>
      <c r="G325" s="634"/>
      <c r="H325" s="634"/>
      <c r="I325" s="634"/>
      <c r="J325" s="634"/>
      <c r="K325" s="634">
        <v>1</v>
      </c>
      <c r="L325" s="634"/>
      <c r="M325" s="634"/>
      <c r="N325" s="634"/>
      <c r="O325" s="634"/>
      <c r="P325" s="634"/>
      <c r="Q325" s="634"/>
      <c r="R325" s="634"/>
      <c r="S325" s="634"/>
      <c r="T325" s="634"/>
      <c r="U325" s="634"/>
      <c r="V325" s="634"/>
      <c r="W325" s="634"/>
      <c r="X325" s="634"/>
      <c r="Y325" s="634"/>
      <c r="Z325" s="634"/>
      <c r="AA325" s="634"/>
      <c r="AB325" s="634"/>
      <c r="AC325" s="634"/>
      <c r="AD325" s="634"/>
      <c r="AE325" s="634"/>
      <c r="AF325" s="634"/>
      <c r="AG325" s="634"/>
      <c r="AH325" s="634"/>
      <c r="AI325" s="634"/>
      <c r="AJ325" s="634"/>
      <c r="AK325" s="634"/>
    </row>
    <row r="326" spans="2:37" s="1179" customFormat="1">
      <c r="B326" s="1180" t="s">
        <v>1025</v>
      </c>
      <c r="C326" s="333" t="s">
        <v>994</v>
      </c>
      <c r="D326" s="1179" t="s">
        <v>1009</v>
      </c>
      <c r="E326" s="1446"/>
      <c r="F326" s="1185">
        <f t="shared" ref="F326:K326" si="215">IF(F317=0,"",F317)</f>
        <v>1.6666666666666667</v>
      </c>
      <c r="G326" s="1185">
        <f t="shared" si="215"/>
        <v>1.6666666666666667</v>
      </c>
      <c r="H326" s="1185">
        <f t="shared" si="215"/>
        <v>1.4705882352941175</v>
      </c>
      <c r="I326" s="1185">
        <f t="shared" si="215"/>
        <v>1.3513513513513513</v>
      </c>
      <c r="J326" s="1185" t="str">
        <f t="shared" si="215"/>
        <v/>
      </c>
      <c r="K326" s="1185" t="str">
        <f t="shared" si="215"/>
        <v/>
      </c>
      <c r="L326" s="1185"/>
      <c r="M326" s="1185"/>
      <c r="N326" s="1185"/>
      <c r="O326" s="1185"/>
      <c r="P326" s="1185"/>
      <c r="Q326" s="1185" t="str">
        <f t="shared" ref="Q326:Z326" si="216">IF(Q317=0,"",Q317)</f>
        <v/>
      </c>
      <c r="R326" s="1185">
        <f t="shared" si="216"/>
        <v>1142.4322480145127</v>
      </c>
      <c r="S326" s="1185" t="str">
        <f t="shared" si="216"/>
        <v/>
      </c>
      <c r="T326" s="1185">
        <f t="shared" si="216"/>
        <v>952.02687334542713</v>
      </c>
      <c r="U326" s="1185">
        <f t="shared" si="216"/>
        <v>571.21612400725633</v>
      </c>
      <c r="V326" s="1185" t="str">
        <f t="shared" si="216"/>
        <v/>
      </c>
      <c r="W326" s="1185">
        <f t="shared" si="216"/>
        <v>51.40945116065307</v>
      </c>
      <c r="X326" s="1185" t="str">
        <f t="shared" si="216"/>
        <v/>
      </c>
      <c r="Y326" s="1185">
        <f t="shared" si="216"/>
        <v>42.841209300544222</v>
      </c>
      <c r="Z326" s="1185">
        <f t="shared" si="216"/>
        <v>25.704725580326535</v>
      </c>
      <c r="AA326" s="1185"/>
      <c r="AB326" s="1185"/>
      <c r="AC326" s="1185"/>
      <c r="AD326" s="1185"/>
      <c r="AE326" s="1185">
        <f t="shared" ref="AE326:AJ326" si="217">IF(AE317=0,"",AE317)</f>
        <v>20</v>
      </c>
      <c r="AF326" s="1185" t="str">
        <f t="shared" si="217"/>
        <v/>
      </c>
      <c r="AG326" s="1185" t="str">
        <f t="shared" si="217"/>
        <v/>
      </c>
      <c r="AH326" s="1185" t="str">
        <f t="shared" si="217"/>
        <v/>
      </c>
      <c r="AI326" s="1185">
        <f t="shared" si="217"/>
        <v>2015</v>
      </c>
      <c r="AJ326" s="1185">
        <f t="shared" si="217"/>
        <v>31.536000000000001</v>
      </c>
      <c r="AK326" s="1185"/>
    </row>
    <row r="327" spans="2:37" s="1179" customFormat="1">
      <c r="B327" s="1180"/>
      <c r="C327" s="333"/>
      <c r="E327" s="1181" t="s">
        <v>526</v>
      </c>
      <c r="F327" s="1185"/>
      <c r="G327" s="1185"/>
      <c r="H327" s="1185"/>
      <c r="I327" s="1185"/>
      <c r="J327" s="1185"/>
      <c r="K327" s="1185">
        <v>1</v>
      </c>
      <c r="L327" s="1185"/>
      <c r="M327" s="1185"/>
      <c r="N327" s="1185"/>
      <c r="O327" s="1185"/>
      <c r="P327" s="1183"/>
      <c r="Q327" s="1184"/>
      <c r="R327" s="1184"/>
      <c r="S327" s="1184"/>
      <c r="T327" s="1184"/>
      <c r="U327" s="1184"/>
      <c r="V327" s="1184"/>
      <c r="W327" s="1447"/>
      <c r="X327" s="1447"/>
      <c r="Y327" s="1447"/>
      <c r="Z327" s="1184"/>
      <c r="AA327" s="1184"/>
      <c r="AB327" s="1184"/>
      <c r="AC327" s="1184"/>
      <c r="AD327" s="1184"/>
      <c r="AE327" s="1184"/>
      <c r="AF327" s="1184"/>
      <c r="AG327" s="1184"/>
      <c r="AH327" s="1184"/>
      <c r="AI327" s="1186"/>
      <c r="AJ327" s="1185"/>
      <c r="AK327" s="1185"/>
    </row>
    <row r="328" spans="2:37" s="1169" customFormat="1">
      <c r="B328" s="1170" t="s">
        <v>1255</v>
      </c>
      <c r="C328" s="1171" t="s">
        <v>1258</v>
      </c>
      <c r="D328" s="1169" t="s">
        <v>1009</v>
      </c>
      <c r="E328" s="1177"/>
      <c r="F328" s="1173"/>
      <c r="G328" s="1173"/>
      <c r="H328" s="1173"/>
      <c r="I328" s="1173"/>
      <c r="J328" s="1173"/>
      <c r="K328" s="1173"/>
      <c r="L328" s="1173">
        <f>1/G326</f>
        <v>0.6</v>
      </c>
      <c r="M328" s="1173">
        <f>1/H326</f>
        <v>0.68</v>
      </c>
      <c r="N328" s="1173">
        <f t="shared" ref="N328" si="218">1/I326</f>
        <v>0.74</v>
      </c>
      <c r="O328" s="1173"/>
      <c r="P328" s="1173"/>
      <c r="Q328" s="1173" t="str">
        <f t="shared" ref="Q328:Z328" si="219">IF(Q319=0,"",Q319)</f>
        <v/>
      </c>
      <c r="R328" s="1173">
        <f t="shared" si="219"/>
        <v>1142.4322480145127</v>
      </c>
      <c r="S328" s="1173" t="str">
        <f t="shared" si="219"/>
        <v/>
      </c>
      <c r="T328" s="1173">
        <f t="shared" si="219"/>
        <v>952.02687334542713</v>
      </c>
      <c r="U328" s="1173">
        <f t="shared" si="219"/>
        <v>571.21612400725633</v>
      </c>
      <c r="V328" s="1173" t="str">
        <f t="shared" si="219"/>
        <v/>
      </c>
      <c r="W328" s="1173">
        <f t="shared" si="219"/>
        <v>51.40945116065307</v>
      </c>
      <c r="X328" s="1173" t="str">
        <f t="shared" si="219"/>
        <v/>
      </c>
      <c r="Y328" s="1173">
        <f t="shared" si="219"/>
        <v>42.841209300544222</v>
      </c>
      <c r="Z328" s="1173">
        <f t="shared" si="219"/>
        <v>25.704725580326535</v>
      </c>
      <c r="AA328" s="1173"/>
      <c r="AB328" s="1173"/>
      <c r="AC328" s="1173"/>
      <c r="AD328" s="1173"/>
      <c r="AE328" s="1173">
        <f t="shared" ref="AE328:AJ328" si="220">IF(AE319=0,"",AE319)</f>
        <v>20</v>
      </c>
      <c r="AF328" s="1173" t="str">
        <f t="shared" si="220"/>
        <v/>
      </c>
      <c r="AG328" s="1173" t="str">
        <f t="shared" si="220"/>
        <v/>
      </c>
      <c r="AH328" s="1173" t="str">
        <f t="shared" si="220"/>
        <v/>
      </c>
      <c r="AI328" s="1173">
        <f t="shared" si="220"/>
        <v>2015</v>
      </c>
      <c r="AJ328" s="1173">
        <f t="shared" si="220"/>
        <v>31.536000000000001</v>
      </c>
      <c r="AK328" s="1173"/>
    </row>
    <row r="329" spans="2:37" s="1169" customFormat="1">
      <c r="B329" s="1170"/>
      <c r="C329" s="1171"/>
      <c r="D329" s="1169" t="s">
        <v>1006</v>
      </c>
      <c r="E329" s="1177"/>
      <c r="F329" s="1173"/>
      <c r="G329" s="1173"/>
      <c r="H329" s="1173"/>
      <c r="I329" s="1173"/>
      <c r="J329" s="1173"/>
      <c r="K329" s="1173"/>
      <c r="L329" s="1173"/>
      <c r="M329" s="1173"/>
      <c r="N329" s="1173"/>
      <c r="O329" s="1173"/>
      <c r="P329" s="1173"/>
      <c r="Q329" s="1173"/>
      <c r="R329" s="1173"/>
      <c r="S329" s="1173"/>
      <c r="T329" s="1173"/>
      <c r="U329" s="1173"/>
      <c r="V329" s="1173"/>
      <c r="W329" s="1173"/>
      <c r="X329" s="1173"/>
      <c r="Y329" s="1173"/>
      <c r="Z329" s="1173"/>
      <c r="AA329" s="1173"/>
      <c r="AB329" s="1173"/>
      <c r="AC329" s="1173"/>
      <c r="AD329" s="1173"/>
      <c r="AE329" s="1173"/>
      <c r="AF329" s="1173"/>
      <c r="AG329" s="1173"/>
      <c r="AH329" s="1173"/>
      <c r="AI329" s="1173"/>
      <c r="AJ329" s="1173"/>
      <c r="AK329" s="1173"/>
    </row>
    <row r="330" spans="2:37" s="1169" customFormat="1">
      <c r="B330" s="1170"/>
      <c r="C330" s="1171"/>
      <c r="E330" s="1172" t="s">
        <v>526</v>
      </c>
      <c r="F330" s="1173"/>
      <c r="G330" s="1173"/>
      <c r="H330" s="1173"/>
      <c r="I330" s="1173"/>
      <c r="J330" s="1173"/>
      <c r="K330" s="1173"/>
      <c r="L330" s="1173"/>
      <c r="M330" s="1173"/>
      <c r="N330" s="1173"/>
      <c r="O330" s="1173"/>
      <c r="P330" s="1174"/>
      <c r="Q330" s="1175"/>
      <c r="R330" s="1175"/>
      <c r="S330" s="1175"/>
      <c r="T330" s="1175"/>
      <c r="U330" s="1175"/>
      <c r="V330" s="1175"/>
      <c r="W330" s="1178"/>
      <c r="X330" s="1178"/>
      <c r="Y330" s="1178"/>
      <c r="Z330" s="1175"/>
      <c r="AA330" s="1175"/>
      <c r="AB330" s="1175"/>
      <c r="AC330" s="1175"/>
      <c r="AD330" s="1175"/>
      <c r="AE330" s="1175"/>
      <c r="AF330" s="1175"/>
      <c r="AG330" s="1175"/>
      <c r="AH330" s="1175"/>
      <c r="AI330" s="1176"/>
      <c r="AJ330" s="1173"/>
      <c r="AK330" s="1173"/>
    </row>
    <row r="331" spans="2:37" s="628" customFormat="1">
      <c r="B331" s="973" t="s">
        <v>1026</v>
      </c>
      <c r="C331" s="639" t="s">
        <v>1007</v>
      </c>
      <c r="D331" s="628" t="s">
        <v>555</v>
      </c>
      <c r="E331" s="638"/>
      <c r="F331" s="634">
        <f>IF(F324=0,"",F324)</f>
        <v>1.6666666666666667</v>
      </c>
      <c r="G331" s="634">
        <f>IF(G324=0,"",G324)</f>
        <v>1.6666666666666667</v>
      </c>
      <c r="H331" s="634">
        <f>IF(H324=0,"",H324)</f>
        <v>1.4705882352941175</v>
      </c>
      <c r="I331" s="634">
        <f>IF(I324=0,"",I324)</f>
        <v>1.3513513513513513</v>
      </c>
      <c r="J331" s="634" t="str">
        <f>IF(J324=0,"",J324)</f>
        <v/>
      </c>
      <c r="K331" s="634" t="str">
        <f t="shared" ref="K331" si="221">IF(K324=0,"",K324)</f>
        <v/>
      </c>
      <c r="L331" s="634"/>
      <c r="M331" s="634"/>
      <c r="N331" s="634"/>
      <c r="O331" s="634"/>
      <c r="P331" s="634"/>
      <c r="Q331" s="634" t="str">
        <f t="shared" ref="Q331:AJ331" si="222">IF(Q324=0,"",Q324)</f>
        <v/>
      </c>
      <c r="R331" s="634">
        <f t="shared" si="222"/>
        <v>1142.4322480145127</v>
      </c>
      <c r="S331" s="634" t="str">
        <f t="shared" si="222"/>
        <v/>
      </c>
      <c r="T331" s="634">
        <f t="shared" si="222"/>
        <v>952.02687334542713</v>
      </c>
      <c r="U331" s="634">
        <f t="shared" si="222"/>
        <v>571.21612400725633</v>
      </c>
      <c r="V331" s="634" t="str">
        <f t="shared" si="222"/>
        <v/>
      </c>
      <c r="W331" s="634">
        <f t="shared" si="222"/>
        <v>51.40945116065307</v>
      </c>
      <c r="X331" s="634" t="str">
        <f t="shared" si="222"/>
        <v/>
      </c>
      <c r="Y331" s="634">
        <f t="shared" si="222"/>
        <v>42.841209300544222</v>
      </c>
      <c r="Z331" s="634">
        <f t="shared" si="222"/>
        <v>25.704725580326535</v>
      </c>
      <c r="AA331" s="634"/>
      <c r="AB331" s="634"/>
      <c r="AC331" s="634"/>
      <c r="AD331" s="634"/>
      <c r="AE331" s="634">
        <f t="shared" si="222"/>
        <v>20</v>
      </c>
      <c r="AF331" s="634" t="str">
        <f t="shared" si="222"/>
        <v/>
      </c>
      <c r="AG331" s="634" t="str">
        <f t="shared" si="222"/>
        <v/>
      </c>
      <c r="AH331" s="634" t="str">
        <f t="shared" si="222"/>
        <v/>
      </c>
      <c r="AI331" s="634">
        <f t="shared" si="222"/>
        <v>2015</v>
      </c>
      <c r="AJ331" s="634">
        <f t="shared" si="222"/>
        <v>31.536000000000001</v>
      </c>
      <c r="AK331" s="634"/>
    </row>
    <row r="332" spans="2:37" s="628" customFormat="1">
      <c r="B332" s="973"/>
      <c r="C332" s="639"/>
      <c r="E332" s="630" t="s">
        <v>527</v>
      </c>
      <c r="F332" s="634"/>
      <c r="G332" s="634"/>
      <c r="H332" s="634"/>
      <c r="I332" s="634"/>
      <c r="J332" s="634"/>
      <c r="K332" s="634">
        <v>1</v>
      </c>
      <c r="L332" s="634"/>
      <c r="M332" s="634"/>
      <c r="N332" s="634"/>
      <c r="O332" s="634"/>
      <c r="P332" s="634"/>
      <c r="Q332" s="634"/>
      <c r="R332" s="634"/>
      <c r="S332" s="634"/>
      <c r="T332" s="634"/>
      <c r="U332" s="634"/>
      <c r="V332" s="634"/>
      <c r="W332" s="634"/>
      <c r="X332" s="634"/>
      <c r="Y332" s="634"/>
      <c r="Z332" s="634"/>
      <c r="AA332" s="634"/>
      <c r="AB332" s="634"/>
      <c r="AC332" s="634"/>
      <c r="AD332" s="634"/>
      <c r="AE332" s="634"/>
      <c r="AF332" s="634"/>
      <c r="AG332" s="634"/>
      <c r="AH332" s="634"/>
      <c r="AI332" s="634"/>
      <c r="AJ332" s="634"/>
      <c r="AK332" s="634"/>
    </row>
    <row r="333" spans="2:37" s="1179" customFormat="1">
      <c r="B333" s="1180" t="s">
        <v>1027</v>
      </c>
      <c r="C333" s="333" t="s">
        <v>1008</v>
      </c>
      <c r="D333" s="1179" t="s">
        <v>1009</v>
      </c>
      <c r="E333" s="1446"/>
      <c r="F333" s="1185">
        <f t="shared" ref="F333:K333" si="223">IF(F324=0,"",F324)</f>
        <v>1.6666666666666667</v>
      </c>
      <c r="G333" s="1185">
        <f t="shared" si="223"/>
        <v>1.6666666666666667</v>
      </c>
      <c r="H333" s="1185">
        <f t="shared" si="223"/>
        <v>1.4705882352941175</v>
      </c>
      <c r="I333" s="1185">
        <f t="shared" si="223"/>
        <v>1.3513513513513513</v>
      </c>
      <c r="J333" s="1185" t="str">
        <f t="shared" si="223"/>
        <v/>
      </c>
      <c r="K333" s="1185" t="str">
        <f t="shared" si="223"/>
        <v/>
      </c>
      <c r="L333" s="1185"/>
      <c r="M333" s="1185"/>
      <c r="N333" s="1185"/>
      <c r="O333" s="1185"/>
      <c r="P333" s="1185"/>
      <c r="Q333" s="1185" t="str">
        <f t="shared" ref="Q333:AJ333" si="224">IF(Q324=0,"",Q324)</f>
        <v/>
      </c>
      <c r="R333" s="1185">
        <f t="shared" si="224"/>
        <v>1142.4322480145127</v>
      </c>
      <c r="S333" s="1185" t="str">
        <f t="shared" si="224"/>
        <v/>
      </c>
      <c r="T333" s="1185">
        <f t="shared" si="224"/>
        <v>952.02687334542713</v>
      </c>
      <c r="U333" s="1185">
        <f t="shared" si="224"/>
        <v>571.21612400725633</v>
      </c>
      <c r="V333" s="1185" t="str">
        <f t="shared" si="224"/>
        <v/>
      </c>
      <c r="W333" s="1185">
        <f t="shared" si="224"/>
        <v>51.40945116065307</v>
      </c>
      <c r="X333" s="1185" t="str">
        <f t="shared" si="224"/>
        <v/>
      </c>
      <c r="Y333" s="1185">
        <f t="shared" si="224"/>
        <v>42.841209300544222</v>
      </c>
      <c r="Z333" s="1185">
        <f t="shared" si="224"/>
        <v>25.704725580326535</v>
      </c>
      <c r="AA333" s="1185"/>
      <c r="AB333" s="1185"/>
      <c r="AC333" s="1185"/>
      <c r="AD333" s="1185"/>
      <c r="AE333" s="1185">
        <f t="shared" si="224"/>
        <v>20</v>
      </c>
      <c r="AF333" s="1185" t="str">
        <f t="shared" si="224"/>
        <v/>
      </c>
      <c r="AG333" s="1185" t="str">
        <f t="shared" si="224"/>
        <v/>
      </c>
      <c r="AH333" s="1185" t="str">
        <f t="shared" si="224"/>
        <v/>
      </c>
      <c r="AI333" s="1185">
        <f t="shared" si="224"/>
        <v>2015</v>
      </c>
      <c r="AJ333" s="1185">
        <f t="shared" si="224"/>
        <v>31.536000000000001</v>
      </c>
      <c r="AK333" s="1185"/>
    </row>
    <row r="334" spans="2:37" s="1179" customFormat="1">
      <c r="B334" s="1180"/>
      <c r="C334" s="333"/>
      <c r="E334" s="1181" t="s">
        <v>527</v>
      </c>
      <c r="F334" s="1185"/>
      <c r="G334" s="1185"/>
      <c r="H334" s="1185"/>
      <c r="I334" s="1185"/>
      <c r="J334" s="1185"/>
      <c r="K334" s="1185">
        <v>1</v>
      </c>
      <c r="L334" s="1185"/>
      <c r="M334" s="1185"/>
      <c r="N334" s="1185"/>
      <c r="O334" s="1185"/>
      <c r="P334" s="1183"/>
      <c r="Q334" s="1184"/>
      <c r="R334" s="1184"/>
      <c r="S334" s="1184"/>
      <c r="T334" s="1184"/>
      <c r="U334" s="1184"/>
      <c r="V334" s="1184"/>
      <c r="W334" s="1447"/>
      <c r="X334" s="1447"/>
      <c r="Y334" s="1447"/>
      <c r="Z334" s="1184"/>
      <c r="AA334" s="1184"/>
      <c r="AB334" s="1184"/>
      <c r="AC334" s="1184"/>
      <c r="AD334" s="1184"/>
      <c r="AE334" s="1184"/>
      <c r="AF334" s="1184"/>
      <c r="AG334" s="1184"/>
      <c r="AH334" s="1184"/>
      <c r="AI334" s="1186"/>
      <c r="AJ334" s="1185"/>
      <c r="AK334" s="1185"/>
    </row>
    <row r="335" spans="2:37" s="1169" customFormat="1">
      <c r="B335" s="1170" t="s">
        <v>1256</v>
      </c>
      <c r="C335" s="1171" t="s">
        <v>1257</v>
      </c>
      <c r="D335" s="1169" t="s">
        <v>1009</v>
      </c>
      <c r="E335" s="1177"/>
      <c r="F335" s="1173"/>
      <c r="G335" s="1173"/>
      <c r="H335" s="1173"/>
      <c r="I335" s="1173"/>
      <c r="J335" s="1173"/>
      <c r="K335" s="1173"/>
      <c r="L335" s="1173">
        <f>1/G333</f>
        <v>0.6</v>
      </c>
      <c r="M335" s="1173">
        <f>1/H333</f>
        <v>0.68</v>
      </c>
      <c r="N335" s="1173">
        <f t="shared" ref="N335" si="225">1/I333</f>
        <v>0.74</v>
      </c>
      <c r="O335" s="1173"/>
      <c r="P335" s="1173"/>
      <c r="Q335" s="1173" t="str">
        <f t="shared" ref="Q335:Z335" si="226">IF(Q326=0,"",Q326)</f>
        <v/>
      </c>
      <c r="R335" s="1173">
        <f t="shared" si="226"/>
        <v>1142.4322480145127</v>
      </c>
      <c r="S335" s="1173" t="str">
        <f t="shared" si="226"/>
        <v/>
      </c>
      <c r="T335" s="1173">
        <f t="shared" si="226"/>
        <v>952.02687334542713</v>
      </c>
      <c r="U335" s="1173">
        <f t="shared" si="226"/>
        <v>571.21612400725633</v>
      </c>
      <c r="V335" s="1173" t="str">
        <f t="shared" si="226"/>
        <v/>
      </c>
      <c r="W335" s="1173">
        <f t="shared" si="226"/>
        <v>51.40945116065307</v>
      </c>
      <c r="X335" s="1173" t="str">
        <f t="shared" si="226"/>
        <v/>
      </c>
      <c r="Y335" s="1173">
        <f t="shared" si="226"/>
        <v>42.841209300544222</v>
      </c>
      <c r="Z335" s="1173">
        <f t="shared" si="226"/>
        <v>25.704725580326535</v>
      </c>
      <c r="AA335" s="1173"/>
      <c r="AB335" s="1173"/>
      <c r="AC335" s="1173"/>
      <c r="AD335" s="1173"/>
      <c r="AE335" s="1173">
        <f t="shared" ref="AE335:AJ335" si="227">IF(AE326=0,"",AE326)</f>
        <v>20</v>
      </c>
      <c r="AF335" s="1173" t="str">
        <f t="shared" si="227"/>
        <v/>
      </c>
      <c r="AG335" s="1173" t="str">
        <f t="shared" si="227"/>
        <v/>
      </c>
      <c r="AH335" s="1173" t="str">
        <f t="shared" si="227"/>
        <v/>
      </c>
      <c r="AI335" s="1173">
        <f t="shared" si="227"/>
        <v>2015</v>
      </c>
      <c r="AJ335" s="1173">
        <f t="shared" si="227"/>
        <v>31.536000000000001</v>
      </c>
      <c r="AK335" s="1173"/>
    </row>
    <row r="336" spans="2:37" s="1169" customFormat="1">
      <c r="B336" s="1170"/>
      <c r="C336" s="1171"/>
      <c r="D336" s="1169" t="s">
        <v>555</v>
      </c>
      <c r="E336" s="1177"/>
      <c r="F336" s="1173"/>
      <c r="G336" s="1173"/>
      <c r="H336" s="1173"/>
      <c r="I336" s="1173"/>
      <c r="J336" s="1173"/>
      <c r="K336" s="1173"/>
      <c r="L336" s="1173"/>
      <c r="M336" s="1173"/>
      <c r="N336" s="1173"/>
      <c r="O336" s="1173"/>
      <c r="P336" s="1173"/>
      <c r="Q336" s="1173"/>
      <c r="R336" s="1173"/>
      <c r="S336" s="1173"/>
      <c r="T336" s="1173"/>
      <c r="U336" s="1173"/>
      <c r="V336" s="1173"/>
      <c r="W336" s="1173"/>
      <c r="X336" s="1173"/>
      <c r="Y336" s="1173"/>
      <c r="Z336" s="1173"/>
      <c r="AA336" s="1173"/>
      <c r="AB336" s="1173"/>
      <c r="AC336" s="1173"/>
      <c r="AD336" s="1173"/>
      <c r="AE336" s="1173"/>
      <c r="AF336" s="1173"/>
      <c r="AG336" s="1173"/>
      <c r="AH336" s="1173"/>
      <c r="AI336" s="1173"/>
      <c r="AJ336" s="1173"/>
      <c r="AK336" s="1173"/>
    </row>
    <row r="337" spans="1:42" s="1169" customFormat="1">
      <c r="B337" s="1170"/>
      <c r="C337" s="1171"/>
      <c r="E337" s="1172" t="s">
        <v>527</v>
      </c>
      <c r="F337" s="1173"/>
      <c r="G337" s="1173"/>
      <c r="H337" s="1173"/>
      <c r="I337" s="1173"/>
      <c r="J337" s="1173"/>
      <c r="K337" s="1173"/>
      <c r="L337" s="1173"/>
      <c r="M337" s="1173"/>
      <c r="N337" s="1173"/>
      <c r="O337" s="1173"/>
      <c r="P337" s="1174"/>
      <c r="Q337" s="1175"/>
      <c r="R337" s="1175"/>
      <c r="S337" s="1175"/>
      <c r="T337" s="1175"/>
      <c r="U337" s="1175"/>
      <c r="V337" s="1175"/>
      <c r="W337" s="1178"/>
      <c r="X337" s="1178"/>
      <c r="Y337" s="1178"/>
      <c r="Z337" s="1175"/>
      <c r="AA337" s="1175"/>
      <c r="AB337" s="1175"/>
      <c r="AC337" s="1175"/>
      <c r="AD337" s="1175"/>
      <c r="AE337" s="1175"/>
      <c r="AF337" s="1175"/>
      <c r="AG337" s="1175"/>
      <c r="AH337" s="1175"/>
      <c r="AI337" s="1176"/>
      <c r="AJ337" s="1173"/>
      <c r="AK337" s="1173"/>
    </row>
    <row r="338" spans="1:42" s="8" customFormat="1">
      <c r="B338" s="988"/>
      <c r="F338" s="135"/>
      <c r="G338" s="135"/>
      <c r="R338" s="139"/>
      <c r="V338" s="139"/>
      <c r="W338" s="17"/>
      <c r="X338" s="17"/>
      <c r="Y338" s="139"/>
      <c r="AB338" s="139"/>
      <c r="AE338" s="139"/>
      <c r="AF338" s="139"/>
      <c r="AG338" s="139"/>
      <c r="AH338" s="139"/>
    </row>
    <row r="339" spans="1:42" s="8" customFormat="1">
      <c r="B339" s="988"/>
      <c r="C339" s="9"/>
      <c r="D339" s="9"/>
      <c r="E339" s="10"/>
      <c r="F339" s="10"/>
      <c r="G339" s="10"/>
      <c r="H339" s="10"/>
      <c r="I339" s="10"/>
      <c r="J339" s="12"/>
      <c r="K339" s="11"/>
      <c r="L339" s="11"/>
      <c r="M339" s="11"/>
      <c r="N339" s="11"/>
      <c r="O339" s="11"/>
      <c r="P339" s="11"/>
      <c r="Q339" s="11"/>
      <c r="R339" s="139"/>
      <c r="V339" s="139"/>
      <c r="Y339" s="139"/>
      <c r="AB339" s="139"/>
      <c r="AE339" s="139"/>
      <c r="AF339" s="139"/>
      <c r="AG339" s="139"/>
      <c r="AH339" s="139"/>
    </row>
    <row r="340" spans="1:42" s="8" customFormat="1" ht="20.5">
      <c r="B340" s="988"/>
      <c r="C340" s="248"/>
      <c r="D340" s="248"/>
      <c r="E340" s="248"/>
      <c r="F340" s="248"/>
      <c r="G340" s="248"/>
      <c r="H340" s="114"/>
      <c r="I340" s="114"/>
      <c r="J340" s="116"/>
      <c r="K340" s="115"/>
      <c r="L340" s="115"/>
      <c r="M340" s="115"/>
      <c r="N340" s="115"/>
      <c r="O340" s="115"/>
      <c r="P340" s="117"/>
      <c r="Q340" s="115"/>
      <c r="R340" s="139"/>
      <c r="S340" s="139"/>
      <c r="V340" s="139"/>
      <c r="Y340" s="139"/>
      <c r="AB340" s="139"/>
      <c r="AE340" s="139"/>
      <c r="AF340" s="139"/>
      <c r="AG340" s="139"/>
      <c r="AH340" s="139"/>
    </row>
    <row r="341" spans="1:42">
      <c r="A341" s="8"/>
      <c r="B341" s="988"/>
      <c r="C341" s="9"/>
      <c r="D341" s="9"/>
      <c r="E341" s="10"/>
      <c r="F341" s="10"/>
      <c r="G341" s="10"/>
      <c r="H341" s="10"/>
      <c r="I341" s="10"/>
      <c r="J341" s="12"/>
      <c r="K341" s="11"/>
      <c r="L341" s="11"/>
      <c r="M341" s="11"/>
      <c r="N341" s="11"/>
      <c r="O341" s="11"/>
      <c r="P341" s="11"/>
      <c r="Q341" s="11"/>
      <c r="R341" s="28"/>
      <c r="V341" s="28"/>
      <c r="Y341" s="28"/>
      <c r="AA341" s="61"/>
      <c r="AB341" s="28"/>
      <c r="AD341" s="68"/>
      <c r="AE341" s="28"/>
    </row>
    <row r="342" spans="1:42">
      <c r="A342" s="8"/>
      <c r="B342" s="988"/>
      <c r="C342" s="9"/>
      <c r="D342" s="9"/>
      <c r="E342" s="10"/>
      <c r="F342" s="10"/>
      <c r="G342" s="10"/>
      <c r="H342" s="11"/>
      <c r="I342" s="10"/>
      <c r="J342" s="12"/>
      <c r="K342" s="11"/>
      <c r="L342" s="11"/>
      <c r="M342" s="11"/>
      <c r="N342" s="11"/>
      <c r="O342" s="11"/>
      <c r="P342" s="11"/>
      <c r="Q342" s="11"/>
      <c r="R342" s="28"/>
      <c r="V342" s="28"/>
      <c r="Y342" s="28"/>
      <c r="AB342" s="28"/>
      <c r="AD342" s="68"/>
      <c r="AE342" s="28"/>
    </row>
    <row r="343" spans="1:42">
      <c r="B343" s="989" t="s">
        <v>8</v>
      </c>
      <c r="C343" s="29"/>
      <c r="D343" s="30"/>
      <c r="E343" s="30"/>
      <c r="F343" s="30"/>
      <c r="G343" s="239"/>
      <c r="H343" s="239"/>
      <c r="I343" s="30"/>
    </row>
    <row r="344" spans="1:42">
      <c r="B344" s="990" t="s">
        <v>7</v>
      </c>
      <c r="C344" s="31" t="s">
        <v>0</v>
      </c>
      <c r="D344" s="31" t="s">
        <v>1</v>
      </c>
      <c r="E344" s="31" t="s">
        <v>9</v>
      </c>
      <c r="F344" s="31" t="s">
        <v>10</v>
      </c>
      <c r="G344" s="240" t="s">
        <v>11</v>
      </c>
      <c r="H344" s="240" t="s">
        <v>12</v>
      </c>
      <c r="I344" s="31" t="s">
        <v>13</v>
      </c>
    </row>
    <row r="345" spans="1:42" ht="33.950000000000003" customHeight="1">
      <c r="B345" s="991" t="s">
        <v>39</v>
      </c>
      <c r="C345" s="38" t="s">
        <v>14</v>
      </c>
      <c r="D345" s="38" t="s">
        <v>15</v>
      </c>
      <c r="E345" s="38" t="s">
        <v>16</v>
      </c>
      <c r="F345" s="38" t="s">
        <v>17</v>
      </c>
      <c r="G345" s="241" t="s">
        <v>27</v>
      </c>
      <c r="H345" s="241" t="s">
        <v>26</v>
      </c>
      <c r="I345" s="38" t="s">
        <v>18</v>
      </c>
      <c r="J345" s="15"/>
    </row>
    <row r="346" spans="1:42">
      <c r="A346" s="130" t="s">
        <v>605</v>
      </c>
      <c r="B346" s="992" t="s">
        <v>37</v>
      </c>
      <c r="C346" s="1212" t="str">
        <f>'INPUT-Data(HP)'!B3</f>
        <v>SCOAH2GC01</v>
      </c>
      <c r="D346" s="992" t="str">
        <f>'INPUT-Data(HP)'!C3</f>
        <v>H2 Production-Coal Gasification, large size, centralized</v>
      </c>
      <c r="E346" s="992" t="s">
        <v>23</v>
      </c>
      <c r="F346" s="992" t="s">
        <v>30</v>
      </c>
      <c r="G346" s="992" t="s">
        <v>24</v>
      </c>
      <c r="H346" s="992"/>
      <c r="I346" s="992" t="s">
        <v>46</v>
      </c>
      <c r="K346" s="118"/>
      <c r="L346" s="622"/>
      <c r="M346" s="622"/>
      <c r="N346" s="622"/>
      <c r="O346" s="622"/>
      <c r="P346" s="118"/>
      <c r="Q346" s="118"/>
      <c r="R346" s="118"/>
      <c r="S346" s="118"/>
      <c r="T346" s="118"/>
      <c r="U346" s="118"/>
      <c r="V346" s="118"/>
      <c r="W346" s="118"/>
      <c r="X346" s="118"/>
      <c r="Y346" s="118"/>
      <c r="Z346" s="118"/>
      <c r="AA346" s="118"/>
      <c r="AB346" s="118"/>
    </row>
    <row r="347" spans="1:42" ht="14.75">
      <c r="A347" s="130" t="s">
        <v>605</v>
      </c>
      <c r="B347" s="993"/>
      <c r="C347" s="1213" t="str">
        <f>'INPUT-Data(HP)'!B4</f>
        <v>SCOAH2GC02</v>
      </c>
      <c r="D347" s="993" t="str">
        <f>'INPUT-Data(HP)'!C4</f>
        <v>H2 Production-Coal Gasification, medium size, centralized</v>
      </c>
      <c r="E347" s="993" t="s">
        <v>23</v>
      </c>
      <c r="F347" s="993" t="s">
        <v>30</v>
      </c>
      <c r="G347" s="993" t="s">
        <v>24</v>
      </c>
      <c r="H347" s="993"/>
      <c r="I347" s="993" t="s">
        <v>46</v>
      </c>
      <c r="K347" s="122"/>
      <c r="L347" s="122"/>
      <c r="M347" s="122"/>
      <c r="N347" s="122"/>
      <c r="O347" s="122"/>
      <c r="P347" s="122"/>
      <c r="Q347" s="122"/>
      <c r="R347" s="122"/>
      <c r="S347" s="122"/>
      <c r="T347" s="122"/>
      <c r="U347" s="122"/>
      <c r="V347" s="122"/>
      <c r="W347" s="122"/>
      <c r="X347" s="122"/>
      <c r="Y347" s="122"/>
      <c r="Z347" s="122"/>
      <c r="AA347" s="122"/>
      <c r="AB347" s="120"/>
    </row>
    <row r="348" spans="1:42" ht="14.75">
      <c r="A348" s="130" t="s">
        <v>605</v>
      </c>
      <c r="B348" s="993"/>
      <c r="C348" s="1213" t="str">
        <f>'INPUT-Data(HP)'!B5</f>
        <v>SCOAH2GCCS01</v>
      </c>
      <c r="D348" s="993" t="str">
        <f>'INPUT-Data(HP)'!C5</f>
        <v>H2 Production-Coal Gasification + Carbon Capture, big size, centralized</v>
      </c>
      <c r="E348" s="993" t="s">
        <v>23</v>
      </c>
      <c r="F348" s="993" t="s">
        <v>30</v>
      </c>
      <c r="G348" s="993" t="s">
        <v>24</v>
      </c>
      <c r="H348" s="993"/>
      <c r="I348" s="993" t="s">
        <v>46</v>
      </c>
      <c r="K348" s="122"/>
      <c r="L348" s="122"/>
      <c r="M348" s="122"/>
      <c r="N348" s="122"/>
      <c r="O348" s="122"/>
      <c r="P348" s="119"/>
      <c r="Q348" s="119"/>
      <c r="R348" s="119"/>
      <c r="S348" s="119"/>
      <c r="T348" s="119"/>
      <c r="U348" s="119"/>
      <c r="V348" s="119"/>
      <c r="W348" s="119"/>
      <c r="X348" s="119"/>
      <c r="Y348" s="119"/>
      <c r="Z348" s="119"/>
      <c r="AA348" s="119"/>
      <c r="AB348" s="121"/>
    </row>
    <row r="349" spans="1:42">
      <c r="A349" s="130" t="s">
        <v>605</v>
      </c>
      <c r="B349" s="993"/>
      <c r="C349" s="1213" t="str">
        <f>'INPUT-Data(HP)'!B6</f>
        <v>SCOAH2GCCS02</v>
      </c>
      <c r="D349" s="993" t="str">
        <f>'INPUT-Data(HP)'!C6</f>
        <v>H2 Production-Coal Gasification + Carbon Capture, medium size, centralized</v>
      </c>
      <c r="E349" s="993" t="s">
        <v>23</v>
      </c>
      <c r="F349" s="993" t="s">
        <v>30</v>
      </c>
      <c r="G349" s="993" t="s">
        <v>24</v>
      </c>
      <c r="H349" s="993"/>
      <c r="I349" s="993" t="s">
        <v>46</v>
      </c>
    </row>
    <row r="350" spans="1:42" s="131" customFormat="1">
      <c r="B350" s="992" t="s">
        <v>37</v>
      </c>
      <c r="C350" s="1212" t="str">
        <f>B18</f>
        <v>SBIOH2GUG01</v>
      </c>
      <c r="D350" s="992" t="str">
        <f>C18</f>
        <v>H2 Production-Biomass Gasification, medium size, centralized</v>
      </c>
      <c r="E350" s="992" t="s">
        <v>23</v>
      </c>
      <c r="F350" s="992" t="s">
        <v>30</v>
      </c>
      <c r="G350" s="992" t="s">
        <v>24</v>
      </c>
      <c r="H350" s="992"/>
      <c r="I350" s="992" t="s">
        <v>46</v>
      </c>
      <c r="L350" s="624"/>
      <c r="M350" s="624"/>
      <c r="N350" s="624"/>
      <c r="O350" s="624"/>
      <c r="R350" s="130"/>
      <c r="V350" s="130"/>
      <c r="Y350" s="130"/>
      <c r="AB350" s="130"/>
      <c r="AE350" s="130"/>
      <c r="AF350" s="130"/>
      <c r="AG350" s="130"/>
      <c r="AH350" s="130"/>
      <c r="AK350" s="624"/>
      <c r="AO350" s="624"/>
      <c r="AP350" s="624"/>
    </row>
    <row r="351" spans="1:42" s="330" customFormat="1">
      <c r="B351" s="994"/>
      <c r="C351" s="1214" t="str">
        <f>B21</f>
        <v>SBIOH2GUGCS01</v>
      </c>
      <c r="D351" s="994" t="str">
        <f>C21</f>
        <v>H2 Production-Biomass Gasification + Carbon Capture, medium size, centralized</v>
      </c>
      <c r="E351" s="994" t="s">
        <v>23</v>
      </c>
      <c r="F351" s="994" t="s">
        <v>30</v>
      </c>
      <c r="G351" s="994" t="s">
        <v>24</v>
      </c>
      <c r="H351" s="994"/>
      <c r="I351" s="994" t="s">
        <v>46</v>
      </c>
      <c r="R351" s="331"/>
      <c r="V351" s="331"/>
      <c r="Y351" s="331"/>
      <c r="AB351" s="331"/>
      <c r="AE351" s="331"/>
      <c r="AF351" s="331"/>
      <c r="AG351" s="331"/>
      <c r="AH351" s="331"/>
    </row>
    <row r="352" spans="1:42">
      <c r="B352" s="993"/>
      <c r="C352" s="1213" t="str">
        <f>B24</f>
        <v>SGASH2KUG01</v>
      </c>
      <c r="D352" s="993" t="str">
        <f>C24</f>
        <v>H2 Production-Kvaerner Process, centralized</v>
      </c>
      <c r="E352" s="993" t="s">
        <v>23</v>
      </c>
      <c r="F352" s="993" t="s">
        <v>30</v>
      </c>
      <c r="G352" s="993" t="s">
        <v>24</v>
      </c>
      <c r="H352" s="993"/>
      <c r="I352" s="993" t="s">
        <v>46</v>
      </c>
    </row>
    <row r="353" spans="1:42" s="131" customFormat="1">
      <c r="A353" s="622" t="s">
        <v>605</v>
      </c>
      <c r="B353" s="993"/>
      <c r="C353" s="1213" t="str">
        <f>B27</f>
        <v>SBIOH2RUG01</v>
      </c>
      <c r="D353" s="993" t="str">
        <f>C27</f>
        <v>H2 Production-Biomass Steam Reforming, centralized</v>
      </c>
      <c r="E353" s="993" t="s">
        <v>23</v>
      </c>
      <c r="F353" s="993" t="s">
        <v>30</v>
      </c>
      <c r="G353" s="993" t="s">
        <v>24</v>
      </c>
      <c r="H353" s="993"/>
      <c r="I353" s="993" t="s">
        <v>46</v>
      </c>
      <c r="L353" s="624"/>
      <c r="M353" s="624"/>
      <c r="N353" s="624"/>
      <c r="O353" s="624"/>
      <c r="R353" s="130"/>
      <c r="V353" s="130"/>
      <c r="Y353" s="130"/>
      <c r="AB353" s="130"/>
      <c r="AE353" s="130"/>
      <c r="AF353" s="130"/>
      <c r="AG353" s="130"/>
      <c r="AH353" s="130"/>
      <c r="AK353" s="624"/>
      <c r="AO353" s="624"/>
      <c r="AP353" s="624"/>
    </row>
    <row r="354" spans="1:42">
      <c r="B354" s="993" t="s">
        <v>37</v>
      </c>
      <c r="C354" s="1213" t="str">
        <f>B30</f>
        <v>SGASH2RUG01</v>
      </c>
      <c r="D354" s="993" t="str">
        <f>C30</f>
        <v>H2 Production-Methane Steam Reforming, large size, centralized</v>
      </c>
      <c r="E354" s="993" t="s">
        <v>23</v>
      </c>
      <c r="F354" s="993" t="s">
        <v>30</v>
      </c>
      <c r="G354" s="993" t="s">
        <v>24</v>
      </c>
      <c r="H354" s="993"/>
      <c r="I354" s="993" t="s">
        <v>46</v>
      </c>
    </row>
    <row r="355" spans="1:42">
      <c r="B355" s="995"/>
      <c r="C355" s="1215" t="str">
        <f>B33</f>
        <v>SGASH2RUG02</v>
      </c>
      <c r="D355" s="995" t="str">
        <f>C33</f>
        <v>H2 Production-Methane Steam Reforming, small size, centralized</v>
      </c>
      <c r="E355" s="995" t="s">
        <v>23</v>
      </c>
      <c r="F355" s="995" t="s">
        <v>30</v>
      </c>
      <c r="G355" s="995" t="s">
        <v>24</v>
      </c>
      <c r="H355" s="995"/>
      <c r="I355" s="995" t="s">
        <v>46</v>
      </c>
    </row>
    <row r="356" spans="1:42">
      <c r="B356" s="992"/>
      <c r="C356" s="1212" t="str">
        <f>B36</f>
        <v>SGASH2RUGCS01</v>
      </c>
      <c r="D356" s="992" t="str">
        <f>C36</f>
        <v>H2 Production-Methane Steam Reforming + Carbon Capture, large size, centralized</v>
      </c>
      <c r="E356" s="992" t="s">
        <v>23</v>
      </c>
      <c r="F356" s="992" t="s">
        <v>30</v>
      </c>
      <c r="G356" s="992" t="s">
        <v>24</v>
      </c>
      <c r="H356" s="992"/>
      <c r="I356" s="992" t="s">
        <v>46</v>
      </c>
    </row>
    <row r="357" spans="1:42">
      <c r="B357" s="993"/>
      <c r="C357" s="1213" t="str">
        <f>B39</f>
        <v>SGASH2RUGCS02</v>
      </c>
      <c r="D357" s="993" t="str">
        <f>C39</f>
        <v>H2 Production-Methane Steam Reforming + Carbon Capture, small size, centralized</v>
      </c>
      <c r="E357" s="993" t="s">
        <v>23</v>
      </c>
      <c r="F357" s="993" t="s">
        <v>30</v>
      </c>
      <c r="G357" s="993" t="s">
        <v>24</v>
      </c>
      <c r="H357" s="993"/>
      <c r="I357" s="993" t="s">
        <v>46</v>
      </c>
    </row>
    <row r="358" spans="1:42">
      <c r="B358" s="993"/>
      <c r="C358" s="1213" t="str">
        <f>B42</f>
        <v>SGASSH2RUG01</v>
      </c>
      <c r="D358" s="993" t="str">
        <f>C42</f>
        <v>H2 Production-CSP Solar Steam Reforming of Methane, centralized</v>
      </c>
      <c r="E358" s="993" t="s">
        <v>23</v>
      </c>
      <c r="F358" s="993" t="s">
        <v>30</v>
      </c>
      <c r="G358" s="993" t="s">
        <v>24</v>
      </c>
      <c r="H358" s="993"/>
      <c r="I358" s="993" t="s">
        <v>46</v>
      </c>
    </row>
    <row r="359" spans="1:42">
      <c r="A359" s="622" t="s">
        <v>605</v>
      </c>
      <c r="B359" s="993"/>
      <c r="C359" s="1213" t="str">
        <f>B45</f>
        <v>SHFOH2POUG01</v>
      </c>
      <c r="D359" s="993" t="str">
        <f>C45</f>
        <v>H2 Production-Central PO of Heavy Oil (CPO3)</v>
      </c>
      <c r="E359" s="993" t="s">
        <v>23</v>
      </c>
      <c r="F359" s="993" t="s">
        <v>30</v>
      </c>
      <c r="G359" s="993" t="s">
        <v>24</v>
      </c>
      <c r="H359" s="993"/>
      <c r="I359" s="993" t="s">
        <v>46</v>
      </c>
    </row>
    <row r="360" spans="1:42">
      <c r="B360" s="993" t="s">
        <v>37</v>
      </c>
      <c r="C360" s="1213" t="str">
        <f>B48</f>
        <v>SBIOH2GCT01</v>
      </c>
      <c r="D360" s="993" t="str">
        <f>C48</f>
        <v>H2 Production-Biomass Gasification, medium size, centralized</v>
      </c>
      <c r="E360" s="993" t="s">
        <v>23</v>
      </c>
      <c r="F360" s="993" t="s">
        <v>30</v>
      </c>
      <c r="G360" s="993" t="s">
        <v>24</v>
      </c>
      <c r="H360" s="993"/>
      <c r="I360" s="993" t="s">
        <v>46</v>
      </c>
    </row>
    <row r="361" spans="1:42">
      <c r="B361" s="993"/>
      <c r="C361" s="1213" t="str">
        <f>B51</f>
        <v>SBIOH2GCTCS01</v>
      </c>
      <c r="D361" s="993" t="str">
        <f>C51</f>
        <v>H2 Production-Biomass Gasification + Carbon Capture, medium size, centralized</v>
      </c>
      <c r="E361" s="993" t="s">
        <v>23</v>
      </c>
      <c r="F361" s="993" t="s">
        <v>30</v>
      </c>
      <c r="G361" s="993" t="s">
        <v>24</v>
      </c>
      <c r="H361" s="993"/>
      <c r="I361" s="993" t="s">
        <v>46</v>
      </c>
    </row>
    <row r="362" spans="1:42">
      <c r="B362" s="993"/>
      <c r="C362" s="1213" t="str">
        <f>B54</f>
        <v>SGASH2KCT01</v>
      </c>
      <c r="D362" s="993" t="str">
        <f>C54</f>
        <v>H2 Production-Kvaerner Process, centralized</v>
      </c>
      <c r="E362" s="993" t="s">
        <v>23</v>
      </c>
      <c r="F362" s="993" t="s">
        <v>30</v>
      </c>
      <c r="G362" s="993" t="s">
        <v>24</v>
      </c>
      <c r="H362" s="993"/>
      <c r="I362" s="993" t="s">
        <v>46</v>
      </c>
    </row>
    <row r="363" spans="1:42">
      <c r="A363" s="622" t="s">
        <v>605</v>
      </c>
      <c r="B363" s="993"/>
      <c r="C363" s="1213" t="str">
        <f>B57</f>
        <v>SBIOH2RCT01</v>
      </c>
      <c r="D363" s="993" t="str">
        <f>C57</f>
        <v>H2 Production-Biomass Steam Reforming, centralized</v>
      </c>
      <c r="E363" s="993" t="s">
        <v>23</v>
      </c>
      <c r="F363" s="993" t="s">
        <v>30</v>
      </c>
      <c r="G363" s="993" t="s">
        <v>24</v>
      </c>
      <c r="H363" s="993"/>
      <c r="I363" s="993" t="s">
        <v>46</v>
      </c>
    </row>
    <row r="364" spans="1:42" s="131" customFormat="1">
      <c r="B364" s="992" t="s">
        <v>37</v>
      </c>
      <c r="C364" s="1213" t="str">
        <f>B60</f>
        <v>SGASH2RCT01</v>
      </c>
      <c r="D364" s="993" t="str">
        <f>C60</f>
        <v>H2 Production-Methane Steam Reforming, large size, centralized</v>
      </c>
      <c r="E364" s="993" t="s">
        <v>23</v>
      </c>
      <c r="F364" s="993" t="s">
        <v>30</v>
      </c>
      <c r="G364" s="993" t="s">
        <v>24</v>
      </c>
      <c r="H364" s="993"/>
      <c r="I364" s="993" t="s">
        <v>46</v>
      </c>
      <c r="L364" s="624"/>
      <c r="M364" s="624"/>
      <c r="N364" s="624"/>
      <c r="O364" s="624"/>
      <c r="R364" s="130"/>
      <c r="V364" s="130"/>
      <c r="Y364" s="130"/>
      <c r="AB364" s="130"/>
      <c r="AE364" s="130"/>
      <c r="AF364" s="130"/>
      <c r="AG364" s="130"/>
      <c r="AH364" s="130"/>
      <c r="AK364" s="624"/>
      <c r="AO364" s="624"/>
      <c r="AP364" s="624"/>
    </row>
    <row r="365" spans="1:42" s="131" customFormat="1">
      <c r="B365" s="993"/>
      <c r="C365" s="1213" t="str">
        <f>B63</f>
        <v>SGASH2RCT02</v>
      </c>
      <c r="D365" s="993" t="str">
        <f>C63</f>
        <v>H2 Production-Methane Steam Reforming, small size, centralized</v>
      </c>
      <c r="E365" s="993" t="s">
        <v>23</v>
      </c>
      <c r="F365" s="993" t="s">
        <v>30</v>
      </c>
      <c r="G365" s="993" t="s">
        <v>24</v>
      </c>
      <c r="H365" s="993"/>
      <c r="I365" s="993" t="s">
        <v>46</v>
      </c>
      <c r="L365" s="624"/>
      <c r="M365" s="624"/>
      <c r="N365" s="624"/>
      <c r="O365" s="624"/>
      <c r="R365" s="130"/>
      <c r="V365" s="130"/>
      <c r="Y365" s="130"/>
      <c r="AB365" s="130"/>
      <c r="AE365" s="130"/>
      <c r="AF365" s="130"/>
      <c r="AG365" s="130"/>
      <c r="AH365" s="130"/>
      <c r="AK365" s="624"/>
      <c r="AO365" s="624"/>
      <c r="AP365" s="624"/>
    </row>
    <row r="366" spans="1:42" s="131" customFormat="1">
      <c r="B366" s="993"/>
      <c r="C366" s="1213" t="str">
        <f>B66</f>
        <v>SGASH2RCTCS01</v>
      </c>
      <c r="D366" s="993" t="str">
        <f>C66</f>
        <v>H2 Production-Methane Steam Reforming + Carbon Capture, large size, centralized</v>
      </c>
      <c r="E366" s="993" t="s">
        <v>23</v>
      </c>
      <c r="F366" s="993" t="s">
        <v>30</v>
      </c>
      <c r="G366" s="993" t="s">
        <v>24</v>
      </c>
      <c r="H366" s="993"/>
      <c r="I366" s="993" t="s">
        <v>46</v>
      </c>
      <c r="L366" s="624"/>
      <c r="M366" s="624"/>
      <c r="N366" s="624"/>
      <c r="O366" s="624"/>
      <c r="R366" s="130"/>
      <c r="V366" s="130"/>
      <c r="Y366" s="130"/>
      <c r="AB366" s="130"/>
      <c r="AE366" s="130"/>
      <c r="AF366" s="130"/>
      <c r="AG366" s="130"/>
      <c r="AH366" s="130"/>
      <c r="AK366" s="624"/>
      <c r="AO366" s="624"/>
      <c r="AP366" s="624"/>
    </row>
    <row r="367" spans="1:42" s="131" customFormat="1">
      <c r="B367" s="993"/>
      <c r="C367" s="1213" t="str">
        <f>B69</f>
        <v>SGASH2RCTCS02</v>
      </c>
      <c r="D367" s="993" t="str">
        <f>C69</f>
        <v>H2 Production-Methane Steam Reforming + Carbon Capture, small size, centralized</v>
      </c>
      <c r="E367" s="993" t="s">
        <v>23</v>
      </c>
      <c r="F367" s="993" t="s">
        <v>30</v>
      </c>
      <c r="G367" s="993" t="s">
        <v>24</v>
      </c>
      <c r="H367" s="993"/>
      <c r="I367" s="993" t="s">
        <v>46</v>
      </c>
      <c r="L367" s="624"/>
      <c r="M367" s="624"/>
      <c r="N367" s="624"/>
      <c r="O367" s="624"/>
      <c r="R367" s="130"/>
      <c r="V367" s="130"/>
      <c r="Y367" s="130"/>
      <c r="AB367" s="130"/>
      <c r="AE367" s="130"/>
      <c r="AF367" s="130"/>
      <c r="AG367" s="130"/>
      <c r="AH367" s="130"/>
      <c r="AK367" s="624"/>
      <c r="AO367" s="624"/>
      <c r="AP367" s="624"/>
    </row>
    <row r="368" spans="1:42">
      <c r="B368" s="993"/>
      <c r="C368" s="1213" t="str">
        <f>B72</f>
        <v>SGASSH2RCT01</v>
      </c>
      <c r="D368" s="993" t="str">
        <f>C72</f>
        <v>H2 Production-CSP Solar Steam Reforming of Methane, centralized</v>
      </c>
      <c r="E368" s="993" t="s">
        <v>23</v>
      </c>
      <c r="F368" s="993" t="s">
        <v>30</v>
      </c>
      <c r="G368" s="993" t="s">
        <v>24</v>
      </c>
      <c r="H368" s="993"/>
      <c r="I368" s="993" t="s">
        <v>46</v>
      </c>
    </row>
    <row r="369" spans="1:42">
      <c r="B369" s="993"/>
      <c r="C369" s="1213" t="str">
        <f>B75</f>
        <v>SELCH2AEUG01</v>
      </c>
      <c r="D369" s="1213" t="str">
        <f>C75</f>
        <v>H2 Production-Alkaline Electrolyser, extra large size ongrid, centralized</v>
      </c>
      <c r="E369" s="993" t="s">
        <v>23</v>
      </c>
      <c r="F369" s="993" t="s">
        <v>30</v>
      </c>
      <c r="G369" s="993" t="s">
        <v>24</v>
      </c>
      <c r="H369" s="993"/>
      <c r="I369" s="993" t="s">
        <v>46</v>
      </c>
    </row>
    <row r="370" spans="1:42">
      <c r="B370" s="993"/>
      <c r="C370" s="1213" t="str">
        <f>B77</f>
        <v>SELCH2AEUG02</v>
      </c>
      <c r="D370" s="1213" t="str">
        <f>C77</f>
        <v>H2 Production-Alkaline Electrolyser, extra large size WIND, centralized</v>
      </c>
      <c r="E370" s="993" t="s">
        <v>23</v>
      </c>
      <c r="F370" s="993" t="s">
        <v>30</v>
      </c>
      <c r="G370" s="993" t="s">
        <v>24</v>
      </c>
      <c r="H370" s="993"/>
      <c r="I370" s="993" t="s">
        <v>46</v>
      </c>
    </row>
    <row r="371" spans="1:42">
      <c r="A371" s="130"/>
      <c r="B371" s="995"/>
      <c r="C371" s="1215" t="str">
        <f>B79</f>
        <v>SELCH2AEUG03</v>
      </c>
      <c r="D371" s="1215" t="str">
        <f>C79</f>
        <v>H2 Production-Alkaline Electrolyser, extra large size PV, centralized</v>
      </c>
      <c r="E371" s="993" t="s">
        <v>23</v>
      </c>
      <c r="F371" s="993" t="s">
        <v>30</v>
      </c>
      <c r="G371" s="993" t="s">
        <v>24</v>
      </c>
      <c r="H371" s="993"/>
      <c r="I371" s="993" t="s">
        <v>46</v>
      </c>
    </row>
    <row r="372" spans="1:42">
      <c r="A372" s="130"/>
      <c r="B372" s="992"/>
      <c r="C372" s="1212" t="str">
        <f>B81</f>
        <v>SELCH2AEUG04</v>
      </c>
      <c r="D372" s="1212" t="str">
        <f>C81</f>
        <v>H2 Production-Alkaline Electrolyser, extra large size Offshore, centralized</v>
      </c>
      <c r="E372" s="993" t="s">
        <v>23</v>
      </c>
      <c r="F372" s="993" t="s">
        <v>30</v>
      </c>
      <c r="G372" s="993" t="s">
        <v>24</v>
      </c>
      <c r="H372" s="993"/>
      <c r="I372" s="993" t="s">
        <v>46</v>
      </c>
    </row>
    <row r="373" spans="1:42" s="624" customFormat="1">
      <c r="A373" s="622"/>
      <c r="B373" s="993"/>
      <c r="C373" s="1213" t="str">
        <f>B83</f>
        <v>SELCH2AEUG05</v>
      </c>
      <c r="D373" s="1213" t="str">
        <f>C83</f>
        <v>H2 Production-Alkaline Electrolyser, extra large size PV_WIND, centralized</v>
      </c>
      <c r="E373" s="993" t="s">
        <v>23</v>
      </c>
      <c r="F373" s="993" t="s">
        <v>30</v>
      </c>
      <c r="G373" s="993" t="s">
        <v>24</v>
      </c>
      <c r="H373" s="993"/>
      <c r="I373" s="993" t="s">
        <v>46</v>
      </c>
      <c r="R373" s="622"/>
      <c r="V373" s="622"/>
      <c r="Y373" s="622"/>
      <c r="AB373" s="622"/>
      <c r="AE373" s="622"/>
      <c r="AF373" s="622"/>
      <c r="AG373" s="622"/>
      <c r="AH373" s="622"/>
    </row>
    <row r="374" spans="1:42" s="624" customFormat="1">
      <c r="A374" s="622"/>
      <c r="B374" s="993"/>
      <c r="C374" s="1213" t="str">
        <f>B99</f>
        <v>SELCH2AEUG06</v>
      </c>
      <c r="D374" s="1213" t="str">
        <f>C99</f>
        <v>H2 Production-Alkaline Electrolyser,  large size ongrid, centralized</v>
      </c>
      <c r="E374" s="993" t="s">
        <v>23</v>
      </c>
      <c r="F374" s="993" t="s">
        <v>30</v>
      </c>
      <c r="G374" s="993" t="s">
        <v>24</v>
      </c>
      <c r="H374" s="993"/>
      <c r="I374" s="993" t="s">
        <v>46</v>
      </c>
      <c r="R374" s="622"/>
      <c r="V374" s="622"/>
      <c r="Y374" s="622"/>
      <c r="AB374" s="622"/>
      <c r="AE374" s="622"/>
      <c r="AF374" s="622"/>
      <c r="AG374" s="622"/>
      <c r="AH374" s="622"/>
    </row>
    <row r="375" spans="1:42" s="624" customFormat="1">
      <c r="A375" s="622"/>
      <c r="B375" s="993"/>
      <c r="C375" s="1213" t="str">
        <f>B101</f>
        <v>SELCH2AEUG07</v>
      </c>
      <c r="D375" s="1213" t="str">
        <f>C101</f>
        <v>H2 Production-Alkaline Electrolyser WIND, large size, centralized</v>
      </c>
      <c r="E375" s="993" t="s">
        <v>23</v>
      </c>
      <c r="F375" s="993" t="s">
        <v>30</v>
      </c>
      <c r="G375" s="993" t="s">
        <v>24</v>
      </c>
      <c r="H375" s="993"/>
      <c r="I375" s="993" t="s">
        <v>46</v>
      </c>
      <c r="R375" s="622"/>
      <c r="V375" s="622"/>
      <c r="Y375" s="622"/>
      <c r="AB375" s="622"/>
      <c r="AE375" s="622"/>
      <c r="AF375" s="622"/>
      <c r="AG375" s="622"/>
      <c r="AH375" s="622"/>
    </row>
    <row r="376" spans="1:42" s="624" customFormat="1">
      <c r="A376" s="622"/>
      <c r="B376" s="993"/>
      <c r="C376" s="1213" t="str">
        <f>B103</f>
        <v>SELCH2AEUG08</v>
      </c>
      <c r="D376" s="1213" t="str">
        <f>C103</f>
        <v>H2 Production-Alkaline Electrolyser, PV large size, centralized</v>
      </c>
      <c r="E376" s="993" t="s">
        <v>23</v>
      </c>
      <c r="F376" s="993" t="s">
        <v>30</v>
      </c>
      <c r="G376" s="993" t="s">
        <v>24</v>
      </c>
      <c r="H376" s="993"/>
      <c r="I376" s="993" t="s">
        <v>46</v>
      </c>
      <c r="R376" s="622"/>
      <c r="V376" s="622"/>
      <c r="Y376" s="622"/>
      <c r="AB376" s="622"/>
      <c r="AE376" s="622"/>
      <c r="AF376" s="622"/>
      <c r="AG376" s="622"/>
      <c r="AH376" s="622"/>
    </row>
    <row r="377" spans="1:42" s="624" customFormat="1">
      <c r="A377" s="622"/>
      <c r="B377" s="993"/>
      <c r="C377" s="1213" t="str">
        <f>B105</f>
        <v>SELCH2AEUG09</v>
      </c>
      <c r="D377" s="1213" t="str">
        <f>C105</f>
        <v>H2 Production-Alkaline Electrolyser, PV_WIND large size, centralized</v>
      </c>
      <c r="E377" s="993" t="s">
        <v>23</v>
      </c>
      <c r="F377" s="993" t="s">
        <v>30</v>
      </c>
      <c r="G377" s="993" t="s">
        <v>24</v>
      </c>
      <c r="H377" s="993"/>
      <c r="I377" s="993" t="s">
        <v>46</v>
      </c>
      <c r="R377" s="622"/>
      <c r="V377" s="622"/>
      <c r="Y377" s="622"/>
      <c r="AB377" s="622"/>
      <c r="AE377" s="622"/>
      <c r="AF377" s="622"/>
      <c r="AG377" s="622"/>
      <c r="AH377" s="622"/>
    </row>
    <row r="378" spans="1:42">
      <c r="A378" s="130"/>
      <c r="B378" s="993"/>
      <c r="C378" s="1213" t="str">
        <f>B118</f>
        <v>SELCH2AEC01</v>
      </c>
      <c r="D378" s="1213" t="str">
        <f>C118</f>
        <v>H2 Production-Alkaline Electrolyser, extra large size ongrid, centralized</v>
      </c>
      <c r="E378" s="993" t="s">
        <v>23</v>
      </c>
      <c r="F378" s="993" t="s">
        <v>30</v>
      </c>
      <c r="G378" s="993" t="s">
        <v>24</v>
      </c>
      <c r="H378" s="993"/>
      <c r="I378" s="993" t="s">
        <v>46</v>
      </c>
    </row>
    <row r="379" spans="1:42" ht="14.75">
      <c r="A379" s="130"/>
      <c r="B379" s="993"/>
      <c r="C379" s="1213" t="str">
        <f>B120</f>
        <v>SELCH2AEC02</v>
      </c>
      <c r="D379" s="1213" t="str">
        <f>C120</f>
        <v>H2 Production-Alkaline Electrolyser, extra large size WIND, centralized</v>
      </c>
      <c r="E379" s="993" t="s">
        <v>23</v>
      </c>
      <c r="F379" s="993" t="s">
        <v>30</v>
      </c>
      <c r="G379" s="993" t="s">
        <v>24</v>
      </c>
      <c r="H379" s="993"/>
      <c r="I379" s="993" t="s">
        <v>46</v>
      </c>
      <c r="J379" s="3"/>
      <c r="K379" s="3"/>
      <c r="L379" s="3"/>
      <c r="M379" s="3"/>
      <c r="N379" s="3"/>
      <c r="O379" s="3"/>
      <c r="P379" s="3"/>
      <c r="Q379" s="3"/>
      <c r="S379" s="3"/>
      <c r="T379" s="3"/>
      <c r="U379" s="3"/>
    </row>
    <row r="380" spans="1:42" s="131" customFormat="1" ht="14.75">
      <c r="B380" s="993"/>
      <c r="C380" s="1213" t="str">
        <f>B122</f>
        <v>SELCH2AEC03</v>
      </c>
      <c r="D380" s="1213" t="str">
        <f>C122</f>
        <v>H2 Production-Alkaline Electrolyser, extra large size PV, centralized</v>
      </c>
      <c r="E380" s="993" t="s">
        <v>23</v>
      </c>
      <c r="F380" s="993" t="s">
        <v>30</v>
      </c>
      <c r="G380" s="993" t="s">
        <v>24</v>
      </c>
      <c r="H380" s="993"/>
      <c r="I380" s="993" t="s">
        <v>46</v>
      </c>
      <c r="J380" s="3"/>
      <c r="K380" s="3"/>
      <c r="L380" s="3"/>
      <c r="M380" s="3"/>
      <c r="N380" s="3"/>
      <c r="O380" s="3"/>
      <c r="P380" s="3"/>
      <c r="Q380" s="3"/>
      <c r="R380" s="130"/>
      <c r="S380" s="3"/>
      <c r="T380" s="3"/>
      <c r="U380" s="3"/>
      <c r="V380" s="130"/>
      <c r="Y380" s="130"/>
      <c r="AB380" s="130"/>
      <c r="AE380" s="130"/>
      <c r="AF380" s="130"/>
      <c r="AG380" s="130"/>
      <c r="AH380" s="130"/>
      <c r="AK380" s="624"/>
      <c r="AO380" s="624"/>
      <c r="AP380" s="624"/>
    </row>
    <row r="381" spans="1:42" s="131" customFormat="1" ht="14.75">
      <c r="B381" s="993"/>
      <c r="C381" s="1213" t="str">
        <f>B124</f>
        <v>SELCH2AEC04</v>
      </c>
      <c r="D381" s="1213" t="str">
        <f>C124</f>
        <v>H2 Production-Alkaline Electrolyser, extra large size Offshore, centralized</v>
      </c>
      <c r="E381" s="993" t="s">
        <v>23</v>
      </c>
      <c r="F381" s="993" t="s">
        <v>30</v>
      </c>
      <c r="G381" s="993" t="s">
        <v>24</v>
      </c>
      <c r="H381" s="993"/>
      <c r="I381" s="993" t="s">
        <v>46</v>
      </c>
      <c r="J381" s="3"/>
      <c r="K381" s="3"/>
      <c r="L381" s="3"/>
      <c r="M381" s="3"/>
      <c r="N381" s="3"/>
      <c r="O381" s="3"/>
      <c r="P381" s="3"/>
      <c r="Q381" s="3"/>
      <c r="R381" s="130"/>
      <c r="S381" s="3"/>
      <c r="T381" s="3"/>
      <c r="U381" s="3"/>
      <c r="V381" s="130"/>
      <c r="Y381" s="130"/>
      <c r="AB381" s="130"/>
      <c r="AE381" s="130"/>
      <c r="AF381" s="130"/>
      <c r="AG381" s="130"/>
      <c r="AH381" s="130"/>
      <c r="AK381" s="624"/>
      <c r="AO381" s="624"/>
      <c r="AP381" s="624"/>
    </row>
    <row r="382" spans="1:42" s="131" customFormat="1" ht="14.75">
      <c r="B382" s="995"/>
      <c r="C382" s="1215" t="str">
        <f>B126</f>
        <v>SELCH2AEC05</v>
      </c>
      <c r="D382" s="1215" t="str">
        <f>C126</f>
        <v>H2 Production-Alkaline Electrolyser, extra large size PV_WIND, centralized</v>
      </c>
      <c r="E382" s="993" t="s">
        <v>23</v>
      </c>
      <c r="F382" s="993" t="s">
        <v>30</v>
      </c>
      <c r="G382" s="993" t="s">
        <v>24</v>
      </c>
      <c r="H382" s="993"/>
      <c r="I382" s="993" t="s">
        <v>46</v>
      </c>
      <c r="J382" s="3"/>
      <c r="K382" s="3"/>
      <c r="L382" s="3"/>
      <c r="M382" s="3"/>
      <c r="N382" s="3"/>
      <c r="O382" s="3"/>
      <c r="P382" s="3"/>
      <c r="Q382" s="3"/>
      <c r="R382" s="130"/>
      <c r="S382" s="3"/>
      <c r="T382" s="3"/>
      <c r="U382" s="3"/>
      <c r="V382" s="130"/>
      <c r="Y382" s="130"/>
      <c r="AB382" s="130"/>
      <c r="AE382" s="130"/>
      <c r="AF382" s="130"/>
      <c r="AG382" s="130"/>
      <c r="AH382" s="130"/>
      <c r="AK382" s="624"/>
      <c r="AO382" s="624"/>
      <c r="AP382" s="624"/>
    </row>
    <row r="383" spans="1:42" s="624" customFormat="1" ht="14.75">
      <c r="B383" s="993"/>
      <c r="C383" s="1213" t="str">
        <f>B142</f>
        <v>SELCH2AEC06</v>
      </c>
      <c r="D383" s="1213" t="str">
        <f>C142</f>
        <v>H2 Production-Alkaline Electrolyser, large size ongrid, centralized</v>
      </c>
      <c r="E383" s="993" t="s">
        <v>23</v>
      </c>
      <c r="F383" s="993" t="s">
        <v>30</v>
      </c>
      <c r="G383" s="993" t="s">
        <v>24</v>
      </c>
      <c r="H383" s="993"/>
      <c r="I383" s="993" t="s">
        <v>46</v>
      </c>
      <c r="J383" s="3"/>
      <c r="K383" s="3"/>
      <c r="L383" s="3"/>
      <c r="M383" s="3"/>
      <c r="N383" s="3"/>
      <c r="O383" s="3"/>
      <c r="P383" s="3"/>
      <c r="Q383" s="3"/>
      <c r="R383" s="622"/>
      <c r="S383" s="3"/>
      <c r="T383" s="3"/>
      <c r="U383" s="3"/>
      <c r="V383" s="622"/>
      <c r="Y383" s="622"/>
      <c r="AB383" s="622"/>
      <c r="AE383" s="622"/>
      <c r="AF383" s="622"/>
      <c r="AG383" s="622"/>
      <c r="AH383" s="622"/>
    </row>
    <row r="384" spans="1:42" s="131" customFormat="1" ht="14.75">
      <c r="B384" s="993"/>
      <c r="C384" s="1213" t="str">
        <f>B144</f>
        <v>SELCH2AEC07</v>
      </c>
      <c r="D384" s="1213" t="str">
        <f>C144</f>
        <v>H2 Production-Alkaline Electrolyser WIND, large size, centralized</v>
      </c>
      <c r="E384" s="993" t="s">
        <v>23</v>
      </c>
      <c r="F384" s="993" t="s">
        <v>30</v>
      </c>
      <c r="G384" s="993" t="s">
        <v>24</v>
      </c>
      <c r="H384" s="993"/>
      <c r="I384" s="993" t="s">
        <v>46</v>
      </c>
      <c r="J384" s="3"/>
      <c r="K384" s="3"/>
      <c r="L384" s="3"/>
      <c r="M384" s="3"/>
      <c r="N384" s="3"/>
      <c r="O384" s="3"/>
      <c r="P384" s="3"/>
      <c r="Q384" s="3"/>
      <c r="R384" s="130"/>
      <c r="S384" s="3"/>
      <c r="T384" s="3"/>
      <c r="U384" s="3"/>
      <c r="V384" s="130"/>
      <c r="Y384" s="130"/>
      <c r="AB384" s="130"/>
      <c r="AE384" s="130"/>
      <c r="AF384" s="130"/>
      <c r="AG384" s="130"/>
      <c r="AH384" s="130"/>
      <c r="AK384" s="624"/>
      <c r="AO384" s="624"/>
      <c r="AP384" s="624"/>
    </row>
    <row r="385" spans="1:42" s="131" customFormat="1" ht="14.75">
      <c r="B385" s="993"/>
      <c r="C385" s="1213" t="str">
        <f>B146</f>
        <v>SELCH2AEC08</v>
      </c>
      <c r="D385" s="1213" t="str">
        <f>C146</f>
        <v>H2 Production-Alkaline Electrolyser, PV large size, centralized</v>
      </c>
      <c r="E385" s="993" t="s">
        <v>23</v>
      </c>
      <c r="F385" s="993" t="s">
        <v>30</v>
      </c>
      <c r="G385" s="993" t="s">
        <v>24</v>
      </c>
      <c r="H385" s="993"/>
      <c r="I385" s="993" t="s">
        <v>46</v>
      </c>
      <c r="J385" s="3"/>
      <c r="K385" s="3"/>
      <c r="L385" s="3"/>
      <c r="M385" s="3"/>
      <c r="N385" s="3"/>
      <c r="O385" s="3"/>
      <c r="P385" s="3"/>
      <c r="Q385" s="3"/>
      <c r="R385" s="130"/>
      <c r="S385" s="3"/>
      <c r="T385" s="3"/>
      <c r="U385" s="3"/>
      <c r="V385" s="130"/>
      <c r="Y385" s="130"/>
      <c r="AB385" s="130"/>
      <c r="AE385" s="130"/>
      <c r="AF385" s="130"/>
      <c r="AG385" s="130"/>
      <c r="AH385" s="130"/>
      <c r="AK385" s="624"/>
      <c r="AO385" s="624"/>
      <c r="AP385" s="624"/>
    </row>
    <row r="386" spans="1:42" s="624" customFormat="1" ht="14.75">
      <c r="B386" s="993"/>
      <c r="C386" s="1213" t="str">
        <f>B148</f>
        <v>SELCH2AEC09</v>
      </c>
      <c r="D386" s="1213" t="str">
        <f>C148</f>
        <v>H2 Production-Alkaline Electrolyser, PV_WIND large size, centralized</v>
      </c>
      <c r="E386" s="993" t="s">
        <v>23</v>
      </c>
      <c r="F386" s="993" t="s">
        <v>30</v>
      </c>
      <c r="G386" s="993" t="s">
        <v>24</v>
      </c>
      <c r="H386" s="993"/>
      <c r="I386" s="993" t="s">
        <v>46</v>
      </c>
      <c r="J386" s="3"/>
      <c r="K386" s="3"/>
      <c r="L386" s="3"/>
      <c r="M386" s="3"/>
      <c r="N386" s="3"/>
      <c r="O386" s="3"/>
      <c r="P386" s="3"/>
      <c r="Q386" s="3"/>
      <c r="R386" s="622"/>
      <c r="S386" s="3"/>
      <c r="T386" s="3"/>
      <c r="U386" s="3"/>
      <c r="V386" s="622"/>
      <c r="Y386" s="622"/>
      <c r="AB386" s="622"/>
      <c r="AE386" s="622"/>
      <c r="AF386" s="622"/>
      <c r="AG386" s="622"/>
      <c r="AH386" s="622"/>
    </row>
    <row r="387" spans="1:42" s="8" customFormat="1" ht="14.75">
      <c r="B387" s="993"/>
      <c r="C387" s="1213" t="str">
        <f>B161</f>
        <v>SELCH2AED01</v>
      </c>
      <c r="D387" s="1213" t="str">
        <f>C161</f>
        <v>H2 Production-Alkaline Electrolyser, medium size ongrid, decentralized</v>
      </c>
      <c r="E387" s="993" t="s">
        <v>23</v>
      </c>
      <c r="F387" s="993" t="s">
        <v>30</v>
      </c>
      <c r="G387" s="993" t="s">
        <v>24</v>
      </c>
      <c r="H387" s="993"/>
      <c r="I387" s="993" t="s">
        <v>46</v>
      </c>
      <c r="J387" s="1411"/>
      <c r="K387" s="1411"/>
      <c r="L387" s="1411"/>
      <c r="M387" s="1411"/>
      <c r="N387" s="1411"/>
      <c r="O387" s="1411"/>
      <c r="P387" s="1411"/>
      <c r="Q387" s="1411"/>
      <c r="R387" s="653"/>
      <c r="S387" s="1411"/>
      <c r="T387" s="1411"/>
      <c r="U387" s="1411"/>
      <c r="V387" s="653"/>
      <c r="Y387" s="653"/>
      <c r="AB387" s="653"/>
      <c r="AE387" s="653"/>
      <c r="AF387" s="653"/>
      <c r="AG387" s="653"/>
      <c r="AH387" s="653"/>
    </row>
    <row r="388" spans="1:42" s="8" customFormat="1" ht="14.75">
      <c r="A388" s="653"/>
      <c r="B388" s="993"/>
      <c r="C388" s="1213" t="str">
        <f>B163</f>
        <v>SELCH2AED02</v>
      </c>
      <c r="D388" s="1213" t="str">
        <f>C163</f>
        <v>H2 Production-Alkaline Electrolyser, WIND medium size, decentralized</v>
      </c>
      <c r="E388" s="993" t="s">
        <v>23</v>
      </c>
      <c r="F388" s="993" t="s">
        <v>30</v>
      </c>
      <c r="G388" s="993" t="s">
        <v>24</v>
      </c>
      <c r="H388" s="993"/>
      <c r="I388" s="993" t="s">
        <v>46</v>
      </c>
      <c r="J388" s="1411"/>
      <c r="K388" s="1411"/>
      <c r="L388" s="1411"/>
      <c r="M388" s="1411"/>
      <c r="N388" s="1411"/>
      <c r="O388" s="1411"/>
      <c r="P388" s="1411"/>
      <c r="Q388" s="1411"/>
      <c r="R388" s="653"/>
      <c r="S388" s="1411"/>
      <c r="T388" s="1411"/>
      <c r="U388" s="1411"/>
      <c r="V388" s="653"/>
      <c r="Y388" s="653"/>
      <c r="AB388" s="653"/>
      <c r="AE388" s="653"/>
      <c r="AF388" s="653"/>
      <c r="AG388" s="653"/>
      <c r="AH388" s="653"/>
    </row>
    <row r="389" spans="1:42" s="8" customFormat="1" ht="14.75">
      <c r="A389" s="653"/>
      <c r="B389" s="993"/>
      <c r="C389" s="1213" t="str">
        <f>B165</f>
        <v>SELCH2AED03</v>
      </c>
      <c r="D389" s="1213" t="str">
        <f>C165</f>
        <v>H2 Production-Alkaline Electrolyser, PV medium size, decentralized</v>
      </c>
      <c r="E389" s="993" t="s">
        <v>23</v>
      </c>
      <c r="F389" s="993" t="s">
        <v>30</v>
      </c>
      <c r="G389" s="993" t="s">
        <v>24</v>
      </c>
      <c r="H389" s="993"/>
      <c r="I389" s="993" t="s">
        <v>46</v>
      </c>
      <c r="J389" s="1411"/>
      <c r="K389" s="1411"/>
      <c r="L389" s="1411"/>
      <c r="M389" s="1411"/>
      <c r="N389" s="1411"/>
      <c r="O389" s="1411"/>
      <c r="P389" s="1411"/>
      <c r="Q389" s="1411"/>
      <c r="R389" s="653"/>
      <c r="S389" s="1411"/>
      <c r="T389" s="1411"/>
      <c r="U389" s="1411"/>
      <c r="V389" s="653"/>
      <c r="Y389" s="653"/>
      <c r="AB389" s="653"/>
      <c r="AE389" s="653"/>
      <c r="AF389" s="653"/>
      <c r="AG389" s="653"/>
      <c r="AH389" s="653"/>
    </row>
    <row r="390" spans="1:42" s="8" customFormat="1" ht="14.75">
      <c r="A390" s="653"/>
      <c r="B390" s="993"/>
      <c r="C390" s="1213" t="str">
        <f>B167</f>
        <v>SELCH2AED04</v>
      </c>
      <c r="D390" s="1213" t="str">
        <f>C167</f>
        <v>H2 Production-Alkaline Electrolyser, PV_WIN medium size, decentralized</v>
      </c>
      <c r="E390" s="993" t="s">
        <v>23</v>
      </c>
      <c r="F390" s="993" t="s">
        <v>30</v>
      </c>
      <c r="G390" s="993" t="s">
        <v>24</v>
      </c>
      <c r="H390" s="993"/>
      <c r="I390" s="993" t="s">
        <v>46</v>
      </c>
      <c r="J390" s="1411"/>
      <c r="K390" s="1411"/>
      <c r="L390" s="1411"/>
      <c r="M390" s="1411"/>
      <c r="N390" s="1411"/>
      <c r="O390" s="1411"/>
      <c r="P390" s="1411"/>
      <c r="Q390" s="1411"/>
      <c r="R390" s="653"/>
      <c r="S390" s="1411"/>
      <c r="T390" s="1411"/>
      <c r="U390" s="1411"/>
      <c r="V390" s="653"/>
      <c r="Y390" s="653"/>
      <c r="AB390" s="653"/>
      <c r="AE390" s="653"/>
      <c r="AF390" s="653"/>
      <c r="AG390" s="653"/>
      <c r="AH390" s="653"/>
    </row>
    <row r="391" spans="1:42" s="131" customFormat="1" ht="14.75">
      <c r="B391" s="993"/>
      <c r="C391" s="1213" t="str">
        <f>B180</f>
        <v>SELCH2PEMUG01</v>
      </c>
      <c r="D391" s="1213" t="str">
        <f>C180</f>
        <v>H2 Production-PEM Electrolyser, large size ongrid, centralized</v>
      </c>
      <c r="E391" s="993" t="s">
        <v>23</v>
      </c>
      <c r="F391" s="993" t="s">
        <v>30</v>
      </c>
      <c r="G391" s="993" t="s">
        <v>24</v>
      </c>
      <c r="H391" s="993"/>
      <c r="I391" s="993" t="s">
        <v>46</v>
      </c>
      <c r="J391" s="3"/>
      <c r="K391" s="3"/>
      <c r="L391" s="3"/>
      <c r="M391" s="3"/>
      <c r="N391" s="3"/>
      <c r="O391" s="3"/>
      <c r="P391" s="3"/>
      <c r="Q391" s="3"/>
      <c r="R391" s="130"/>
      <c r="S391" s="3"/>
      <c r="T391" s="3"/>
      <c r="U391" s="3"/>
      <c r="V391" s="130"/>
      <c r="Y391" s="130"/>
      <c r="AB391" s="130"/>
      <c r="AE391" s="130"/>
      <c r="AF391" s="130"/>
      <c r="AG391" s="130"/>
      <c r="AH391" s="130"/>
      <c r="AK391" s="624"/>
      <c r="AO391" s="624"/>
      <c r="AP391" s="624"/>
    </row>
    <row r="392" spans="1:42" s="131" customFormat="1" ht="14.75">
      <c r="B392" s="993"/>
      <c r="C392" s="1213" t="str">
        <f>B182</f>
        <v>SELCH2PEMUG02</v>
      </c>
      <c r="D392" s="1213" t="str">
        <f>C182</f>
        <v>H2 Production-PEM Electrolyser, large size WIND, centralized</v>
      </c>
      <c r="E392" s="993" t="s">
        <v>23</v>
      </c>
      <c r="F392" s="993" t="s">
        <v>30</v>
      </c>
      <c r="G392" s="993" t="s">
        <v>24</v>
      </c>
      <c r="H392" s="993"/>
      <c r="I392" s="993" t="s">
        <v>46</v>
      </c>
      <c r="J392" s="3"/>
      <c r="K392" s="3"/>
      <c r="L392" s="3"/>
      <c r="M392" s="3"/>
      <c r="N392" s="3"/>
      <c r="O392" s="3"/>
      <c r="P392" s="3"/>
      <c r="Q392" s="3"/>
      <c r="R392" s="130"/>
      <c r="S392" s="3"/>
      <c r="T392" s="3"/>
      <c r="U392" s="3"/>
      <c r="V392" s="130"/>
      <c r="Y392" s="130"/>
      <c r="AB392" s="130"/>
      <c r="AE392" s="130"/>
      <c r="AF392" s="130"/>
      <c r="AG392" s="130"/>
      <c r="AH392" s="130"/>
      <c r="AK392" s="624"/>
      <c r="AO392" s="624"/>
      <c r="AP392" s="624"/>
    </row>
    <row r="393" spans="1:42" s="131" customFormat="1" ht="14.75">
      <c r="B393" s="993"/>
      <c r="C393" s="1213" t="str">
        <f>B184</f>
        <v>SELCH2PEMUG03</v>
      </c>
      <c r="D393" s="1213" t="str">
        <f>C184</f>
        <v>H2 Production-PEM Electrolyser, large size PV, centralized</v>
      </c>
      <c r="E393" s="993" t="s">
        <v>23</v>
      </c>
      <c r="F393" s="993" t="s">
        <v>30</v>
      </c>
      <c r="G393" s="993" t="s">
        <v>24</v>
      </c>
      <c r="H393" s="993"/>
      <c r="I393" s="993" t="s">
        <v>46</v>
      </c>
      <c r="J393" s="3"/>
      <c r="K393" s="3"/>
      <c r="L393" s="3"/>
      <c r="M393" s="3"/>
      <c r="N393" s="3"/>
      <c r="O393" s="3"/>
      <c r="P393" s="3"/>
      <c r="Q393" s="3"/>
      <c r="R393" s="130"/>
      <c r="S393" s="3"/>
      <c r="T393" s="3"/>
      <c r="U393" s="3"/>
      <c r="V393" s="130"/>
      <c r="Y393" s="130"/>
      <c r="AB393" s="130"/>
      <c r="AE393" s="130"/>
      <c r="AF393" s="130"/>
      <c r="AG393" s="130"/>
      <c r="AH393" s="130"/>
      <c r="AK393" s="624"/>
      <c r="AO393" s="624"/>
      <c r="AP393" s="624"/>
    </row>
    <row r="394" spans="1:42" s="624" customFormat="1" ht="14.75">
      <c r="B394" s="993"/>
      <c r="C394" s="1213" t="str">
        <f>B186</f>
        <v>SELCH2PEMUG04</v>
      </c>
      <c r="D394" s="1213" t="str">
        <f>C186</f>
        <v>H2 Production-PEM Electrolyser, large size OFFSHORE, centralized</v>
      </c>
      <c r="E394" s="993" t="s">
        <v>23</v>
      </c>
      <c r="F394" s="993" t="s">
        <v>30</v>
      </c>
      <c r="G394" s="993" t="s">
        <v>24</v>
      </c>
      <c r="H394" s="993"/>
      <c r="I394" s="993" t="s">
        <v>46</v>
      </c>
      <c r="J394" s="3"/>
      <c r="K394" s="3"/>
      <c r="L394" s="3"/>
      <c r="M394" s="3"/>
      <c r="N394" s="3"/>
      <c r="O394" s="3"/>
      <c r="P394" s="3"/>
      <c r="Q394" s="3"/>
      <c r="R394" s="622"/>
      <c r="S394" s="3"/>
      <c r="T394" s="3"/>
      <c r="U394" s="3"/>
      <c r="V394" s="622"/>
      <c r="Y394" s="622"/>
      <c r="AB394" s="622"/>
      <c r="AE394" s="622"/>
      <c r="AF394" s="622"/>
      <c r="AG394" s="622"/>
      <c r="AH394" s="622"/>
    </row>
    <row r="395" spans="1:42" s="8" customFormat="1" ht="14.75">
      <c r="B395" s="1412"/>
      <c r="C395" s="1413" t="str">
        <f>B188</f>
        <v>SELCH2PEMUG05</v>
      </c>
      <c r="D395" s="1413" t="str">
        <f>C188</f>
        <v>H2 Production-PEM Electrolyser, large size PV_WIND, centralized</v>
      </c>
      <c r="E395" s="993" t="s">
        <v>23</v>
      </c>
      <c r="F395" s="993" t="s">
        <v>30</v>
      </c>
      <c r="G395" s="993" t="s">
        <v>24</v>
      </c>
      <c r="H395" s="993"/>
      <c r="I395" s="993" t="s">
        <v>46</v>
      </c>
      <c r="J395" s="1411"/>
      <c r="K395" s="1411"/>
      <c r="L395" s="1411"/>
      <c r="M395" s="1411"/>
      <c r="N395" s="1411"/>
      <c r="O395" s="1411"/>
      <c r="P395" s="1411"/>
      <c r="Q395" s="1411"/>
      <c r="R395" s="653"/>
      <c r="S395" s="1411"/>
      <c r="T395" s="1411"/>
      <c r="U395" s="1411"/>
      <c r="V395" s="653"/>
      <c r="Y395" s="653"/>
      <c r="AB395" s="653"/>
      <c r="AE395" s="653"/>
      <c r="AF395" s="653"/>
      <c r="AG395" s="653"/>
      <c r="AH395" s="653"/>
    </row>
    <row r="396" spans="1:42" s="8" customFormat="1" ht="14.75">
      <c r="B396" s="1412"/>
      <c r="C396" s="1413" t="str">
        <f>B204</f>
        <v>SELCH2PEMC01</v>
      </c>
      <c r="D396" s="1413" t="str">
        <f>C204</f>
        <v>H2 Production-PEM Electrolyser, large size ongrid, centralized</v>
      </c>
      <c r="E396" s="993" t="s">
        <v>23</v>
      </c>
      <c r="F396" s="993" t="s">
        <v>30</v>
      </c>
      <c r="G396" s="993" t="s">
        <v>24</v>
      </c>
      <c r="H396" s="993"/>
      <c r="I396" s="993" t="s">
        <v>46</v>
      </c>
      <c r="J396" s="1411"/>
      <c r="K396" s="1411"/>
      <c r="L396" s="1411"/>
      <c r="M396" s="1411"/>
      <c r="N396" s="1411"/>
      <c r="O396" s="1411"/>
      <c r="P396" s="1411"/>
      <c r="Q396" s="1411"/>
      <c r="R396" s="653"/>
      <c r="S396" s="1411"/>
      <c r="T396" s="1411"/>
      <c r="U396" s="1411"/>
      <c r="V396" s="653"/>
      <c r="Y396" s="653"/>
      <c r="AB396" s="653"/>
      <c r="AE396" s="653"/>
      <c r="AF396" s="653"/>
      <c r="AG396" s="653"/>
      <c r="AH396" s="653"/>
    </row>
    <row r="397" spans="1:42" s="8" customFormat="1" ht="14.75">
      <c r="B397" s="1412"/>
      <c r="C397" s="1413" t="str">
        <f>B206</f>
        <v>SELCH2PEMC02</v>
      </c>
      <c r="D397" s="1413" t="str">
        <f>C206</f>
        <v>H2 Production-PEM Electrolyser, large size WIND, centralized</v>
      </c>
      <c r="E397" s="993" t="s">
        <v>23</v>
      </c>
      <c r="F397" s="993" t="s">
        <v>30</v>
      </c>
      <c r="G397" s="993" t="s">
        <v>24</v>
      </c>
      <c r="H397" s="993"/>
      <c r="I397" s="993" t="s">
        <v>46</v>
      </c>
      <c r="J397" s="1411"/>
      <c r="K397" s="1411"/>
      <c r="L397" s="1411"/>
      <c r="M397" s="1411"/>
      <c r="N397" s="1411"/>
      <c r="O397" s="1411"/>
      <c r="P397" s="1411"/>
      <c r="Q397" s="1411"/>
      <c r="R397" s="653"/>
      <c r="S397" s="1411"/>
      <c r="T397" s="1411"/>
      <c r="U397" s="1411"/>
      <c r="V397" s="653"/>
      <c r="Y397" s="653"/>
      <c r="AB397" s="653"/>
      <c r="AE397" s="653"/>
      <c r="AF397" s="653"/>
      <c r="AG397" s="653"/>
      <c r="AH397" s="653"/>
    </row>
    <row r="398" spans="1:42" s="628" customFormat="1" ht="14.75">
      <c r="B398" s="1414"/>
      <c r="C398" s="1415" t="str">
        <f>B208</f>
        <v>SELCH2PEMC03</v>
      </c>
      <c r="D398" s="1415" t="str">
        <f>C208</f>
        <v>H2 Production-PEM Electrolyser, large size PV, centralized</v>
      </c>
      <c r="E398" s="993" t="s">
        <v>23</v>
      </c>
      <c r="F398" s="993" t="s">
        <v>30</v>
      </c>
      <c r="G398" s="993" t="s">
        <v>24</v>
      </c>
      <c r="H398" s="993"/>
      <c r="I398" s="993" t="s">
        <v>46</v>
      </c>
      <c r="W398" s="1416"/>
      <c r="X398" s="1416"/>
      <c r="AE398" s="653"/>
      <c r="AF398" s="653"/>
      <c r="AG398" s="653"/>
      <c r="AH398" s="653"/>
    </row>
    <row r="399" spans="1:42" s="8" customFormat="1">
      <c r="B399" s="17"/>
      <c r="C399" s="1417" t="str">
        <f>B210</f>
        <v>SELCH2PEMC04</v>
      </c>
      <c r="D399" s="1417" t="str">
        <f>C210</f>
        <v>H2 Production-PEM Electrolyser, large size OFFSHORE, centralized</v>
      </c>
      <c r="E399" s="993" t="s">
        <v>23</v>
      </c>
      <c r="F399" s="993" t="s">
        <v>30</v>
      </c>
      <c r="G399" s="993" t="s">
        <v>24</v>
      </c>
      <c r="H399" s="993"/>
      <c r="I399" s="993" t="s">
        <v>46</v>
      </c>
      <c r="R399" s="653"/>
      <c r="S399" s="1418"/>
      <c r="T399" s="1418"/>
      <c r="U399" s="1418"/>
      <c r="V399" s="653"/>
      <c r="W399" s="1418"/>
      <c r="X399" s="1418"/>
      <c r="Y399" s="653"/>
      <c r="Z399" s="1418"/>
      <c r="AB399" s="653"/>
      <c r="AC399" s="1418"/>
      <c r="AE399" s="653"/>
      <c r="AF399" s="653"/>
      <c r="AG399" s="653"/>
      <c r="AH399" s="653"/>
    </row>
    <row r="400" spans="1:42" s="8" customFormat="1">
      <c r="B400" s="17"/>
      <c r="C400" s="1419" t="str">
        <f>B212</f>
        <v>SELCH2PEMC05</v>
      </c>
      <c r="D400" s="1419" t="str">
        <f>C212</f>
        <v>H2 Production-PEM Electrolyser, large size PV_WIND, centralized</v>
      </c>
      <c r="E400" s="993" t="s">
        <v>23</v>
      </c>
      <c r="F400" s="993" t="s">
        <v>30</v>
      </c>
      <c r="G400" s="993" t="s">
        <v>24</v>
      </c>
      <c r="H400" s="993"/>
      <c r="I400" s="993" t="s">
        <v>46</v>
      </c>
      <c r="R400" s="653"/>
      <c r="S400" s="1418"/>
      <c r="T400" s="1418"/>
      <c r="U400" s="1418"/>
      <c r="V400" s="653"/>
      <c r="W400" s="1418"/>
      <c r="X400" s="1418"/>
      <c r="Y400" s="653"/>
      <c r="Z400" s="1418"/>
      <c r="AB400" s="653"/>
      <c r="AC400" s="1418"/>
      <c r="AE400" s="653"/>
      <c r="AF400" s="653"/>
      <c r="AG400" s="653"/>
      <c r="AH400" s="653"/>
    </row>
    <row r="401" spans="1:34" s="8" customFormat="1">
      <c r="B401" s="992" t="s">
        <v>37</v>
      </c>
      <c r="C401" s="1417" t="str">
        <f>B228</f>
        <v>SELCH2PEMD01</v>
      </c>
      <c r="D401" s="1417" t="str">
        <f>C228</f>
        <v>H2 Production-PEM Electrolyser, medium size, decentralized</v>
      </c>
      <c r="E401" s="993" t="s">
        <v>23</v>
      </c>
      <c r="F401" s="993" t="s">
        <v>30</v>
      </c>
      <c r="G401" s="993" t="s">
        <v>24</v>
      </c>
      <c r="H401" s="993"/>
      <c r="I401" s="993" t="s">
        <v>46</v>
      </c>
      <c r="R401" s="653"/>
      <c r="S401" s="1420"/>
      <c r="T401" s="1420"/>
      <c r="U401" s="1420"/>
      <c r="V401" s="653"/>
      <c r="W401" s="1420"/>
      <c r="X401" s="1420"/>
      <c r="Y401" s="653"/>
      <c r="Z401" s="1420"/>
      <c r="AB401" s="653"/>
      <c r="AC401" s="1420"/>
      <c r="AE401" s="653"/>
      <c r="AF401" s="653"/>
      <c r="AG401" s="653"/>
      <c r="AH401" s="653"/>
    </row>
    <row r="402" spans="1:34" s="8" customFormat="1">
      <c r="B402" s="17"/>
      <c r="C402" s="1417" t="str">
        <f>B230</f>
        <v>SELCH2PEMD02</v>
      </c>
      <c r="D402" s="1417" t="str">
        <f>C230</f>
        <v>H2 Production-PEM Electrolyser, medium size WIND, decentralized</v>
      </c>
      <c r="E402" s="993" t="s">
        <v>23</v>
      </c>
      <c r="F402" s="993" t="s">
        <v>30</v>
      </c>
      <c r="G402" s="993" t="s">
        <v>24</v>
      </c>
      <c r="H402" s="993"/>
      <c r="I402" s="993" t="s">
        <v>46</v>
      </c>
      <c r="R402" s="653"/>
      <c r="S402" s="1420"/>
      <c r="T402" s="1420"/>
      <c r="U402" s="1420"/>
      <c r="V402" s="653"/>
      <c r="W402" s="1420"/>
      <c r="X402" s="1420"/>
      <c r="Y402" s="653"/>
      <c r="Z402" s="1420"/>
      <c r="AB402" s="653"/>
      <c r="AC402" s="1420"/>
      <c r="AE402" s="653"/>
      <c r="AF402" s="653"/>
      <c r="AG402" s="653"/>
      <c r="AH402" s="653"/>
    </row>
    <row r="403" spans="1:34" s="8" customFormat="1">
      <c r="B403" s="1421"/>
      <c r="C403" s="1422" t="str">
        <f>B232</f>
        <v>SELCH2PEMD03</v>
      </c>
      <c r="D403" s="1422" t="str">
        <f>C232</f>
        <v>H2 Production-PEM Electrolyser, medium size PV, decentralized</v>
      </c>
      <c r="E403" s="993" t="s">
        <v>23</v>
      </c>
      <c r="F403" s="993" t="s">
        <v>30</v>
      </c>
      <c r="G403" s="993" t="s">
        <v>24</v>
      </c>
      <c r="H403" s="993"/>
      <c r="I403" s="993" t="s">
        <v>46</v>
      </c>
      <c r="J403" s="16"/>
      <c r="R403" s="653"/>
      <c r="V403" s="653"/>
      <c r="Y403" s="653"/>
      <c r="AB403" s="653"/>
      <c r="AE403" s="653"/>
      <c r="AF403" s="653"/>
      <c r="AG403" s="653"/>
      <c r="AH403" s="653"/>
    </row>
    <row r="404" spans="1:34" s="8" customFormat="1">
      <c r="B404" s="1421"/>
      <c r="C404" s="1423" t="str">
        <f>B234</f>
        <v>SELCH2PEMD04</v>
      </c>
      <c r="D404" s="1423" t="str">
        <f>C234</f>
        <v>H2 Production-PEM Electrolyser, medium size PV_WIND, decentralized</v>
      </c>
      <c r="E404" s="993" t="s">
        <v>23</v>
      </c>
      <c r="F404" s="993" t="s">
        <v>30</v>
      </c>
      <c r="G404" s="993" t="s">
        <v>24</v>
      </c>
      <c r="H404" s="993"/>
      <c r="I404" s="993" t="s">
        <v>46</v>
      </c>
      <c r="J404" s="16"/>
      <c r="R404" s="653"/>
      <c r="V404" s="653"/>
      <c r="Y404" s="653"/>
      <c r="AB404" s="653"/>
      <c r="AE404" s="653"/>
      <c r="AF404" s="653"/>
      <c r="AG404" s="653"/>
      <c r="AH404" s="653"/>
    </row>
    <row r="405" spans="1:34">
      <c r="C405" s="30" t="str">
        <f>B252</f>
        <v>SBIOH2GD01</v>
      </c>
      <c r="D405" s="30" t="str">
        <f>C252</f>
        <v>H2 Production-Biomass Gasification, small size, decentralized</v>
      </c>
      <c r="E405" s="993" t="s">
        <v>23</v>
      </c>
      <c r="F405" s="993" t="s">
        <v>30</v>
      </c>
      <c r="G405" s="993" t="s">
        <v>24</v>
      </c>
      <c r="H405" s="993"/>
      <c r="I405" s="993" t="s">
        <v>46</v>
      </c>
    </row>
    <row r="406" spans="1:34">
      <c r="A406" s="628" t="s">
        <v>599</v>
      </c>
      <c r="C406" s="30" t="str">
        <f>B255</f>
        <v>SGASH2RD01</v>
      </c>
      <c r="D406" s="30" t="str">
        <f>C255</f>
        <v>H2 Production-Methane Steam Reforming, small size, decentralized</v>
      </c>
      <c r="E406" s="993" t="s">
        <v>23</v>
      </c>
      <c r="F406" s="993" t="s">
        <v>30</v>
      </c>
      <c r="G406" s="993" t="s">
        <v>24</v>
      </c>
      <c r="H406" s="993"/>
      <c r="I406" s="993" t="s">
        <v>46</v>
      </c>
    </row>
    <row r="407" spans="1:34" s="624" customFormat="1">
      <c r="A407" s="628" t="s">
        <v>599</v>
      </c>
      <c r="B407" s="968"/>
      <c r="C407" s="30" t="str">
        <f>B258</f>
        <v>SGASH2RDIND01</v>
      </c>
      <c r="D407" s="30" t="str">
        <f>C258</f>
        <v>H2 Production-Methane Steam Reforming, small size IND, decentralized</v>
      </c>
      <c r="E407" s="993" t="s">
        <v>23</v>
      </c>
      <c r="F407" s="993" t="s">
        <v>30</v>
      </c>
      <c r="G407" s="993" t="s">
        <v>24</v>
      </c>
      <c r="H407" s="993"/>
      <c r="I407" s="993" t="s">
        <v>46</v>
      </c>
      <c r="R407" s="622"/>
      <c r="V407" s="622"/>
      <c r="Y407" s="622"/>
      <c r="AB407" s="622"/>
      <c r="AE407" s="622"/>
      <c r="AF407" s="622"/>
      <c r="AG407" s="622"/>
      <c r="AH407" s="622"/>
    </row>
    <row r="408" spans="1:34">
      <c r="B408" s="992" t="s">
        <v>37</v>
      </c>
      <c r="C408" s="30" t="str">
        <f>B261</f>
        <v>SGASH2SUP01</v>
      </c>
      <c r="D408" s="30" t="str">
        <f>C261</f>
        <v>H2 Production-Methane Steam Reforming, small size SUP, decentralized</v>
      </c>
      <c r="E408" s="993" t="s">
        <v>23</v>
      </c>
      <c r="F408" s="993" t="s">
        <v>30</v>
      </c>
      <c r="G408" s="993" t="s">
        <v>24</v>
      </c>
      <c r="H408" s="993"/>
      <c r="I408" s="993" t="s">
        <v>46</v>
      </c>
    </row>
    <row r="409" spans="1:34">
      <c r="C409" s="30" t="str">
        <f>B264</f>
        <v>SGASH2SUPCCS01</v>
      </c>
      <c r="D409" s="30" t="str">
        <f>C264</f>
        <v>H2 Production-Methane Steam Reforming, small size CCS SUP tank, decentralized</v>
      </c>
      <c r="E409" s="993" t="s">
        <v>23</v>
      </c>
      <c r="F409" s="993" t="s">
        <v>30</v>
      </c>
      <c r="G409" s="993" t="s">
        <v>24</v>
      </c>
      <c r="H409" s="993"/>
      <c r="I409" s="993" t="s">
        <v>46</v>
      </c>
    </row>
    <row r="410" spans="1:34" s="624" customFormat="1">
      <c r="B410" s="968"/>
      <c r="C410" s="30" t="str">
        <f>B267</f>
        <v>SELCH2AESUP01</v>
      </c>
      <c r="D410" s="30" t="str">
        <f>C267</f>
        <v>H2 Production-Alkaline Electrolyser, small size  SUP, decentralized</v>
      </c>
      <c r="E410" s="993" t="s">
        <v>23</v>
      </c>
      <c r="F410" s="993" t="s">
        <v>30</v>
      </c>
      <c r="G410" s="993" t="s">
        <v>24</v>
      </c>
      <c r="H410" s="993"/>
      <c r="I410" s="993" t="s">
        <v>46</v>
      </c>
      <c r="R410" s="622"/>
      <c r="V410" s="622"/>
      <c r="Y410" s="622"/>
      <c r="AB410" s="622"/>
      <c r="AE410" s="622"/>
      <c r="AF410" s="622"/>
      <c r="AG410" s="622"/>
      <c r="AH410" s="622"/>
    </row>
    <row r="411" spans="1:34" s="624" customFormat="1">
      <c r="B411" s="968"/>
      <c r="C411" s="30" t="str">
        <f>B269</f>
        <v>SELCH2AESUP02</v>
      </c>
      <c r="D411" s="30" t="str">
        <f>C269</f>
        <v>H2 Production-Alkaline Electrolyser, PV offgrid SUP, centralized</v>
      </c>
      <c r="E411" s="993" t="s">
        <v>23</v>
      </c>
      <c r="F411" s="993" t="s">
        <v>30</v>
      </c>
      <c r="G411" s="993" t="s">
        <v>24</v>
      </c>
      <c r="H411" s="993"/>
      <c r="I411" s="993" t="s">
        <v>46</v>
      </c>
      <c r="R411" s="622"/>
      <c r="V411" s="622"/>
      <c r="Y411" s="622"/>
      <c r="AB411" s="622"/>
      <c r="AE411" s="622"/>
      <c r="AF411" s="622"/>
      <c r="AG411" s="622"/>
      <c r="AH411" s="622"/>
    </row>
    <row r="412" spans="1:34" s="624" customFormat="1">
      <c r="B412" s="968"/>
      <c r="C412" s="30" t="str">
        <f>B274</f>
        <v>SELCH2PEMSUP01</v>
      </c>
      <c r="D412" s="30" t="str">
        <f>C274</f>
        <v>H2 Production-PEM Electrolyser, on grid SUP, decentralized</v>
      </c>
      <c r="E412" s="993" t="s">
        <v>23</v>
      </c>
      <c r="F412" s="993" t="s">
        <v>30</v>
      </c>
      <c r="G412" s="993" t="s">
        <v>24</v>
      </c>
      <c r="H412" s="993"/>
      <c r="I412" s="993" t="s">
        <v>46</v>
      </c>
      <c r="R412" s="622"/>
      <c r="V412" s="622"/>
      <c r="Y412" s="622"/>
      <c r="AB412" s="622"/>
      <c r="AE412" s="622"/>
      <c r="AF412" s="622"/>
      <c r="AG412" s="622"/>
      <c r="AH412" s="622"/>
    </row>
    <row r="413" spans="1:34" s="624" customFormat="1">
      <c r="B413" s="968"/>
      <c r="C413" s="30" t="str">
        <f>B276</f>
        <v>SELCH2PEMSUP02</v>
      </c>
      <c r="D413" s="30" t="str">
        <f>C276</f>
        <v>H2 Production-PEM Electrolyser, off grid SUP, decentralized</v>
      </c>
      <c r="E413" s="993" t="s">
        <v>23</v>
      </c>
      <c r="F413" s="993" t="s">
        <v>30</v>
      </c>
      <c r="G413" s="993" t="s">
        <v>24</v>
      </c>
      <c r="H413" s="993"/>
      <c r="I413" s="993" t="s">
        <v>46</v>
      </c>
      <c r="R413" s="622"/>
      <c r="V413" s="622"/>
      <c r="Y413" s="622"/>
      <c r="AB413" s="622"/>
      <c r="AE413" s="622"/>
      <c r="AF413" s="622"/>
      <c r="AG413" s="622"/>
      <c r="AH413" s="622"/>
    </row>
    <row r="414" spans="1:34">
      <c r="A414" s="628" t="s">
        <v>599</v>
      </c>
      <c r="C414" s="30" t="str">
        <f>B281</f>
        <v>SGASH2RDTRA02</v>
      </c>
      <c r="D414" s="30" t="str">
        <f>C281</f>
        <v>H2 Production-Methane Steam Reforming + Carbon Capture, small size, centralized</v>
      </c>
      <c r="E414" s="993" t="s">
        <v>23</v>
      </c>
      <c r="F414" s="993" t="s">
        <v>30</v>
      </c>
      <c r="G414" s="993" t="s">
        <v>24</v>
      </c>
      <c r="H414" s="993"/>
      <c r="I414" s="993" t="s">
        <v>46</v>
      </c>
    </row>
    <row r="415" spans="1:34">
      <c r="A415" s="628" t="s">
        <v>599</v>
      </c>
      <c r="C415" s="30" t="str">
        <f>B284</f>
        <v>SGASH2RDCOM01</v>
      </c>
      <c r="D415" s="30" t="str">
        <f>C284</f>
        <v>H2 Production-Methane Steam Reforming, small size, centralized</v>
      </c>
      <c r="E415" s="993" t="s">
        <v>23</v>
      </c>
      <c r="F415" s="993" t="s">
        <v>30</v>
      </c>
      <c r="G415" s="993" t="s">
        <v>24</v>
      </c>
      <c r="H415" s="993"/>
      <c r="I415" s="993" t="s">
        <v>46</v>
      </c>
    </row>
    <row r="416" spans="1:34">
      <c r="A416" s="628" t="s">
        <v>599</v>
      </c>
      <c r="C416" s="30" t="str">
        <f>B287</f>
        <v>SGASH2RDRSD01</v>
      </c>
      <c r="D416" s="30" t="str">
        <f>C287</f>
        <v>H2 Production-Methane Steam Reforming + Carbon Capture, large size, centralized</v>
      </c>
      <c r="E416" s="993" t="s">
        <v>23</v>
      </c>
      <c r="F416" s="993" t="s">
        <v>30</v>
      </c>
      <c r="G416" s="993" t="s">
        <v>24</v>
      </c>
      <c r="H416" s="993"/>
      <c r="I416" s="993" t="s">
        <v>46</v>
      </c>
    </row>
    <row r="417" spans="1:9">
      <c r="B417" s="992" t="s">
        <v>37</v>
      </c>
      <c r="C417" s="30" t="str">
        <f>B290</f>
        <v>SETHH2RD01</v>
      </c>
      <c r="D417" s="30" t="str">
        <f>C290</f>
        <v>H2 Production-Ethanol Steam Reforming, decentralized</v>
      </c>
      <c r="E417" s="993" t="s">
        <v>23</v>
      </c>
      <c r="F417" s="993" t="s">
        <v>30</v>
      </c>
      <c r="G417" s="993" t="s">
        <v>24</v>
      </c>
      <c r="H417" s="993"/>
      <c r="I417" s="993" t="s">
        <v>46</v>
      </c>
    </row>
    <row r="418" spans="1:9">
      <c r="A418" s="628" t="s">
        <v>599</v>
      </c>
      <c r="C418" s="30" t="str">
        <f>B293</f>
        <v>SGASSH2RD01</v>
      </c>
      <c r="D418" s="30" t="str">
        <f>C293</f>
        <v>H2 Production-Solar Steam Reforming of Methane, decentralized</v>
      </c>
      <c r="E418" s="993" t="s">
        <v>23</v>
      </c>
      <c r="F418" s="993" t="s">
        <v>30</v>
      </c>
      <c r="G418" s="993" t="s">
        <v>24</v>
      </c>
      <c r="H418" s="993"/>
      <c r="I418" s="993" t="s">
        <v>46</v>
      </c>
    </row>
    <row r="419" spans="1:9">
      <c r="B419" s="992" t="s">
        <v>37</v>
      </c>
      <c r="C419" s="30" t="str">
        <f>B296</f>
        <v>SELCH2AEM01</v>
      </c>
      <c r="D419" s="30" t="str">
        <f>C296</f>
        <v>H2 Production-Alkaline Electrolyser, small size, decentralized</v>
      </c>
      <c r="E419" s="993" t="s">
        <v>23</v>
      </c>
      <c r="F419" s="993" t="s">
        <v>30</v>
      </c>
      <c r="G419" s="993" t="s">
        <v>24</v>
      </c>
      <c r="H419" s="993"/>
      <c r="I419" s="993" t="s">
        <v>46</v>
      </c>
    </row>
    <row r="420" spans="1:9">
      <c r="C420" s="30" t="str">
        <f>B298</f>
        <v>SELCH2AEM02</v>
      </c>
      <c r="D420" s="30" t="str">
        <f>C298</f>
        <v>H2 Production-Alkaline Electrolyser, small size, PV decentralized</v>
      </c>
      <c r="E420" s="993" t="s">
        <v>23</v>
      </c>
      <c r="F420" s="993" t="s">
        <v>30</v>
      </c>
      <c r="G420" s="993" t="s">
        <v>24</v>
      </c>
      <c r="H420" s="993"/>
      <c r="I420" s="993" t="s">
        <v>46</v>
      </c>
    </row>
    <row r="421" spans="1:9">
      <c r="C421" s="30" t="str">
        <f>B303</f>
        <v>SELCH2AETRA01</v>
      </c>
      <c r="D421" s="30" t="str">
        <f>C303</f>
        <v>H2 Production-Alkaline Electrolyser, on grid TRA, decentralized</v>
      </c>
      <c r="E421" s="993" t="s">
        <v>23</v>
      </c>
      <c r="F421" s="993" t="s">
        <v>30</v>
      </c>
      <c r="G421" s="993" t="s">
        <v>24</v>
      </c>
      <c r="H421" s="993"/>
      <c r="I421" s="993" t="s">
        <v>46</v>
      </c>
    </row>
    <row r="422" spans="1:9">
      <c r="C422" s="30" t="str">
        <f>B305</f>
        <v>SELCH2AETRA02</v>
      </c>
      <c r="D422" s="30" t="str">
        <f>C305</f>
        <v>H2 Production-Alkaline Electrolyser, off grid TRA, decentralized</v>
      </c>
      <c r="E422" s="993" t="s">
        <v>23</v>
      </c>
      <c r="F422" s="993" t="s">
        <v>30</v>
      </c>
      <c r="G422" s="993" t="s">
        <v>24</v>
      </c>
      <c r="H422" s="993"/>
      <c r="I422" s="993" t="s">
        <v>46</v>
      </c>
    </row>
    <row r="423" spans="1:9">
      <c r="C423" s="30" t="str">
        <f>B310</f>
        <v>SELCH2AEIND01</v>
      </c>
      <c r="D423" s="30" t="str">
        <f>C310</f>
        <v>H2 Production-Alkaline Electrolyser, small size IND, decentralized</v>
      </c>
      <c r="E423" s="993" t="s">
        <v>23</v>
      </c>
      <c r="F423" s="993" t="s">
        <v>30</v>
      </c>
      <c r="G423" s="993" t="s">
        <v>24</v>
      </c>
      <c r="H423" s="993"/>
      <c r="I423" s="993" t="s">
        <v>46</v>
      </c>
    </row>
    <row r="424" spans="1:9">
      <c r="C424" s="30" t="str">
        <f>B312</f>
        <v>SELCH2AEIND02</v>
      </c>
      <c r="D424" s="30" t="str">
        <f>C312</f>
        <v>H2 Production-Alkaline Electrolyser, PV offgrid IND, centralized</v>
      </c>
      <c r="E424" s="993" t="s">
        <v>23</v>
      </c>
      <c r="F424" s="993" t="s">
        <v>30</v>
      </c>
      <c r="G424" s="993" t="s">
        <v>24</v>
      </c>
      <c r="H424" s="993"/>
      <c r="I424" s="993" t="s">
        <v>46</v>
      </c>
    </row>
    <row r="425" spans="1:9">
      <c r="C425" s="30" t="str">
        <f>B317</f>
        <v>SELCH2PEMM01</v>
      </c>
      <c r="D425" s="30" t="str">
        <f>C317</f>
        <v>H2 Production-PEM Electrolyser,PV ongrid, decentralized</v>
      </c>
      <c r="E425" s="993" t="s">
        <v>23</v>
      </c>
      <c r="F425" s="993" t="s">
        <v>30</v>
      </c>
      <c r="G425" s="993" t="s">
        <v>24</v>
      </c>
      <c r="H425" s="993"/>
      <c r="I425" s="993" t="s">
        <v>46</v>
      </c>
    </row>
    <row r="426" spans="1:9">
      <c r="C426" s="30" t="str">
        <f>B319</f>
        <v>SELCH2PEMM02</v>
      </c>
      <c r="D426" s="30" t="str">
        <f>C319</f>
        <v>H2 Production-PEM Electrolyser,PV offgrid, decentralized</v>
      </c>
      <c r="E426" s="993" t="s">
        <v>23</v>
      </c>
      <c r="F426" s="993" t="s">
        <v>30</v>
      </c>
      <c r="G426" s="993" t="s">
        <v>24</v>
      </c>
      <c r="H426" s="993"/>
      <c r="I426" s="993" t="s">
        <v>46</v>
      </c>
    </row>
    <row r="427" spans="1:9">
      <c r="C427" s="30" t="str">
        <f>B324</f>
        <v>SELCH2PEMTRA01</v>
      </c>
      <c r="D427" s="30" t="str">
        <f>C324</f>
        <v>H2 Production-PEM Electrolyser, on grid TRA, decentralized</v>
      </c>
      <c r="E427" s="993" t="s">
        <v>23</v>
      </c>
      <c r="F427" s="993" t="s">
        <v>30</v>
      </c>
      <c r="G427" s="993" t="s">
        <v>24</v>
      </c>
      <c r="H427" s="993"/>
      <c r="I427" s="993" t="s">
        <v>46</v>
      </c>
    </row>
    <row r="428" spans="1:9">
      <c r="C428" s="30" t="str">
        <f>B326</f>
        <v>SELCH2PEMTRA02</v>
      </c>
      <c r="D428" s="30" t="str">
        <f>C326</f>
        <v>H2 Production-PEM Electrolyser, off grid TRA, decentralized</v>
      </c>
      <c r="E428" s="993" t="s">
        <v>23</v>
      </c>
      <c r="F428" s="993" t="s">
        <v>30</v>
      </c>
      <c r="G428" s="993" t="s">
        <v>24</v>
      </c>
      <c r="H428" s="993"/>
      <c r="I428" s="993" t="s">
        <v>46</v>
      </c>
    </row>
    <row r="429" spans="1:9">
      <c r="C429" s="30" t="str">
        <f>B331</f>
        <v>SELCH2PEMIND01</v>
      </c>
      <c r="D429" s="30" t="str">
        <f>C331</f>
        <v>H2 Production-PEM Electrolyser, on grid IND, decentralized</v>
      </c>
      <c r="E429" s="993" t="s">
        <v>23</v>
      </c>
      <c r="F429" s="993" t="s">
        <v>30</v>
      </c>
      <c r="G429" s="993" t="s">
        <v>24</v>
      </c>
      <c r="H429" s="993"/>
      <c r="I429" s="993" t="s">
        <v>46</v>
      </c>
    </row>
    <row r="430" spans="1:9">
      <c r="C430" s="30" t="str">
        <f>B333</f>
        <v>SELCH2PEMIND02</v>
      </c>
      <c r="D430" s="30" t="str">
        <f>C333</f>
        <v>H2 Production-PEM Electrolyser, off grid IND, decentralized</v>
      </c>
      <c r="E430" s="993" t="s">
        <v>23</v>
      </c>
      <c r="F430" s="993" t="s">
        <v>30</v>
      </c>
      <c r="G430" s="993" t="s">
        <v>24</v>
      </c>
      <c r="H430" s="993"/>
      <c r="I430" s="993" t="s">
        <v>46</v>
      </c>
    </row>
    <row r="431" spans="1:9">
      <c r="B431" s="992" t="s">
        <v>37</v>
      </c>
      <c r="C431" s="30" t="str">
        <f>B86</f>
        <v>SELCH2AEUGH02</v>
      </c>
      <c r="D431" s="30" t="str">
        <f>C86</f>
        <v>H2 Production-Alkaline Electrolyser Hybrid, extra large size WIND, centralized</v>
      </c>
      <c r="E431" s="993" t="s">
        <v>23</v>
      </c>
      <c r="F431" s="993" t="s">
        <v>30</v>
      </c>
      <c r="G431" s="993" t="s">
        <v>24</v>
      </c>
      <c r="H431" s="993"/>
      <c r="I431" s="993" t="s">
        <v>46</v>
      </c>
    </row>
    <row r="432" spans="1:9">
      <c r="C432" s="30" t="str">
        <f>B89</f>
        <v>SELCH2AEUGH03</v>
      </c>
      <c r="D432" s="30" t="str">
        <f>C89</f>
        <v>H2 Production-Alkaline Electrolyser Hybrid, extra large size PV, centralized</v>
      </c>
      <c r="E432" s="993" t="s">
        <v>23</v>
      </c>
      <c r="F432" s="993" t="s">
        <v>30</v>
      </c>
      <c r="G432" s="993" t="s">
        <v>24</v>
      </c>
      <c r="H432" s="993"/>
      <c r="I432" s="993" t="s">
        <v>46</v>
      </c>
    </row>
    <row r="433" spans="2:34">
      <c r="C433" s="30" t="str">
        <f>B92</f>
        <v>SELCH2AEUGH04</v>
      </c>
      <c r="D433" s="30" t="str">
        <f>C92</f>
        <v>H2 Production-Alkaline Electrolyser Hybrid, extra large size Offshore, centralized</v>
      </c>
      <c r="E433" s="993" t="s">
        <v>23</v>
      </c>
      <c r="F433" s="993" t="s">
        <v>30</v>
      </c>
      <c r="G433" s="993" t="s">
        <v>24</v>
      </c>
      <c r="H433" s="993"/>
      <c r="I433" s="993" t="s">
        <v>46</v>
      </c>
    </row>
    <row r="434" spans="2:34" s="624" customFormat="1">
      <c r="B434" s="968"/>
      <c r="C434" s="30" t="str">
        <f>B95</f>
        <v>SELCH2AEUGH05</v>
      </c>
      <c r="D434" s="30" t="str">
        <f>C95</f>
        <v>H2 Production-Alkaline Electrolyser Hybrid, extra large size PV_WIND, centralized</v>
      </c>
      <c r="E434" s="993" t="s">
        <v>23</v>
      </c>
      <c r="F434" s="993" t="s">
        <v>30</v>
      </c>
      <c r="G434" s="993" t="s">
        <v>24</v>
      </c>
      <c r="H434" s="993"/>
      <c r="I434" s="993" t="s">
        <v>46</v>
      </c>
      <c r="R434" s="622"/>
      <c r="V434" s="622"/>
      <c r="Y434" s="622"/>
      <c r="AB434" s="622"/>
      <c r="AE434" s="622"/>
      <c r="AF434" s="622"/>
      <c r="AG434" s="622"/>
      <c r="AH434" s="622"/>
    </row>
    <row r="435" spans="2:34">
      <c r="C435" s="30" t="str">
        <f>B108</f>
        <v>SELCH2AEUGH07</v>
      </c>
      <c r="D435" s="30" t="str">
        <f>C108</f>
        <v>H2 Production-Alkaline Electrolyser Hybrid WIND, large size, centralized</v>
      </c>
      <c r="E435" s="993" t="s">
        <v>23</v>
      </c>
      <c r="F435" s="993" t="s">
        <v>30</v>
      </c>
      <c r="G435" s="993" t="s">
        <v>24</v>
      </c>
      <c r="H435" s="993"/>
      <c r="I435" s="993" t="s">
        <v>46</v>
      </c>
    </row>
    <row r="436" spans="2:34">
      <c r="C436" s="30" t="str">
        <f>B111</f>
        <v>SELCH2AEUGH08</v>
      </c>
      <c r="D436" s="30" t="str">
        <f>C111</f>
        <v>H2 Production-Alkaline Electrolyser Hybrid, PV large size, centralized</v>
      </c>
      <c r="E436" s="993" t="s">
        <v>23</v>
      </c>
      <c r="F436" s="993" t="s">
        <v>30</v>
      </c>
      <c r="G436" s="993" t="s">
        <v>24</v>
      </c>
      <c r="H436" s="993"/>
      <c r="I436" s="993" t="s">
        <v>46</v>
      </c>
    </row>
    <row r="437" spans="2:34">
      <c r="C437" s="30" t="str">
        <f>B114</f>
        <v>SELCH2AEUGH09</v>
      </c>
      <c r="D437" s="30" t="str">
        <f>C114</f>
        <v>H2 Production-Alkaline Electrolyser Hybrid, PV_WIND large size, centralized</v>
      </c>
      <c r="E437" s="993" t="s">
        <v>23</v>
      </c>
      <c r="F437" s="993" t="s">
        <v>30</v>
      </c>
      <c r="G437" s="993" t="s">
        <v>24</v>
      </c>
      <c r="H437" s="993"/>
      <c r="I437" s="993" t="s">
        <v>46</v>
      </c>
    </row>
    <row r="438" spans="2:34">
      <c r="C438" s="30" t="str">
        <f>B129</f>
        <v>SELCH2AECH02</v>
      </c>
      <c r="D438" s="30" t="str">
        <f>C129</f>
        <v>H2 Production-Alkaline Electrolyser Hybrid, extra large size WIND, centralized</v>
      </c>
      <c r="E438" s="993" t="s">
        <v>23</v>
      </c>
      <c r="F438" s="993" t="s">
        <v>30</v>
      </c>
      <c r="G438" s="993" t="s">
        <v>24</v>
      </c>
      <c r="H438" s="993"/>
      <c r="I438" s="993" t="s">
        <v>46</v>
      </c>
    </row>
    <row r="439" spans="2:34">
      <c r="C439" s="30" t="str">
        <f>B132</f>
        <v>SELCH2AECH03</v>
      </c>
      <c r="D439" s="30" t="str">
        <f>C132</f>
        <v>H2 Production-Alkaline Electrolyser Hybrid, extra large size PV, centralized</v>
      </c>
      <c r="E439" s="993" t="s">
        <v>23</v>
      </c>
      <c r="F439" s="993" t="s">
        <v>30</v>
      </c>
      <c r="G439" s="993" t="s">
        <v>24</v>
      </c>
      <c r="H439" s="993"/>
      <c r="I439" s="993" t="s">
        <v>46</v>
      </c>
    </row>
    <row r="440" spans="2:34">
      <c r="C440" s="30" t="str">
        <f>B135</f>
        <v>SELCH2AECH04</v>
      </c>
      <c r="D440" s="30" t="str">
        <f>C135</f>
        <v>H2 Production-Alkaline Electrolyser Hybrid, extra large size Offshore, centralized</v>
      </c>
      <c r="E440" s="993" t="s">
        <v>23</v>
      </c>
      <c r="F440" s="993" t="s">
        <v>30</v>
      </c>
      <c r="G440" s="993" t="s">
        <v>24</v>
      </c>
      <c r="H440" s="993"/>
      <c r="I440" s="993" t="s">
        <v>46</v>
      </c>
    </row>
    <row r="441" spans="2:34">
      <c r="C441" s="30" t="str">
        <f>B138</f>
        <v>SELCH2AECH05</v>
      </c>
      <c r="D441" s="30" t="str">
        <f>C138</f>
        <v>H2 Production-Alkaline Electrolyser Hybrid, extra large size PV_WIND, centralized</v>
      </c>
      <c r="E441" s="993" t="s">
        <v>23</v>
      </c>
      <c r="F441" s="993" t="s">
        <v>30</v>
      </c>
      <c r="G441" s="993" t="s">
        <v>24</v>
      </c>
      <c r="H441" s="993"/>
      <c r="I441" s="993" t="s">
        <v>46</v>
      </c>
    </row>
    <row r="442" spans="2:34">
      <c r="C442" s="30" t="str">
        <f>B151</f>
        <v>SELCH2AECH07</v>
      </c>
      <c r="D442" s="30" t="str">
        <f>C151</f>
        <v>H2 Production-Alkaline Electrolyser Hybrid WIND, large size, centralized</v>
      </c>
      <c r="E442" s="993" t="s">
        <v>23</v>
      </c>
      <c r="F442" s="993" t="s">
        <v>30</v>
      </c>
      <c r="G442" s="993" t="s">
        <v>24</v>
      </c>
      <c r="H442" s="993"/>
      <c r="I442" s="993" t="s">
        <v>46</v>
      </c>
    </row>
    <row r="443" spans="2:34">
      <c r="C443" s="30" t="str">
        <f>B154</f>
        <v>SELCH2AECH08</v>
      </c>
      <c r="D443" s="30" t="str">
        <f>C154</f>
        <v>H2 Production-Alkaline Electrolyser Hybrid, PV large size, centralized</v>
      </c>
      <c r="E443" s="993" t="s">
        <v>23</v>
      </c>
      <c r="F443" s="993" t="s">
        <v>30</v>
      </c>
      <c r="G443" s="993" t="s">
        <v>24</v>
      </c>
      <c r="H443" s="993"/>
      <c r="I443" s="993" t="s">
        <v>46</v>
      </c>
    </row>
    <row r="444" spans="2:34">
      <c r="C444" s="30" t="str">
        <f>B157</f>
        <v>SELCH2AECH09</v>
      </c>
      <c r="D444" s="30" t="str">
        <f>C157</f>
        <v>H2 Production-Alkaline Electrolyser Hybrid, PV_WIND large size, centralized</v>
      </c>
      <c r="E444" s="993" t="s">
        <v>23</v>
      </c>
      <c r="F444" s="993" t="s">
        <v>30</v>
      </c>
      <c r="G444" s="993" t="s">
        <v>24</v>
      </c>
      <c r="H444" s="993"/>
      <c r="I444" s="993" t="s">
        <v>46</v>
      </c>
    </row>
    <row r="445" spans="2:34">
      <c r="C445" s="30" t="str">
        <f>B170</f>
        <v>SELCH2AEDH02</v>
      </c>
      <c r="D445" s="30" t="str">
        <f>C170</f>
        <v>H2 Production-Alkaline Electrolyser Hybrid, WIND medium size, decentralized</v>
      </c>
      <c r="E445" s="993" t="s">
        <v>23</v>
      </c>
      <c r="F445" s="993" t="s">
        <v>30</v>
      </c>
      <c r="G445" s="993" t="s">
        <v>24</v>
      </c>
      <c r="H445" s="993"/>
      <c r="I445" s="993" t="s">
        <v>46</v>
      </c>
    </row>
    <row r="446" spans="2:34">
      <c r="C446" s="30" t="str">
        <f>B173</f>
        <v>SELCH2AEDH03</v>
      </c>
      <c r="D446" s="30" t="str">
        <f>C173</f>
        <v>H2 Production-Alkaline Electrolyser Hybrid, PV medium size, decentralized</v>
      </c>
      <c r="E446" s="993" t="s">
        <v>23</v>
      </c>
      <c r="F446" s="993" t="s">
        <v>30</v>
      </c>
      <c r="G446" s="993" t="s">
        <v>24</v>
      </c>
      <c r="H446" s="993"/>
      <c r="I446" s="993" t="s">
        <v>46</v>
      </c>
    </row>
    <row r="447" spans="2:34">
      <c r="C447" s="30" t="str">
        <f>B176</f>
        <v>SELCH2AEDH04</v>
      </c>
      <c r="D447" s="30" t="str">
        <f>C176</f>
        <v>H2 Production-Alkaline Electrolyser Hybrid, PV_WIN medium size, decentralized</v>
      </c>
      <c r="E447" s="993" t="s">
        <v>23</v>
      </c>
      <c r="F447" s="993" t="s">
        <v>30</v>
      </c>
      <c r="G447" s="993" t="s">
        <v>24</v>
      </c>
      <c r="H447" s="993"/>
      <c r="I447" s="993" t="s">
        <v>46</v>
      </c>
    </row>
    <row r="448" spans="2:34">
      <c r="C448" s="30" t="str">
        <f>B191</f>
        <v>SELCH2PEMUGH02</v>
      </c>
      <c r="D448" s="30" t="str">
        <f>C191</f>
        <v>H2 Production-PEM Electrolyser Hybrid, large size WIND, centralized</v>
      </c>
      <c r="E448" s="993" t="s">
        <v>23</v>
      </c>
      <c r="F448" s="993" t="s">
        <v>30</v>
      </c>
      <c r="G448" s="993" t="s">
        <v>24</v>
      </c>
      <c r="H448" s="993"/>
      <c r="I448" s="993" t="s">
        <v>46</v>
      </c>
    </row>
    <row r="449" spans="3:9">
      <c r="C449" s="30" t="str">
        <f>B194</f>
        <v>SELCH2PEMUGH03</v>
      </c>
      <c r="D449" s="30" t="str">
        <f>C194</f>
        <v>H2 Production-PEM Electrolyser Hybrid, large size PV, centralized</v>
      </c>
      <c r="E449" s="993" t="s">
        <v>23</v>
      </c>
      <c r="F449" s="993" t="s">
        <v>30</v>
      </c>
      <c r="G449" s="993" t="s">
        <v>24</v>
      </c>
      <c r="H449" s="993"/>
      <c r="I449" s="993" t="s">
        <v>46</v>
      </c>
    </row>
    <row r="450" spans="3:9">
      <c r="C450" s="30" t="str">
        <f>B197</f>
        <v>SELCH2PEMUGH04</v>
      </c>
      <c r="D450" s="30" t="str">
        <f>C197</f>
        <v>H2 Production-PEM Electrolyser Hybrid, large size OFFSHORE, centralized</v>
      </c>
      <c r="E450" s="993" t="s">
        <v>23</v>
      </c>
      <c r="F450" s="993" t="s">
        <v>30</v>
      </c>
      <c r="G450" s="993" t="s">
        <v>24</v>
      </c>
      <c r="H450" s="993"/>
      <c r="I450" s="993" t="s">
        <v>46</v>
      </c>
    </row>
    <row r="451" spans="3:9">
      <c r="C451" s="30" t="str">
        <f>B200</f>
        <v>SELCH2PEMUGH05</v>
      </c>
      <c r="D451" s="30" t="str">
        <f>C200</f>
        <v>H2 Production-PEM Electrolyser Hybrid, large size PV_WIND, centralized</v>
      </c>
      <c r="E451" s="993" t="s">
        <v>23</v>
      </c>
      <c r="F451" s="993" t="s">
        <v>30</v>
      </c>
      <c r="G451" s="993" t="s">
        <v>24</v>
      </c>
      <c r="H451" s="993"/>
      <c r="I451" s="993" t="s">
        <v>46</v>
      </c>
    </row>
    <row r="452" spans="3:9">
      <c r="C452" s="30" t="str">
        <f>B215</f>
        <v>SELCH2PEMCH02</v>
      </c>
      <c r="D452" s="30" t="str">
        <f>C215</f>
        <v>H2 Production-PEM Electrolyser Hybrid, large size WIND, centralized</v>
      </c>
      <c r="E452" s="993" t="s">
        <v>23</v>
      </c>
      <c r="F452" s="993" t="s">
        <v>30</v>
      </c>
      <c r="G452" s="993" t="s">
        <v>24</v>
      </c>
      <c r="H452" s="993"/>
      <c r="I452" s="993" t="s">
        <v>46</v>
      </c>
    </row>
    <row r="453" spans="3:9">
      <c r="C453" s="30" t="str">
        <f>B218</f>
        <v>SELCH2PEMCH03</v>
      </c>
      <c r="D453" s="30" t="str">
        <f>C218</f>
        <v>H2 Production-PEM Electrolyser Hybrid, large size PV, centralized</v>
      </c>
      <c r="E453" s="993" t="s">
        <v>23</v>
      </c>
      <c r="F453" s="993" t="s">
        <v>30</v>
      </c>
      <c r="G453" s="993" t="s">
        <v>24</v>
      </c>
      <c r="H453" s="993"/>
      <c r="I453" s="993" t="s">
        <v>46</v>
      </c>
    </row>
    <row r="454" spans="3:9">
      <c r="C454" s="30" t="str">
        <f>B221</f>
        <v>SELCH2PEMCH04</v>
      </c>
      <c r="D454" s="30" t="str">
        <f>C221</f>
        <v>H2 Production-PEM Electrolyser Hybrid, large size OFFSHORE, centralized</v>
      </c>
      <c r="E454" s="993" t="s">
        <v>23</v>
      </c>
      <c r="F454" s="993" t="s">
        <v>30</v>
      </c>
      <c r="G454" s="993" t="s">
        <v>24</v>
      </c>
      <c r="H454" s="993"/>
      <c r="I454" s="993" t="s">
        <v>46</v>
      </c>
    </row>
    <row r="455" spans="3:9">
      <c r="C455" s="30" t="str">
        <f>B224</f>
        <v>SELCH2PEMCH05</v>
      </c>
      <c r="D455" s="30" t="str">
        <f>C224</f>
        <v>H2 Production-PEM Electrolyser Hybrid, large size PV_WIND, centralized</v>
      </c>
      <c r="E455" s="993" t="s">
        <v>23</v>
      </c>
      <c r="F455" s="993" t="s">
        <v>30</v>
      </c>
      <c r="G455" s="993" t="s">
        <v>24</v>
      </c>
      <c r="H455" s="993"/>
      <c r="I455" s="993" t="s">
        <v>46</v>
      </c>
    </row>
    <row r="456" spans="3:9">
      <c r="C456" s="30" t="str">
        <f>B237</f>
        <v>SELCH2PEMDH02</v>
      </c>
      <c r="D456" s="30" t="str">
        <f>C237</f>
        <v>H2 Production-PEM Electrolyser Hybrid, medium size WIND, decentralized</v>
      </c>
      <c r="E456" s="993" t="s">
        <v>23</v>
      </c>
      <c r="F456" s="993" t="s">
        <v>30</v>
      </c>
      <c r="G456" s="993" t="s">
        <v>24</v>
      </c>
      <c r="H456" s="993"/>
      <c r="I456" s="993" t="s">
        <v>46</v>
      </c>
    </row>
    <row r="457" spans="3:9">
      <c r="C457" s="30" t="str">
        <f>B240</f>
        <v>SELCH2PEMDH03</v>
      </c>
      <c r="D457" s="30" t="str">
        <f>C240</f>
        <v>H2 Production-PEM Electrolyser Hybrid, medium size PV, decentralized</v>
      </c>
      <c r="E457" s="993" t="s">
        <v>23</v>
      </c>
      <c r="F457" s="993" t="s">
        <v>30</v>
      </c>
      <c r="G457" s="993" t="s">
        <v>24</v>
      </c>
      <c r="H457" s="993"/>
      <c r="I457" s="993" t="s">
        <v>46</v>
      </c>
    </row>
    <row r="458" spans="3:9">
      <c r="C458" s="30" t="str">
        <f>B243</f>
        <v>SELCH2PEMDH04</v>
      </c>
      <c r="D458" s="30" t="str">
        <f>C243</f>
        <v>H2 Production-PEM Electrolyser Hybrid, medium size PV_WIND, decentralized</v>
      </c>
      <c r="E458" s="993" t="s">
        <v>23</v>
      </c>
      <c r="F458" s="993" t="s">
        <v>30</v>
      </c>
      <c r="G458" s="993" t="s">
        <v>24</v>
      </c>
      <c r="H458" s="993"/>
      <c r="I458" s="993" t="s">
        <v>46</v>
      </c>
    </row>
    <row r="459" spans="3:9">
      <c r="C459" s="2" t="str">
        <f>B271</f>
        <v>SELCH2AESUPH02</v>
      </c>
      <c r="D459" s="624" t="str">
        <f>C271</f>
        <v>H2 Production-Alkaline Electrolyser Hybrid, PV offgrid SUP, centralized</v>
      </c>
      <c r="E459" s="993" t="s">
        <v>23</v>
      </c>
      <c r="F459" s="993" t="s">
        <v>30</v>
      </c>
      <c r="G459" s="993" t="s">
        <v>24</v>
      </c>
      <c r="H459" s="993"/>
      <c r="I459" s="993" t="s">
        <v>46</v>
      </c>
    </row>
    <row r="460" spans="3:9">
      <c r="C460" s="30" t="str">
        <f>B278</f>
        <v>SELCH2PEMSUPH02</v>
      </c>
      <c r="D460" s="30" t="str">
        <f>C278</f>
        <v>H2 Production-PEM Electrolyser Hybrid, off grid SUP, decentralized</v>
      </c>
      <c r="E460" s="993" t="s">
        <v>23</v>
      </c>
      <c r="F460" s="993" t="s">
        <v>30</v>
      </c>
      <c r="G460" s="993" t="s">
        <v>24</v>
      </c>
      <c r="H460" s="993"/>
      <c r="I460" s="993" t="s">
        <v>46</v>
      </c>
    </row>
    <row r="461" spans="3:9">
      <c r="C461" s="30" t="str">
        <f>B300</f>
        <v>SELCH2AEMH02</v>
      </c>
      <c r="D461" s="30" t="str">
        <f>C300</f>
        <v>H2 Production-Alkaline Electrolyser Hybrid, small size, PV decentralized</v>
      </c>
      <c r="E461" s="993" t="s">
        <v>23</v>
      </c>
      <c r="F461" s="993" t="s">
        <v>30</v>
      </c>
      <c r="G461" s="993" t="s">
        <v>24</v>
      </c>
      <c r="H461" s="993"/>
      <c r="I461" s="993" t="s">
        <v>46</v>
      </c>
    </row>
    <row r="462" spans="3:9">
      <c r="C462" s="30" t="str">
        <f>B307</f>
        <v>SELCH2AETRAH02</v>
      </c>
      <c r="D462" s="30" t="str">
        <f>C307</f>
        <v>H2 Production-Alkaline Electrolyser Hybrid, off grid TRA, decentralized</v>
      </c>
      <c r="E462" s="993" t="s">
        <v>23</v>
      </c>
      <c r="F462" s="993" t="s">
        <v>30</v>
      </c>
      <c r="G462" s="993" t="s">
        <v>24</v>
      </c>
      <c r="H462" s="993"/>
      <c r="I462" s="993" t="s">
        <v>46</v>
      </c>
    </row>
    <row r="463" spans="3:9">
      <c r="C463" s="30" t="str">
        <f>B314</f>
        <v>SELCH2AEINDH02</v>
      </c>
      <c r="D463" s="30" t="str">
        <f>C314</f>
        <v>H2 Production-Alkaline Electrolyser Hybrid, PV offgrid IND, centralized</v>
      </c>
      <c r="E463" s="993" t="s">
        <v>23</v>
      </c>
      <c r="F463" s="993" t="s">
        <v>30</v>
      </c>
      <c r="G463" s="993" t="s">
        <v>24</v>
      </c>
      <c r="H463" s="993"/>
      <c r="I463" s="993" t="s">
        <v>46</v>
      </c>
    </row>
    <row r="464" spans="3:9">
      <c r="C464" s="30" t="str">
        <f>B321</f>
        <v>SELCH2PEMMH02</v>
      </c>
      <c r="D464" s="30" t="str">
        <f>C321</f>
        <v>H2 Production-PEM Electrolyser Hybrid,PV offgrid, decentralized</v>
      </c>
      <c r="E464" s="993" t="s">
        <v>23</v>
      </c>
      <c r="F464" s="993" t="s">
        <v>30</v>
      </c>
      <c r="G464" s="993" t="s">
        <v>24</v>
      </c>
      <c r="H464" s="993"/>
      <c r="I464" s="993" t="s">
        <v>46</v>
      </c>
    </row>
    <row r="465" spans="3:9">
      <c r="C465" s="30" t="str">
        <f>B328</f>
        <v>SELCH2PEMTRAH02</v>
      </c>
      <c r="D465" s="30" t="str">
        <f>C328</f>
        <v>H2 Production-PEM Electrolyser Hybrid, off grid TRA, decentralized</v>
      </c>
      <c r="E465" s="993" t="s">
        <v>23</v>
      </c>
      <c r="F465" s="993" t="s">
        <v>30</v>
      </c>
      <c r="G465" s="993" t="s">
        <v>24</v>
      </c>
      <c r="H465" s="993"/>
      <c r="I465" s="993" t="s">
        <v>46</v>
      </c>
    </row>
    <row r="466" spans="3:9">
      <c r="C466" s="30" t="str">
        <f>B335</f>
        <v>SELCH2PEMINDH02</v>
      </c>
      <c r="D466" s="30" t="str">
        <f>C335</f>
        <v>H2 Production-PEM Electrolyser Hybrid, off grid IND, decentralized</v>
      </c>
      <c r="E466" s="993" t="s">
        <v>23</v>
      </c>
      <c r="F466" s="993" t="s">
        <v>30</v>
      </c>
      <c r="G466" s="993" t="s">
        <v>24</v>
      </c>
      <c r="H466" s="993"/>
      <c r="I466" s="993" t="s">
        <v>46</v>
      </c>
    </row>
  </sheetData>
  <phoneticPr fontId="137"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68E8F-AC0E-4BC0-AEAE-05167CC65D33}">
  <dimension ref="A1:AW42"/>
  <sheetViews>
    <sheetView topLeftCell="B5" zoomScale="85" zoomScaleNormal="85" workbookViewId="0">
      <selection activeCell="I21" sqref="I21"/>
    </sheetView>
  </sheetViews>
  <sheetFormatPr defaultRowHeight="13"/>
  <cols>
    <col min="2" max="2" width="13.26953125" customWidth="1"/>
    <col min="3" max="3" width="30.86328125" bestFit="1" customWidth="1"/>
    <col min="4" max="4" width="6.26953125" customWidth="1"/>
    <col min="5" max="5" width="14.953125" bestFit="1" customWidth="1"/>
    <col min="6" max="6" width="23.86328125" bestFit="1" customWidth="1"/>
    <col min="33" max="33" width="12.1328125" bestFit="1" customWidth="1"/>
  </cols>
  <sheetData>
    <row r="1" spans="1:49" s="624" customFormat="1" ht="23">
      <c r="A1" s="481" t="s">
        <v>1113</v>
      </c>
      <c r="B1" s="968"/>
      <c r="D1" s="335">
        <v>2000</v>
      </c>
      <c r="F1" s="680"/>
      <c r="G1" s="680"/>
      <c r="K1" s="622"/>
      <c r="O1" s="622"/>
      <c r="R1" s="622"/>
      <c r="U1" s="622"/>
      <c r="V1" s="622"/>
      <c r="W1" s="622"/>
      <c r="X1" s="622"/>
    </row>
    <row r="2" spans="1:49" s="624" customFormat="1" ht="15.5">
      <c r="A2" s="5"/>
      <c r="B2" s="968"/>
      <c r="F2" s="680"/>
      <c r="J2" s="622"/>
      <c r="N2" s="622"/>
      <c r="Q2" s="622"/>
      <c r="T2" s="622"/>
      <c r="U2" s="622"/>
      <c r="V2" s="622"/>
      <c r="W2" s="622"/>
    </row>
    <row r="3" spans="1:49" s="624" customFormat="1">
      <c r="B3" s="968"/>
      <c r="F3" s="626" t="s">
        <v>556</v>
      </c>
      <c r="G3" s="625"/>
      <c r="H3" s="625"/>
      <c r="L3" s="622"/>
      <c r="P3" s="622"/>
      <c r="S3" s="622"/>
      <c r="T3" s="622"/>
      <c r="U3" s="622"/>
      <c r="V3" s="622"/>
      <c r="W3" s="622"/>
    </row>
    <row r="4" spans="1:49" s="624" customFormat="1" ht="26">
      <c r="B4" s="969" t="s">
        <v>0</v>
      </c>
      <c r="C4" s="636" t="s">
        <v>103</v>
      </c>
      <c r="D4" s="623" t="s">
        <v>223</v>
      </c>
      <c r="E4" s="623" t="s">
        <v>2</v>
      </c>
      <c r="F4" s="40" t="s">
        <v>3</v>
      </c>
      <c r="G4" s="40" t="s">
        <v>6</v>
      </c>
      <c r="H4" s="40" t="s">
        <v>1070</v>
      </c>
      <c r="I4" s="40" t="s">
        <v>1071</v>
      </c>
      <c r="J4" s="40" t="s">
        <v>1072</v>
      </c>
      <c r="K4" s="40" t="s">
        <v>1073</v>
      </c>
      <c r="L4" s="40" t="s">
        <v>1074</v>
      </c>
      <c r="M4" s="40" t="s">
        <v>1075</v>
      </c>
      <c r="N4" s="40" t="s">
        <v>1076</v>
      </c>
      <c r="O4" s="40" t="s">
        <v>28</v>
      </c>
      <c r="P4" s="40" t="s">
        <v>36</v>
      </c>
      <c r="Q4" s="40" t="s">
        <v>1077</v>
      </c>
      <c r="R4" s="40" t="s">
        <v>1078</v>
      </c>
      <c r="S4" s="40" t="s">
        <v>44</v>
      </c>
      <c r="T4" s="207" t="s">
        <v>95</v>
      </c>
      <c r="U4" s="40" t="s">
        <v>94</v>
      </c>
      <c r="V4" s="40" t="s">
        <v>1079</v>
      </c>
      <c r="W4" s="40" t="s">
        <v>407</v>
      </c>
      <c r="X4" s="40" t="s">
        <v>1080</v>
      </c>
      <c r="Y4" s="40" t="s">
        <v>236</v>
      </c>
      <c r="Z4" s="40" t="s">
        <v>96</v>
      </c>
      <c r="AA4" s="40" t="s">
        <v>97</v>
      </c>
      <c r="AB4" s="40" t="s">
        <v>98</v>
      </c>
      <c r="AC4" s="40" t="s">
        <v>1081</v>
      </c>
      <c r="AD4" s="40" t="s">
        <v>1082</v>
      </c>
      <c r="AE4" s="40" t="s">
        <v>1083</v>
      </c>
      <c r="AF4" s="40" t="s">
        <v>237</v>
      </c>
      <c r="AG4" s="40" t="s">
        <v>99</v>
      </c>
      <c r="AH4" s="40" t="s">
        <v>100</v>
      </c>
      <c r="AI4" s="40" t="s">
        <v>101</v>
      </c>
      <c r="AJ4" s="40" t="s">
        <v>1084</v>
      </c>
      <c r="AK4" s="40" t="s">
        <v>409</v>
      </c>
      <c r="AL4" s="40" t="s">
        <v>1085</v>
      </c>
      <c r="AM4" s="40" t="s">
        <v>238</v>
      </c>
      <c r="AN4" s="40" t="s">
        <v>1086</v>
      </c>
      <c r="AO4" s="40" t="s">
        <v>1087</v>
      </c>
      <c r="AP4" s="40" t="s">
        <v>1088</v>
      </c>
      <c r="AQ4" s="40" t="s">
        <v>1089</v>
      </c>
      <c r="AR4" s="40" t="s">
        <v>1090</v>
      </c>
      <c r="AS4" s="40" t="s">
        <v>1091</v>
      </c>
      <c r="AT4" s="40" t="s">
        <v>1092</v>
      </c>
      <c r="AU4" s="40" t="s">
        <v>1093</v>
      </c>
      <c r="AV4" s="40" t="s">
        <v>1094</v>
      </c>
      <c r="AW4" s="40" t="s">
        <v>1095</v>
      </c>
    </row>
    <row r="5" spans="1:49" s="624" customFormat="1" ht="23.9" customHeight="1">
      <c r="B5" s="970" t="s">
        <v>25</v>
      </c>
      <c r="C5" s="217" t="s">
        <v>15</v>
      </c>
      <c r="D5" s="217" t="s">
        <v>1096</v>
      </c>
      <c r="E5" s="217" t="s">
        <v>19</v>
      </c>
      <c r="F5" s="218" t="s">
        <v>20</v>
      </c>
      <c r="G5" s="218" t="s">
        <v>1097</v>
      </c>
      <c r="H5" s="218" t="s">
        <v>740</v>
      </c>
      <c r="I5" s="218" t="s">
        <v>740</v>
      </c>
      <c r="J5" s="218" t="s">
        <v>740</v>
      </c>
      <c r="K5" s="218" t="s">
        <v>740</v>
      </c>
      <c r="L5" s="218" t="s">
        <v>740</v>
      </c>
      <c r="M5" s="218" t="s">
        <v>740</v>
      </c>
      <c r="N5" s="218" t="s">
        <v>740</v>
      </c>
      <c r="O5" s="218" t="s">
        <v>1098</v>
      </c>
      <c r="P5" s="218" t="s">
        <v>1099</v>
      </c>
      <c r="Q5" s="218" t="s">
        <v>1100</v>
      </c>
      <c r="R5" s="218" t="s">
        <v>1101</v>
      </c>
      <c r="S5" s="218" t="s">
        <v>1102</v>
      </c>
      <c r="T5" s="218" t="s">
        <v>1102</v>
      </c>
      <c r="U5" s="218" t="s">
        <v>1102</v>
      </c>
      <c r="V5" s="218" t="s">
        <v>1102</v>
      </c>
      <c r="W5" s="218" t="s">
        <v>1102</v>
      </c>
      <c r="X5" s="218" t="s">
        <v>1102</v>
      </c>
      <c r="Y5" s="218" t="s">
        <v>1102</v>
      </c>
      <c r="Z5" s="218" t="s">
        <v>1103</v>
      </c>
      <c r="AA5" s="218" t="s">
        <v>1103</v>
      </c>
      <c r="AB5" s="218" t="s">
        <v>1103</v>
      </c>
      <c r="AC5" s="218" t="s">
        <v>1103</v>
      </c>
      <c r="AD5" s="218" t="s">
        <v>1103</v>
      </c>
      <c r="AE5" s="218" t="s">
        <v>1103</v>
      </c>
      <c r="AF5" s="218" t="s">
        <v>1103</v>
      </c>
      <c r="AG5" s="218" t="s">
        <v>1104</v>
      </c>
      <c r="AH5" s="218" t="s">
        <v>1104</v>
      </c>
      <c r="AI5" s="218" t="s">
        <v>1104</v>
      </c>
      <c r="AJ5" s="218" t="s">
        <v>1104</v>
      </c>
      <c r="AK5" s="218" t="s">
        <v>1104</v>
      </c>
      <c r="AL5" s="218" t="s">
        <v>1104</v>
      </c>
      <c r="AM5" s="218" t="s">
        <v>1104</v>
      </c>
      <c r="AN5" s="218" t="s">
        <v>1105</v>
      </c>
      <c r="AO5" s="218" t="s">
        <v>1106</v>
      </c>
      <c r="AP5" s="218" t="s">
        <v>1107</v>
      </c>
      <c r="AQ5" s="218" t="s">
        <v>1107</v>
      </c>
      <c r="AR5" s="218" t="s">
        <v>1107</v>
      </c>
      <c r="AS5" s="218" t="s">
        <v>1107</v>
      </c>
      <c r="AT5" s="218" t="s">
        <v>1108</v>
      </c>
      <c r="AU5" s="218" t="s">
        <v>1108</v>
      </c>
      <c r="AV5" s="218" t="s">
        <v>1108</v>
      </c>
      <c r="AW5" s="218"/>
    </row>
    <row r="6" spans="1:49" s="1376" customFormat="1">
      <c r="B6" s="1377" t="s">
        <v>1159</v>
      </c>
      <c r="C6" s="1377" t="s">
        <v>1158</v>
      </c>
      <c r="E6" s="1376" t="s">
        <v>1117</v>
      </c>
      <c r="F6" s="1376" t="s">
        <v>339</v>
      </c>
      <c r="G6" s="1376">
        <v>2025</v>
      </c>
      <c r="H6" s="1376">
        <v>0.4</v>
      </c>
      <c r="I6" s="1376">
        <v>0.4</v>
      </c>
      <c r="J6" s="1376">
        <v>0.4</v>
      </c>
      <c r="K6" s="1376">
        <v>0.4</v>
      </c>
      <c r="L6" s="1376">
        <v>0.4</v>
      </c>
      <c r="M6" s="1376">
        <v>0.4</v>
      </c>
      <c r="N6" s="1376">
        <v>0.4</v>
      </c>
      <c r="Q6" s="1376">
        <v>35</v>
      </c>
      <c r="R6" s="1376">
        <v>31.536000000000001</v>
      </c>
      <c r="S6" s="1376">
        <f>0.55*1000*0.724269/1.048968</f>
        <v>379.75224220376606</v>
      </c>
      <c r="T6" s="1376">
        <f t="shared" ref="T6:Y6" si="0">0.55*1000*0.724269/1.048968</f>
        <v>379.75224220376606</v>
      </c>
      <c r="U6" s="1376">
        <f t="shared" si="0"/>
        <v>379.75224220376606</v>
      </c>
      <c r="V6" s="1376">
        <f t="shared" si="0"/>
        <v>379.75224220376606</v>
      </c>
      <c r="W6" s="1376">
        <f t="shared" si="0"/>
        <v>379.75224220376606</v>
      </c>
      <c r="X6" s="1376">
        <f t="shared" si="0"/>
        <v>379.75224220376606</v>
      </c>
      <c r="Y6" s="1376">
        <f t="shared" si="0"/>
        <v>379.75224220376606</v>
      </c>
      <c r="Z6" s="1376">
        <f>13*0.724269/1.048968</f>
        <v>8.9759620884526523</v>
      </c>
      <c r="AA6" s="1376">
        <f t="shared" ref="AA6:AE6" si="1">13*0.724269/1.048968</f>
        <v>8.9759620884526523</v>
      </c>
      <c r="AB6" s="1376">
        <f t="shared" si="1"/>
        <v>8.9759620884526523</v>
      </c>
      <c r="AC6" s="1376">
        <f t="shared" si="1"/>
        <v>8.9759620884526523</v>
      </c>
      <c r="AD6" s="1376">
        <f t="shared" si="1"/>
        <v>8.9759620884526523</v>
      </c>
      <c r="AE6" s="1376">
        <f t="shared" si="1"/>
        <v>8.9759620884526523</v>
      </c>
      <c r="AF6" s="1376">
        <f>13*0.724269/1.048968</f>
        <v>8.9759620884526523</v>
      </c>
      <c r="AG6" s="1376">
        <f>5/3.6*0.724269/1.048968</f>
        <v>0.9589703085953688</v>
      </c>
      <c r="AH6" s="1376">
        <f t="shared" ref="AH6:AM6" si="2">5/3.6*0.724269/1.048968</f>
        <v>0.9589703085953688</v>
      </c>
      <c r="AI6" s="1376">
        <f t="shared" si="2"/>
        <v>0.9589703085953688</v>
      </c>
      <c r="AJ6" s="1376">
        <f t="shared" si="2"/>
        <v>0.9589703085953688</v>
      </c>
      <c r="AK6" s="1376">
        <f t="shared" si="2"/>
        <v>0.9589703085953688</v>
      </c>
      <c r="AL6" s="1376">
        <f t="shared" si="2"/>
        <v>0.9589703085953688</v>
      </c>
      <c r="AM6" s="1376">
        <f t="shared" si="2"/>
        <v>0.9589703085953688</v>
      </c>
      <c r="AP6" s="1376">
        <v>0.6</v>
      </c>
      <c r="AQ6" s="1376">
        <v>0.6</v>
      </c>
      <c r="AR6" s="1376">
        <v>0.6</v>
      </c>
      <c r="AS6" s="1376">
        <v>0.6</v>
      </c>
      <c r="AW6" s="1376">
        <v>1</v>
      </c>
    </row>
    <row r="7" spans="1:49" s="1376" customFormat="1">
      <c r="F7" s="1376" t="s">
        <v>1109</v>
      </c>
    </row>
    <row r="8" spans="1:49" s="1376" customFormat="1">
      <c r="F8" s="1376" t="s">
        <v>1110</v>
      </c>
    </row>
    <row r="9" spans="1:49" s="1376" customFormat="1">
      <c r="F9" s="1376" t="s">
        <v>1111</v>
      </c>
    </row>
    <row r="10" spans="1:49" s="1376" customFormat="1">
      <c r="F10" s="1376" t="s">
        <v>1112</v>
      </c>
    </row>
    <row r="11" spans="1:49">
      <c r="B11" s="26" t="s">
        <v>1114</v>
      </c>
      <c r="C11" s="26" t="s">
        <v>1128</v>
      </c>
      <c r="E11" t="s">
        <v>641</v>
      </c>
      <c r="F11" t="s">
        <v>339</v>
      </c>
      <c r="G11">
        <v>2025</v>
      </c>
      <c r="H11">
        <v>0.52914572900000001</v>
      </c>
      <c r="I11">
        <v>0.52914572900000001</v>
      </c>
      <c r="J11">
        <v>0.52914572900000001</v>
      </c>
      <c r="K11">
        <v>0.52914572900000001</v>
      </c>
      <c r="L11">
        <v>0.52914572900000001</v>
      </c>
      <c r="M11">
        <v>0.52914572900000001</v>
      </c>
      <c r="N11">
        <v>0.52914572900000001</v>
      </c>
      <c r="Q11">
        <v>35</v>
      </c>
      <c r="R11" s="622">
        <v>31.536000000000001</v>
      </c>
      <c r="S11" s="622">
        <f>758.5796086*1.2</f>
        <v>910.29553032000001</v>
      </c>
      <c r="T11" s="622">
        <f t="shared" ref="T11:Y11" si="3">758.5796086*1.2</f>
        <v>910.29553032000001</v>
      </c>
      <c r="U11" s="622">
        <f t="shared" si="3"/>
        <v>910.29553032000001</v>
      </c>
      <c r="V11" s="622">
        <f t="shared" si="3"/>
        <v>910.29553032000001</v>
      </c>
      <c r="W11" s="622">
        <f t="shared" si="3"/>
        <v>910.29553032000001</v>
      </c>
      <c r="X11" s="622">
        <f t="shared" si="3"/>
        <v>910.29553032000001</v>
      </c>
      <c r="Y11" s="622">
        <f t="shared" si="3"/>
        <v>910.29553032000001</v>
      </c>
      <c r="Z11" s="622">
        <v>18.964490219999998</v>
      </c>
      <c r="AA11" s="622">
        <v>18.964490219999998</v>
      </c>
      <c r="AB11" s="622">
        <v>18.964490219999998</v>
      </c>
      <c r="AC11" s="622">
        <v>18.964490219999998</v>
      </c>
      <c r="AD11" s="622">
        <v>18.964490219999998</v>
      </c>
      <c r="AE11" s="622">
        <v>18.964490219999998</v>
      </c>
      <c r="AF11" s="622">
        <v>18.964490219999998</v>
      </c>
      <c r="AG11" s="622">
        <v>0.47838353700000003</v>
      </c>
      <c r="AH11" s="622">
        <v>0.47838353700000003</v>
      </c>
      <c r="AI11" s="622">
        <v>0.47838353700000003</v>
      </c>
      <c r="AJ11" s="622">
        <v>0.47838353700000003</v>
      </c>
      <c r="AK11" s="622">
        <v>0.47838353700000003</v>
      </c>
      <c r="AL11" s="622">
        <v>0.47838353700000003</v>
      </c>
      <c r="AM11" s="622">
        <v>0.47838353700000003</v>
      </c>
      <c r="AN11" s="622"/>
      <c r="AO11" s="622"/>
      <c r="AP11" s="622">
        <v>0.6</v>
      </c>
      <c r="AQ11" s="622">
        <v>0.6</v>
      </c>
      <c r="AR11" s="622">
        <v>0.6</v>
      </c>
      <c r="AS11" s="622">
        <v>0.6</v>
      </c>
      <c r="AT11" s="622"/>
      <c r="AU11" s="622"/>
      <c r="AV11" s="622"/>
      <c r="AW11" s="622">
        <v>1</v>
      </c>
    </row>
    <row r="12" spans="1:49">
      <c r="E12" s="622" t="s">
        <v>646</v>
      </c>
      <c r="F12" t="s">
        <v>1109</v>
      </c>
      <c r="R12" s="622"/>
      <c r="S12" s="622"/>
      <c r="T12" s="622"/>
      <c r="U12" s="622"/>
      <c r="V12" s="622"/>
      <c r="W12" s="622"/>
      <c r="X12" s="622"/>
      <c r="Y12" s="622"/>
      <c r="Z12" s="622"/>
      <c r="AA12" s="622"/>
      <c r="AB12" s="622"/>
      <c r="AC12" s="622"/>
      <c r="AD12" s="622"/>
      <c r="AE12" s="622"/>
      <c r="AF12" s="622"/>
      <c r="AG12" s="622"/>
      <c r="AH12" s="622"/>
      <c r="AI12" s="622"/>
      <c r="AJ12" s="622"/>
      <c r="AK12" s="622"/>
      <c r="AL12" s="622"/>
      <c r="AM12" s="622"/>
      <c r="AN12" s="622"/>
      <c r="AO12" s="622"/>
      <c r="AP12" s="622"/>
      <c r="AQ12" s="622"/>
      <c r="AR12" s="622"/>
      <c r="AS12" s="622"/>
      <c r="AT12" s="622">
        <v>1.2999999999999999E-3</v>
      </c>
      <c r="AU12" s="622">
        <v>1.2999999999999999E-3</v>
      </c>
      <c r="AV12" s="622">
        <v>1.2999999999999999E-3</v>
      </c>
      <c r="AW12" s="622"/>
    </row>
    <row r="13" spans="1:49">
      <c r="E13" s="622"/>
      <c r="F13" t="s">
        <v>1110</v>
      </c>
      <c r="R13" s="622"/>
      <c r="S13" s="622"/>
      <c r="T13" s="622"/>
      <c r="U13" s="622"/>
      <c r="V13" s="622"/>
      <c r="W13" s="622"/>
      <c r="X13" s="622"/>
      <c r="Y13" s="622"/>
      <c r="Z13" s="622"/>
      <c r="AA13" s="622"/>
      <c r="AB13" s="622"/>
      <c r="AC13" s="622"/>
      <c r="AD13" s="622"/>
      <c r="AE13" s="622"/>
      <c r="AF13" s="622"/>
      <c r="AG13" s="622"/>
      <c r="AH13" s="622"/>
      <c r="AI13" s="622"/>
      <c r="AJ13" s="622"/>
      <c r="AK13" s="622"/>
      <c r="AL13" s="622"/>
      <c r="AM13" s="622"/>
      <c r="AN13" s="622"/>
      <c r="AO13" s="622"/>
      <c r="AP13" s="622"/>
      <c r="AQ13" s="622"/>
      <c r="AR13" s="622"/>
      <c r="AS13" s="622"/>
      <c r="AT13" s="622">
        <v>2.5000000000000001E-3</v>
      </c>
      <c r="AU13" s="622">
        <v>2.3999999999999998E-3</v>
      </c>
      <c r="AV13" s="622">
        <v>2.3999999999999998E-3</v>
      </c>
      <c r="AW13" s="622"/>
    </row>
    <row r="14" spans="1:49">
      <c r="F14" t="s">
        <v>1111</v>
      </c>
      <c r="R14" s="622"/>
      <c r="S14" s="622"/>
      <c r="T14" s="622"/>
      <c r="U14" s="622"/>
      <c r="V14" s="622"/>
      <c r="W14" s="622"/>
      <c r="X14" s="622"/>
      <c r="Y14" s="622"/>
      <c r="Z14" s="622"/>
      <c r="AA14" s="622"/>
      <c r="AB14" s="622"/>
      <c r="AC14" s="622"/>
      <c r="AD14" s="622"/>
      <c r="AE14" s="622"/>
      <c r="AF14" s="622"/>
      <c r="AG14" s="622"/>
      <c r="AH14" s="622"/>
      <c r="AI14" s="622"/>
      <c r="AJ14" s="622"/>
      <c r="AK14" s="622"/>
      <c r="AL14" s="622"/>
      <c r="AM14" s="622"/>
      <c r="AN14" s="622"/>
      <c r="AO14" s="622"/>
      <c r="AP14" s="622"/>
      <c r="AQ14" s="622"/>
      <c r="AR14" s="622"/>
      <c r="AS14" s="622"/>
      <c r="AT14" s="622"/>
      <c r="AU14" s="622"/>
      <c r="AV14" s="622"/>
      <c r="AW14" s="622"/>
    </row>
    <row r="15" spans="1:49">
      <c r="F15" t="s">
        <v>1112</v>
      </c>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22"/>
      <c r="AO15" s="622"/>
      <c r="AP15" s="622"/>
      <c r="AQ15" s="622"/>
      <c r="AR15" s="622"/>
      <c r="AS15" s="622"/>
      <c r="AT15" s="622"/>
      <c r="AU15" s="622"/>
      <c r="AV15" s="622"/>
      <c r="AW15" s="622"/>
    </row>
    <row r="16" spans="1:49" s="1230" customFormat="1">
      <c r="B16" s="1232" t="s">
        <v>1115</v>
      </c>
      <c r="C16" s="1232" t="s">
        <v>1129</v>
      </c>
      <c r="E16" s="1230" t="s">
        <v>641</v>
      </c>
      <c r="F16" s="1230" t="s">
        <v>339</v>
      </c>
      <c r="G16" s="1230">
        <v>2025</v>
      </c>
      <c r="H16" s="1230">
        <v>0.51</v>
      </c>
      <c r="I16" s="1230">
        <v>0.51</v>
      </c>
      <c r="J16" s="1230">
        <v>0.51</v>
      </c>
      <c r="K16" s="1230">
        <v>0.51</v>
      </c>
      <c r="L16" s="1230">
        <v>0.51</v>
      </c>
      <c r="M16" s="1230">
        <v>0.51</v>
      </c>
      <c r="N16" s="1230">
        <v>0.51</v>
      </c>
      <c r="Q16" s="1230">
        <v>35</v>
      </c>
      <c r="R16" s="1230">
        <v>31.536000000000001</v>
      </c>
      <c r="S16" s="1230">
        <f>488.1219744*1.2</f>
        <v>585.74636927999995</v>
      </c>
      <c r="T16" s="1230">
        <f t="shared" ref="T16:Y16" si="4">488.1219744*1.2</f>
        <v>585.74636927999995</v>
      </c>
      <c r="U16" s="1230">
        <f t="shared" si="4"/>
        <v>585.74636927999995</v>
      </c>
      <c r="V16" s="1230">
        <f t="shared" si="4"/>
        <v>585.74636927999995</v>
      </c>
      <c r="W16" s="1230">
        <f t="shared" si="4"/>
        <v>585.74636927999995</v>
      </c>
      <c r="X16" s="1230">
        <f t="shared" si="4"/>
        <v>585.74636927999995</v>
      </c>
      <c r="Y16" s="1230">
        <f t="shared" si="4"/>
        <v>585.74636927999995</v>
      </c>
      <c r="Z16" s="1230">
        <v>9.0114826049999994</v>
      </c>
      <c r="AA16" s="1230">
        <v>9.0114826049999994</v>
      </c>
      <c r="AB16" s="1230">
        <v>9.0114826049999994</v>
      </c>
      <c r="AC16" s="1230">
        <v>9.0114826049999994</v>
      </c>
      <c r="AD16" s="1230">
        <v>9.0114826049999994</v>
      </c>
      <c r="AE16" s="1230">
        <v>9.0114826049999994</v>
      </c>
      <c r="AF16" s="1230">
        <v>9.0114826049999994</v>
      </c>
      <c r="AG16" s="1230">
        <v>0.52149783599999999</v>
      </c>
      <c r="AH16" s="1230">
        <v>0.52149783599999999</v>
      </c>
      <c r="AI16" s="1230">
        <v>0.52149783599999999</v>
      </c>
      <c r="AJ16" s="1230">
        <v>0.52149783599999999</v>
      </c>
      <c r="AK16" s="1230">
        <v>0.52149783599999999</v>
      </c>
      <c r="AL16" s="1230">
        <v>0.52149783599999999</v>
      </c>
      <c r="AM16" s="1230">
        <v>0.52149783599999999</v>
      </c>
      <c r="AW16" s="1230">
        <v>1</v>
      </c>
    </row>
    <row r="17" spans="2:49" s="1230" customFormat="1">
      <c r="E17" s="1230" t="s">
        <v>646</v>
      </c>
      <c r="F17" s="1230" t="s">
        <v>1109</v>
      </c>
      <c r="AT17" s="1230">
        <v>1.2999999999999999E-3</v>
      </c>
      <c r="AU17" s="1230">
        <v>1.2999999999999999E-3</v>
      </c>
      <c r="AV17" s="1230">
        <v>1.2999999999999999E-3</v>
      </c>
    </row>
    <row r="18" spans="2:49" s="1230" customFormat="1">
      <c r="F18" s="1230" t="s">
        <v>1110</v>
      </c>
      <c r="AT18" s="1230">
        <v>2.5000000000000001E-3</v>
      </c>
      <c r="AU18" s="1230">
        <v>2.3999999999999998E-3</v>
      </c>
      <c r="AV18" s="1230">
        <v>2.3999999999999998E-3</v>
      </c>
    </row>
    <row r="19" spans="2:49" s="1230" customFormat="1">
      <c r="F19" s="1230" t="s">
        <v>1111</v>
      </c>
    </row>
    <row r="20" spans="2:49" s="1230" customFormat="1">
      <c r="F20" s="1230" t="s">
        <v>1112</v>
      </c>
    </row>
    <row r="21" spans="2:49" s="622" customFormat="1">
      <c r="B21" s="26" t="s">
        <v>1116</v>
      </c>
      <c r="C21" s="26" t="s">
        <v>1130</v>
      </c>
      <c r="E21" s="1230" t="s">
        <v>641</v>
      </c>
      <c r="F21" s="622" t="s">
        <v>339</v>
      </c>
      <c r="G21" s="622">
        <v>2100</v>
      </c>
      <c r="I21" s="622">
        <v>0.463639937</v>
      </c>
      <c r="J21" s="622">
        <v>0.48948134500000001</v>
      </c>
      <c r="K21" s="622">
        <v>0.51151146999999997</v>
      </c>
      <c r="L21" s="622">
        <v>0.52577934400000004</v>
      </c>
      <c r="M21" s="622">
        <v>0.53193146199999997</v>
      </c>
      <c r="N21" s="622">
        <v>0.53339999999999999</v>
      </c>
      <c r="Q21" s="622">
        <v>35</v>
      </c>
      <c r="R21" s="622">
        <v>31.536000000000001</v>
      </c>
      <c r="T21" s="622">
        <v>1106.3039999999999</v>
      </c>
      <c r="U21" s="622">
        <v>1065.2639999999999</v>
      </c>
      <c r="V21" s="622">
        <v>1050.972</v>
      </c>
      <c r="W21" s="622">
        <v>1036.6799999999998</v>
      </c>
      <c r="X21" s="622">
        <v>1022.376</v>
      </c>
      <c r="Y21" s="622">
        <v>1008.0840000000001</v>
      </c>
      <c r="AA21" s="622">
        <v>32.730810730000002</v>
      </c>
      <c r="AB21" s="622">
        <v>31.73894469</v>
      </c>
      <c r="AC21" s="622">
        <v>31.393463260000001</v>
      </c>
      <c r="AD21" s="622">
        <v>31.047981830000001</v>
      </c>
      <c r="AE21" s="622">
        <v>30.702500400000002</v>
      </c>
      <c r="AF21" s="622">
        <v>30.357018969999999</v>
      </c>
      <c r="AH21" s="622">
        <v>0.19641757200000001</v>
      </c>
      <c r="AI21" s="622">
        <v>0.19641757200000001</v>
      </c>
      <c r="AJ21" s="622">
        <v>0.19641757200000001</v>
      </c>
      <c r="AK21" s="622">
        <v>0.19641757200000001</v>
      </c>
      <c r="AL21" s="622">
        <v>0.19641757200000001</v>
      </c>
      <c r="AM21" s="622">
        <v>0.19641757200000001</v>
      </c>
      <c r="AP21" s="622">
        <v>0.55000000000000004</v>
      </c>
      <c r="AQ21" s="622">
        <v>0.55000000000000004</v>
      </c>
      <c r="AR21" s="622">
        <v>0.55000000000000004</v>
      </c>
      <c r="AS21" s="622">
        <v>0.55000000000000004</v>
      </c>
      <c r="AW21" s="622">
        <v>1</v>
      </c>
    </row>
    <row r="22" spans="2:49" s="622" customFormat="1">
      <c r="E22" s="1230" t="s">
        <v>646</v>
      </c>
      <c r="F22" s="622" t="s">
        <v>1109</v>
      </c>
      <c r="AU22" s="622">
        <v>1.2999999999999999E-3</v>
      </c>
      <c r="AV22" s="622">
        <v>1.2999999999999999E-3</v>
      </c>
    </row>
    <row r="23" spans="2:49" s="622" customFormat="1">
      <c r="E23" s="1230" t="s">
        <v>627</v>
      </c>
      <c r="F23" s="622" t="s">
        <v>1110</v>
      </c>
      <c r="AU23" s="622">
        <v>2.3999999999999998E-3</v>
      </c>
      <c r="AV23" s="622">
        <v>2.3999999999999998E-3</v>
      </c>
    </row>
    <row r="24" spans="2:49" s="622" customFormat="1">
      <c r="F24" s="622" t="s">
        <v>1111</v>
      </c>
    </row>
    <row r="25" spans="2:49" s="622" customFormat="1">
      <c r="F25" s="622" t="s">
        <v>1112</v>
      </c>
    </row>
    <row r="26" spans="2:49">
      <c r="B26" s="26"/>
      <c r="C26" s="26"/>
      <c r="E26" s="622"/>
      <c r="G26" s="622"/>
      <c r="R26" s="622"/>
      <c r="S26" s="622"/>
      <c r="T26" s="622"/>
      <c r="U26" s="622"/>
      <c r="V26" s="622"/>
      <c r="W26" s="622"/>
      <c r="X26" s="622"/>
      <c r="Y26" s="622"/>
      <c r="Z26" s="622"/>
      <c r="AA26" s="622"/>
      <c r="AB26" s="622"/>
      <c r="AC26" s="622"/>
      <c r="AD26" s="622"/>
      <c r="AE26" s="622"/>
      <c r="AF26" s="622"/>
      <c r="AG26" s="622"/>
      <c r="AH26" s="622"/>
      <c r="AI26" s="622"/>
      <c r="AJ26" s="622"/>
      <c r="AK26" s="622"/>
      <c r="AL26" s="622"/>
      <c r="AM26" s="622"/>
      <c r="AN26" s="622"/>
      <c r="AO26" s="622"/>
      <c r="AP26" s="622"/>
      <c r="AQ26" s="622"/>
      <c r="AR26" s="622"/>
      <c r="AS26" s="622"/>
      <c r="AT26" s="622"/>
      <c r="AU26" s="622"/>
      <c r="AV26" s="622"/>
      <c r="AW26" s="622"/>
    </row>
    <row r="27" spans="2:49">
      <c r="E27" s="622"/>
      <c r="R27" s="622"/>
      <c r="S27" s="622"/>
      <c r="T27" s="622"/>
      <c r="U27" s="622"/>
      <c r="V27" s="622"/>
      <c r="W27" s="622"/>
      <c r="X27" s="622"/>
      <c r="Y27" s="622"/>
      <c r="Z27" s="622"/>
      <c r="AA27" s="622"/>
      <c r="AB27" s="622"/>
      <c r="AC27" s="622"/>
      <c r="AD27" s="622"/>
      <c r="AE27" s="622"/>
      <c r="AF27" s="622"/>
      <c r="AG27" s="622"/>
      <c r="AH27" s="622"/>
      <c r="AI27" s="622"/>
      <c r="AJ27" s="622"/>
      <c r="AK27" s="622"/>
      <c r="AL27" s="622"/>
      <c r="AM27" s="622"/>
      <c r="AN27" s="622"/>
      <c r="AO27" s="622"/>
      <c r="AP27" s="622"/>
      <c r="AQ27" s="622"/>
      <c r="AR27" s="622"/>
      <c r="AS27" s="622"/>
      <c r="AT27" s="622"/>
      <c r="AU27" s="622"/>
      <c r="AV27" s="622"/>
      <c r="AW27" s="622"/>
    </row>
    <row r="28" spans="2:49">
      <c r="E28" s="622"/>
      <c r="R28" s="622"/>
      <c r="S28" s="622"/>
      <c r="T28" s="622"/>
      <c r="U28" s="622"/>
      <c r="V28" s="622"/>
      <c r="W28" s="622"/>
      <c r="X28" s="622"/>
      <c r="Y28" s="622"/>
      <c r="Z28" s="622"/>
      <c r="AA28" s="622"/>
      <c r="AB28" s="622"/>
      <c r="AC28" s="622"/>
      <c r="AD28" s="622"/>
      <c r="AE28" s="622"/>
      <c r="AF28" s="622"/>
      <c r="AG28" s="622"/>
      <c r="AH28" s="622"/>
      <c r="AI28" s="622"/>
      <c r="AJ28" s="622"/>
      <c r="AK28" s="622"/>
      <c r="AL28" s="622"/>
      <c r="AM28" s="622"/>
      <c r="AN28" s="622"/>
      <c r="AO28" s="622"/>
      <c r="AP28" s="622"/>
      <c r="AQ28" s="622"/>
      <c r="AR28" s="622"/>
      <c r="AS28" s="622"/>
      <c r="AT28" s="622"/>
      <c r="AU28" s="622"/>
      <c r="AV28" s="622"/>
      <c r="AW28" s="622"/>
    </row>
    <row r="29" spans="2:49">
      <c r="R29" s="622"/>
      <c r="S29" s="622"/>
      <c r="T29" s="622"/>
      <c r="U29" s="622"/>
      <c r="V29" s="622"/>
      <c r="W29" s="622"/>
      <c r="X29" s="622"/>
      <c r="Y29" s="622"/>
      <c r="Z29" s="622"/>
      <c r="AA29" s="622"/>
      <c r="AB29" s="622"/>
      <c r="AC29" s="622"/>
      <c r="AD29" s="622"/>
      <c r="AE29" s="622"/>
      <c r="AF29" s="622"/>
      <c r="AG29" s="622"/>
      <c r="AH29" s="622"/>
      <c r="AI29" s="622"/>
      <c r="AJ29" s="622"/>
      <c r="AK29" s="622"/>
      <c r="AL29" s="622"/>
      <c r="AM29" s="622"/>
      <c r="AN29" s="622"/>
      <c r="AO29" s="622"/>
      <c r="AP29" s="622"/>
      <c r="AQ29" s="622"/>
      <c r="AR29" s="622"/>
      <c r="AS29" s="622"/>
      <c r="AT29" s="622"/>
      <c r="AU29" s="622"/>
      <c r="AV29" s="622"/>
      <c r="AW29" s="622"/>
    </row>
    <row r="30" spans="2:49">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22"/>
      <c r="AO30" s="622"/>
      <c r="AP30" s="622"/>
      <c r="AQ30" s="622"/>
      <c r="AR30" s="622"/>
      <c r="AS30" s="622"/>
      <c r="AT30" s="622"/>
      <c r="AU30" s="622"/>
      <c r="AV30" s="622"/>
      <c r="AW30" s="622"/>
    </row>
    <row r="31" spans="2:49">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v>5.5999999999999999E-3</v>
      </c>
      <c r="AV31" s="622">
        <v>5.3E-3</v>
      </c>
      <c r="AW31" s="622"/>
    </row>
    <row r="32" spans="2:49">
      <c r="R32" s="622"/>
      <c r="S32" s="622"/>
      <c r="T32" s="622"/>
      <c r="U32" s="622"/>
      <c r="V32" s="622"/>
      <c r="W32" s="622"/>
      <c r="X32" s="622"/>
      <c r="Y32" s="622"/>
      <c r="Z32" s="622"/>
      <c r="AA32" s="622"/>
      <c r="AB32" s="622"/>
      <c r="AC32" s="622"/>
      <c r="AD32" s="622"/>
      <c r="AE32" s="622"/>
      <c r="AF32" s="622"/>
      <c r="AG32" s="622"/>
      <c r="AH32" s="622"/>
      <c r="AI32" s="622"/>
      <c r="AJ32" s="622"/>
      <c r="AK32" s="622"/>
      <c r="AL32" s="622"/>
      <c r="AM32" s="622"/>
      <c r="AN32" s="622"/>
      <c r="AO32" s="622"/>
      <c r="AP32" s="622"/>
      <c r="AQ32" s="622"/>
      <c r="AR32" s="622"/>
      <c r="AS32" s="622"/>
      <c r="AT32" s="622"/>
      <c r="AU32" s="622">
        <v>7.0000000000000007E-2</v>
      </c>
      <c r="AV32" s="622">
        <v>6.8900000000000003E-2</v>
      </c>
      <c r="AW32" s="622"/>
    </row>
    <row r="33" spans="1:49" s="653" customFormat="1">
      <c r="AV33" s="653">
        <v>1.2999999999999999E-3</v>
      </c>
      <c r="AW33" s="653">
        <v>1.2999999999999999E-3</v>
      </c>
    </row>
    <row r="34" spans="1:49" s="653" customFormat="1">
      <c r="AV34" s="653">
        <v>2.3999999999999998E-3</v>
      </c>
      <c r="AW34" s="653">
        <v>2.3999999999999998E-3</v>
      </c>
    </row>
    <row r="35" spans="1:49" s="653" customFormat="1"/>
    <row r="36" spans="1:49" s="622" customFormat="1">
      <c r="A36" s="989" t="s">
        <v>8</v>
      </c>
      <c r="B36" s="29"/>
      <c r="C36" s="30"/>
      <c r="D36" s="30"/>
      <c r="E36" s="30"/>
      <c r="F36" s="30"/>
      <c r="G36" s="30"/>
      <c r="H36" s="30"/>
      <c r="I36" s="30"/>
      <c r="J36" s="113"/>
    </row>
    <row r="37" spans="1:49" s="622" customFormat="1">
      <c r="A37" s="636" t="s">
        <v>7</v>
      </c>
      <c r="B37" s="636" t="s">
        <v>0</v>
      </c>
      <c r="C37" s="636" t="s">
        <v>1</v>
      </c>
      <c r="D37" s="636" t="s">
        <v>9</v>
      </c>
      <c r="E37" s="636" t="s">
        <v>10</v>
      </c>
      <c r="F37" s="636" t="s">
        <v>11</v>
      </c>
      <c r="G37" s="636" t="s">
        <v>12</v>
      </c>
    </row>
    <row r="38" spans="1:49" s="622" customFormat="1" ht="33.75" customHeight="1">
      <c r="A38" s="38" t="s">
        <v>39</v>
      </c>
      <c r="B38" s="38" t="s">
        <v>14</v>
      </c>
      <c r="C38" s="38" t="s">
        <v>15</v>
      </c>
      <c r="D38" s="38" t="s">
        <v>16</v>
      </c>
      <c r="E38" s="38" t="s">
        <v>17</v>
      </c>
      <c r="F38" s="38" t="s">
        <v>27</v>
      </c>
      <c r="G38" s="38" t="s">
        <v>26</v>
      </c>
    </row>
    <row r="39" spans="1:49" s="653" customFormat="1">
      <c r="A39" s="653" t="s">
        <v>1131</v>
      </c>
      <c r="B39" s="653" t="str">
        <f>B11</f>
        <v>EUCCGAS102</v>
      </c>
      <c r="C39" s="653" t="str">
        <f>C11</f>
        <v>EPLT: Comb Cyc.GAS.BLEND.Conv.New</v>
      </c>
      <c r="D39" s="653" t="s">
        <v>23</v>
      </c>
      <c r="E39" s="653" t="s">
        <v>30</v>
      </c>
      <c r="F39" s="653" t="s">
        <v>24</v>
      </c>
    </row>
    <row r="40" spans="1:49" s="653" customFormat="1">
      <c r="A40" s="653" t="s">
        <v>1131</v>
      </c>
      <c r="B40" s="653" t="str">
        <f>B16</f>
        <v>EUCCGAS202</v>
      </c>
      <c r="C40" s="653" t="str">
        <f>C16</f>
        <v>EPLT: Comb Cyc.GAS.BLEND.Advance.New</v>
      </c>
      <c r="D40" s="653" t="s">
        <v>23</v>
      </c>
      <c r="E40" s="653" t="s">
        <v>30</v>
      </c>
      <c r="F40" s="653" t="s">
        <v>24</v>
      </c>
    </row>
    <row r="41" spans="1:49" s="653" customFormat="1">
      <c r="A41" s="653" t="s">
        <v>1131</v>
      </c>
      <c r="B41" s="653" t="str">
        <f>B6</f>
        <v>EUSCH2100</v>
      </c>
      <c r="C41" s="653" t="str">
        <f>C6</f>
        <v>EPLT: Simple Cyc.H2.Conv.New</v>
      </c>
      <c r="D41" s="653" t="s">
        <v>23</v>
      </c>
      <c r="E41" s="653" t="s">
        <v>30</v>
      </c>
      <c r="F41" s="653" t="s">
        <v>24</v>
      </c>
    </row>
    <row r="42" spans="1:49" s="653" customFormat="1">
      <c r="A42" s="653" t="s">
        <v>1131</v>
      </c>
      <c r="B42" s="653" t="str">
        <f>B21</f>
        <v>EUCCGASS112</v>
      </c>
      <c r="C42" s="653" t="str">
        <f>C21</f>
        <v>EPLT: Comb Cyc CO2Seq.BLEND.New</v>
      </c>
      <c r="D42" s="653" t="s">
        <v>23</v>
      </c>
      <c r="E42" s="653" t="s">
        <v>30</v>
      </c>
      <c r="F42" s="653" t="s">
        <v>24</v>
      </c>
    </row>
  </sheetData>
  <phoneticPr fontId="137"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theme="9"/>
  </sheetPr>
  <dimension ref="A1:V57"/>
  <sheetViews>
    <sheetView topLeftCell="A2" workbookViewId="0">
      <pane ySplit="3965" topLeftCell="A37" activePane="bottomLeft"/>
      <selection activeCell="E2" sqref="E2"/>
      <selection pane="bottomLeft" activeCell="C42" sqref="C42"/>
    </sheetView>
  </sheetViews>
  <sheetFormatPr defaultRowHeight="13"/>
  <cols>
    <col min="1" max="1" width="19.1328125" customWidth="1"/>
    <col min="2" max="2" width="16.1328125" customWidth="1"/>
    <col min="3" max="3" width="72.04296875" customWidth="1"/>
    <col min="4" max="4" width="14.26953125" customWidth="1"/>
    <col min="7" max="7" width="12" customWidth="1"/>
    <col min="9" max="9" width="6.40625" customWidth="1"/>
    <col min="10" max="12" width="13" bestFit="1" customWidth="1"/>
    <col min="13" max="13" width="13" style="130" customWidth="1"/>
    <col min="14" max="14" width="18.26953125" customWidth="1"/>
    <col min="16" max="16" width="10.86328125" bestFit="1" customWidth="1"/>
    <col min="17" max="17" width="13.1328125" bestFit="1" customWidth="1"/>
    <col min="18" max="19" width="11.54296875" bestFit="1" customWidth="1"/>
  </cols>
  <sheetData>
    <row r="1" spans="1:22" ht="23">
      <c r="A1" s="4" t="s">
        <v>234</v>
      </c>
      <c r="B1" s="2"/>
      <c r="C1" s="2"/>
      <c r="D1" s="2"/>
      <c r="E1" s="2"/>
      <c r="F1" s="2">
        <v>0.76885081447747605</v>
      </c>
      <c r="G1" s="2"/>
      <c r="H1" s="2"/>
      <c r="I1" s="2"/>
      <c r="J1" s="2"/>
      <c r="K1" s="2"/>
      <c r="L1" s="2"/>
      <c r="M1" s="131"/>
      <c r="N1" s="2"/>
      <c r="O1" s="2"/>
      <c r="P1" s="2"/>
      <c r="Q1" s="2"/>
      <c r="R1" s="2"/>
      <c r="S1" s="2"/>
      <c r="T1" s="2"/>
      <c r="U1" s="2"/>
      <c r="V1" s="2"/>
    </row>
    <row r="2" spans="1:22" ht="15.5">
      <c r="A2" s="5"/>
      <c r="B2" s="2"/>
      <c r="C2" s="2"/>
      <c r="D2" s="2"/>
      <c r="E2" s="2"/>
      <c r="F2" s="2"/>
      <c r="G2" s="2"/>
      <c r="H2" s="2"/>
      <c r="I2" s="2"/>
      <c r="J2" s="2"/>
      <c r="K2" s="2"/>
      <c r="L2" s="2"/>
      <c r="M2" s="131"/>
      <c r="N2" s="2"/>
      <c r="O2" s="2"/>
      <c r="P2" s="2"/>
      <c r="Q2" s="2"/>
      <c r="R2" s="2"/>
      <c r="S2" s="2"/>
      <c r="T2" s="2"/>
      <c r="U2" s="2"/>
      <c r="V2" s="2"/>
    </row>
    <row r="3" spans="1:22">
      <c r="A3" s="2"/>
      <c r="B3" s="2"/>
      <c r="D3" s="7" t="s">
        <v>556</v>
      </c>
      <c r="E3" s="2"/>
      <c r="F3" s="6"/>
      <c r="G3" s="6"/>
      <c r="H3" s="6"/>
      <c r="I3" s="6"/>
      <c r="J3" s="2"/>
      <c r="K3" s="2"/>
      <c r="L3" s="2"/>
      <c r="M3" s="131"/>
      <c r="N3" s="2"/>
      <c r="O3" s="2"/>
      <c r="P3" s="2"/>
      <c r="Q3" s="2"/>
      <c r="R3" s="2"/>
      <c r="S3" s="2"/>
      <c r="T3" s="2"/>
      <c r="U3" s="2"/>
      <c r="V3" s="2"/>
    </row>
    <row r="4" spans="1:22" ht="26">
      <c r="A4" s="1" t="s">
        <v>0</v>
      </c>
      <c r="B4" s="1" t="s">
        <v>2</v>
      </c>
      <c r="C4" s="1" t="s">
        <v>223</v>
      </c>
      <c r="D4" s="1" t="s">
        <v>3</v>
      </c>
      <c r="E4" s="62" t="s">
        <v>6</v>
      </c>
      <c r="F4" s="62" t="s">
        <v>32</v>
      </c>
      <c r="G4" s="62" t="s">
        <v>224</v>
      </c>
      <c r="H4" s="62" t="s">
        <v>28</v>
      </c>
      <c r="I4" s="62" t="s">
        <v>36</v>
      </c>
      <c r="J4" s="62" t="s">
        <v>22</v>
      </c>
      <c r="K4" s="62" t="s">
        <v>4</v>
      </c>
      <c r="L4" s="62" t="s">
        <v>21</v>
      </c>
      <c r="M4" s="62" t="s">
        <v>100</v>
      </c>
      <c r="N4" s="62" t="s">
        <v>31</v>
      </c>
      <c r="O4" s="62" t="s">
        <v>225</v>
      </c>
      <c r="P4" s="62" t="s">
        <v>226</v>
      </c>
      <c r="Q4" s="62" t="s">
        <v>1303</v>
      </c>
      <c r="R4" s="2"/>
      <c r="S4" s="2"/>
      <c r="T4" s="2"/>
      <c r="U4" s="2"/>
      <c r="V4" s="2"/>
    </row>
    <row r="5" spans="1:22" ht="26.75" thickBot="1">
      <c r="A5" s="63" t="s">
        <v>25</v>
      </c>
      <c r="B5" s="63" t="s">
        <v>19</v>
      </c>
      <c r="C5" s="63" t="s">
        <v>295</v>
      </c>
      <c r="D5" s="63" t="s">
        <v>20</v>
      </c>
      <c r="E5" s="64"/>
      <c r="F5" s="64" t="s">
        <v>34</v>
      </c>
      <c r="G5" s="64" t="s">
        <v>227</v>
      </c>
      <c r="H5" s="64"/>
      <c r="I5" s="64"/>
      <c r="J5" s="134" t="s">
        <v>661</v>
      </c>
      <c r="K5" s="487" t="s">
        <v>661</v>
      </c>
      <c r="L5" s="487" t="s">
        <v>661</v>
      </c>
      <c r="M5" s="487" t="s">
        <v>661</v>
      </c>
      <c r="N5" s="64"/>
      <c r="O5" s="64" t="s">
        <v>228</v>
      </c>
      <c r="P5" s="64" t="s">
        <v>229</v>
      </c>
      <c r="Q5" s="64"/>
      <c r="R5" s="2"/>
      <c r="S5" s="2"/>
      <c r="T5" s="2"/>
      <c r="U5" s="2"/>
      <c r="V5" s="2"/>
    </row>
    <row r="6" spans="1:22">
      <c r="A6" s="8" t="str">
        <f>B34</f>
        <v>ESTH2S101</v>
      </c>
      <c r="B6" s="16"/>
      <c r="D6" s="458" t="s">
        <v>663</v>
      </c>
      <c r="E6" s="65">
        <v>2025</v>
      </c>
      <c r="F6" s="425">
        <v>30</v>
      </c>
      <c r="G6" s="820">
        <v>0.98</v>
      </c>
      <c r="H6" s="65"/>
      <c r="I6" s="65"/>
      <c r="J6" s="425">
        <f>60*F1</f>
        <v>46.131048868648563</v>
      </c>
      <c r="K6" s="425">
        <f>2%*J6</f>
        <v>0.92262097737297122</v>
      </c>
      <c r="L6" s="132"/>
      <c r="M6" s="132"/>
      <c r="N6" s="155">
        <v>1</v>
      </c>
      <c r="O6" s="17"/>
      <c r="P6" s="17"/>
      <c r="R6" s="2"/>
      <c r="S6" s="2"/>
      <c r="T6" s="2"/>
      <c r="U6" s="2"/>
      <c r="V6" s="2"/>
    </row>
    <row r="7" spans="1:22" s="622" customFormat="1">
      <c r="A7" s="8" t="s">
        <v>1304</v>
      </c>
      <c r="B7" s="16"/>
      <c r="D7" s="458" t="s">
        <v>233</v>
      </c>
      <c r="E7" s="135">
        <v>2025</v>
      </c>
      <c r="F7" s="425">
        <v>30</v>
      </c>
      <c r="G7" s="820">
        <v>0.98</v>
      </c>
      <c r="H7" s="135"/>
      <c r="I7" s="135"/>
      <c r="J7" s="425">
        <f>60*F2</f>
        <v>0</v>
      </c>
      <c r="K7" s="425">
        <f>2%*J7</f>
        <v>0</v>
      </c>
      <c r="L7" s="132"/>
      <c r="M7" s="132"/>
      <c r="N7" s="155">
        <v>1</v>
      </c>
      <c r="O7" s="17"/>
      <c r="P7" s="17"/>
      <c r="R7" s="624"/>
      <c r="S7" s="624"/>
      <c r="T7" s="624"/>
      <c r="U7" s="624"/>
      <c r="V7" s="624"/>
    </row>
    <row r="8" spans="1:22" s="448" customFormat="1">
      <c r="A8" s="464" t="str">
        <f>B36</f>
        <v>ESTH2S102</v>
      </c>
      <c r="B8" s="458"/>
      <c r="C8" s="16"/>
      <c r="D8" s="458" t="s">
        <v>233</v>
      </c>
      <c r="E8" s="135">
        <v>2025</v>
      </c>
      <c r="F8" s="459">
        <v>30</v>
      </c>
      <c r="G8" s="821">
        <v>0.97</v>
      </c>
      <c r="H8" s="456"/>
      <c r="I8" s="456"/>
      <c r="J8" s="459">
        <f>5320*F1</f>
        <v>4090.2863330201726</v>
      </c>
      <c r="K8" s="459">
        <f>0.01*J8</f>
        <v>40.902863330201725</v>
      </c>
      <c r="L8" s="456"/>
      <c r="M8" s="456"/>
      <c r="N8" s="390">
        <v>1</v>
      </c>
      <c r="O8" s="419"/>
      <c r="P8" s="419"/>
      <c r="R8" s="464"/>
      <c r="S8" s="464"/>
      <c r="T8" s="464"/>
      <c r="U8" s="464"/>
      <c r="V8" s="464"/>
    </row>
    <row r="9" spans="1:22" s="448" customFormat="1">
      <c r="A9" s="464" t="str">
        <f>B37</f>
        <v>ESTH2S103</v>
      </c>
      <c r="B9" s="458"/>
      <c r="C9" s="458"/>
      <c r="D9" s="458" t="s">
        <v>233</v>
      </c>
      <c r="E9" s="135">
        <v>2025</v>
      </c>
      <c r="F9" s="459">
        <v>25</v>
      </c>
      <c r="G9" s="821">
        <v>0.95</v>
      </c>
      <c r="H9" s="465"/>
      <c r="I9" s="465"/>
      <c r="J9" s="459">
        <f>1550*F1</f>
        <v>1191.7187624400879</v>
      </c>
      <c r="K9" s="459">
        <f>0.043*J9</f>
        <v>51.243906784923773</v>
      </c>
      <c r="N9" s="390">
        <v>1</v>
      </c>
      <c r="P9" s="465"/>
      <c r="R9" s="464"/>
      <c r="S9" s="464"/>
      <c r="T9" s="464"/>
      <c r="U9" s="464"/>
      <c r="V9" s="464"/>
    </row>
    <row r="10" spans="1:22" s="448" customFormat="1">
      <c r="A10" s="464" t="str">
        <f>B38</f>
        <v>ESTH2S104</v>
      </c>
      <c r="B10" s="458"/>
      <c r="C10" s="458"/>
      <c r="D10" s="458" t="s">
        <v>233</v>
      </c>
      <c r="E10" s="135">
        <v>2025</v>
      </c>
      <c r="F10" s="459">
        <v>25</v>
      </c>
      <c r="G10" s="821">
        <v>0.85599999999999998</v>
      </c>
      <c r="H10" s="465"/>
      <c r="I10" s="465"/>
      <c r="J10" s="459">
        <v>56</v>
      </c>
      <c r="K10" s="459">
        <f>J10*0.06</f>
        <v>3.36</v>
      </c>
      <c r="N10" s="390">
        <v>1</v>
      </c>
      <c r="P10" s="465"/>
      <c r="R10" s="464"/>
      <c r="S10" s="464"/>
      <c r="T10" s="464"/>
      <c r="U10" s="464"/>
      <c r="V10" s="464"/>
    </row>
    <row r="11" spans="1:22" s="130" customFormat="1">
      <c r="A11" s="8" t="str">
        <f>B39</f>
        <v>ESTH2S105</v>
      </c>
      <c r="B11" s="16"/>
      <c r="C11" s="458"/>
      <c r="D11" s="16" t="s">
        <v>232</v>
      </c>
      <c r="E11" s="135">
        <v>2025</v>
      </c>
      <c r="F11" s="425">
        <v>30</v>
      </c>
      <c r="G11" s="820">
        <v>0.97</v>
      </c>
      <c r="H11" s="66"/>
      <c r="I11" s="66"/>
      <c r="J11" s="425">
        <f>5320*F1</f>
        <v>4090.2863330201726</v>
      </c>
      <c r="K11" s="425">
        <f>0.01*J11</f>
        <v>40.902863330201725</v>
      </c>
      <c r="N11" s="155">
        <v>1</v>
      </c>
      <c r="P11" s="22"/>
      <c r="R11" s="131"/>
      <c r="S11" s="131"/>
      <c r="T11" s="131"/>
      <c r="U11" s="131"/>
      <c r="V11" s="131"/>
    </row>
    <row r="12" spans="1:22" s="28" customFormat="1">
      <c r="A12" s="8" t="str">
        <f t="shared" ref="A12:A15" si="0">B40</f>
        <v>ESTH2S106</v>
      </c>
      <c r="B12" s="66"/>
      <c r="C12" s="16"/>
      <c r="D12" s="16" t="s">
        <v>526</v>
      </c>
      <c r="E12" s="135">
        <v>2025</v>
      </c>
      <c r="F12" s="383">
        <f>F11</f>
        <v>30</v>
      </c>
      <c r="G12" s="383">
        <f>G11</f>
        <v>0.97</v>
      </c>
      <c r="H12" s="426"/>
      <c r="I12" s="426"/>
      <c r="J12" s="383">
        <f>J11</f>
        <v>4090.2863330201726</v>
      </c>
      <c r="K12" s="383">
        <f>K11</f>
        <v>40.902863330201725</v>
      </c>
      <c r="M12" s="130"/>
      <c r="N12" s="155">
        <v>1</v>
      </c>
      <c r="Q12" s="478"/>
      <c r="R12" s="2"/>
      <c r="S12" s="2"/>
      <c r="T12" s="2"/>
      <c r="U12" s="2"/>
      <c r="V12" s="2"/>
    </row>
    <row r="13" spans="1:22" s="28" customFormat="1">
      <c r="A13" s="8" t="str">
        <f t="shared" si="0"/>
        <v>ESTH2S107</v>
      </c>
      <c r="B13" s="66"/>
      <c r="C13" s="16"/>
      <c r="D13" s="16" t="s">
        <v>526</v>
      </c>
      <c r="E13" s="135">
        <v>2025</v>
      </c>
      <c r="F13" s="383">
        <f>F12</f>
        <v>30</v>
      </c>
      <c r="G13" s="383">
        <f>G12</f>
        <v>0.97</v>
      </c>
      <c r="H13" s="426"/>
      <c r="I13" s="426"/>
      <c r="J13" s="383">
        <f>J12</f>
        <v>4090.2863330201726</v>
      </c>
      <c r="K13" s="383">
        <f>K12</f>
        <v>40.902863330201725</v>
      </c>
      <c r="M13" s="1463">
        <f>J6/30</f>
        <v>1.5377016289549521</v>
      </c>
      <c r="N13" s="155">
        <v>1</v>
      </c>
      <c r="Q13" s="478"/>
      <c r="R13" s="2"/>
      <c r="S13" s="2"/>
      <c r="T13" s="2"/>
      <c r="U13" s="2"/>
      <c r="V13" s="2"/>
    </row>
    <row r="14" spans="1:22" s="622" customFormat="1">
      <c r="A14" s="8" t="str">
        <f t="shared" si="0"/>
        <v>ESTH2S108</v>
      </c>
      <c r="B14" s="16"/>
      <c r="C14" s="16"/>
      <c r="D14" s="16" t="s">
        <v>537</v>
      </c>
      <c r="E14" s="135">
        <v>2025</v>
      </c>
      <c r="F14" s="425">
        <v>30</v>
      </c>
      <c r="G14" s="820">
        <v>0.97</v>
      </c>
      <c r="H14" s="485"/>
      <c r="I14" s="485"/>
      <c r="J14" s="425">
        <f>J11</f>
        <v>4090.2863330201726</v>
      </c>
      <c r="K14" s="425">
        <f>K11</f>
        <v>40.902863330201725</v>
      </c>
      <c r="N14" s="155">
        <v>1</v>
      </c>
      <c r="P14" s="633"/>
      <c r="R14" s="624"/>
      <c r="S14" s="624"/>
      <c r="T14" s="624"/>
      <c r="U14" s="624"/>
      <c r="V14" s="624"/>
    </row>
    <row r="15" spans="1:22" s="622" customFormat="1">
      <c r="A15" s="8" t="str">
        <f t="shared" si="0"/>
        <v>ESTH2S109</v>
      </c>
      <c r="B15" s="16"/>
      <c r="C15" s="16"/>
      <c r="D15" s="16" t="s">
        <v>536</v>
      </c>
      <c r="E15" s="135">
        <v>2025</v>
      </c>
      <c r="F15" s="425">
        <v>30</v>
      </c>
      <c r="G15" s="820">
        <v>0.97</v>
      </c>
      <c r="H15" s="485"/>
      <c r="I15" s="485"/>
      <c r="J15" s="425">
        <f>J11</f>
        <v>4090.2863330201726</v>
      </c>
      <c r="K15" s="425">
        <f>K11</f>
        <v>40.902863330201725</v>
      </c>
      <c r="N15" s="155">
        <v>1</v>
      </c>
      <c r="P15" s="633"/>
      <c r="R15" s="624"/>
      <c r="S15" s="624"/>
      <c r="T15" s="624"/>
      <c r="U15" s="624"/>
      <c r="V15" s="624"/>
    </row>
    <row r="16" spans="1:22" s="622" customFormat="1">
      <c r="A16" s="8" t="str">
        <f t="shared" ref="A16" si="1">B44</f>
        <v>ESTH2S110</v>
      </c>
      <c r="B16" s="16"/>
      <c r="C16" s="16"/>
      <c r="D16" s="16" t="s">
        <v>527</v>
      </c>
      <c r="E16" s="135">
        <v>2025</v>
      </c>
      <c r="F16" s="425">
        <v>30</v>
      </c>
      <c r="G16" s="820">
        <v>0.97</v>
      </c>
      <c r="H16" s="485"/>
      <c r="I16" s="485"/>
      <c r="J16" s="425">
        <f>J11</f>
        <v>4090.2863330201726</v>
      </c>
      <c r="K16" s="425">
        <f>K11</f>
        <v>40.902863330201725</v>
      </c>
      <c r="N16" s="155">
        <v>1</v>
      </c>
      <c r="P16" s="633"/>
      <c r="R16" s="624"/>
      <c r="S16" s="624"/>
      <c r="T16" s="624"/>
      <c r="U16" s="624"/>
      <c r="V16" s="624"/>
    </row>
    <row r="17" spans="1:22" s="622" customFormat="1">
      <c r="A17" s="464" t="s">
        <v>1282</v>
      </c>
      <c r="B17" s="1448"/>
      <c r="C17" s="1449"/>
      <c r="D17" s="1483" t="str">
        <f>D6</f>
        <v>SYNH2UG</v>
      </c>
      <c r="E17" s="135">
        <v>2025</v>
      </c>
      <c r="F17" s="1451">
        <v>30</v>
      </c>
      <c r="G17" s="1452">
        <v>0.98</v>
      </c>
      <c r="H17" s="1450"/>
      <c r="I17" s="1450"/>
      <c r="J17" s="1451">
        <v>46.131048868648563</v>
      </c>
      <c r="K17" s="1451">
        <v>0.92262097737297122</v>
      </c>
      <c r="L17" s="1450"/>
      <c r="M17" s="1450"/>
      <c r="N17" s="1453">
        <v>1</v>
      </c>
      <c r="O17" s="1454"/>
      <c r="P17" s="1454"/>
      <c r="Q17" s="1455"/>
      <c r="R17" s="624"/>
      <c r="S17" s="624"/>
      <c r="T17" s="624"/>
      <c r="U17" s="624"/>
      <c r="V17" s="624"/>
    </row>
    <row r="18" spans="1:22" s="622" customFormat="1">
      <c r="A18" s="464" t="s">
        <v>1305</v>
      </c>
      <c r="B18" s="1448"/>
      <c r="C18" s="1449"/>
      <c r="D18" s="1448" t="str">
        <f>D7</f>
        <v>SYNH2CT</v>
      </c>
      <c r="E18" s="135">
        <v>2025</v>
      </c>
      <c r="F18" s="1451">
        <v>30</v>
      </c>
      <c r="G18" s="1452">
        <v>0.98</v>
      </c>
      <c r="H18" s="1450"/>
      <c r="I18" s="1450"/>
      <c r="J18" s="1451">
        <v>46.131048868648563</v>
      </c>
      <c r="K18" s="1451">
        <v>0.92262097737297122</v>
      </c>
      <c r="L18" s="1450"/>
      <c r="M18" s="1450"/>
      <c r="N18" s="1453">
        <v>1</v>
      </c>
      <c r="O18" s="1454"/>
      <c r="P18" s="1454"/>
      <c r="Q18" s="1455"/>
      <c r="R18" s="624"/>
      <c r="S18" s="624"/>
      <c r="T18" s="624"/>
      <c r="U18" s="624"/>
      <c r="V18" s="624"/>
    </row>
    <row r="19" spans="1:22" s="448" customFormat="1">
      <c r="A19" s="464" t="s">
        <v>1283</v>
      </c>
      <c r="B19" s="1448"/>
      <c r="C19" s="1448"/>
      <c r="D19" s="1448" t="s">
        <v>233</v>
      </c>
      <c r="E19" s="135">
        <v>2025</v>
      </c>
      <c r="F19" s="1451">
        <v>30</v>
      </c>
      <c r="G19" s="1452">
        <v>0.97</v>
      </c>
      <c r="H19" s="1456"/>
      <c r="I19" s="1456"/>
      <c r="J19" s="1451">
        <v>4090.2863330201726</v>
      </c>
      <c r="K19" s="1451">
        <v>40.902863330201725</v>
      </c>
      <c r="L19" s="1455"/>
      <c r="M19" s="1455"/>
      <c r="N19" s="1453">
        <v>1</v>
      </c>
      <c r="O19" s="1455"/>
      <c r="P19" s="1456"/>
      <c r="Q19" s="1455"/>
      <c r="R19" s="464"/>
      <c r="S19" s="464"/>
      <c r="T19" s="464"/>
      <c r="U19" s="464"/>
      <c r="V19" s="464"/>
    </row>
    <row r="20" spans="1:22" s="448" customFormat="1">
      <c r="A20" s="464" t="s">
        <v>1284</v>
      </c>
      <c r="B20" s="1448"/>
      <c r="C20" s="1448"/>
      <c r="D20" s="1448" t="s">
        <v>233</v>
      </c>
      <c r="E20" s="135">
        <v>2025</v>
      </c>
      <c r="F20" s="1451">
        <v>25</v>
      </c>
      <c r="G20" s="1452">
        <v>0.95</v>
      </c>
      <c r="H20" s="1456"/>
      <c r="I20" s="1456"/>
      <c r="J20" s="1451">
        <v>1191.7187624400879</v>
      </c>
      <c r="K20" s="1451">
        <v>51.243906784923773</v>
      </c>
      <c r="L20" s="1455"/>
      <c r="M20" s="1455"/>
      <c r="N20" s="1453">
        <v>1</v>
      </c>
      <c r="O20" s="1455"/>
      <c r="P20" s="1456"/>
      <c r="Q20" s="1455"/>
      <c r="R20" s="464"/>
      <c r="S20" s="464"/>
      <c r="T20" s="464"/>
      <c r="U20" s="464"/>
      <c r="V20" s="464"/>
    </row>
    <row r="21" spans="1:22" s="448" customFormat="1">
      <c r="A21" s="8" t="s">
        <v>1285</v>
      </c>
      <c r="B21" s="1449"/>
      <c r="C21" s="1448"/>
      <c r="D21" s="1449" t="s">
        <v>233</v>
      </c>
      <c r="E21" s="135">
        <v>2025</v>
      </c>
      <c r="F21" s="1457">
        <v>25</v>
      </c>
      <c r="G21" s="1458">
        <v>0.85599999999999998</v>
      </c>
      <c r="H21" s="1267"/>
      <c r="I21" s="1267"/>
      <c r="J21" s="1457">
        <v>56</v>
      </c>
      <c r="K21" s="1457">
        <v>3.36</v>
      </c>
      <c r="L21" s="1263"/>
      <c r="M21" s="1263"/>
      <c r="N21" s="1459">
        <v>1</v>
      </c>
      <c r="O21" s="1263"/>
      <c r="P21" s="1267"/>
      <c r="Q21" s="1263"/>
      <c r="R21" s="464"/>
      <c r="S21" s="464"/>
      <c r="T21" s="464"/>
      <c r="U21" s="464"/>
      <c r="V21" s="464"/>
    </row>
    <row r="22" spans="1:22" s="622" customFormat="1">
      <c r="A22" s="8" t="s">
        <v>1286</v>
      </c>
      <c r="B22" s="1267"/>
      <c r="C22" s="1449"/>
      <c r="D22" s="1449" t="s">
        <v>232</v>
      </c>
      <c r="E22" s="135">
        <v>2025</v>
      </c>
      <c r="F22" s="1460">
        <v>30</v>
      </c>
      <c r="G22" s="1460">
        <v>0.97</v>
      </c>
      <c r="H22" s="1461"/>
      <c r="I22" s="1461"/>
      <c r="J22" s="1460">
        <v>4090.2863330201726</v>
      </c>
      <c r="K22" s="1460">
        <v>40.902863330201725</v>
      </c>
      <c r="L22" s="1263"/>
      <c r="M22" s="1263"/>
      <c r="N22" s="1459">
        <v>1</v>
      </c>
      <c r="O22" s="1263"/>
      <c r="P22" s="1263"/>
      <c r="Q22" s="1263"/>
      <c r="R22" s="624"/>
      <c r="S22" s="624"/>
      <c r="T22" s="624"/>
      <c r="U22" s="624"/>
      <c r="V22" s="624"/>
    </row>
    <row r="23" spans="1:22" s="622" customFormat="1">
      <c r="A23" s="8" t="s">
        <v>1287</v>
      </c>
      <c r="B23" s="1267"/>
      <c r="C23" s="1449"/>
      <c r="D23" s="1449" t="s">
        <v>526</v>
      </c>
      <c r="E23" s="135">
        <v>2025</v>
      </c>
      <c r="F23" s="1460">
        <v>30</v>
      </c>
      <c r="G23" s="1460">
        <v>0.97</v>
      </c>
      <c r="H23" s="1461"/>
      <c r="I23" s="1461"/>
      <c r="J23" s="1460">
        <v>4090.2863330201726</v>
      </c>
      <c r="K23" s="1460">
        <v>40.902863330201725</v>
      </c>
      <c r="L23" s="1263"/>
      <c r="M23" s="1263"/>
      <c r="N23" s="1459">
        <v>1</v>
      </c>
      <c r="O23" s="1263"/>
      <c r="P23" s="1263"/>
      <c r="Q23" s="1263"/>
      <c r="R23" s="624"/>
      <c r="S23" s="624"/>
      <c r="T23" s="624"/>
      <c r="U23" s="624"/>
      <c r="V23" s="624"/>
    </row>
    <row r="24" spans="1:22" s="622" customFormat="1">
      <c r="A24" s="8" t="s">
        <v>1288</v>
      </c>
      <c r="B24" s="1449"/>
      <c r="C24" s="1449"/>
      <c r="D24" s="1449" t="s">
        <v>526</v>
      </c>
      <c r="E24" s="135">
        <v>2025</v>
      </c>
      <c r="F24" s="1457">
        <v>30</v>
      </c>
      <c r="G24" s="1458">
        <v>0.97</v>
      </c>
      <c r="H24" s="1267"/>
      <c r="I24" s="1267"/>
      <c r="J24" s="1457">
        <v>4090.2863330201726</v>
      </c>
      <c r="K24" s="1457">
        <v>40.902863330201725</v>
      </c>
      <c r="L24" s="1263"/>
      <c r="M24" s="1263"/>
      <c r="N24" s="1459">
        <v>1</v>
      </c>
      <c r="O24" s="1263"/>
      <c r="P24" s="1267"/>
      <c r="Q24" s="1263"/>
      <c r="R24" s="624"/>
      <c r="S24" s="624"/>
      <c r="T24" s="624"/>
      <c r="U24" s="624"/>
      <c r="V24" s="624"/>
    </row>
    <row r="25" spans="1:22" s="622" customFormat="1">
      <c r="A25" s="8" t="s">
        <v>1289</v>
      </c>
      <c r="B25" s="1449"/>
      <c r="C25" s="1449"/>
      <c r="D25" s="1449" t="s">
        <v>537</v>
      </c>
      <c r="E25" s="135">
        <v>2025</v>
      </c>
      <c r="F25" s="1457">
        <v>30</v>
      </c>
      <c r="G25" s="1458">
        <v>0.97</v>
      </c>
      <c r="H25" s="1267"/>
      <c r="I25" s="1267"/>
      <c r="J25" s="1457">
        <v>4090.2863330201726</v>
      </c>
      <c r="K25" s="1457">
        <v>40.902863330201725</v>
      </c>
      <c r="L25" s="1263"/>
      <c r="M25" s="1263"/>
      <c r="N25" s="1459">
        <v>1</v>
      </c>
      <c r="O25" s="1263"/>
      <c r="P25" s="1267"/>
      <c r="Q25" s="1263"/>
      <c r="R25" s="624"/>
      <c r="S25" s="624"/>
      <c r="T25" s="624"/>
      <c r="U25" s="624"/>
      <c r="V25" s="624"/>
    </row>
    <row r="26" spans="1:22" s="622" customFormat="1">
      <c r="A26" s="8" t="s">
        <v>1290</v>
      </c>
      <c r="B26" s="1449"/>
      <c r="C26" s="1449"/>
      <c r="D26" s="1449" t="s">
        <v>536</v>
      </c>
      <c r="E26" s="135">
        <v>2025</v>
      </c>
      <c r="F26" s="1457">
        <v>30</v>
      </c>
      <c r="G26" s="1458">
        <v>0.97</v>
      </c>
      <c r="H26" s="1267"/>
      <c r="I26" s="1267"/>
      <c r="J26" s="1457">
        <v>4090.2863330201726</v>
      </c>
      <c r="K26" s="1457">
        <v>40.902863330201725</v>
      </c>
      <c r="L26" s="1263"/>
      <c r="M26" s="1263"/>
      <c r="N26" s="1459">
        <v>1</v>
      </c>
      <c r="O26" s="1263"/>
      <c r="P26" s="1267"/>
      <c r="Q26" s="1263"/>
      <c r="R26" s="624"/>
      <c r="S26" s="624"/>
      <c r="T26" s="624"/>
      <c r="U26" s="624"/>
      <c r="V26" s="624"/>
    </row>
    <row r="27" spans="1:22" s="622" customFormat="1">
      <c r="A27" s="8" t="s">
        <v>1291</v>
      </c>
      <c r="B27" s="1449"/>
      <c r="C27" s="1449"/>
      <c r="D27" s="1449" t="s">
        <v>527</v>
      </c>
      <c r="E27" s="135">
        <v>2025</v>
      </c>
      <c r="F27" s="1457">
        <v>30</v>
      </c>
      <c r="G27" s="1458">
        <v>0.97</v>
      </c>
      <c r="H27" s="1267"/>
      <c r="I27" s="1267"/>
      <c r="J27" s="1457">
        <v>4090.2863330201726</v>
      </c>
      <c r="K27" s="1457">
        <v>40.902863330201725</v>
      </c>
      <c r="L27" s="1263"/>
      <c r="M27" s="1263"/>
      <c r="N27" s="1459">
        <v>1</v>
      </c>
      <c r="O27" s="1263"/>
      <c r="P27" s="1267"/>
      <c r="Q27" s="1263"/>
      <c r="R27" s="624"/>
      <c r="S27" s="624"/>
      <c r="T27" s="624"/>
      <c r="U27" s="624"/>
      <c r="V27" s="624"/>
    </row>
    <row r="28" spans="1:22" s="622" customFormat="1">
      <c r="A28" s="8"/>
      <c r="B28" s="1449"/>
      <c r="C28" s="1449"/>
      <c r="D28" s="1449"/>
      <c r="E28" s="135"/>
      <c r="F28" s="1457"/>
      <c r="G28" s="1458"/>
      <c r="H28" s="1267"/>
      <c r="I28" s="1267"/>
      <c r="J28" s="1457"/>
      <c r="K28" s="1457"/>
      <c r="L28" s="1263"/>
      <c r="M28" s="1263"/>
      <c r="N28" s="1459"/>
      <c r="O28" s="1263"/>
      <c r="P28" s="1267"/>
      <c r="Q28" s="1263"/>
      <c r="R28" s="624"/>
      <c r="S28" s="624"/>
      <c r="T28" s="624"/>
      <c r="U28" s="624"/>
      <c r="V28" s="624"/>
    </row>
    <row r="29" spans="1:22" s="622" customFormat="1">
      <c r="A29" s="8"/>
      <c r="B29" s="1449"/>
      <c r="C29" s="1449"/>
      <c r="D29" s="1449"/>
      <c r="E29" s="135"/>
      <c r="F29" s="1457"/>
      <c r="G29" s="1458"/>
      <c r="H29" s="1267"/>
      <c r="I29" s="1267"/>
      <c r="J29" s="1457"/>
      <c r="K29" s="1457"/>
      <c r="L29" s="1263"/>
      <c r="M29" s="1263"/>
      <c r="N29" s="1459"/>
      <c r="O29" s="1263"/>
      <c r="P29" s="1267"/>
      <c r="Q29" s="1263"/>
      <c r="R29" s="624"/>
      <c r="S29" s="624"/>
      <c r="T29" s="624"/>
      <c r="U29" s="624"/>
      <c r="V29" s="624"/>
    </row>
    <row r="30" spans="1:22" s="28" customFormat="1">
      <c r="A30" s="66"/>
      <c r="B30" s="66"/>
      <c r="C30" s="66"/>
      <c r="D30" s="66"/>
      <c r="E30" s="66"/>
      <c r="F30" s="67"/>
      <c r="G30" s="66"/>
      <c r="H30" s="66"/>
      <c r="I30" s="66"/>
      <c r="M30" s="130"/>
      <c r="Q30" s="22"/>
      <c r="R30" s="2"/>
      <c r="S30" s="2"/>
      <c r="T30" s="2"/>
      <c r="U30" s="2"/>
      <c r="V30" s="2"/>
    </row>
    <row r="31" spans="1:22">
      <c r="A31" s="29" t="s">
        <v>8</v>
      </c>
      <c r="B31" s="29"/>
      <c r="C31" s="30"/>
      <c r="D31" s="30"/>
      <c r="E31" s="30"/>
      <c r="F31" s="30"/>
      <c r="G31" s="30"/>
      <c r="H31" s="30"/>
      <c r="I31" s="2"/>
      <c r="J31" s="2"/>
      <c r="K31" s="2"/>
      <c r="L31" s="2"/>
      <c r="M31" s="131"/>
      <c r="N31" s="2"/>
      <c r="O31" s="2"/>
      <c r="P31" s="2"/>
      <c r="Q31" s="2"/>
      <c r="R31" s="2"/>
      <c r="S31" s="2"/>
      <c r="T31" s="2"/>
      <c r="U31" s="2"/>
      <c r="V31" s="2"/>
    </row>
    <row r="32" spans="1:22">
      <c r="A32" s="31" t="s">
        <v>7</v>
      </c>
      <c r="B32" s="31" t="s">
        <v>0</v>
      </c>
      <c r="C32" s="31" t="s">
        <v>1</v>
      </c>
      <c r="D32" s="31" t="s">
        <v>9</v>
      </c>
      <c r="E32" s="31" t="s">
        <v>10</v>
      </c>
      <c r="F32" s="31" t="s">
        <v>11</v>
      </c>
      <c r="G32" s="31" t="s">
        <v>12</v>
      </c>
      <c r="H32" s="31" t="s">
        <v>13</v>
      </c>
      <c r="I32" s="2"/>
      <c r="J32" s="2"/>
      <c r="K32" s="2"/>
      <c r="L32" s="2"/>
      <c r="M32" s="131"/>
      <c r="N32" s="2"/>
      <c r="O32" s="2"/>
      <c r="P32" s="2"/>
      <c r="Q32" s="2"/>
      <c r="R32" s="2"/>
      <c r="S32" s="2"/>
      <c r="T32" s="2"/>
      <c r="U32" s="2"/>
      <c r="V32" s="2"/>
    </row>
    <row r="33" spans="1:22" ht="39.75" thickBot="1">
      <c r="A33" s="112" t="s">
        <v>39</v>
      </c>
      <c r="B33" s="112" t="s">
        <v>14</v>
      </c>
      <c r="C33" s="112" t="s">
        <v>15</v>
      </c>
      <c r="D33" s="112" t="s">
        <v>16</v>
      </c>
      <c r="E33" s="112" t="s">
        <v>17</v>
      </c>
      <c r="F33" s="112" t="s">
        <v>27</v>
      </c>
      <c r="G33" s="112" t="s">
        <v>26</v>
      </c>
      <c r="H33" s="112" t="s">
        <v>18</v>
      </c>
      <c r="I33" s="2"/>
      <c r="J33" s="2"/>
      <c r="K33" s="2"/>
      <c r="L33" s="2"/>
      <c r="M33" s="131"/>
      <c r="N33" s="2"/>
      <c r="O33" s="2"/>
      <c r="P33" s="2"/>
      <c r="Q33" s="2"/>
      <c r="R33" s="2"/>
      <c r="S33" s="2"/>
      <c r="T33" s="2"/>
      <c r="U33" s="2"/>
      <c r="V33" s="2"/>
    </row>
    <row r="34" spans="1:22">
      <c r="A34" s="329" t="s">
        <v>1306</v>
      </c>
      <c r="B34" s="32" t="s">
        <v>654</v>
      </c>
      <c r="C34" s="393" t="s">
        <v>647</v>
      </c>
      <c r="D34" s="33" t="s">
        <v>23</v>
      </c>
      <c r="E34" s="34" t="s">
        <v>23</v>
      </c>
      <c r="F34" s="33" t="s">
        <v>230</v>
      </c>
      <c r="G34" s="35"/>
      <c r="H34" s="34"/>
      <c r="I34" s="2"/>
      <c r="J34" s="2"/>
      <c r="K34" s="2"/>
      <c r="L34" s="2"/>
      <c r="M34" s="131"/>
      <c r="N34" s="2"/>
      <c r="O34" s="2"/>
      <c r="P34" s="2"/>
      <c r="Q34" s="2"/>
      <c r="R34" s="2"/>
      <c r="S34" s="2"/>
      <c r="T34" s="2"/>
      <c r="U34" s="2"/>
      <c r="V34" s="2"/>
    </row>
    <row r="35" spans="1:22" s="622" customFormat="1">
      <c r="A35" s="329" t="s">
        <v>1306</v>
      </c>
      <c r="B35" s="484" t="s">
        <v>1304</v>
      </c>
      <c r="C35" s="393" t="s">
        <v>647</v>
      </c>
      <c r="D35" s="637" t="s">
        <v>23</v>
      </c>
      <c r="E35" s="638" t="s">
        <v>23</v>
      </c>
      <c r="F35" s="637" t="s">
        <v>230</v>
      </c>
      <c r="G35" s="639"/>
      <c r="H35" s="638"/>
      <c r="I35" s="624"/>
      <c r="J35" s="624"/>
      <c r="K35" s="624"/>
      <c r="L35" s="624"/>
      <c r="M35" s="624"/>
      <c r="N35" s="624"/>
      <c r="O35" s="624"/>
      <c r="P35" s="624"/>
      <c r="Q35" s="624"/>
      <c r="R35" s="624"/>
      <c r="S35" s="624"/>
      <c r="T35" s="624"/>
      <c r="U35" s="624"/>
      <c r="V35" s="624"/>
    </row>
    <row r="36" spans="1:22">
      <c r="A36" s="329" t="s">
        <v>1306</v>
      </c>
      <c r="B36" s="484" t="s">
        <v>655</v>
      </c>
      <c r="C36" s="393" t="s">
        <v>648</v>
      </c>
      <c r="D36" s="33" t="s">
        <v>23</v>
      </c>
      <c r="E36" s="34" t="s">
        <v>23</v>
      </c>
      <c r="F36" s="33" t="s">
        <v>230</v>
      </c>
      <c r="G36" s="35"/>
      <c r="H36" s="32"/>
      <c r="I36" s="16"/>
      <c r="J36" s="2"/>
      <c r="K36" s="2"/>
      <c r="L36" s="2"/>
      <c r="M36" s="131"/>
      <c r="N36" s="2"/>
      <c r="O36" s="2"/>
      <c r="P36" s="2"/>
      <c r="Q36" s="2"/>
      <c r="R36" s="2"/>
      <c r="S36" s="2"/>
      <c r="T36" s="2"/>
      <c r="U36" s="2"/>
      <c r="V36" s="2"/>
    </row>
    <row r="37" spans="1:22">
      <c r="A37" s="329" t="s">
        <v>1306</v>
      </c>
      <c r="B37" s="484" t="s">
        <v>656</v>
      </c>
      <c r="C37" s="393" t="s">
        <v>649</v>
      </c>
      <c r="D37" s="33" t="s">
        <v>23</v>
      </c>
      <c r="E37" s="34" t="s">
        <v>23</v>
      </c>
      <c r="F37" s="33" t="s">
        <v>230</v>
      </c>
      <c r="G37" s="35"/>
      <c r="H37" s="42"/>
      <c r="I37" s="2"/>
      <c r="J37" s="2"/>
      <c r="K37" s="2"/>
      <c r="L37" s="2"/>
      <c r="M37" s="131"/>
      <c r="N37" s="2"/>
      <c r="O37" s="2"/>
      <c r="P37" s="2"/>
      <c r="Q37" s="2"/>
      <c r="R37" s="2"/>
      <c r="S37" s="2"/>
      <c r="T37" s="2"/>
      <c r="U37" s="2"/>
      <c r="V37" s="2"/>
    </row>
    <row r="38" spans="1:22" s="130" customFormat="1">
      <c r="A38" s="329" t="s">
        <v>1306</v>
      </c>
      <c r="B38" s="484" t="s">
        <v>657</v>
      </c>
      <c r="C38" s="393" t="s">
        <v>650</v>
      </c>
      <c r="D38" s="33" t="s">
        <v>23</v>
      </c>
      <c r="E38" s="34" t="s">
        <v>23</v>
      </c>
      <c r="F38" s="33" t="s">
        <v>230</v>
      </c>
      <c r="G38" s="35"/>
      <c r="H38" s="42"/>
      <c r="I38" s="131"/>
      <c r="J38" s="131"/>
      <c r="K38" s="131"/>
      <c r="L38" s="131"/>
      <c r="M38" s="131"/>
      <c r="N38" s="131"/>
      <c r="O38" s="131"/>
      <c r="P38" s="131"/>
      <c r="Q38" s="131"/>
      <c r="R38" s="131"/>
      <c r="S38" s="131"/>
      <c r="T38" s="131"/>
      <c r="U38" s="131"/>
      <c r="V38" s="131"/>
    </row>
    <row r="39" spans="1:22" s="130" customFormat="1">
      <c r="A39" s="329" t="s">
        <v>1306</v>
      </c>
      <c r="B39" s="484" t="s">
        <v>658</v>
      </c>
      <c r="C39" s="393" t="s">
        <v>651</v>
      </c>
      <c r="D39" s="33" t="s">
        <v>23</v>
      </c>
      <c r="E39" s="34" t="s">
        <v>23</v>
      </c>
      <c r="F39" s="33" t="s">
        <v>230</v>
      </c>
      <c r="G39" s="35"/>
      <c r="H39" s="42"/>
      <c r="I39" s="131"/>
      <c r="J39" s="131"/>
      <c r="K39" s="131"/>
      <c r="L39" s="131"/>
      <c r="M39" s="131"/>
      <c r="N39" s="131"/>
      <c r="O39" s="131"/>
      <c r="P39" s="131"/>
      <c r="Q39" s="131"/>
      <c r="R39" s="131"/>
      <c r="S39" s="131"/>
      <c r="T39" s="131"/>
      <c r="U39" s="131"/>
      <c r="V39" s="131"/>
    </row>
    <row r="40" spans="1:22">
      <c r="A40" s="329" t="s">
        <v>1306</v>
      </c>
      <c r="B40" s="484" t="s">
        <v>659</v>
      </c>
      <c r="C40" s="393" t="s">
        <v>652</v>
      </c>
      <c r="D40" s="33" t="s">
        <v>23</v>
      </c>
      <c r="E40" s="34" t="s">
        <v>23</v>
      </c>
      <c r="F40" s="33" t="s">
        <v>230</v>
      </c>
    </row>
    <row r="41" spans="1:22">
      <c r="A41" s="329" t="s">
        <v>1306</v>
      </c>
      <c r="B41" s="484" t="s">
        <v>660</v>
      </c>
      <c r="C41" s="393" t="s">
        <v>653</v>
      </c>
      <c r="D41" s="33" t="s">
        <v>23</v>
      </c>
      <c r="E41" s="34" t="s">
        <v>23</v>
      </c>
      <c r="F41" s="33" t="s">
        <v>230</v>
      </c>
    </row>
    <row r="42" spans="1:22">
      <c r="A42" s="329" t="s">
        <v>1306</v>
      </c>
      <c r="B42" s="484" t="s">
        <v>885</v>
      </c>
      <c r="C42" s="641" t="s">
        <v>888</v>
      </c>
      <c r="D42" s="637" t="s">
        <v>23</v>
      </c>
      <c r="E42" s="638" t="s">
        <v>23</v>
      </c>
      <c r="F42" s="637" t="s">
        <v>230</v>
      </c>
    </row>
    <row r="43" spans="1:22">
      <c r="A43" s="329" t="s">
        <v>1306</v>
      </c>
      <c r="B43" s="484" t="s">
        <v>886</v>
      </c>
      <c r="C43" s="641" t="s">
        <v>890</v>
      </c>
      <c r="D43" s="637" t="s">
        <v>23</v>
      </c>
      <c r="E43" s="638" t="s">
        <v>23</v>
      </c>
      <c r="F43" s="637" t="s">
        <v>230</v>
      </c>
    </row>
    <row r="44" spans="1:22">
      <c r="A44" s="329" t="s">
        <v>1306</v>
      </c>
      <c r="B44" s="484" t="s">
        <v>887</v>
      </c>
      <c r="C44" s="641" t="s">
        <v>889</v>
      </c>
      <c r="D44" s="637" t="s">
        <v>23</v>
      </c>
      <c r="E44" s="638" t="s">
        <v>23</v>
      </c>
      <c r="F44" s="637" t="s">
        <v>230</v>
      </c>
    </row>
    <row r="45" spans="1:22">
      <c r="A45" s="1462" t="s">
        <v>1292</v>
      </c>
      <c r="B45" t="s">
        <v>1282</v>
      </c>
      <c r="C45" s="393" t="s">
        <v>1293</v>
      </c>
      <c r="D45" s="637" t="s">
        <v>23</v>
      </c>
      <c r="E45" s="638" t="s">
        <v>23</v>
      </c>
      <c r="F45" s="637" t="s">
        <v>230</v>
      </c>
    </row>
    <row r="46" spans="1:22" s="622" customFormat="1">
      <c r="A46" s="1462" t="s">
        <v>1292</v>
      </c>
      <c r="B46" s="622" t="s">
        <v>1305</v>
      </c>
      <c r="C46" s="393" t="s">
        <v>1293</v>
      </c>
      <c r="D46" s="637" t="s">
        <v>23</v>
      </c>
      <c r="E46" s="638" t="s">
        <v>23</v>
      </c>
      <c r="F46" s="637" t="s">
        <v>230</v>
      </c>
    </row>
    <row r="47" spans="1:22">
      <c r="A47" s="1462" t="s">
        <v>1292</v>
      </c>
      <c r="B47" s="622" t="s">
        <v>1283</v>
      </c>
      <c r="C47" s="393" t="s">
        <v>1294</v>
      </c>
      <c r="D47" s="637" t="s">
        <v>23</v>
      </c>
      <c r="E47" s="638" t="s">
        <v>23</v>
      </c>
      <c r="F47" s="637" t="s">
        <v>230</v>
      </c>
    </row>
    <row r="48" spans="1:22">
      <c r="A48" s="1462" t="s">
        <v>1292</v>
      </c>
      <c r="B48" s="622" t="s">
        <v>1284</v>
      </c>
      <c r="C48" s="393" t="s">
        <v>1295</v>
      </c>
      <c r="D48" s="637" t="s">
        <v>23</v>
      </c>
      <c r="E48" s="638" t="s">
        <v>23</v>
      </c>
      <c r="F48" s="637" t="s">
        <v>230</v>
      </c>
    </row>
    <row r="49" spans="1:6">
      <c r="A49" s="1462" t="s">
        <v>1292</v>
      </c>
      <c r="B49" s="622" t="s">
        <v>1285</v>
      </c>
      <c r="C49" s="393" t="s">
        <v>1296</v>
      </c>
      <c r="D49" s="637" t="s">
        <v>23</v>
      </c>
      <c r="E49" s="638" t="s">
        <v>23</v>
      </c>
      <c r="F49" s="637" t="s">
        <v>230</v>
      </c>
    </row>
    <row r="50" spans="1:6">
      <c r="A50" s="1462" t="s">
        <v>1292</v>
      </c>
      <c r="B50" s="622" t="s">
        <v>1286</v>
      </c>
      <c r="C50" s="393" t="s">
        <v>1297</v>
      </c>
      <c r="D50" s="637" t="s">
        <v>23</v>
      </c>
      <c r="E50" s="638" t="s">
        <v>23</v>
      </c>
      <c r="F50" s="637" t="s">
        <v>230</v>
      </c>
    </row>
    <row r="51" spans="1:6">
      <c r="A51" s="1462" t="s">
        <v>1292</v>
      </c>
      <c r="B51" s="622" t="s">
        <v>1287</v>
      </c>
      <c r="C51" s="393" t="s">
        <v>1298</v>
      </c>
      <c r="D51" s="637" t="s">
        <v>23</v>
      </c>
      <c r="E51" s="638" t="s">
        <v>23</v>
      </c>
      <c r="F51" s="637" t="s">
        <v>230</v>
      </c>
    </row>
    <row r="52" spans="1:6">
      <c r="A52" s="1462" t="s">
        <v>1292</v>
      </c>
      <c r="B52" s="622" t="s">
        <v>1288</v>
      </c>
      <c r="C52" s="393" t="s">
        <v>1299</v>
      </c>
      <c r="D52" s="637" t="s">
        <v>23</v>
      </c>
      <c r="E52" s="638" t="s">
        <v>23</v>
      </c>
      <c r="F52" s="637" t="s">
        <v>230</v>
      </c>
    </row>
    <row r="53" spans="1:6">
      <c r="A53" s="1462" t="s">
        <v>1292</v>
      </c>
      <c r="B53" s="622" t="s">
        <v>1289</v>
      </c>
      <c r="C53" s="641" t="s">
        <v>1300</v>
      </c>
      <c r="D53" s="637" t="s">
        <v>23</v>
      </c>
      <c r="E53" s="638" t="s">
        <v>23</v>
      </c>
      <c r="F53" s="637" t="s">
        <v>230</v>
      </c>
    </row>
    <row r="54" spans="1:6">
      <c r="A54" s="1462" t="s">
        <v>1292</v>
      </c>
      <c r="B54" s="622" t="s">
        <v>1290</v>
      </c>
      <c r="C54" s="641" t="s">
        <v>1301</v>
      </c>
      <c r="D54" s="637" t="s">
        <v>23</v>
      </c>
      <c r="E54" s="638" t="s">
        <v>23</v>
      </c>
      <c r="F54" s="637" t="s">
        <v>230</v>
      </c>
    </row>
    <row r="55" spans="1:6">
      <c r="A55" s="1462" t="s">
        <v>1292</v>
      </c>
      <c r="B55" s="622" t="s">
        <v>1291</v>
      </c>
      <c r="C55" s="641" t="s">
        <v>1302</v>
      </c>
      <c r="D55" s="637" t="s">
        <v>23</v>
      </c>
      <c r="E55" s="638" t="s">
        <v>23</v>
      </c>
      <c r="F55" s="637" t="s">
        <v>230</v>
      </c>
    </row>
    <row r="56" spans="1:6">
      <c r="B56" s="622"/>
    </row>
    <row r="57" spans="1:6">
      <c r="B57" s="622"/>
    </row>
  </sheetData>
  <phoneticPr fontId="137" type="noConversion"/>
  <pageMargins left="0.7" right="0.7" top="0.75" bottom="0.75" header="0.3" footer="0.3"/>
  <pageSetup orientation="portrait" horizontalDpi="4294967293"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B2960-CF72-4214-B950-2A1A01A99A7F}">
  <sheetPr codeName="Sheet10">
    <tabColor theme="4"/>
  </sheetPr>
  <dimension ref="A1:AC211"/>
  <sheetViews>
    <sheetView topLeftCell="H37" zoomScale="90" zoomScaleNormal="90" workbookViewId="0">
      <selection activeCell="N43" sqref="N43"/>
    </sheetView>
  </sheetViews>
  <sheetFormatPr defaultColWidth="8.7265625" defaultRowHeight="13"/>
  <cols>
    <col min="1" max="1" width="8.7265625" style="130"/>
    <col min="2" max="2" width="19.1328125" style="130" customWidth="1"/>
    <col min="3" max="3" width="23.453125" style="130" customWidth="1"/>
    <col min="4" max="4" width="38.04296875" style="130" customWidth="1"/>
    <col min="5" max="5" width="8.7265625" style="130" customWidth="1"/>
    <col min="6" max="6" width="10.453125" style="130" customWidth="1"/>
    <col min="7" max="7" width="11.58984375" style="130" customWidth="1"/>
    <col min="8" max="8" width="8.7265625" style="130" customWidth="1"/>
    <col min="9" max="9" width="8.7265625" style="622" customWidth="1"/>
    <col min="10" max="11" width="8.7265625" style="130" customWidth="1"/>
    <col min="12" max="12" width="9.2265625" style="130" bestFit="1" customWidth="1"/>
    <col min="13" max="13" width="8.7265625" style="130"/>
    <col min="14" max="14" width="8.7265625" style="622"/>
    <col min="15" max="17" width="8.7265625" style="130"/>
    <col min="18" max="18" width="8.7265625" style="622"/>
    <col min="19" max="23" width="8.7265625" style="130"/>
    <col min="24" max="24" width="12" style="130" bestFit="1" customWidth="1"/>
    <col min="25" max="16384" width="8.7265625" style="130"/>
  </cols>
  <sheetData>
    <row r="1" spans="1:29" ht="23">
      <c r="A1" s="4" t="s">
        <v>132</v>
      </c>
      <c r="D1" s="4" t="s">
        <v>398</v>
      </c>
      <c r="M1" s="26"/>
      <c r="N1" s="26"/>
    </row>
    <row r="4" spans="1:29">
      <c r="B4" s="131"/>
      <c r="C4" s="131"/>
      <c r="D4" s="131"/>
      <c r="E4" s="131"/>
      <c r="G4" s="626"/>
      <c r="H4" s="131"/>
      <c r="I4" s="6"/>
      <c r="J4" s="625"/>
      <c r="K4" s="6"/>
      <c r="L4" s="131"/>
      <c r="M4" s="131"/>
      <c r="N4" s="131"/>
      <c r="O4" s="624"/>
      <c r="R4" s="130"/>
      <c r="S4" s="622"/>
      <c r="W4" s="131"/>
      <c r="X4" s="131"/>
    </row>
    <row r="5" spans="1:29" s="1527" customFormat="1" ht="39">
      <c r="B5" s="1528" t="s">
        <v>0</v>
      </c>
      <c r="C5" s="1529" t="s">
        <v>103</v>
      </c>
      <c r="D5" s="1528" t="s">
        <v>2</v>
      </c>
      <c r="E5" s="1528" t="s">
        <v>223</v>
      </c>
      <c r="F5" s="1528" t="s">
        <v>3</v>
      </c>
      <c r="G5" s="1530" t="s">
        <v>1166</v>
      </c>
      <c r="H5" s="1530" t="s">
        <v>28</v>
      </c>
      <c r="I5" s="1530" t="s">
        <v>36</v>
      </c>
      <c r="J5" s="1531" t="s">
        <v>235</v>
      </c>
      <c r="K5" s="1530" t="s">
        <v>38</v>
      </c>
      <c r="L5" s="1530" t="s">
        <v>22</v>
      </c>
      <c r="M5" s="1530" t="s">
        <v>44</v>
      </c>
      <c r="N5" s="1530" t="s">
        <v>94</v>
      </c>
      <c r="O5" s="1530" t="s">
        <v>236</v>
      </c>
      <c r="P5" s="1530" t="s">
        <v>4</v>
      </c>
      <c r="Q5" s="1530" t="s">
        <v>96</v>
      </c>
      <c r="R5" s="1530" t="s">
        <v>98</v>
      </c>
      <c r="S5" s="1530" t="s">
        <v>237</v>
      </c>
      <c r="T5" s="1530" t="s">
        <v>21</v>
      </c>
      <c r="U5" s="1530" t="s">
        <v>99</v>
      </c>
      <c r="V5" s="1530" t="s">
        <v>100</v>
      </c>
      <c r="W5" s="1530" t="s">
        <v>32</v>
      </c>
      <c r="X5" s="1530" t="s">
        <v>102</v>
      </c>
      <c r="Y5" s="1530" t="s">
        <v>31</v>
      </c>
      <c r="Z5" s="1530" t="s">
        <v>1160</v>
      </c>
      <c r="AA5" s="1530" t="s">
        <v>1161</v>
      </c>
      <c r="AB5" s="1530" t="s">
        <v>1162</v>
      </c>
      <c r="AC5" s="1530" t="s">
        <v>1163</v>
      </c>
    </row>
    <row r="6" spans="1:29" s="1532" customFormat="1">
      <c r="B6" s="1533" t="s">
        <v>1164</v>
      </c>
      <c r="C6" s="1533" t="s">
        <v>1167</v>
      </c>
      <c r="D6" s="1534" t="s">
        <v>621</v>
      </c>
      <c r="E6" s="1534"/>
      <c r="F6" s="1535"/>
      <c r="G6" s="1536"/>
      <c r="H6" s="1537"/>
      <c r="I6" s="1538"/>
      <c r="J6" s="1532">
        <v>1</v>
      </c>
      <c r="K6" s="1539"/>
      <c r="L6" s="1540"/>
      <c r="M6" s="1541"/>
      <c r="N6" s="1541"/>
      <c r="O6" s="1541"/>
      <c r="Q6" s="1541"/>
      <c r="R6" s="1541"/>
      <c r="S6" s="1541"/>
      <c r="T6" s="1542"/>
      <c r="U6" s="1541"/>
      <c r="V6" s="1541"/>
      <c r="W6" s="1543"/>
      <c r="X6" s="1544">
        <v>2025</v>
      </c>
      <c r="Y6" s="1545">
        <v>1</v>
      </c>
    </row>
    <row r="7" spans="1:29" s="1532" customFormat="1">
      <c r="B7" s="1534"/>
      <c r="C7" s="1534"/>
      <c r="D7" s="1546" t="s">
        <v>663</v>
      </c>
      <c r="E7" s="1534"/>
      <c r="F7" s="1534"/>
      <c r="G7" s="1538"/>
      <c r="H7" s="1537"/>
      <c r="I7" s="1538"/>
      <c r="K7" s="1539"/>
      <c r="L7" s="1541"/>
      <c r="M7" s="1541"/>
      <c r="N7" s="1541"/>
      <c r="O7" s="1541"/>
      <c r="P7" s="1541"/>
      <c r="Q7" s="1541"/>
      <c r="R7" s="1541"/>
      <c r="S7" s="1541"/>
      <c r="T7" s="1541"/>
      <c r="U7" s="1541"/>
      <c r="V7" s="1541"/>
      <c r="W7" s="1544"/>
      <c r="X7" s="1544"/>
      <c r="Y7" s="1535"/>
    </row>
    <row r="8" spans="1:29" s="1532" customFormat="1">
      <c r="B8" s="1534"/>
      <c r="C8" s="1534"/>
      <c r="D8" s="1546" t="s">
        <v>233</v>
      </c>
      <c r="E8" s="1534"/>
      <c r="F8" s="1534"/>
      <c r="G8" s="1538"/>
      <c r="H8" s="1537"/>
      <c r="I8" s="1538"/>
      <c r="K8" s="1539"/>
      <c r="L8" s="1541"/>
      <c r="M8" s="1541"/>
      <c r="N8" s="1541"/>
      <c r="O8" s="1541"/>
      <c r="P8" s="1541"/>
      <c r="Q8" s="1541"/>
      <c r="R8" s="1541"/>
      <c r="S8" s="1541"/>
      <c r="T8" s="1541"/>
      <c r="U8" s="1541"/>
      <c r="V8" s="1541"/>
      <c r="W8" s="1544"/>
      <c r="X8" s="1544"/>
      <c r="Y8" s="1535"/>
    </row>
    <row r="9" spans="1:29" s="1532" customFormat="1">
      <c r="B9" s="1534"/>
      <c r="C9" s="1534"/>
      <c r="D9" s="1546"/>
      <c r="E9" s="1547" t="s">
        <v>339</v>
      </c>
      <c r="F9" s="1547"/>
      <c r="G9" s="1548">
        <f>'H2 matriz'!ET17</f>
        <v>9.5930232558139542E-3</v>
      </c>
      <c r="H9" s="1537"/>
      <c r="I9" s="1538"/>
      <c r="K9" s="1539"/>
      <c r="L9" s="1541"/>
      <c r="M9" s="1541"/>
      <c r="N9" s="1541"/>
      <c r="O9" s="1541"/>
      <c r="P9" s="1541"/>
      <c r="Q9" s="1541"/>
      <c r="R9" s="1541"/>
      <c r="S9" s="1541"/>
      <c r="T9" s="1541"/>
      <c r="U9" s="1541"/>
      <c r="V9" s="1541"/>
      <c r="W9" s="1544"/>
      <c r="X9" s="1544"/>
      <c r="Y9" s="1535"/>
    </row>
    <row r="10" spans="1:29" s="1532" customFormat="1">
      <c r="B10" s="1534"/>
      <c r="C10" s="1534"/>
      <c r="D10" s="1535"/>
      <c r="E10" s="1534"/>
      <c r="F10" s="1534" t="s">
        <v>633</v>
      </c>
      <c r="G10" s="1535"/>
      <c r="H10" s="1541"/>
      <c r="I10" s="1535"/>
      <c r="K10" s="1539"/>
      <c r="L10" s="1541"/>
      <c r="M10" s="1541"/>
      <c r="N10" s="1541"/>
      <c r="O10" s="1541"/>
      <c r="P10" s="1541"/>
      <c r="Q10" s="1541"/>
      <c r="R10" s="1541"/>
      <c r="S10" s="1541"/>
      <c r="T10" s="1541"/>
      <c r="U10" s="1541"/>
      <c r="V10" s="1541"/>
      <c r="W10" s="1544"/>
      <c r="X10" s="1544"/>
      <c r="Y10" s="1535"/>
      <c r="AA10" s="1532">
        <f>(32.5*0.94)/((32.56*0.94)+(10.05*0.06))</f>
        <v>0.9788717501778309</v>
      </c>
    </row>
    <row r="11" spans="1:29" s="1532" customFormat="1">
      <c r="B11" s="1534"/>
      <c r="C11" s="1534"/>
      <c r="D11" s="1535"/>
      <c r="E11" s="1534"/>
      <c r="F11" s="1534" t="s">
        <v>615</v>
      </c>
      <c r="G11" s="1535"/>
      <c r="H11" s="1541"/>
      <c r="I11" s="1535"/>
      <c r="K11" s="1539"/>
      <c r="L11" s="1541"/>
      <c r="M11" s="1541"/>
      <c r="N11" s="1541"/>
      <c r="O11" s="1541"/>
      <c r="P11" s="1541"/>
      <c r="Q11" s="1541"/>
      <c r="R11" s="1541"/>
      <c r="S11" s="1541"/>
      <c r="T11" s="1541"/>
      <c r="U11" s="1541"/>
      <c r="V11" s="1541"/>
      <c r="W11" s="1544"/>
      <c r="X11" s="1544"/>
      <c r="Y11" s="1535"/>
      <c r="AB11" s="1532">
        <f>(32.5*0.9)/((32.56*0.9)+(10.05*0.1))</f>
        <v>0.96505988320300895</v>
      </c>
    </row>
    <row r="12" spans="1:29" s="1532" customFormat="1">
      <c r="B12" s="1534"/>
      <c r="C12" s="1534"/>
      <c r="D12" s="1535"/>
      <c r="E12" s="1534"/>
      <c r="F12" s="1534" t="s">
        <v>616</v>
      </c>
      <c r="G12" s="1535"/>
      <c r="H12" s="1541"/>
      <c r="I12" s="1535"/>
      <c r="K12" s="1539"/>
      <c r="L12" s="1541"/>
      <c r="M12" s="1541"/>
      <c r="N12" s="1541"/>
      <c r="O12" s="1541"/>
      <c r="P12" s="1541"/>
      <c r="Q12" s="1541"/>
      <c r="R12" s="1541"/>
      <c r="S12" s="1541"/>
      <c r="T12" s="1541"/>
      <c r="U12" s="1541"/>
      <c r="V12" s="1541"/>
      <c r="W12" s="1544"/>
      <c r="X12" s="1544"/>
      <c r="Y12" s="1535"/>
      <c r="AC12" s="1532">
        <f>(32.5*0.8)/((32.56*0.8)+(10.05*0.2))</f>
        <v>0.92665193527692624</v>
      </c>
    </row>
    <row r="13" spans="1:29" s="1532" customFormat="1">
      <c r="B13" s="1534"/>
      <c r="C13" s="1534"/>
      <c r="D13" s="1535"/>
      <c r="E13" s="1534"/>
      <c r="H13" s="1541"/>
      <c r="I13" s="1535"/>
      <c r="K13" s="1539"/>
      <c r="L13" s="1541"/>
      <c r="M13" s="1541"/>
      <c r="N13" s="1541"/>
      <c r="O13" s="1541"/>
      <c r="P13" s="1541"/>
      <c r="Q13" s="1541"/>
      <c r="R13" s="1541"/>
      <c r="S13" s="1541"/>
      <c r="T13" s="1541"/>
      <c r="U13" s="1541"/>
      <c r="V13" s="1541"/>
      <c r="W13" s="1544"/>
      <c r="X13" s="1544"/>
      <c r="Y13" s="1535"/>
    </row>
    <row r="14" spans="1:29" s="653" customFormat="1">
      <c r="B14" s="692"/>
      <c r="C14" s="692"/>
      <c r="D14" s="633"/>
      <c r="E14" s="692"/>
      <c r="F14" s="692"/>
      <c r="H14" s="676"/>
      <c r="I14" s="633"/>
      <c r="J14" s="633"/>
      <c r="K14" s="694"/>
      <c r="L14" s="676"/>
      <c r="M14" s="676"/>
      <c r="N14" s="676"/>
      <c r="O14" s="676"/>
      <c r="P14" s="676"/>
      <c r="Q14" s="676"/>
      <c r="R14" s="676"/>
      <c r="S14" s="676"/>
      <c r="T14" s="676"/>
      <c r="U14" s="676"/>
      <c r="V14" s="676"/>
      <c r="W14" s="677"/>
      <c r="X14" s="677"/>
      <c r="Y14" s="633"/>
      <c r="AA14" s="274"/>
    </row>
    <row r="15" spans="1:29" s="653" customFormat="1">
      <c r="B15" s="692"/>
      <c r="C15" s="692"/>
      <c r="D15" s="633"/>
      <c r="E15" s="692"/>
      <c r="F15" s="692"/>
      <c r="H15" s="676"/>
      <c r="I15" s="633"/>
      <c r="J15" s="633"/>
      <c r="K15" s="694"/>
      <c r="L15" s="676"/>
      <c r="M15" s="676"/>
      <c r="N15" s="676"/>
      <c r="O15" s="676"/>
      <c r="P15" s="676"/>
      <c r="Q15" s="676"/>
      <c r="R15" s="676"/>
      <c r="S15" s="676"/>
      <c r="T15" s="676"/>
      <c r="U15" s="676"/>
      <c r="V15" s="676"/>
      <c r="W15" s="677"/>
      <c r="X15" s="677"/>
      <c r="Y15" s="633"/>
      <c r="AA15" s="274"/>
    </row>
    <row r="16" spans="1:29" s="653" customFormat="1" ht="19.5" customHeight="1">
      <c r="B16" s="692"/>
      <c r="C16" s="692"/>
      <c r="D16" s="692"/>
      <c r="E16" s="692"/>
      <c r="F16" s="697"/>
      <c r="G16" s="676"/>
      <c r="H16" s="693"/>
      <c r="I16" s="693"/>
      <c r="J16" s="694"/>
      <c r="K16" s="676"/>
      <c r="L16" s="676"/>
      <c r="M16" s="676"/>
      <c r="N16" s="676"/>
      <c r="O16" s="676"/>
      <c r="P16" s="676"/>
      <c r="Q16" s="676"/>
      <c r="R16" s="676"/>
      <c r="S16" s="676"/>
      <c r="T16" s="676"/>
      <c r="U16" s="676"/>
      <c r="V16" s="677"/>
      <c r="W16" s="677"/>
      <c r="X16" s="633"/>
      <c r="Z16" s="274"/>
    </row>
    <row r="17" spans="2:27" s="622" customFormat="1">
      <c r="B17" s="624"/>
      <c r="C17" s="624"/>
      <c r="D17" s="624"/>
      <c r="E17" s="624"/>
      <c r="F17" s="626" t="s">
        <v>556</v>
      </c>
      <c r="G17" s="624"/>
      <c r="H17" s="625"/>
      <c r="I17" s="625"/>
      <c r="J17" s="625"/>
      <c r="K17" s="624"/>
      <c r="L17" s="624"/>
      <c r="M17" s="624"/>
      <c r="N17" s="624"/>
      <c r="V17" s="624"/>
      <c r="W17" s="624"/>
    </row>
    <row r="18" spans="2:27" s="622" customFormat="1" ht="39">
      <c r="B18" s="623" t="s">
        <v>0</v>
      </c>
      <c r="C18" s="636" t="s">
        <v>103</v>
      </c>
      <c r="D18" s="623" t="s">
        <v>2</v>
      </c>
      <c r="E18" s="623" t="s">
        <v>223</v>
      </c>
      <c r="F18" s="623" t="s">
        <v>3</v>
      </c>
      <c r="G18" s="40" t="s">
        <v>28</v>
      </c>
      <c r="H18" s="40" t="s">
        <v>36</v>
      </c>
      <c r="I18" s="40" t="s">
        <v>235</v>
      </c>
      <c r="J18" s="40" t="s">
        <v>38</v>
      </c>
      <c r="K18" s="40" t="s">
        <v>22</v>
      </c>
      <c r="L18" s="40" t="s">
        <v>44</v>
      </c>
      <c r="M18" s="40" t="s">
        <v>94</v>
      </c>
      <c r="N18" s="40" t="s">
        <v>236</v>
      </c>
      <c r="O18" s="40" t="s">
        <v>4</v>
      </c>
      <c r="P18" s="40" t="s">
        <v>96</v>
      </c>
      <c r="Q18" s="40" t="s">
        <v>98</v>
      </c>
      <c r="R18" s="40" t="s">
        <v>237</v>
      </c>
      <c r="S18" s="40" t="s">
        <v>21</v>
      </c>
      <c r="T18" s="40" t="s">
        <v>99</v>
      </c>
      <c r="U18" s="40" t="s">
        <v>100</v>
      </c>
      <c r="V18" s="40" t="s">
        <v>32</v>
      </c>
      <c r="W18" s="40" t="s">
        <v>102</v>
      </c>
      <c r="X18" s="40" t="s">
        <v>31</v>
      </c>
      <c r="Y18" s="40" t="s">
        <v>1028</v>
      </c>
      <c r="Z18" s="40"/>
      <c r="AA18" s="40"/>
    </row>
    <row r="19" spans="2:27" s="622" customFormat="1" ht="26">
      <c r="B19" s="217" t="s">
        <v>25</v>
      </c>
      <c r="C19" s="217" t="s">
        <v>15</v>
      </c>
      <c r="D19" s="217" t="s">
        <v>19</v>
      </c>
      <c r="E19" s="217"/>
      <c r="F19" s="217" t="s">
        <v>20</v>
      </c>
      <c r="G19" s="218"/>
      <c r="I19" s="218"/>
      <c r="K19" s="218" t="s">
        <v>397</v>
      </c>
      <c r="L19" s="218" t="s">
        <v>397</v>
      </c>
      <c r="M19" s="218" t="s">
        <v>397</v>
      </c>
      <c r="N19" s="218" t="s">
        <v>397</v>
      </c>
      <c r="O19" s="218" t="s">
        <v>397</v>
      </c>
      <c r="P19" s="218" t="s">
        <v>397</v>
      </c>
      <c r="Q19" s="218" t="s">
        <v>397</v>
      </c>
      <c r="R19" s="218" t="s">
        <v>397</v>
      </c>
      <c r="S19" s="218" t="s">
        <v>35</v>
      </c>
      <c r="T19" s="218" t="s">
        <v>35</v>
      </c>
      <c r="U19" s="218" t="s">
        <v>35</v>
      </c>
      <c r="V19" s="218" t="s">
        <v>34</v>
      </c>
      <c r="W19" s="218"/>
      <c r="X19" s="218"/>
      <c r="Y19" s="218"/>
    </row>
    <row r="20" spans="2:27" s="653" customFormat="1">
      <c r="B20" s="274" t="s">
        <v>632</v>
      </c>
      <c r="C20" s="274" t="s">
        <v>631</v>
      </c>
      <c r="D20" s="692" t="s">
        <v>621</v>
      </c>
      <c r="E20" s="692"/>
      <c r="F20" s="633"/>
      <c r="G20" s="297"/>
      <c r="I20" s="1216">
        <v>1</v>
      </c>
      <c r="K20" s="694"/>
      <c r="M20" s="676"/>
      <c r="N20" s="676"/>
      <c r="O20" s="676"/>
      <c r="P20" s="402"/>
      <c r="Q20" s="676"/>
      <c r="R20" s="676"/>
      <c r="S20" s="676"/>
      <c r="T20" s="457">
        <f>'H2 matriz'!DP18*0.19</f>
        <v>0.21714285714285714</v>
      </c>
      <c r="U20" s="676"/>
      <c r="V20" s="439">
        <v>50</v>
      </c>
      <c r="W20" s="677">
        <v>2025</v>
      </c>
      <c r="X20" s="653">
        <v>1</v>
      </c>
      <c r="Y20" s="653">
        <f>(32.5*0.94)/((32.56*0.94)+(10.05*0.06))</f>
        <v>0.9788717501778309</v>
      </c>
    </row>
    <row r="21" spans="2:27" s="139" customFormat="1">
      <c r="B21" s="293"/>
      <c r="C21" s="293"/>
      <c r="D21" s="298" t="s">
        <v>663</v>
      </c>
      <c r="E21" s="293"/>
      <c r="F21" s="293"/>
      <c r="G21" s="696"/>
      <c r="I21" s="693"/>
      <c r="K21" s="295"/>
      <c r="L21" s="233"/>
      <c r="M21" s="233"/>
      <c r="N21" s="233"/>
      <c r="O21" s="676"/>
      <c r="P21" s="233"/>
      <c r="Q21" s="233"/>
      <c r="R21" s="233"/>
      <c r="S21" s="676"/>
      <c r="T21" s="233"/>
      <c r="U21" s="233"/>
      <c r="V21" s="234"/>
      <c r="W21" s="234"/>
    </row>
    <row r="22" spans="2:27" s="653" customFormat="1">
      <c r="B22" s="692"/>
      <c r="C22" s="692"/>
      <c r="D22" s="697" t="s">
        <v>233</v>
      </c>
      <c r="E22" s="692"/>
      <c r="F22" s="692"/>
      <c r="G22" s="139"/>
      <c r="I22" s="693"/>
      <c r="K22" s="694"/>
      <c r="L22" s="676"/>
      <c r="M22" s="676"/>
      <c r="N22" s="676"/>
      <c r="O22" s="676"/>
      <c r="P22" s="676"/>
      <c r="Q22" s="676"/>
      <c r="R22" s="676"/>
      <c r="S22" s="676"/>
      <c r="T22" s="676"/>
      <c r="U22" s="676"/>
      <c r="V22" s="677"/>
      <c r="W22" s="677"/>
    </row>
    <row r="23" spans="2:27" s="139" customFormat="1">
      <c r="B23" s="293"/>
      <c r="C23" s="293"/>
      <c r="D23" s="22"/>
      <c r="E23" s="293" t="s">
        <v>339</v>
      </c>
      <c r="F23" s="293"/>
      <c r="G23" s="1378">
        <f>'H2 matriz'!ET18</f>
        <v>1.0997441860465116E-2</v>
      </c>
      <c r="I23" s="633"/>
      <c r="K23" s="295"/>
      <c r="L23" s="233"/>
      <c r="M23" s="233"/>
      <c r="N23" s="233"/>
      <c r="O23" s="676"/>
      <c r="P23" s="233"/>
      <c r="Q23" s="233"/>
      <c r="R23" s="233"/>
      <c r="S23" s="676"/>
      <c r="T23" s="233"/>
      <c r="U23" s="233"/>
      <c r="V23" s="234"/>
      <c r="W23" s="234"/>
      <c r="AA23" s="274"/>
    </row>
    <row r="24" spans="2:27" s="139" customFormat="1">
      <c r="B24" s="293"/>
      <c r="C24" s="293"/>
      <c r="D24" s="293"/>
      <c r="E24" s="293"/>
      <c r="F24" s="298" t="s">
        <v>633</v>
      </c>
      <c r="G24" s="233"/>
      <c r="I24" s="693"/>
      <c r="K24" s="295"/>
      <c r="L24" s="233"/>
      <c r="M24" s="233"/>
      <c r="N24" s="233"/>
      <c r="O24" s="676"/>
      <c r="P24" s="233"/>
      <c r="Q24" s="233"/>
      <c r="R24" s="233"/>
      <c r="S24" s="676"/>
      <c r="T24" s="233"/>
      <c r="U24" s="233"/>
      <c r="V24" s="234"/>
      <c r="W24" s="234"/>
      <c r="AA24" s="274"/>
    </row>
    <row r="25" spans="2:27" s="334" customFormat="1">
      <c r="B25" s="1217" t="s">
        <v>642</v>
      </c>
      <c r="C25" s="1217" t="s">
        <v>617</v>
      </c>
      <c r="D25" s="1218" t="s">
        <v>621</v>
      </c>
      <c r="E25" s="1218"/>
      <c r="F25" s="1227"/>
      <c r="G25" s="1219"/>
      <c r="I25" s="1221">
        <v>1</v>
      </c>
      <c r="K25" s="1222"/>
      <c r="L25" s="1223"/>
      <c r="M25" s="1223"/>
      <c r="N25" s="1223"/>
      <c r="O25" s="1223"/>
      <c r="P25" s="1424"/>
      <c r="Q25" s="1223"/>
      <c r="R25" s="1223"/>
      <c r="S25" s="1223"/>
      <c r="T25" s="1224">
        <f>'H2 matriz'!DP19*0.19</f>
        <v>0.38805803571428577</v>
      </c>
      <c r="U25" s="1223"/>
      <c r="V25" s="1225">
        <v>50</v>
      </c>
      <c r="W25" s="1226">
        <v>2025</v>
      </c>
      <c r="X25" s="334">
        <v>1</v>
      </c>
      <c r="Y25" s="653">
        <f>(32.5*0.9)/((32.56*0.9)+(10.05*0.1))</f>
        <v>0.96505988320300895</v>
      </c>
    </row>
    <row r="26" spans="2:27" s="334" customFormat="1">
      <c r="B26" s="1218"/>
      <c r="C26" s="1218"/>
      <c r="D26" s="841" t="s">
        <v>663</v>
      </c>
      <c r="E26" s="1218"/>
      <c r="F26" s="1218"/>
      <c r="G26" s="1219"/>
      <c r="I26" s="1220"/>
      <c r="K26" s="1222"/>
      <c r="L26" s="1223"/>
      <c r="M26" s="1223"/>
      <c r="N26" s="1223"/>
      <c r="O26" s="1223"/>
      <c r="P26" s="1223"/>
      <c r="Q26" s="1223"/>
      <c r="R26" s="1223"/>
      <c r="S26" s="1223"/>
      <c r="T26" s="1223"/>
      <c r="U26" s="1223"/>
      <c r="V26" s="1226"/>
      <c r="W26" s="1226"/>
    </row>
    <row r="27" spans="2:27" s="334" customFormat="1">
      <c r="B27" s="1218"/>
      <c r="C27" s="1218"/>
      <c r="D27" s="841" t="s">
        <v>233</v>
      </c>
      <c r="E27" s="1218"/>
      <c r="F27" s="1218"/>
      <c r="G27" s="1219"/>
      <c r="I27" s="1220"/>
      <c r="K27" s="1222"/>
      <c r="L27" s="1223"/>
      <c r="M27" s="1223"/>
      <c r="N27" s="1223"/>
      <c r="O27" s="1223"/>
      <c r="P27" s="1223"/>
      <c r="Q27" s="1223"/>
      <c r="R27" s="1223"/>
      <c r="S27" s="1223"/>
      <c r="T27" s="1223"/>
      <c r="U27" s="1223"/>
      <c r="V27" s="1226"/>
      <c r="W27" s="1226"/>
    </row>
    <row r="28" spans="2:27" s="334" customFormat="1">
      <c r="B28" s="1218"/>
      <c r="C28" s="1218"/>
      <c r="D28" s="1227"/>
      <c r="E28" s="1218" t="s">
        <v>339</v>
      </c>
      <c r="F28" s="1218"/>
      <c r="G28" s="1379">
        <f>'H2 matriz'!ET19</f>
        <v>1.1933720930232559E-2</v>
      </c>
      <c r="I28" s="1227"/>
      <c r="K28" s="1222"/>
      <c r="L28" s="1223"/>
      <c r="M28" s="1223"/>
      <c r="N28" s="1223"/>
      <c r="O28" s="1223"/>
      <c r="P28" s="1223"/>
      <c r="Q28" s="1223"/>
      <c r="R28" s="1223"/>
      <c r="S28" s="1223"/>
      <c r="T28" s="1223"/>
      <c r="U28" s="1223"/>
      <c r="V28" s="1226"/>
      <c r="W28" s="1226"/>
      <c r="AA28" s="1217"/>
    </row>
    <row r="29" spans="2:27" s="334" customFormat="1">
      <c r="B29" s="1218"/>
      <c r="C29" s="1218"/>
      <c r="D29" s="1227"/>
      <c r="E29" s="1218"/>
      <c r="F29" s="841" t="s">
        <v>615</v>
      </c>
      <c r="G29" s="1223"/>
      <c r="I29" s="1220"/>
      <c r="K29" s="1222"/>
      <c r="L29" s="1223"/>
      <c r="M29" s="1223"/>
      <c r="N29" s="1223"/>
      <c r="O29" s="1223"/>
      <c r="P29" s="1223"/>
      <c r="Q29" s="1223"/>
      <c r="R29" s="1223"/>
      <c r="S29" s="1223"/>
      <c r="T29" s="1223"/>
      <c r="U29" s="1223"/>
      <c r="V29" s="1226"/>
      <c r="W29" s="1226"/>
      <c r="AA29" s="1217"/>
    </row>
    <row r="30" spans="2:27" s="139" customFormat="1">
      <c r="B30" s="692" t="s">
        <v>614</v>
      </c>
      <c r="C30" s="692" t="s">
        <v>618</v>
      </c>
      <c r="D30" s="293" t="s">
        <v>621</v>
      </c>
      <c r="E30" s="293"/>
      <c r="F30" s="22"/>
      <c r="G30" s="297"/>
      <c r="I30" s="1216">
        <v>1</v>
      </c>
      <c r="K30" s="295"/>
      <c r="L30" s="402"/>
      <c r="M30" s="233"/>
      <c r="N30" s="233"/>
      <c r="O30" s="676"/>
      <c r="P30" s="1425"/>
      <c r="Q30" s="233"/>
      <c r="R30" s="233"/>
      <c r="S30" s="676"/>
      <c r="T30" s="457">
        <f>'H2 matriz'!DP20*0.19</f>
        <v>0.4656696428571428</v>
      </c>
      <c r="U30" s="233"/>
      <c r="V30" s="439">
        <v>50</v>
      </c>
      <c r="W30" s="234">
        <v>2025</v>
      </c>
      <c r="X30" s="139">
        <v>1</v>
      </c>
      <c r="Y30" s="653">
        <f>(32.5*0.8)/((32.56*0.8)+(10.05*0.2))</f>
        <v>0.92665193527692624</v>
      </c>
    </row>
    <row r="31" spans="2:27" s="139" customFormat="1">
      <c r="B31" s="274"/>
      <c r="C31" s="274"/>
      <c r="D31" s="298" t="s">
        <v>663</v>
      </c>
      <c r="E31" s="293"/>
      <c r="F31" s="293"/>
      <c r="G31" s="297"/>
      <c r="I31" s="693"/>
      <c r="K31" s="295"/>
      <c r="L31" s="233"/>
      <c r="M31" s="233"/>
      <c r="N31" s="233"/>
      <c r="O31" s="676"/>
      <c r="P31" s="233"/>
      <c r="Q31" s="233"/>
      <c r="R31" s="233"/>
      <c r="S31" s="676"/>
      <c r="T31" s="233"/>
      <c r="U31" s="233"/>
      <c r="V31" s="233"/>
      <c r="W31" s="234"/>
      <c r="X31" s="234"/>
      <c r="Y31" s="22"/>
    </row>
    <row r="32" spans="2:27" s="653" customFormat="1">
      <c r="B32" s="692"/>
      <c r="C32" s="692"/>
      <c r="D32" s="697" t="s">
        <v>233</v>
      </c>
      <c r="E32" s="692"/>
      <c r="F32" s="692"/>
      <c r="G32" s="696"/>
      <c r="I32" s="693"/>
      <c r="K32" s="694"/>
      <c r="L32" s="676"/>
      <c r="M32" s="676"/>
      <c r="N32" s="676"/>
      <c r="O32" s="676"/>
      <c r="P32" s="676"/>
      <c r="Q32" s="676"/>
      <c r="R32" s="676"/>
      <c r="S32" s="676"/>
      <c r="T32" s="676"/>
      <c r="U32" s="676"/>
      <c r="V32" s="676"/>
      <c r="W32" s="677"/>
      <c r="X32" s="677"/>
      <c r="Y32" s="633"/>
    </row>
    <row r="33" spans="1:29" s="139" customFormat="1">
      <c r="B33" s="293"/>
      <c r="C33" s="293"/>
      <c r="D33" s="22"/>
      <c r="E33" s="293" t="s">
        <v>339</v>
      </c>
      <c r="F33" s="293"/>
      <c r="G33" s="1378">
        <f>'H2 matriz'!ET20</f>
        <v>1.4274418604651165E-2</v>
      </c>
      <c r="I33" s="633"/>
      <c r="K33" s="295"/>
      <c r="L33" s="233"/>
      <c r="M33" s="233"/>
      <c r="N33" s="233"/>
      <c r="O33" s="676"/>
      <c r="P33" s="233"/>
      <c r="Q33" s="233"/>
      <c r="R33" s="233"/>
      <c r="S33" s="676"/>
      <c r="T33" s="233"/>
      <c r="U33" s="233"/>
      <c r="V33" s="233"/>
      <c r="W33" s="234"/>
      <c r="X33" s="234"/>
      <c r="Y33" s="22"/>
      <c r="AA33" s="274"/>
    </row>
    <row r="34" spans="1:29" s="139" customFormat="1" ht="19.5" customHeight="1">
      <c r="B34" s="293"/>
      <c r="C34" s="293"/>
      <c r="D34" s="293"/>
      <c r="E34" s="293"/>
      <c r="F34" s="298" t="s">
        <v>616</v>
      </c>
      <c r="I34" s="294"/>
      <c r="J34" s="693"/>
      <c r="K34" s="295"/>
      <c r="L34" s="233"/>
      <c r="M34" s="233"/>
      <c r="N34" s="233"/>
      <c r="O34" s="676"/>
      <c r="P34" s="233"/>
      <c r="Q34" s="233"/>
      <c r="R34" s="233"/>
      <c r="S34" s="676"/>
      <c r="T34" s="233"/>
      <c r="U34" s="233"/>
      <c r="V34" s="233"/>
      <c r="W34" s="234"/>
      <c r="X34" s="234"/>
      <c r="Y34" s="22"/>
      <c r="AA34" s="274"/>
    </row>
    <row r="35" spans="1:29" s="653" customFormat="1" ht="19.5" customHeight="1">
      <c r="B35" s="692"/>
      <c r="C35" s="692"/>
      <c r="D35" s="692"/>
      <c r="E35" s="692"/>
      <c r="F35" s="697"/>
      <c r="G35" s="676"/>
      <c r="H35" s="693"/>
      <c r="I35" s="693"/>
      <c r="J35" s="694"/>
      <c r="K35" s="676"/>
      <c r="L35" s="676"/>
      <c r="M35" s="676"/>
      <c r="N35" s="676"/>
      <c r="O35" s="676"/>
      <c r="P35" s="676"/>
      <c r="Q35" s="676"/>
      <c r="R35" s="676"/>
      <c r="S35" s="676"/>
      <c r="T35" s="676"/>
      <c r="U35" s="676"/>
      <c r="V35" s="677"/>
      <c r="W35" s="677"/>
      <c r="X35" s="633"/>
      <c r="Z35" s="274"/>
    </row>
    <row r="36" spans="1:29" s="622" customFormat="1">
      <c r="B36" s="624"/>
      <c r="C36" s="624"/>
      <c r="D36" s="624"/>
      <c r="E36" s="624"/>
      <c r="F36" s="626" t="s">
        <v>556</v>
      </c>
      <c r="G36" s="624"/>
      <c r="H36" s="625"/>
      <c r="I36" s="625"/>
      <c r="J36" s="625"/>
      <c r="K36" s="624"/>
      <c r="L36" s="624"/>
      <c r="M36" s="624"/>
      <c r="N36" s="624"/>
      <c r="V36" s="624"/>
      <c r="W36" s="624"/>
    </row>
    <row r="37" spans="1:29" s="622" customFormat="1" ht="39">
      <c r="B37" s="623" t="s">
        <v>0</v>
      </c>
      <c r="C37" s="636" t="s">
        <v>103</v>
      </c>
      <c r="D37" s="623" t="s">
        <v>2</v>
      </c>
      <c r="E37" s="623" t="s">
        <v>223</v>
      </c>
      <c r="F37" s="623" t="s">
        <v>3</v>
      </c>
      <c r="G37" s="40" t="s">
        <v>28</v>
      </c>
      <c r="H37" s="40" t="s">
        <v>36</v>
      </c>
      <c r="I37" s="40" t="s">
        <v>235</v>
      </c>
      <c r="J37" s="40" t="s">
        <v>38</v>
      </c>
      <c r="K37" s="40" t="s">
        <v>22</v>
      </c>
      <c r="L37" s="40" t="s">
        <v>44</v>
      </c>
      <c r="M37" s="40" t="s">
        <v>94</v>
      </c>
      <c r="N37" s="40" t="s">
        <v>236</v>
      </c>
      <c r="O37" s="40" t="s">
        <v>4</v>
      </c>
      <c r="P37" s="40" t="s">
        <v>96</v>
      </c>
      <c r="Q37" s="40" t="s">
        <v>98</v>
      </c>
      <c r="R37" s="40" t="s">
        <v>237</v>
      </c>
      <c r="S37" s="40" t="s">
        <v>21</v>
      </c>
      <c r="T37" s="40" t="s">
        <v>99</v>
      </c>
      <c r="U37" s="40" t="s">
        <v>100</v>
      </c>
      <c r="V37" s="40" t="s">
        <v>32</v>
      </c>
      <c r="W37" s="40" t="s">
        <v>102</v>
      </c>
      <c r="X37" s="40" t="s">
        <v>31</v>
      </c>
      <c r="Y37" s="40" t="s">
        <v>1030</v>
      </c>
      <c r="Z37" s="40" t="s">
        <v>1154</v>
      </c>
      <c r="AA37" s="40" t="s">
        <v>1153</v>
      </c>
      <c r="AB37" s="40"/>
      <c r="AC37" s="40"/>
    </row>
    <row r="38" spans="1:29" s="622" customFormat="1" ht="26">
      <c r="B38" s="217" t="s">
        <v>25</v>
      </c>
      <c r="C38" s="217" t="s">
        <v>15</v>
      </c>
      <c r="D38" s="217" t="s">
        <v>19</v>
      </c>
      <c r="E38" s="217"/>
      <c r="F38" s="217" t="s">
        <v>20</v>
      </c>
      <c r="G38" s="218"/>
      <c r="H38" s="218"/>
      <c r="I38" s="218"/>
      <c r="J38" s="218"/>
      <c r="K38" s="218" t="s">
        <v>397</v>
      </c>
      <c r="L38" s="218" t="s">
        <v>397</v>
      </c>
      <c r="M38" s="218" t="s">
        <v>397</v>
      </c>
      <c r="N38" s="218" t="s">
        <v>397</v>
      </c>
      <c r="O38" s="218" t="s">
        <v>397</v>
      </c>
      <c r="P38" s="218" t="s">
        <v>397</v>
      </c>
      <c r="Q38" s="218" t="s">
        <v>397</v>
      </c>
      <c r="R38" s="218" t="s">
        <v>397</v>
      </c>
      <c r="S38" s="218" t="s">
        <v>35</v>
      </c>
      <c r="T38" s="218" t="s">
        <v>35</v>
      </c>
      <c r="U38" s="218" t="s">
        <v>35</v>
      </c>
      <c r="V38" s="218" t="s">
        <v>34</v>
      </c>
      <c r="W38" s="218"/>
      <c r="X38" s="218"/>
      <c r="Y38" s="218"/>
    </row>
    <row r="39" spans="1:29" s="1563" customFormat="1">
      <c r="A39" s="1549" t="s">
        <v>605</v>
      </c>
      <c r="B39" s="1550" t="s">
        <v>662</v>
      </c>
      <c r="C39" s="1550" t="s">
        <v>1314</v>
      </c>
      <c r="D39" s="1551" t="s">
        <v>663</v>
      </c>
      <c r="E39" s="1552"/>
      <c r="F39" s="1552"/>
      <c r="G39" s="1553"/>
      <c r="H39" s="1554"/>
      <c r="I39" s="1555">
        <v>1</v>
      </c>
      <c r="J39" s="1556"/>
      <c r="K39" s="1557"/>
      <c r="L39" s="1558"/>
      <c r="M39" s="1558"/>
      <c r="N39" s="1558"/>
      <c r="O39" s="1559"/>
      <c r="P39" s="1558"/>
      <c r="Q39" s="1558"/>
      <c r="R39" s="1558"/>
      <c r="S39" s="1557">
        <v>0.85451159082069239</v>
      </c>
      <c r="T39" s="1558"/>
      <c r="U39" s="1558"/>
      <c r="V39" s="1560">
        <v>50</v>
      </c>
      <c r="W39" s="1561">
        <v>2030</v>
      </c>
      <c r="X39" s="1562">
        <v>1</v>
      </c>
    </row>
    <row r="40" spans="1:29" s="1563" customFormat="1">
      <c r="A40" s="1549" t="s">
        <v>605</v>
      </c>
      <c r="B40" s="1550"/>
      <c r="C40" s="1550"/>
      <c r="D40" s="1551" t="s">
        <v>233</v>
      </c>
      <c r="E40" s="1552"/>
      <c r="F40" s="1552"/>
      <c r="G40" s="1553"/>
      <c r="H40" s="1554"/>
      <c r="I40" s="1554"/>
      <c r="J40" s="1556"/>
      <c r="K40" s="1557"/>
      <c r="L40" s="1558"/>
      <c r="M40" s="1558"/>
      <c r="N40" s="1558"/>
      <c r="O40" s="1564"/>
      <c r="P40" s="1558"/>
      <c r="Q40" s="1558"/>
      <c r="R40" s="1558"/>
      <c r="S40" s="1558"/>
      <c r="T40" s="1558"/>
      <c r="U40" s="1558"/>
      <c r="V40" s="1560"/>
      <c r="W40" s="1561"/>
      <c r="X40" s="1562"/>
    </row>
    <row r="41" spans="1:29" s="1563" customFormat="1">
      <c r="A41" s="1549" t="s">
        <v>605</v>
      </c>
      <c r="B41" s="1552"/>
      <c r="C41" s="1552"/>
      <c r="D41" s="1565"/>
      <c r="E41" s="1552" t="s">
        <v>339</v>
      </c>
      <c r="F41" s="1552"/>
      <c r="G41" s="1566">
        <f>'H2 matriz'!DX21</f>
        <v>3.3000000000000002E-2</v>
      </c>
      <c r="H41" s="1565"/>
      <c r="I41" s="1565"/>
      <c r="J41" s="1556"/>
      <c r="K41" s="1558"/>
      <c r="L41" s="1558"/>
      <c r="M41" s="1558"/>
      <c r="N41" s="1558"/>
      <c r="O41" s="1558"/>
      <c r="P41" s="1558"/>
      <c r="Q41" s="1558"/>
      <c r="R41" s="1558"/>
      <c r="S41" s="1558"/>
      <c r="T41" s="1558"/>
      <c r="U41" s="1558"/>
      <c r="V41" s="1561"/>
      <c r="W41" s="1561"/>
      <c r="X41" s="1565"/>
    </row>
    <row r="42" spans="1:29" s="1563" customFormat="1">
      <c r="A42" s="1549" t="s">
        <v>605</v>
      </c>
      <c r="B42" s="1552"/>
      <c r="C42" s="1552"/>
      <c r="D42" s="1552"/>
      <c r="E42" s="1552"/>
      <c r="F42" s="1551" t="s">
        <v>1311</v>
      </c>
      <c r="G42" s="1558"/>
      <c r="H42" s="1554"/>
      <c r="I42" s="1554"/>
      <c r="J42" s="1556"/>
      <c r="K42" s="1558"/>
      <c r="L42" s="1558"/>
      <c r="M42" s="1558"/>
      <c r="N42" s="1558"/>
      <c r="O42" s="1558"/>
      <c r="P42" s="1558"/>
      <c r="Q42" s="1558"/>
      <c r="R42" s="1558"/>
      <c r="S42" s="1558"/>
      <c r="T42" s="1558"/>
      <c r="U42" s="1558"/>
      <c r="V42" s="1561"/>
      <c r="W42" s="1561"/>
      <c r="X42" s="1565"/>
      <c r="Z42" s="1550"/>
    </row>
    <row r="43" spans="1:29" s="1580" customFormat="1">
      <c r="A43" s="1549" t="s">
        <v>605</v>
      </c>
      <c r="B43" s="1567" t="s">
        <v>1049</v>
      </c>
      <c r="C43" s="1567" t="s">
        <v>1315</v>
      </c>
      <c r="D43" s="1568" t="s">
        <v>663</v>
      </c>
      <c r="E43" s="1567"/>
      <c r="F43" s="1569"/>
      <c r="G43" s="1570"/>
      <c r="H43" s="1571"/>
      <c r="I43" s="1572">
        <v>0.99</v>
      </c>
      <c r="J43" s="1573"/>
      <c r="K43" s="1574"/>
      <c r="L43" s="1575"/>
      <c r="M43" s="1575"/>
      <c r="N43" s="1575"/>
      <c r="O43" s="1576"/>
      <c r="P43" s="1575"/>
      <c r="Q43" s="1575"/>
      <c r="R43" s="1575"/>
      <c r="S43" s="1557">
        <v>3.500210939323221</v>
      </c>
      <c r="T43" s="1575"/>
      <c r="U43" s="1575"/>
      <c r="V43" s="1577">
        <f>'H2 matriz'!DS22</f>
        <v>12</v>
      </c>
      <c r="W43" s="1578">
        <v>2025</v>
      </c>
      <c r="X43" s="1579">
        <v>1</v>
      </c>
      <c r="Y43" s="1570"/>
    </row>
    <row r="44" spans="1:29" s="1580" customFormat="1">
      <c r="A44" s="1549" t="s">
        <v>605</v>
      </c>
      <c r="B44" s="1581"/>
      <c r="C44" s="1581"/>
      <c r="D44" s="1568" t="s">
        <v>233</v>
      </c>
      <c r="E44" s="1567"/>
      <c r="F44" s="1567"/>
      <c r="G44" s="1570"/>
      <c r="H44" s="1571"/>
      <c r="I44" s="1571"/>
      <c r="J44" s="1573"/>
      <c r="K44" s="1575"/>
      <c r="L44" s="1575"/>
      <c r="M44" s="1575"/>
      <c r="N44" s="1575"/>
      <c r="O44" s="1575"/>
      <c r="P44" s="1575"/>
      <c r="Q44" s="1575"/>
      <c r="R44" s="1575"/>
      <c r="S44" s="1575"/>
      <c r="T44" s="1575"/>
      <c r="U44" s="1575"/>
      <c r="V44" s="1578"/>
      <c r="W44" s="1578"/>
      <c r="X44" s="1569"/>
    </row>
    <row r="45" spans="1:29" s="1580" customFormat="1">
      <c r="A45" s="1549" t="s">
        <v>605</v>
      </c>
      <c r="B45" s="1581"/>
      <c r="C45" s="1581"/>
      <c r="D45" s="1568"/>
      <c r="E45" s="1552" t="s">
        <v>339</v>
      </c>
      <c r="F45" s="1567"/>
      <c r="G45" s="1570">
        <f>'H2 matriz'!ER22</f>
        <v>1.6E-2</v>
      </c>
      <c r="H45" s="1571"/>
      <c r="I45" s="1571"/>
      <c r="J45" s="1573"/>
      <c r="K45" s="1575"/>
      <c r="L45" s="1575"/>
      <c r="M45" s="1575"/>
      <c r="N45" s="1575"/>
      <c r="O45" s="1575"/>
      <c r="P45" s="1575"/>
      <c r="Q45" s="1575"/>
      <c r="R45" s="1575"/>
      <c r="S45" s="1575"/>
      <c r="T45" s="1575"/>
      <c r="U45" s="1575"/>
      <c r="V45" s="1578"/>
      <c r="W45" s="1578"/>
      <c r="X45" s="1569"/>
    </row>
    <row r="46" spans="1:29" s="1580" customFormat="1" ht="19.5" customHeight="1">
      <c r="A46" s="1549" t="s">
        <v>605</v>
      </c>
      <c r="B46" s="1567"/>
      <c r="C46" s="1567"/>
      <c r="D46" s="1567"/>
      <c r="E46" s="1567"/>
      <c r="F46" s="1568" t="s">
        <v>1313</v>
      </c>
      <c r="G46" s="1575"/>
      <c r="H46" s="1571"/>
      <c r="I46" s="1571"/>
      <c r="J46" s="1573"/>
      <c r="K46" s="1575"/>
      <c r="L46" s="1575"/>
      <c r="M46" s="1575"/>
      <c r="N46" s="1575"/>
      <c r="O46" s="1575"/>
      <c r="P46" s="1575"/>
      <c r="Q46" s="1575"/>
      <c r="R46" s="1575"/>
      <c r="S46" s="1575"/>
      <c r="T46" s="1575"/>
      <c r="U46" s="1575"/>
      <c r="V46" s="1578"/>
      <c r="W46" s="1578"/>
      <c r="X46" s="1569"/>
      <c r="Z46" s="1581"/>
    </row>
    <row r="47" spans="1:29" s="331" customFormat="1">
      <c r="B47" s="1484" t="s">
        <v>1316</v>
      </c>
      <c r="C47" s="1484" t="s">
        <v>1317</v>
      </c>
      <c r="D47" s="1273" t="s">
        <v>663</v>
      </c>
      <c r="E47" s="1274"/>
      <c r="F47" s="1274"/>
      <c r="G47" s="1485"/>
      <c r="H47" s="1276"/>
      <c r="I47" s="1486">
        <v>1</v>
      </c>
      <c r="J47" s="1277"/>
      <c r="K47" s="1487">
        <f>'H2 matriz'!DL21</f>
        <v>0.82164576040451187</v>
      </c>
      <c r="L47" s="1279">
        <f>K47</f>
        <v>0.82164576040451187</v>
      </c>
      <c r="M47" s="1279">
        <f t="shared" ref="M47:N47" si="0">L47</f>
        <v>0.82164576040451187</v>
      </c>
      <c r="N47" s="1279">
        <f t="shared" si="0"/>
        <v>0.82164576040451187</v>
      </c>
      <c r="O47" s="1489">
        <f>K47*0.05</f>
        <v>4.1082288020225594E-2</v>
      </c>
      <c r="P47" s="1489">
        <f t="shared" ref="P47:R47" si="1">L47*0.05</f>
        <v>4.1082288020225594E-2</v>
      </c>
      <c r="Q47" s="1489">
        <f t="shared" si="1"/>
        <v>4.1082288020225594E-2</v>
      </c>
      <c r="R47" s="1489">
        <f t="shared" si="1"/>
        <v>4.1082288020225594E-2</v>
      </c>
      <c r="S47" s="1599">
        <f>0.19-O47</f>
        <v>0.14891771197977441</v>
      </c>
      <c r="T47" s="1279"/>
      <c r="U47" s="1279"/>
      <c r="V47" s="1487">
        <f>V39</f>
        <v>50</v>
      </c>
      <c r="W47" s="1487">
        <f>W39</f>
        <v>2030</v>
      </c>
      <c r="X47" s="1282">
        <v>1</v>
      </c>
    </row>
    <row r="48" spans="1:29" s="331" customFormat="1">
      <c r="B48" s="1484"/>
      <c r="C48" s="1484"/>
      <c r="D48" s="1273" t="s">
        <v>233</v>
      </c>
      <c r="E48" s="1274"/>
      <c r="F48" s="1274"/>
      <c r="G48" s="1485"/>
      <c r="H48" s="1276"/>
      <c r="I48" s="1276"/>
      <c r="J48" s="1277"/>
      <c r="K48" s="1487"/>
      <c r="L48" s="1279"/>
      <c r="M48" s="1279"/>
      <c r="N48" s="1279"/>
      <c r="O48" s="1489"/>
      <c r="P48" s="1279"/>
      <c r="Q48" s="1279"/>
      <c r="R48" s="1279"/>
      <c r="S48" s="1279"/>
      <c r="T48" s="1279"/>
      <c r="U48" s="1279"/>
      <c r="V48" s="1488"/>
      <c r="W48" s="1281"/>
      <c r="X48" s="1282"/>
    </row>
    <row r="49" spans="2:26" s="331" customFormat="1">
      <c r="B49" s="1274"/>
      <c r="C49" s="1274"/>
      <c r="D49" s="1275"/>
      <c r="E49" s="1274" t="s">
        <v>339</v>
      </c>
      <c r="F49" s="1274"/>
      <c r="G49" s="1490">
        <f>G41</f>
        <v>3.3000000000000002E-2</v>
      </c>
      <c r="H49" s="1275"/>
      <c r="I49" s="1275"/>
      <c r="J49" s="1277"/>
      <c r="K49" s="1279"/>
      <c r="L49" s="1279"/>
      <c r="M49" s="1279"/>
      <c r="N49" s="1279"/>
      <c r="O49" s="1279"/>
      <c r="P49" s="1279"/>
      <c r="Q49" s="1279"/>
      <c r="R49" s="1279"/>
      <c r="S49" s="1279"/>
      <c r="T49" s="1279"/>
      <c r="U49" s="1279"/>
      <c r="V49" s="1281"/>
      <c r="W49" s="1281"/>
      <c r="X49" s="1275"/>
    </row>
    <row r="50" spans="2:26" s="331" customFormat="1">
      <c r="B50" s="1274"/>
      <c r="C50" s="1274"/>
      <c r="D50" s="1274"/>
      <c r="E50" s="1274"/>
      <c r="F50" s="1273" t="s">
        <v>277</v>
      </c>
      <c r="G50" s="1279"/>
      <c r="H50" s="1276"/>
      <c r="I50" s="1276"/>
      <c r="J50" s="1277"/>
      <c r="K50" s="1279"/>
      <c r="L50" s="1279"/>
      <c r="M50" s="1279"/>
      <c r="N50" s="1279"/>
      <c r="O50" s="1279"/>
      <c r="P50" s="1279"/>
      <c r="Q50" s="1279"/>
      <c r="R50" s="1279"/>
      <c r="S50" s="1279"/>
      <c r="T50" s="1279"/>
      <c r="U50" s="1279"/>
      <c r="V50" s="1281"/>
      <c r="W50" s="1281"/>
      <c r="X50" s="1275"/>
      <c r="Z50" s="1484"/>
    </row>
    <row r="51" spans="2:26" s="1263" customFormat="1">
      <c r="B51" s="1266" t="s">
        <v>1312</v>
      </c>
      <c r="C51" s="1266" t="s">
        <v>1050</v>
      </c>
      <c r="D51" s="1265" t="s">
        <v>663</v>
      </c>
      <c r="E51" s="1266"/>
      <c r="F51" s="1267"/>
      <c r="G51" s="1477"/>
      <c r="H51" s="1478"/>
      <c r="I51" s="1479">
        <v>0.99</v>
      </c>
      <c r="J51" s="1268"/>
      <c r="K51" s="1480">
        <f>'H2 matriz'!DL22</f>
        <v>3.4315793522776676</v>
      </c>
      <c r="L51" s="328">
        <f>K51</f>
        <v>3.4315793522776676</v>
      </c>
      <c r="M51" s="328">
        <f t="shared" ref="M51:N51" si="2">L51</f>
        <v>3.4315793522776676</v>
      </c>
      <c r="N51" s="328">
        <f t="shared" si="2"/>
        <v>3.4315793522776676</v>
      </c>
      <c r="O51" s="1481">
        <f>K51*(0.07)</f>
        <v>0.24021055465943675</v>
      </c>
      <c r="P51" s="1481">
        <f t="shared" ref="P51:R51" si="3">L51*(0.06+0.02)</f>
        <v>0.27452634818221344</v>
      </c>
      <c r="Q51" s="1481">
        <f t="shared" si="3"/>
        <v>0.27452634818221344</v>
      </c>
      <c r="R51" s="1481">
        <f t="shared" si="3"/>
        <v>0.27452634818221344</v>
      </c>
      <c r="S51" s="1224">
        <f>O51*0.45</f>
        <v>0.10809474959674654</v>
      </c>
      <c r="T51" s="328"/>
      <c r="U51" s="328"/>
      <c r="V51" s="1480">
        <f>V43</f>
        <v>12</v>
      </c>
      <c r="W51" s="1270">
        <v>2025</v>
      </c>
      <c r="X51" s="1271">
        <v>1</v>
      </c>
      <c r="Y51" s="1477"/>
    </row>
    <row r="52" spans="2:26" s="1263" customFormat="1">
      <c r="B52" s="1482"/>
      <c r="C52" s="1482"/>
      <c r="D52" s="1265" t="s">
        <v>233</v>
      </c>
      <c r="E52" s="1266"/>
      <c r="F52" s="1266"/>
      <c r="G52" s="1477"/>
      <c r="H52" s="1478"/>
      <c r="I52" s="1478"/>
      <c r="J52" s="1268"/>
      <c r="K52" s="328"/>
      <c r="L52" s="328"/>
      <c r="M52" s="328"/>
      <c r="N52" s="328"/>
      <c r="O52" s="328"/>
      <c r="P52" s="328"/>
      <c r="Q52" s="328"/>
      <c r="R52" s="328"/>
      <c r="S52" s="328"/>
      <c r="T52" s="328"/>
      <c r="U52" s="328"/>
      <c r="V52" s="1270"/>
      <c r="W52" s="1270"/>
      <c r="X52" s="1267"/>
    </row>
    <row r="53" spans="2:26" s="1263" customFormat="1">
      <c r="B53" s="1482"/>
      <c r="C53" s="1482"/>
      <c r="D53" s="1265"/>
      <c r="E53" s="1266" t="s">
        <v>339</v>
      </c>
      <c r="F53" s="1266"/>
      <c r="G53" s="1477">
        <f>G45</f>
        <v>1.6E-2</v>
      </c>
      <c r="H53" s="1478"/>
      <c r="I53" s="1478"/>
      <c r="J53" s="1268"/>
      <c r="K53" s="328"/>
      <c r="L53" s="328"/>
      <c r="M53" s="328"/>
      <c r="N53" s="328"/>
      <c r="O53" s="328"/>
      <c r="P53" s="328"/>
      <c r="Q53" s="328"/>
      <c r="R53" s="328"/>
      <c r="S53" s="328"/>
      <c r="T53" s="328"/>
      <c r="U53" s="328"/>
      <c r="V53" s="1270"/>
      <c r="W53" s="1270"/>
      <c r="X53" s="1267"/>
    </row>
    <row r="54" spans="2:26" s="1263" customFormat="1" ht="19.5" customHeight="1">
      <c r="B54" s="1266"/>
      <c r="C54" s="1266"/>
      <c r="D54" s="1266"/>
      <c r="E54" s="1266"/>
      <c r="F54" s="1265" t="s">
        <v>1051</v>
      </c>
      <c r="G54" s="328"/>
      <c r="H54" s="1478"/>
      <c r="I54" s="1478"/>
      <c r="J54" s="1268"/>
      <c r="K54" s="328"/>
      <c r="L54" s="328"/>
      <c r="M54" s="328"/>
      <c r="N54" s="328"/>
      <c r="O54" s="328"/>
      <c r="P54" s="328"/>
      <c r="Q54" s="328"/>
      <c r="R54" s="328"/>
      <c r="S54" s="328"/>
      <c r="T54" s="328"/>
      <c r="U54" s="328"/>
      <c r="V54" s="1270"/>
      <c r="W54" s="1270"/>
      <c r="X54" s="1267"/>
      <c r="Z54" s="1482"/>
    </row>
    <row r="55" spans="2:26" s="653" customFormat="1" ht="19.5" customHeight="1">
      <c r="B55" s="692" t="s">
        <v>1321</v>
      </c>
      <c r="C55" s="653" t="s">
        <v>652</v>
      </c>
      <c r="D55" s="697" t="s">
        <v>1051</v>
      </c>
      <c r="E55" s="692"/>
      <c r="F55" s="697" t="s">
        <v>164</v>
      </c>
      <c r="G55" s="676"/>
      <c r="H55" s="693"/>
      <c r="I55" s="693">
        <f>'H2 matriz'!DT38</f>
        <v>0.995</v>
      </c>
      <c r="J55" s="694">
        <v>0.5</v>
      </c>
      <c r="L55" s="1279">
        <f>(1200+2100)/2*0.69</f>
        <v>1138.5</v>
      </c>
      <c r="M55" s="1279">
        <f>L55*0.6*0.69</f>
        <v>471.339</v>
      </c>
      <c r="N55" s="1279">
        <f>M55*0.3*0.69</f>
        <v>97.567172999999997</v>
      </c>
      <c r="P55" s="676">
        <f>L55*0.05</f>
        <v>56.925000000000004</v>
      </c>
      <c r="Q55" s="676">
        <f t="shared" ref="Q55:R55" si="4">M55*0.05</f>
        <v>23.566950000000002</v>
      </c>
      <c r="R55" s="676">
        <f t="shared" si="4"/>
        <v>4.87835865</v>
      </c>
      <c r="S55" s="676"/>
      <c r="T55" s="676"/>
      <c r="U55" s="676"/>
      <c r="V55" s="1491">
        <v>15</v>
      </c>
      <c r="W55" s="677">
        <v>2025</v>
      </c>
      <c r="X55" s="633">
        <f>900/1000000*365*0.11993*1000</f>
        <v>39.397005</v>
      </c>
      <c r="Z55" s="274"/>
    </row>
    <row r="56" spans="2:26" s="653" customFormat="1" ht="19.5" customHeight="1">
      <c r="B56" s="692"/>
      <c r="D56" s="697" t="str">
        <f>SUP_HS!D12</f>
        <v>SYNH2DTR</v>
      </c>
      <c r="E56" s="692"/>
      <c r="F56" s="697"/>
      <c r="G56" s="676"/>
      <c r="H56" s="693"/>
      <c r="I56" s="693"/>
      <c r="J56" s="694"/>
      <c r="L56" s="676"/>
      <c r="M56" s="676"/>
      <c r="N56" s="676"/>
      <c r="P56" s="676"/>
      <c r="Q56" s="676"/>
      <c r="R56" s="676"/>
      <c r="S56" s="676"/>
      <c r="T56" s="676"/>
      <c r="U56" s="676"/>
      <c r="V56" s="677"/>
      <c r="W56" s="677"/>
      <c r="X56" s="633"/>
      <c r="Z56" s="274"/>
    </row>
    <row r="57" spans="2:26" s="653" customFormat="1" ht="19.5" customHeight="1">
      <c r="B57" s="692"/>
      <c r="D57" s="697"/>
      <c r="E57" s="697" t="s">
        <v>339</v>
      </c>
      <c r="F57" s="697"/>
      <c r="G57" s="1262">
        <f>'H2 matriz'!ES56</f>
        <v>3.7355123822229636E-3</v>
      </c>
      <c r="H57" s="693"/>
      <c r="I57" s="693"/>
      <c r="J57" s="694"/>
      <c r="L57" s="676"/>
      <c r="M57" s="676"/>
      <c r="N57" s="676"/>
      <c r="P57" s="676"/>
      <c r="Q57" s="676"/>
      <c r="R57" s="676"/>
      <c r="S57" s="676"/>
      <c r="T57" s="676"/>
      <c r="U57" s="676"/>
      <c r="V57" s="677"/>
      <c r="W57" s="677"/>
      <c r="X57" s="633"/>
      <c r="Z57" s="274"/>
    </row>
    <row r="58" spans="2:26" s="1497" customFormat="1" ht="19.5" customHeight="1">
      <c r="B58" s="1498" t="s">
        <v>1322</v>
      </c>
      <c r="C58" s="1497" t="s">
        <v>652</v>
      </c>
      <c r="D58" s="1499" t="s">
        <v>1051</v>
      </c>
      <c r="E58" s="1498"/>
      <c r="F58" s="1499" t="s">
        <v>164</v>
      </c>
      <c r="G58" s="1500"/>
      <c r="H58" s="1501"/>
      <c r="I58" s="1501">
        <f>I55</f>
        <v>0.995</v>
      </c>
      <c r="J58" s="1502">
        <v>0.5</v>
      </c>
      <c r="L58" s="1500">
        <f>810*0.69</f>
        <v>558.9</v>
      </c>
      <c r="M58" s="1500">
        <f>L58*0.3</f>
        <v>167.67</v>
      </c>
      <c r="N58" s="1500">
        <f>M58*0.7</f>
        <v>117.36899999999999</v>
      </c>
      <c r="P58" s="1500">
        <f>L58*0.05</f>
        <v>27.945</v>
      </c>
      <c r="Q58" s="1500">
        <f t="shared" ref="Q58" si="5">M58*0.05</f>
        <v>8.3834999999999997</v>
      </c>
      <c r="R58" s="1500">
        <f t="shared" ref="R58" si="6">N58*0.05</f>
        <v>5.8684499999999993</v>
      </c>
      <c r="S58" s="1500"/>
      <c r="T58" s="1500"/>
      <c r="U58" s="1500"/>
      <c r="V58" s="1503">
        <v>15</v>
      </c>
      <c r="W58" s="1503">
        <v>2025</v>
      </c>
      <c r="X58" s="1504">
        <f>200/1000000*365*0.11993*1000</f>
        <v>8.7548900000000014</v>
      </c>
      <c r="Z58" s="1505"/>
    </row>
    <row r="59" spans="2:26" s="1497" customFormat="1" ht="19.5" customHeight="1">
      <c r="B59" s="1498"/>
      <c r="D59" s="1499" t="s">
        <v>526</v>
      </c>
      <c r="E59" s="1498"/>
      <c r="F59" s="1499"/>
      <c r="G59" s="1500"/>
      <c r="H59" s="1501"/>
      <c r="I59" s="1501"/>
      <c r="J59" s="1502"/>
      <c r="L59" s="1500"/>
      <c r="M59" s="1500"/>
      <c r="N59" s="1500"/>
      <c r="P59" s="1500"/>
      <c r="Q59" s="1500"/>
      <c r="R59" s="1500"/>
      <c r="S59" s="1500"/>
      <c r="T59" s="1500"/>
      <c r="U59" s="1500"/>
      <c r="V59" s="1503"/>
      <c r="W59" s="1503"/>
      <c r="X59" s="1504"/>
      <c r="Z59" s="1505"/>
    </row>
    <row r="60" spans="2:26" s="1497" customFormat="1" ht="19.5" customHeight="1">
      <c r="B60" s="1498"/>
      <c r="D60" s="1499"/>
      <c r="E60" s="1499" t="s">
        <v>339</v>
      </c>
      <c r="F60" s="1499"/>
      <c r="G60" s="1506">
        <f>G57</f>
        <v>3.7355123822229636E-3</v>
      </c>
      <c r="H60" s="1501"/>
      <c r="I60" s="1501"/>
      <c r="J60" s="1502"/>
      <c r="L60" s="1500"/>
      <c r="M60" s="1500"/>
      <c r="N60" s="1500"/>
      <c r="P60" s="1500"/>
      <c r="Q60" s="1500"/>
      <c r="R60" s="1500"/>
      <c r="S60" s="1500"/>
      <c r="T60" s="1500"/>
      <c r="U60" s="1500"/>
      <c r="V60" s="1503"/>
      <c r="W60" s="1503"/>
      <c r="X60" s="1504"/>
      <c r="Z60" s="1505"/>
    </row>
    <row r="61" spans="2:26" s="1507" customFormat="1" ht="19.5" customHeight="1">
      <c r="B61" s="1508" t="s">
        <v>1319</v>
      </c>
      <c r="C61" s="1507" t="s">
        <v>652</v>
      </c>
      <c r="D61" s="1509" t="s">
        <v>1051</v>
      </c>
      <c r="E61" s="1508"/>
      <c r="F61" s="1509" t="s">
        <v>164</v>
      </c>
      <c r="G61" s="1510"/>
      <c r="H61" s="1511"/>
      <c r="I61" s="1511">
        <f>I58</f>
        <v>0.995</v>
      </c>
      <c r="J61" s="1512">
        <v>0.5</v>
      </c>
      <c r="L61" s="1510">
        <f>1080*0.69</f>
        <v>745.19999999999993</v>
      </c>
      <c r="M61" s="1510">
        <f>L61*0.3</f>
        <v>223.55999999999997</v>
      </c>
      <c r="N61" s="1510">
        <f>M61*0.7</f>
        <v>156.49199999999996</v>
      </c>
      <c r="P61" s="1510">
        <f>L61*0.05</f>
        <v>37.26</v>
      </c>
      <c r="Q61" s="1510">
        <f t="shared" ref="Q61" si="7">M61*0.05</f>
        <v>11.177999999999999</v>
      </c>
      <c r="R61" s="1510">
        <f t="shared" ref="R61" si="8">N61*0.05</f>
        <v>7.8245999999999984</v>
      </c>
      <c r="S61" s="1510"/>
      <c r="T61" s="1510"/>
      <c r="U61" s="1510"/>
      <c r="V61" s="1513">
        <v>15</v>
      </c>
      <c r="W61" s="1513">
        <v>2025</v>
      </c>
      <c r="X61" s="1514">
        <f>500/1000000*365*0.11993*1000</f>
        <v>21.887225000000001</v>
      </c>
      <c r="Z61" s="1515"/>
    </row>
    <row r="62" spans="2:26" s="1507" customFormat="1" ht="19.5" customHeight="1">
      <c r="B62" s="1508"/>
      <c r="D62" s="1509" t="s">
        <v>526</v>
      </c>
      <c r="E62" s="1508"/>
      <c r="F62" s="1509"/>
      <c r="G62" s="1510"/>
      <c r="H62" s="1511"/>
      <c r="I62" s="1511"/>
      <c r="J62" s="1512"/>
      <c r="L62" s="1510"/>
      <c r="M62" s="1510"/>
      <c r="N62" s="1510"/>
      <c r="P62" s="1510"/>
      <c r="Q62" s="1510"/>
      <c r="R62" s="1510"/>
      <c r="S62" s="1510"/>
      <c r="T62" s="1510"/>
      <c r="U62" s="1510"/>
      <c r="V62" s="1513"/>
      <c r="W62" s="1513"/>
      <c r="X62" s="1514"/>
      <c r="Z62" s="1515"/>
    </row>
    <row r="63" spans="2:26" s="1507" customFormat="1" ht="19.5" customHeight="1">
      <c r="B63" s="1508"/>
      <c r="D63" s="1509"/>
      <c r="E63" s="1509" t="s">
        <v>339</v>
      </c>
      <c r="F63" s="1509"/>
      <c r="G63" s="1516">
        <f>G60</f>
        <v>3.7355123822229636E-3</v>
      </c>
      <c r="H63" s="1511"/>
      <c r="I63" s="1511"/>
      <c r="J63" s="1512"/>
      <c r="L63" s="1510"/>
      <c r="M63" s="1510"/>
      <c r="N63" s="1510"/>
      <c r="P63" s="1510"/>
      <c r="Q63" s="1510"/>
      <c r="R63" s="1510"/>
      <c r="S63" s="1510"/>
      <c r="T63" s="1510"/>
      <c r="U63" s="1510"/>
      <c r="V63" s="1513"/>
      <c r="W63" s="1513"/>
      <c r="X63" s="1514"/>
      <c r="Z63" s="1515"/>
    </row>
    <row r="64" spans="2:26" s="1517" customFormat="1" ht="19.5" customHeight="1">
      <c r="B64" s="1518" t="s">
        <v>1323</v>
      </c>
      <c r="C64" s="1517" t="s">
        <v>652</v>
      </c>
      <c r="D64" s="1519" t="s">
        <v>1051</v>
      </c>
      <c r="E64" s="1518"/>
      <c r="F64" s="1519" t="s">
        <v>164</v>
      </c>
      <c r="G64" s="1520"/>
      <c r="H64" s="1521"/>
      <c r="I64" s="1521">
        <f>I61</f>
        <v>0.995</v>
      </c>
      <c r="J64" s="1522">
        <v>0.5</v>
      </c>
      <c r="L64" s="1520">
        <f>1980*0.69</f>
        <v>1366.1999999999998</v>
      </c>
      <c r="M64" s="1520">
        <f>L64*0.3</f>
        <v>409.85999999999996</v>
      </c>
      <c r="N64" s="1520">
        <f>M64*0.7</f>
        <v>286.90199999999993</v>
      </c>
      <c r="P64" s="1520">
        <f>L64*0.05</f>
        <v>68.309999999999988</v>
      </c>
      <c r="Q64" s="1520">
        <f t="shared" ref="Q64" si="9">M64*0.05</f>
        <v>20.492999999999999</v>
      </c>
      <c r="R64" s="1520">
        <f t="shared" ref="R64" si="10">N64*0.05</f>
        <v>14.345099999999997</v>
      </c>
      <c r="S64" s="1520"/>
      <c r="T64" s="1520"/>
      <c r="U64" s="1520"/>
      <c r="V64" s="1523">
        <v>15</v>
      </c>
      <c r="W64" s="1523">
        <v>2025</v>
      </c>
      <c r="X64" s="1524">
        <f>1000/1000000*365*0.11993*1000</f>
        <v>43.774450000000002</v>
      </c>
      <c r="Z64" s="1525"/>
    </row>
    <row r="65" spans="1:26" s="1517" customFormat="1" ht="19.5" customHeight="1">
      <c r="B65" s="1518"/>
      <c r="D65" s="1519" t="s">
        <v>526</v>
      </c>
      <c r="E65" s="1518"/>
      <c r="F65" s="1519"/>
      <c r="G65" s="1520"/>
      <c r="H65" s="1521"/>
      <c r="I65" s="1521"/>
      <c r="J65" s="1522"/>
      <c r="L65" s="1520"/>
      <c r="M65" s="1520"/>
      <c r="N65" s="1520"/>
      <c r="P65" s="1520"/>
      <c r="Q65" s="1520"/>
      <c r="R65" s="1520"/>
      <c r="S65" s="1520"/>
      <c r="T65" s="1520"/>
      <c r="U65" s="1520"/>
      <c r="V65" s="1523"/>
      <c r="W65" s="1523"/>
      <c r="X65" s="1524"/>
      <c r="Z65" s="1525"/>
    </row>
    <row r="66" spans="1:26" s="1517" customFormat="1" ht="19.5" customHeight="1">
      <c r="B66" s="1518"/>
      <c r="D66" s="1519"/>
      <c r="E66" s="1519" t="s">
        <v>339</v>
      </c>
      <c r="F66" s="1519"/>
      <c r="G66" s="1526">
        <f>G63</f>
        <v>3.7355123822229636E-3</v>
      </c>
      <c r="H66" s="1521"/>
      <c r="I66" s="1521"/>
      <c r="J66" s="1522"/>
      <c r="L66" s="1520"/>
      <c r="M66" s="1520"/>
      <c r="N66" s="1520"/>
      <c r="P66" s="1520"/>
      <c r="Q66" s="1520"/>
      <c r="R66" s="1520"/>
      <c r="S66" s="1520"/>
      <c r="T66" s="1520"/>
      <c r="U66" s="1520"/>
      <c r="V66" s="1523"/>
      <c r="W66" s="1523"/>
      <c r="X66" s="1524"/>
      <c r="Z66" s="1525"/>
    </row>
    <row r="67" spans="1:26" s="1497" customFormat="1" ht="19.5" customHeight="1">
      <c r="B67" s="1498" t="s">
        <v>1320</v>
      </c>
      <c r="C67" s="1497" t="s">
        <v>652</v>
      </c>
      <c r="D67" s="1499" t="s">
        <v>1051</v>
      </c>
      <c r="E67" s="1498"/>
      <c r="F67" s="1499" t="s">
        <v>164</v>
      </c>
      <c r="G67" s="1500"/>
      <c r="H67" s="1501"/>
      <c r="I67" s="1501">
        <f>I55</f>
        <v>0.995</v>
      </c>
      <c r="J67" s="1502">
        <v>0.5</v>
      </c>
      <c r="L67" s="1500">
        <f>2430*0.69</f>
        <v>1676.6999999999998</v>
      </c>
      <c r="M67" s="1500">
        <f>L67*0.3</f>
        <v>503.00999999999993</v>
      </c>
      <c r="N67" s="1500">
        <f>M67*0.7</f>
        <v>352.10699999999991</v>
      </c>
      <c r="P67" s="1500">
        <f>L67*0.05</f>
        <v>83.834999999999994</v>
      </c>
      <c r="Q67" s="1500">
        <f t="shared" ref="Q67" si="11">M67*0.05</f>
        <v>25.150499999999997</v>
      </c>
      <c r="R67" s="1500">
        <f t="shared" ref="R67" si="12">N67*0.05</f>
        <v>17.605349999999998</v>
      </c>
      <c r="S67" s="1500"/>
      <c r="T67" s="1500"/>
      <c r="U67" s="1500"/>
      <c r="V67" s="1503">
        <v>15</v>
      </c>
      <c r="W67" s="1503">
        <v>2025</v>
      </c>
      <c r="X67" s="1504">
        <f>1300/1000000*365*0.11993*1000</f>
        <v>56.906784999999992</v>
      </c>
      <c r="Z67" s="1505"/>
    </row>
    <row r="68" spans="1:26" s="1497" customFormat="1" ht="19.5" customHeight="1">
      <c r="B68" s="1498"/>
      <c r="D68" s="1499" t="s">
        <v>526</v>
      </c>
      <c r="E68" s="1498"/>
      <c r="F68" s="1499"/>
      <c r="G68" s="1500"/>
      <c r="H68" s="1501"/>
      <c r="I68" s="1501"/>
      <c r="J68" s="1502"/>
      <c r="L68" s="1500"/>
      <c r="M68" s="1500"/>
      <c r="N68" s="1500"/>
      <c r="P68" s="1500"/>
      <c r="Q68" s="1500"/>
      <c r="R68" s="1500"/>
      <c r="S68" s="1500"/>
      <c r="T68" s="1500"/>
      <c r="U68" s="1500"/>
      <c r="V68" s="1503"/>
      <c r="W68" s="1503"/>
      <c r="X68" s="1504"/>
      <c r="Z68" s="1505"/>
    </row>
    <row r="69" spans="1:26" s="1497" customFormat="1" ht="19.5" customHeight="1">
      <c r="B69" s="1498"/>
      <c r="D69" s="1499"/>
      <c r="E69" s="1499" t="s">
        <v>339</v>
      </c>
      <c r="F69" s="1499"/>
      <c r="G69" s="1506">
        <f>G57</f>
        <v>3.7355123822229636E-3</v>
      </c>
      <c r="H69" s="1501"/>
      <c r="I69" s="1501"/>
      <c r="J69" s="1502"/>
      <c r="L69" s="1500"/>
      <c r="M69" s="1500"/>
      <c r="N69" s="1500"/>
      <c r="P69" s="1500"/>
      <c r="Q69" s="1500"/>
      <c r="R69" s="1500"/>
      <c r="S69" s="1500"/>
      <c r="T69" s="1500"/>
      <c r="U69" s="1500"/>
      <c r="V69" s="1503"/>
      <c r="W69" s="1503"/>
      <c r="X69" s="1504"/>
      <c r="Z69" s="1505"/>
    </row>
    <row r="70" spans="1:26" s="1507" customFormat="1" ht="19.5" customHeight="1">
      <c r="B70" s="1508" t="s">
        <v>1324</v>
      </c>
      <c r="C70" s="1507" t="s">
        <v>652</v>
      </c>
      <c r="D70" s="1509" t="s">
        <v>1051</v>
      </c>
      <c r="E70" s="1508"/>
      <c r="F70" s="1509" t="s">
        <v>164</v>
      </c>
      <c r="G70" s="1510"/>
      <c r="H70" s="1511"/>
      <c r="I70" s="1511">
        <f>I58</f>
        <v>0.995</v>
      </c>
      <c r="J70" s="1512">
        <v>0.5</v>
      </c>
      <c r="L70" s="1510">
        <f>4850*0.69</f>
        <v>3346.4999999999995</v>
      </c>
      <c r="M70" s="1510">
        <f>L70*0.3</f>
        <v>1003.9499999999998</v>
      </c>
      <c r="N70" s="1510">
        <f>M70*0.7</f>
        <v>702.76499999999987</v>
      </c>
      <c r="P70" s="1510">
        <f>L70*0.05</f>
        <v>167.32499999999999</v>
      </c>
      <c r="Q70" s="1510">
        <f t="shared" ref="Q70" si="13">M70*0.05</f>
        <v>50.197499999999991</v>
      </c>
      <c r="R70" s="1510">
        <f t="shared" ref="R70" si="14">N70*0.05</f>
        <v>35.138249999999992</v>
      </c>
      <c r="S70" s="1510"/>
      <c r="T70" s="1510"/>
      <c r="U70" s="1510"/>
      <c r="V70" s="1513">
        <v>15</v>
      </c>
      <c r="W70" s="1513">
        <v>2040</v>
      </c>
      <c r="X70" s="1514">
        <f>3000/1000000*365*0.11993*1000</f>
        <v>131.32334999999998</v>
      </c>
      <c r="Z70" s="1515"/>
    </row>
    <row r="71" spans="1:26" s="1507" customFormat="1" ht="19.5" customHeight="1">
      <c r="B71" s="1508"/>
      <c r="D71" s="1509" t="s">
        <v>526</v>
      </c>
      <c r="E71" s="1508"/>
      <c r="F71" s="1509"/>
      <c r="G71" s="1510"/>
      <c r="H71" s="1511"/>
      <c r="I71" s="1511"/>
      <c r="J71" s="1512"/>
      <c r="L71" s="1510"/>
      <c r="M71" s="1510"/>
      <c r="N71" s="1510"/>
      <c r="P71" s="1510"/>
      <c r="Q71" s="1510"/>
      <c r="R71" s="1510"/>
      <c r="S71" s="1510"/>
      <c r="T71" s="1510"/>
      <c r="U71" s="1510"/>
      <c r="V71" s="1513"/>
      <c r="W71" s="1513"/>
      <c r="X71" s="1514"/>
      <c r="Z71" s="1515"/>
    </row>
    <row r="72" spans="1:26" s="1507" customFormat="1" ht="19.5" customHeight="1">
      <c r="B72" s="1508"/>
      <c r="D72" s="1509"/>
      <c r="E72" s="1509" t="s">
        <v>339</v>
      </c>
      <c r="F72" s="1509"/>
      <c r="G72" s="1516">
        <f>G60</f>
        <v>3.7355123822229636E-3</v>
      </c>
      <c r="H72" s="1511"/>
      <c r="I72" s="1511"/>
      <c r="J72" s="1512"/>
      <c r="L72" s="1510"/>
      <c r="M72" s="1510"/>
      <c r="N72" s="1510"/>
      <c r="P72" s="1510"/>
      <c r="Q72" s="1510"/>
      <c r="R72" s="1510"/>
      <c r="S72" s="1510"/>
      <c r="T72" s="1510"/>
      <c r="U72" s="1510"/>
      <c r="V72" s="1513"/>
      <c r="W72" s="1513"/>
      <c r="X72" s="1514"/>
      <c r="Z72" s="1515"/>
    </row>
    <row r="73" spans="1:26" s="1580" customFormat="1" ht="19.5" customHeight="1">
      <c r="A73" s="1549" t="s">
        <v>605</v>
      </c>
      <c r="B73" s="1568" t="s">
        <v>1059</v>
      </c>
      <c r="C73" s="1580" t="s">
        <v>653</v>
      </c>
      <c r="D73" s="1568" t="s">
        <v>1051</v>
      </c>
      <c r="E73" s="1567"/>
      <c r="F73" s="1568" t="s">
        <v>164</v>
      </c>
      <c r="G73" s="1596"/>
      <c r="H73" s="1571"/>
      <c r="I73" s="1571">
        <f>'H2 matriz'!DT39</f>
        <v>0.995</v>
      </c>
      <c r="J73" s="1573"/>
      <c r="L73" s="1597">
        <f>'H2 matriz'!DL39+'H2 matriz'!DL43</f>
        <v>25.191901839556586</v>
      </c>
      <c r="M73" s="1597">
        <f>'H2 matriz'!DM39+'H2 matriz'!DM43</f>
        <v>21.140039051278819</v>
      </c>
      <c r="N73" s="1597">
        <f>'H2 matriz'!DN39+'H2 matriz'!DN43</f>
        <v>18.299314885533537</v>
      </c>
      <c r="P73" s="1575">
        <f>'H2 matriz'!DO39+'H2 matriz'!DO43</f>
        <v>0.89386542057007712</v>
      </c>
      <c r="Q73" s="1575">
        <f>'H2 matriz'!DQ39+'H2 matriz'!DQ43</f>
        <v>0.69127228115618877</v>
      </c>
      <c r="R73" s="1575">
        <f>'H2 matriz'!DR39+'H2 matriz'!DR43</f>
        <v>0.54923607286892473</v>
      </c>
      <c r="S73" s="1575"/>
      <c r="T73" s="1575"/>
      <c r="U73" s="1575"/>
      <c r="V73" s="1578">
        <f>V55</f>
        <v>15</v>
      </c>
      <c r="W73" s="1578">
        <v>2100</v>
      </c>
      <c r="X73" s="1569">
        <v>1</v>
      </c>
      <c r="Z73" s="1581"/>
    </row>
    <row r="74" spans="1:26" s="1580" customFormat="1">
      <c r="A74" s="1549" t="s">
        <v>605</v>
      </c>
      <c r="B74" s="1568"/>
      <c r="D74" s="1568" t="s">
        <v>526</v>
      </c>
      <c r="E74" s="1567"/>
      <c r="F74" s="1568"/>
      <c r="G74" s="1596"/>
      <c r="H74" s="1571"/>
      <c r="I74" s="1571"/>
      <c r="J74" s="1573"/>
      <c r="L74" s="1575"/>
      <c r="M74" s="1575"/>
      <c r="N74" s="1575"/>
      <c r="P74" s="1575"/>
      <c r="Q74" s="1575"/>
      <c r="R74" s="1575"/>
      <c r="S74" s="1575"/>
      <c r="T74" s="1575"/>
      <c r="U74" s="1575"/>
      <c r="V74" s="1578"/>
      <c r="W74" s="1578"/>
      <c r="X74" s="1569"/>
      <c r="Z74" s="1581"/>
    </row>
    <row r="75" spans="1:26" s="1580" customFormat="1">
      <c r="A75" s="1549" t="s">
        <v>605</v>
      </c>
      <c r="B75" s="1567"/>
      <c r="D75" s="1568"/>
      <c r="E75" s="1568" t="s">
        <v>339</v>
      </c>
      <c r="F75" s="1568"/>
      <c r="G75" s="1596">
        <f>'H2 matriz'!ES56</f>
        <v>3.7355123822229636E-3</v>
      </c>
      <c r="H75" s="1571"/>
      <c r="I75" s="1571"/>
      <c r="J75" s="1573"/>
      <c r="L75" s="1575"/>
      <c r="M75" s="1575"/>
      <c r="N75" s="1575"/>
      <c r="P75" s="1575"/>
      <c r="Q75" s="1575"/>
      <c r="R75" s="1575"/>
      <c r="S75" s="1575"/>
      <c r="T75" s="1575"/>
      <c r="U75" s="1575"/>
      <c r="V75" s="1578"/>
      <c r="W75" s="1578"/>
      <c r="X75" s="1569"/>
      <c r="Z75" s="1581"/>
    </row>
    <row r="76" spans="1:26" s="653" customFormat="1">
      <c r="B76" s="697" t="s">
        <v>1060</v>
      </c>
      <c r="C76" s="274" t="s">
        <v>1056</v>
      </c>
      <c r="D76" s="697" t="s">
        <v>1051</v>
      </c>
      <c r="E76" s="692"/>
      <c r="F76" s="697" t="s">
        <v>164</v>
      </c>
      <c r="G76" s="676"/>
      <c r="H76" s="693"/>
      <c r="I76" s="1228">
        <f>1-(0.2+0.45)/2</f>
        <v>0.67500000000000004</v>
      </c>
      <c r="J76" s="694"/>
      <c r="L76" s="676">
        <f>'H2 matriz'!DL37+'H2 matriz'!DL40/'H2 matriz'!$DS40*30+'H2 matriz'!DL42</f>
        <v>79.834909405230235</v>
      </c>
      <c r="M76" s="676">
        <f>'H2 matriz'!DM37+'H2 matriz'!DM40/'H2 matriz'!$DS40*30+'H2 matriz'!DM42</f>
        <v>76.872470567070721</v>
      </c>
      <c r="N76" s="676">
        <f>'H2 matriz'!DN37+'H2 matriz'!DN40/'H2 matriz'!$DS40*30+'H2 matriz'!DN42</f>
        <v>74.783951186168267</v>
      </c>
      <c r="P76" s="676">
        <f>'H2 matriz'!DO37+'H2 matriz'!DO40/'H2 matriz'!$DS40*30+'H2 matriz'!DO42</f>
        <v>5.2251953560829012</v>
      </c>
      <c r="Q76" s="676">
        <f>'H2 matriz'!DQ37+'H2 matriz'!DQ40/'H2 matriz'!$DS40*30+'H2 matriz'!DQ42</f>
        <v>5.0770734141749259</v>
      </c>
      <c r="R76" s="676">
        <f>'H2 matriz'!DR37+'H2 matriz'!DR40/'H2 matriz'!$DS40*30+'H2 matriz'!DR42</f>
        <v>4.9726474451298026</v>
      </c>
      <c r="S76" s="676"/>
      <c r="T76" s="676"/>
      <c r="U76" s="676"/>
      <c r="V76" s="677">
        <f>V73</f>
        <v>15</v>
      </c>
      <c r="W76" s="677">
        <v>2025</v>
      </c>
      <c r="X76" s="633">
        <v>1</v>
      </c>
      <c r="Z76" s="274"/>
    </row>
    <row r="77" spans="1:26" s="653" customFormat="1">
      <c r="B77" s="697"/>
      <c r="C77" s="274"/>
      <c r="D77" s="697" t="s">
        <v>526</v>
      </c>
      <c r="E77" s="692"/>
      <c r="F77" s="697"/>
      <c r="G77" s="676"/>
      <c r="H77" s="693"/>
      <c r="I77" s="693"/>
      <c r="J77" s="694"/>
      <c r="L77" s="676"/>
      <c r="M77" s="676"/>
      <c r="N77" s="676"/>
      <c r="P77" s="676"/>
      <c r="Q77" s="676"/>
      <c r="R77" s="676"/>
      <c r="S77" s="676"/>
      <c r="T77" s="676"/>
      <c r="U77" s="676"/>
      <c r="V77" s="677"/>
      <c r="W77" s="677"/>
      <c r="X77" s="633"/>
      <c r="Z77" s="274"/>
    </row>
    <row r="78" spans="1:26" s="653" customFormat="1">
      <c r="B78" s="692"/>
      <c r="D78" s="697"/>
      <c r="E78" s="1231" t="s">
        <v>339</v>
      </c>
      <c r="F78" s="697"/>
      <c r="G78" s="1260">
        <f>'H2 matriz'!ES60</f>
        <v>1.4008171433336112E-3</v>
      </c>
      <c r="H78" s="693"/>
      <c r="I78" s="693"/>
      <c r="J78" s="694"/>
      <c r="L78" s="676"/>
      <c r="M78" s="676"/>
      <c r="N78" s="676"/>
      <c r="P78" s="676"/>
      <c r="Q78" s="676"/>
      <c r="R78" s="676"/>
      <c r="S78" s="676"/>
      <c r="T78" s="676"/>
      <c r="U78" s="676"/>
      <c r="V78" s="677"/>
      <c r="W78" s="677"/>
      <c r="X78" s="633"/>
      <c r="Z78" s="274"/>
    </row>
    <row r="79" spans="1:26" s="653" customFormat="1">
      <c r="B79" s="692"/>
      <c r="D79" s="697"/>
      <c r="E79" s="697"/>
      <c r="F79" s="697"/>
      <c r="G79" s="1262"/>
      <c r="H79" s="693"/>
      <c r="I79" s="693"/>
      <c r="J79" s="694"/>
      <c r="L79" s="676"/>
      <c r="M79" s="676"/>
      <c r="N79" s="676"/>
      <c r="P79" s="676"/>
      <c r="Q79" s="676"/>
      <c r="R79" s="676"/>
      <c r="S79" s="676"/>
      <c r="T79" s="676"/>
      <c r="U79" s="676"/>
      <c r="V79" s="677"/>
      <c r="W79" s="677"/>
      <c r="X79" s="633"/>
      <c r="Z79" s="274"/>
    </row>
    <row r="80" spans="1:26" s="653" customFormat="1">
      <c r="B80" s="692"/>
      <c r="D80" s="697"/>
      <c r="E80" s="697"/>
      <c r="F80" s="697"/>
      <c r="G80" s="1262"/>
      <c r="H80" s="693"/>
      <c r="I80" s="693"/>
      <c r="J80" s="694"/>
      <c r="L80" s="676"/>
      <c r="M80" s="676"/>
      <c r="N80" s="676"/>
      <c r="P80" s="676"/>
      <c r="Q80" s="676"/>
      <c r="R80" s="676"/>
      <c r="S80" s="676"/>
      <c r="T80" s="676"/>
      <c r="U80" s="676"/>
      <c r="V80" s="677"/>
      <c r="W80" s="677"/>
      <c r="X80" s="633"/>
      <c r="Z80" s="274"/>
    </row>
    <row r="81" spans="2:27" s="622" customFormat="1">
      <c r="B81" s="624"/>
      <c r="C81" s="624"/>
      <c r="D81" s="624"/>
      <c r="E81" s="624"/>
      <c r="F81" s="626" t="s">
        <v>556</v>
      </c>
      <c r="G81" s="624"/>
      <c r="H81" s="625"/>
      <c r="I81" s="625"/>
      <c r="J81" s="625"/>
      <c r="K81" s="624"/>
      <c r="L81" s="624"/>
      <c r="M81" s="624"/>
      <c r="N81" s="624"/>
      <c r="V81" s="624"/>
      <c r="W81" s="624"/>
    </row>
    <row r="82" spans="2:27" s="622" customFormat="1" ht="39">
      <c r="B82" s="623" t="s">
        <v>0</v>
      </c>
      <c r="C82" s="636" t="s">
        <v>103</v>
      </c>
      <c r="D82" s="623" t="s">
        <v>2</v>
      </c>
      <c r="E82" s="623" t="s">
        <v>223</v>
      </c>
      <c r="F82" s="623" t="s">
        <v>3</v>
      </c>
      <c r="G82" s="40" t="s">
        <v>28</v>
      </c>
      <c r="H82" s="40" t="s">
        <v>36</v>
      </c>
      <c r="I82" s="40" t="s">
        <v>235</v>
      </c>
      <c r="J82" s="40" t="s">
        <v>38</v>
      </c>
      <c r="K82" s="40" t="s">
        <v>22</v>
      </c>
      <c r="L82" s="40" t="s">
        <v>44</v>
      </c>
      <c r="M82" s="40" t="s">
        <v>94</v>
      </c>
      <c r="N82" s="40" t="s">
        <v>236</v>
      </c>
      <c r="O82" s="40" t="s">
        <v>4</v>
      </c>
      <c r="P82" s="40" t="s">
        <v>96</v>
      </c>
      <c r="Q82" s="40" t="s">
        <v>98</v>
      </c>
      <c r="R82" s="40" t="s">
        <v>237</v>
      </c>
      <c r="S82" s="40" t="s">
        <v>21</v>
      </c>
      <c r="T82" s="40" t="s">
        <v>99</v>
      </c>
      <c r="U82" s="40" t="s">
        <v>100</v>
      </c>
      <c r="V82" s="40" t="s">
        <v>32</v>
      </c>
      <c r="W82" s="40" t="s">
        <v>102</v>
      </c>
      <c r="X82" s="40" t="s">
        <v>31</v>
      </c>
      <c r="Y82" s="40" t="s">
        <v>1030</v>
      </c>
      <c r="Z82" s="40" t="s">
        <v>1154</v>
      </c>
      <c r="AA82" s="40" t="s">
        <v>1153</v>
      </c>
    </row>
    <row r="83" spans="2:27" s="622" customFormat="1" ht="26">
      <c r="B83" s="217" t="s">
        <v>25</v>
      </c>
      <c r="C83" s="217" t="s">
        <v>15</v>
      </c>
      <c r="D83" s="217" t="s">
        <v>19</v>
      </c>
      <c r="E83" s="217"/>
      <c r="F83" s="217" t="s">
        <v>20</v>
      </c>
      <c r="G83" s="218"/>
      <c r="H83" s="218"/>
      <c r="I83" s="218"/>
      <c r="J83" s="218"/>
      <c r="K83" s="218" t="s">
        <v>397</v>
      </c>
      <c r="L83" s="218" t="s">
        <v>397</v>
      </c>
      <c r="M83" s="218" t="s">
        <v>397</v>
      </c>
      <c r="N83" s="218" t="s">
        <v>397</v>
      </c>
      <c r="O83" s="218" t="s">
        <v>397</v>
      </c>
      <c r="P83" s="218" t="s">
        <v>397</v>
      </c>
      <c r="Q83" s="218" t="s">
        <v>397</v>
      </c>
      <c r="R83" s="218" t="s">
        <v>397</v>
      </c>
      <c r="S83" s="218" t="s">
        <v>35</v>
      </c>
      <c r="T83" s="218" t="s">
        <v>35</v>
      </c>
      <c r="U83" s="218" t="s">
        <v>35</v>
      </c>
      <c r="V83" s="218" t="s">
        <v>34</v>
      </c>
      <c r="W83" s="218"/>
      <c r="X83" s="218"/>
    </row>
    <row r="84" spans="2:27" s="1263" customFormat="1" ht="26">
      <c r="B84" s="1263" t="s">
        <v>634</v>
      </c>
      <c r="C84" s="1264" t="s">
        <v>619</v>
      </c>
      <c r="D84" s="1265" t="s">
        <v>633</v>
      </c>
      <c r="E84" s="1266"/>
      <c r="F84" s="1267" t="s">
        <v>638</v>
      </c>
      <c r="G84" s="1369">
        <v>1</v>
      </c>
      <c r="H84" s="1326">
        <v>1</v>
      </c>
      <c r="I84" s="1326"/>
      <c r="J84" s="1268"/>
      <c r="K84" s="1269"/>
      <c r="L84" s="328"/>
      <c r="M84" s="328"/>
      <c r="N84" s="328"/>
      <c r="P84" s="328"/>
      <c r="Q84" s="328"/>
      <c r="R84" s="328"/>
      <c r="S84" s="1330">
        <f>(S97+S110)/2</f>
        <v>3.617142857142857</v>
      </c>
      <c r="T84" s="328"/>
      <c r="U84" s="328"/>
      <c r="V84" s="1270">
        <v>50</v>
      </c>
      <c r="W84" s="1270">
        <v>2025</v>
      </c>
      <c r="X84" s="1271">
        <v>1</v>
      </c>
    </row>
    <row r="85" spans="2:27" s="331" customFormat="1" ht="26">
      <c r="B85" s="331" t="s">
        <v>1029</v>
      </c>
      <c r="C85" s="1272" t="s">
        <v>619</v>
      </c>
      <c r="D85" s="1273" t="s">
        <v>340</v>
      </c>
      <c r="E85" s="1274"/>
      <c r="F85" s="1275" t="s">
        <v>638</v>
      </c>
      <c r="G85" s="1370">
        <f>1-G86</f>
        <v>0.98067889802431318</v>
      </c>
      <c r="H85" s="1276">
        <v>1</v>
      </c>
      <c r="I85" s="1276"/>
      <c r="J85" s="1277"/>
      <c r="K85" s="1278"/>
      <c r="L85" s="1279"/>
      <c r="M85" s="1279"/>
      <c r="N85" s="1279"/>
      <c r="P85" s="1279"/>
      <c r="Q85" s="1279"/>
      <c r="R85" s="1279"/>
      <c r="S85" s="1280">
        <f>S84</f>
        <v>3.617142857142857</v>
      </c>
      <c r="T85" s="1279"/>
      <c r="U85" s="1279"/>
      <c r="V85" s="1281">
        <v>50</v>
      </c>
      <c r="W85" s="1281">
        <v>2025</v>
      </c>
      <c r="X85" s="1282">
        <v>1</v>
      </c>
    </row>
    <row r="86" spans="2:27" s="331" customFormat="1">
      <c r="C86" s="1272"/>
      <c r="D86" s="1273" t="s">
        <v>232</v>
      </c>
      <c r="E86" s="1274"/>
      <c r="F86" s="1275"/>
      <c r="G86" s="1370">
        <f>(10.05*0.06)/((32.56*0.94)+(10.05*0.06))</f>
        <v>1.9321101975686809E-2</v>
      </c>
      <c r="H86" s="1276"/>
      <c r="I86" s="1276"/>
      <c r="J86" s="1277"/>
      <c r="K86" s="1278"/>
      <c r="L86" s="1279"/>
      <c r="M86" s="1279"/>
      <c r="N86" s="1279"/>
      <c r="P86" s="1279"/>
      <c r="Q86" s="1279"/>
      <c r="R86" s="1279"/>
      <c r="S86" s="1280"/>
      <c r="T86" s="1279"/>
      <c r="U86" s="1279"/>
      <c r="V86" s="1281"/>
      <c r="W86" s="1281"/>
      <c r="X86" s="1282"/>
    </row>
    <row r="87" spans="2:27" s="380" customFormat="1" ht="26">
      <c r="B87" s="380" t="s">
        <v>643</v>
      </c>
      <c r="C87" s="1283" t="s">
        <v>619</v>
      </c>
      <c r="D87" s="455" t="s">
        <v>615</v>
      </c>
      <c r="E87" s="409"/>
      <c r="F87" s="366" t="s">
        <v>643</v>
      </c>
      <c r="G87" s="1371">
        <v>1</v>
      </c>
      <c r="H87" s="387">
        <v>1</v>
      </c>
      <c r="I87" s="387"/>
      <c r="J87" s="392"/>
      <c r="K87" s="1284"/>
      <c r="L87" s="473"/>
      <c r="M87" s="473"/>
      <c r="N87" s="473"/>
      <c r="P87" s="473"/>
      <c r="Q87" s="473"/>
      <c r="R87" s="473"/>
      <c r="S87" s="1285">
        <f>(S100+S115)/2</f>
        <v>6.4642299107142858</v>
      </c>
      <c r="T87" s="473"/>
      <c r="U87" s="473"/>
      <c r="V87" s="371">
        <v>50</v>
      </c>
      <c r="W87" s="371">
        <v>2025</v>
      </c>
      <c r="X87" s="431">
        <v>1</v>
      </c>
    </row>
    <row r="88" spans="2:27" s="1286" customFormat="1" ht="26">
      <c r="B88" s="1286" t="s">
        <v>1031</v>
      </c>
      <c r="C88" s="1287" t="s">
        <v>619</v>
      </c>
      <c r="D88" s="1288" t="s">
        <v>340</v>
      </c>
      <c r="E88" s="1289"/>
      <c r="F88" s="1290" t="s">
        <v>643</v>
      </c>
      <c r="G88" s="1372">
        <f>1-G89</f>
        <v>0.96684153221815305</v>
      </c>
      <c r="H88" s="1291">
        <v>1</v>
      </c>
      <c r="I88" s="1291"/>
      <c r="J88" s="1292"/>
      <c r="K88" s="1293"/>
      <c r="L88" s="1294"/>
      <c r="M88" s="1294"/>
      <c r="N88" s="1294"/>
      <c r="P88" s="1294"/>
      <c r="Q88" s="1294"/>
      <c r="R88" s="1294"/>
      <c r="S88" s="1295">
        <f>S87</f>
        <v>6.4642299107142858</v>
      </c>
      <c r="T88" s="1294"/>
      <c r="U88" s="1294"/>
      <c r="V88" s="1296">
        <v>50</v>
      </c>
      <c r="W88" s="1296">
        <v>2025</v>
      </c>
      <c r="X88" s="1297">
        <v>1</v>
      </c>
    </row>
    <row r="89" spans="2:27" s="1286" customFormat="1">
      <c r="C89" s="1287"/>
      <c r="D89" s="1288" t="s">
        <v>232</v>
      </c>
      <c r="E89" s="1289"/>
      <c r="F89" s="1290"/>
      <c r="G89" s="1372">
        <f>(10.05*0.1)/((32.56*0.9)+(10.05*0.1))</f>
        <v>3.315846778184698E-2</v>
      </c>
      <c r="H89" s="1291"/>
      <c r="I89" s="1291"/>
      <c r="J89" s="1292"/>
      <c r="K89" s="1293"/>
      <c r="L89" s="1294"/>
      <c r="M89" s="1294"/>
      <c r="N89" s="1294"/>
      <c r="P89" s="1294"/>
      <c r="Q89" s="1294"/>
      <c r="R89" s="1294"/>
      <c r="S89" s="1295"/>
      <c r="T89" s="1294"/>
      <c r="U89" s="1294"/>
      <c r="V89" s="1296"/>
      <c r="W89" s="1296"/>
      <c r="X89" s="1297"/>
    </row>
    <row r="90" spans="2:27" s="1298" customFormat="1" ht="26">
      <c r="B90" s="1298" t="s">
        <v>620</v>
      </c>
      <c r="C90" s="1299" t="s">
        <v>619</v>
      </c>
      <c r="D90" s="1300" t="s">
        <v>616</v>
      </c>
      <c r="E90" s="1301"/>
      <c r="F90" s="1302" t="s">
        <v>620</v>
      </c>
      <c r="G90" s="1373">
        <v>1</v>
      </c>
      <c r="H90" s="1303">
        <v>1</v>
      </c>
      <c r="I90" s="1303"/>
      <c r="J90" s="1304"/>
      <c r="K90" s="1305"/>
      <c r="L90" s="1306"/>
      <c r="M90" s="1306"/>
      <c r="N90" s="1306"/>
      <c r="P90" s="1306"/>
      <c r="Q90" s="1306"/>
      <c r="R90" s="1306"/>
      <c r="S90" s="1305">
        <f>(S103+S120)/2</f>
        <v>7.7570758928571415</v>
      </c>
      <c r="T90" s="1306"/>
      <c r="U90" s="1306"/>
      <c r="V90" s="1307">
        <v>50</v>
      </c>
      <c r="W90" s="1307">
        <v>2030</v>
      </c>
      <c r="X90" s="1308">
        <v>1</v>
      </c>
      <c r="Y90" s="1309"/>
    </row>
    <row r="91" spans="2:27" s="1310" customFormat="1" ht="26">
      <c r="B91" s="1310" t="s">
        <v>1032</v>
      </c>
      <c r="C91" s="1311" t="s">
        <v>619</v>
      </c>
      <c r="D91" s="1312" t="s">
        <v>340</v>
      </c>
      <c r="E91" s="1313"/>
      <c r="F91" s="672" t="s">
        <v>620</v>
      </c>
      <c r="G91" s="1374">
        <f>1-G92</f>
        <v>0.92836267731128375</v>
      </c>
      <c r="H91" s="1314">
        <v>1</v>
      </c>
      <c r="I91" s="1314"/>
      <c r="J91" s="1315"/>
      <c r="K91" s="1321"/>
      <c r="L91" s="1317"/>
      <c r="M91" s="1317"/>
      <c r="N91" s="1317"/>
      <c r="P91" s="1317"/>
      <c r="Q91" s="1317"/>
      <c r="R91" s="1317"/>
      <c r="S91" s="1318">
        <f>S90</f>
        <v>7.7570758928571415</v>
      </c>
      <c r="T91" s="1317"/>
      <c r="U91" s="1317"/>
      <c r="V91" s="1319">
        <v>50</v>
      </c>
      <c r="W91" s="1319">
        <v>2030</v>
      </c>
      <c r="X91" s="1320">
        <v>1</v>
      </c>
    </row>
    <row r="92" spans="2:27" s="1310" customFormat="1">
      <c r="C92" s="1311"/>
      <c r="D92" s="1312" t="s">
        <v>232</v>
      </c>
      <c r="E92" s="1313"/>
      <c r="F92" s="672"/>
      <c r="G92" s="1374">
        <f>(10.05*0.2)/((32.56*0.8)+(10.05*0.2))</f>
        <v>7.1637322688716226E-2</v>
      </c>
      <c r="H92" s="1314"/>
      <c r="I92" s="1314"/>
      <c r="J92" s="1315"/>
      <c r="K92" s="1316"/>
      <c r="L92" s="1317"/>
      <c r="M92" s="1317"/>
      <c r="N92" s="1317"/>
      <c r="P92" s="1317"/>
      <c r="Q92" s="1317"/>
      <c r="R92" s="1317"/>
      <c r="S92" s="1318"/>
      <c r="T92" s="1317"/>
      <c r="U92" s="1317"/>
      <c r="V92" s="1319"/>
      <c r="W92" s="1319"/>
      <c r="X92" s="1320"/>
    </row>
    <row r="93" spans="2:27" s="1337" customFormat="1" ht="26">
      <c r="B93" s="1349" t="s">
        <v>1309</v>
      </c>
      <c r="C93" s="1338" t="s">
        <v>619</v>
      </c>
      <c r="D93" s="1339" t="s">
        <v>232</v>
      </c>
      <c r="E93" s="1340"/>
      <c r="F93" s="1351" t="s">
        <v>584</v>
      </c>
      <c r="G93" s="1341"/>
      <c r="H93" s="1342"/>
      <c r="I93" s="1342">
        <v>1</v>
      </c>
      <c r="J93" s="1343"/>
      <c r="K93" s="1598">
        <f>'H2 matriz'!DL29</f>
        <v>3.0173041789644688</v>
      </c>
      <c r="L93" s="1345"/>
      <c r="M93" s="1345"/>
      <c r="N93" s="1345"/>
      <c r="P93" s="1345"/>
      <c r="Q93" s="1345"/>
      <c r="R93" s="1345"/>
      <c r="S93" s="1346">
        <f>(S106+S124)/2</f>
        <v>13.451249999999998</v>
      </c>
      <c r="T93" s="1345"/>
      <c r="U93" s="1345"/>
      <c r="V93" s="1347"/>
      <c r="W93" s="1347">
        <v>2030</v>
      </c>
      <c r="X93" s="1348">
        <v>1</v>
      </c>
    </row>
    <row r="94" spans="2:27" s="1337" customFormat="1">
      <c r="B94" s="1349"/>
      <c r="C94" s="1338"/>
      <c r="D94" s="1339" t="str">
        <f>SUP_HS!D15</f>
        <v>SYNH2DC</v>
      </c>
      <c r="E94" s="1340"/>
      <c r="F94" s="1351"/>
      <c r="G94" s="1341"/>
      <c r="H94" s="1342"/>
      <c r="I94" s="1342"/>
      <c r="J94" s="1343"/>
      <c r="K94" s="1346"/>
      <c r="L94" s="1345"/>
      <c r="M94" s="1345"/>
      <c r="N94" s="1345"/>
      <c r="P94" s="1345"/>
      <c r="Q94" s="1345"/>
      <c r="R94" s="1345"/>
      <c r="S94" s="1346"/>
      <c r="T94" s="1345"/>
      <c r="U94" s="1345"/>
      <c r="V94" s="1347"/>
      <c r="W94" s="1347"/>
      <c r="X94" s="1348"/>
    </row>
    <row r="95" spans="2:27" s="1337" customFormat="1">
      <c r="B95" s="1349"/>
      <c r="C95" s="1338"/>
      <c r="D95" s="1339" t="s">
        <v>277</v>
      </c>
      <c r="E95" s="1340"/>
      <c r="F95" s="558"/>
      <c r="G95" s="1341"/>
      <c r="H95" s="1342"/>
      <c r="I95" s="1342"/>
      <c r="J95" s="1343"/>
      <c r="K95" s="1344"/>
      <c r="L95" s="1345"/>
      <c r="M95" s="1345"/>
      <c r="N95" s="1345"/>
      <c r="P95" s="1345"/>
      <c r="Q95" s="1345"/>
      <c r="R95" s="1345"/>
      <c r="S95" s="1346"/>
      <c r="T95" s="1345"/>
      <c r="U95" s="1345"/>
      <c r="V95" s="1347"/>
      <c r="W95" s="1347"/>
      <c r="X95" s="1348"/>
    </row>
    <row r="96" spans="2:27" s="1337" customFormat="1">
      <c r="B96" s="1349"/>
      <c r="C96" s="1338"/>
      <c r="D96" s="1339" t="str">
        <f>F54</f>
        <v>TRAH2</v>
      </c>
      <c r="E96" s="1340"/>
      <c r="F96" s="558"/>
      <c r="G96" s="1341"/>
      <c r="H96" s="1342"/>
      <c r="I96" s="1342"/>
      <c r="J96" s="1343"/>
      <c r="K96" s="1344"/>
      <c r="L96" s="1345"/>
      <c r="M96" s="1345"/>
      <c r="N96" s="1345"/>
      <c r="P96" s="1345"/>
      <c r="Q96" s="1345"/>
      <c r="R96" s="1345"/>
      <c r="S96" s="1346"/>
      <c r="T96" s="1345"/>
      <c r="U96" s="1345"/>
      <c r="V96" s="1347"/>
      <c r="W96" s="1347"/>
      <c r="X96" s="1348"/>
    </row>
    <row r="97" spans="2:27" s="1322" customFormat="1" ht="26">
      <c r="B97" s="1322" t="s">
        <v>635</v>
      </c>
      <c r="C97" s="1323" t="s">
        <v>622</v>
      </c>
      <c r="D97" s="1324" t="s">
        <v>633</v>
      </c>
      <c r="E97" s="1325"/>
      <c r="F97" s="1322" t="s">
        <v>639</v>
      </c>
      <c r="G97" s="1369">
        <v>1</v>
      </c>
      <c r="H97" s="1326">
        <v>1</v>
      </c>
      <c r="I97" s="1326"/>
      <c r="J97" s="1327"/>
      <c r="K97" s="1328"/>
      <c r="L97" s="1329"/>
      <c r="M97" s="1329"/>
      <c r="N97" s="1329"/>
      <c r="P97" s="1329"/>
      <c r="Q97" s="1329"/>
      <c r="R97" s="1329"/>
      <c r="S97" s="1330">
        <f>'H2 matriz'!DP$26*5.22</f>
        <v>5.9657142857142853</v>
      </c>
      <c r="T97" s="1329"/>
      <c r="U97" s="1329"/>
      <c r="V97" s="1331">
        <v>50</v>
      </c>
      <c r="W97" s="1270">
        <v>2025</v>
      </c>
      <c r="X97" s="1332">
        <v>1</v>
      </c>
    </row>
    <row r="98" spans="2:27" s="331" customFormat="1" ht="26">
      <c r="B98" s="331" t="s">
        <v>1038</v>
      </c>
      <c r="C98" s="1272" t="s">
        <v>622</v>
      </c>
      <c r="D98" s="1273" t="s">
        <v>340</v>
      </c>
      <c r="E98" s="1274"/>
      <c r="F98" s="1275" t="s">
        <v>639</v>
      </c>
      <c r="G98" s="1370">
        <f>1-G99</f>
        <v>0.98067889802431318</v>
      </c>
      <c r="H98" s="1276">
        <v>1</v>
      </c>
      <c r="I98" s="1276"/>
      <c r="J98" s="1277"/>
      <c r="K98" s="1278"/>
      <c r="L98" s="1279"/>
      <c r="M98" s="1279"/>
      <c r="N98" s="1279"/>
      <c r="P98" s="1279"/>
      <c r="Q98" s="1279"/>
      <c r="R98" s="1279"/>
      <c r="S98" s="1280">
        <f>S97</f>
        <v>5.9657142857142853</v>
      </c>
      <c r="T98" s="1279"/>
      <c r="U98" s="1279"/>
      <c r="V98" s="1281">
        <v>50</v>
      </c>
      <c r="W98" s="1281">
        <v>2025</v>
      </c>
      <c r="X98" s="1282">
        <v>1</v>
      </c>
    </row>
    <row r="99" spans="2:27" s="331" customFormat="1">
      <c r="C99" s="1272"/>
      <c r="D99" s="1273" t="s">
        <v>232</v>
      </c>
      <c r="E99" s="1274"/>
      <c r="F99" s="1275"/>
      <c r="G99" s="1370">
        <f>(10.05*0.06)/((32.56*0.94)+(10.05*0.06))</f>
        <v>1.9321101975686809E-2</v>
      </c>
      <c r="H99" s="1276"/>
      <c r="I99" s="1276"/>
      <c r="J99" s="1277"/>
      <c r="K99" s="1278"/>
      <c r="L99" s="1279"/>
      <c r="M99" s="1279"/>
      <c r="N99" s="1279"/>
      <c r="P99" s="1279"/>
      <c r="Q99" s="1279"/>
      <c r="R99" s="1279"/>
      <c r="S99" s="1280"/>
      <c r="T99" s="1279"/>
      <c r="U99" s="1279"/>
      <c r="V99" s="1281"/>
      <c r="W99" s="1281"/>
      <c r="X99" s="1282"/>
    </row>
    <row r="100" spans="2:27" s="380" customFormat="1" ht="26">
      <c r="B100" s="380" t="s">
        <v>644</v>
      </c>
      <c r="C100" s="1283" t="s">
        <v>622</v>
      </c>
      <c r="D100" s="455" t="s">
        <v>615</v>
      </c>
      <c r="E100" s="409"/>
      <c r="F100" s="366" t="s">
        <v>644</v>
      </c>
      <c r="G100" s="1371">
        <v>1</v>
      </c>
      <c r="H100" s="387">
        <v>1</v>
      </c>
      <c r="I100" s="387"/>
      <c r="J100" s="392"/>
      <c r="K100" s="1284"/>
      <c r="L100" s="473"/>
      <c r="M100" s="473"/>
      <c r="N100" s="473"/>
      <c r="P100" s="473"/>
      <c r="Q100" s="473"/>
      <c r="R100" s="473"/>
      <c r="S100" s="1285">
        <f>'H2 matriz'!DP$27*5.22</f>
        <v>10.661383928571428</v>
      </c>
      <c r="T100" s="473"/>
      <c r="U100" s="473"/>
      <c r="V100" s="371">
        <v>50</v>
      </c>
      <c r="W100" s="371">
        <v>2025</v>
      </c>
      <c r="X100" s="431">
        <v>1</v>
      </c>
    </row>
    <row r="101" spans="2:27" s="1286" customFormat="1" ht="26">
      <c r="B101" s="1286" t="s">
        <v>1039</v>
      </c>
      <c r="C101" s="1287" t="s">
        <v>622</v>
      </c>
      <c r="D101" s="1288" t="s">
        <v>340</v>
      </c>
      <c r="E101" s="1289"/>
      <c r="F101" s="1290" t="s">
        <v>644</v>
      </c>
      <c r="G101" s="1372">
        <f>1-G102</f>
        <v>0.96684153221815305</v>
      </c>
      <c r="H101" s="1291">
        <v>1</v>
      </c>
      <c r="I101" s="1291"/>
      <c r="J101" s="1292"/>
      <c r="K101" s="1293"/>
      <c r="L101" s="1294"/>
      <c r="M101" s="1294"/>
      <c r="N101" s="1294"/>
      <c r="P101" s="1294"/>
      <c r="Q101" s="1294"/>
      <c r="R101" s="1294"/>
      <c r="S101" s="1295">
        <f>S100</f>
        <v>10.661383928571428</v>
      </c>
      <c r="T101" s="1294"/>
      <c r="U101" s="1294"/>
      <c r="V101" s="1296">
        <v>50</v>
      </c>
      <c r="W101" s="1296">
        <v>2025</v>
      </c>
      <c r="X101" s="1297">
        <v>1</v>
      </c>
    </row>
    <row r="102" spans="2:27" s="1286" customFormat="1">
      <c r="C102" s="1287"/>
      <c r="D102" s="1288" t="s">
        <v>232</v>
      </c>
      <c r="E102" s="1289"/>
      <c r="F102" s="1290"/>
      <c r="G102" s="1372">
        <f>(10.05*0.1)/((32.56*0.9)+(10.05*0.1))</f>
        <v>3.315846778184698E-2</v>
      </c>
      <c r="H102" s="1291"/>
      <c r="I102" s="1291"/>
      <c r="J102" s="1292"/>
      <c r="K102" s="1293"/>
      <c r="L102" s="1294"/>
      <c r="M102" s="1294"/>
      <c r="N102" s="1294"/>
      <c r="P102" s="1294"/>
      <c r="Q102" s="1294"/>
      <c r="R102" s="1294"/>
      <c r="S102" s="1295"/>
      <c r="T102" s="1294"/>
      <c r="U102" s="1294"/>
      <c r="V102" s="1296"/>
      <c r="W102" s="1296"/>
      <c r="X102" s="1297"/>
    </row>
    <row r="103" spans="2:27" s="1298" customFormat="1" ht="26">
      <c r="B103" s="1298" t="s">
        <v>623</v>
      </c>
      <c r="C103" s="1299" t="s">
        <v>622</v>
      </c>
      <c r="D103" s="1300" t="s">
        <v>616</v>
      </c>
      <c r="E103" s="1301"/>
      <c r="F103" s="1302" t="s">
        <v>623</v>
      </c>
      <c r="G103" s="1373">
        <v>1</v>
      </c>
      <c r="H103" s="1303">
        <v>1</v>
      </c>
      <c r="I103" s="1303"/>
      <c r="J103" s="1304"/>
      <c r="K103" s="1305"/>
      <c r="L103" s="1306"/>
      <c r="M103" s="1306"/>
      <c r="N103" s="1306"/>
      <c r="P103" s="1306"/>
      <c r="Q103" s="1306"/>
      <c r="R103" s="1306"/>
      <c r="S103" s="1305">
        <f>'H2 matriz'!DP$28*5.22</f>
        <v>12.793660714285712</v>
      </c>
      <c r="T103" s="1306"/>
      <c r="U103" s="1306"/>
      <c r="V103" s="1307">
        <v>50</v>
      </c>
      <c r="W103" s="1307">
        <v>2030</v>
      </c>
      <c r="X103" s="1308">
        <v>1</v>
      </c>
      <c r="Y103" s="1309"/>
    </row>
    <row r="104" spans="2:27" s="1310" customFormat="1" ht="26">
      <c r="B104" s="1310" t="s">
        <v>1042</v>
      </c>
      <c r="C104" s="1311" t="s">
        <v>622</v>
      </c>
      <c r="D104" s="1312" t="s">
        <v>340</v>
      </c>
      <c r="E104" s="1313"/>
      <c r="F104" s="672" t="s">
        <v>623</v>
      </c>
      <c r="G104" s="1374">
        <f>1-G105</f>
        <v>0.92836267731128375</v>
      </c>
      <c r="H104" s="1314">
        <v>1</v>
      </c>
      <c r="I104" s="1314"/>
      <c r="J104" s="1315"/>
      <c r="K104" s="1321"/>
      <c r="L104" s="1317"/>
      <c r="M104" s="1317"/>
      <c r="N104" s="1317"/>
      <c r="P104" s="1317"/>
      <c r="Q104" s="1317"/>
      <c r="R104" s="1317"/>
      <c r="S104" s="1318">
        <f>S103</f>
        <v>12.793660714285712</v>
      </c>
      <c r="T104" s="1317"/>
      <c r="U104" s="1317"/>
      <c r="V104" s="1319">
        <v>50</v>
      </c>
      <c r="W104" s="1319">
        <v>2030</v>
      </c>
      <c r="X104" s="1320">
        <v>1</v>
      </c>
    </row>
    <row r="105" spans="2:27" s="1310" customFormat="1">
      <c r="C105" s="1311"/>
      <c r="D105" s="1312" t="s">
        <v>232</v>
      </c>
      <c r="E105" s="1313"/>
      <c r="F105" s="672"/>
      <c r="G105" s="1374">
        <f>(10.05*0.2)/((32.56*0.8)+(10.05*0.2))</f>
        <v>7.1637322688716226E-2</v>
      </c>
      <c r="H105" s="1314"/>
      <c r="I105" s="1314"/>
      <c r="J105" s="1315"/>
      <c r="K105" s="1316"/>
      <c r="L105" s="1317"/>
      <c r="M105" s="1317"/>
      <c r="N105" s="1317"/>
      <c r="P105" s="1317"/>
      <c r="Q105" s="1317"/>
      <c r="R105" s="1317"/>
      <c r="S105" s="1318"/>
      <c r="T105" s="1317"/>
      <c r="U105" s="1317"/>
      <c r="V105" s="1319"/>
      <c r="W105" s="1319"/>
      <c r="X105" s="1320"/>
    </row>
    <row r="106" spans="2:27" s="1337" customFormat="1">
      <c r="B106" s="1349" t="s">
        <v>1310</v>
      </c>
      <c r="C106" s="1350" t="s">
        <v>1126</v>
      </c>
      <c r="D106" s="1339" t="s">
        <v>232</v>
      </c>
      <c r="E106" s="1340"/>
      <c r="F106" s="1351" t="s">
        <v>171</v>
      </c>
      <c r="G106" s="1341"/>
      <c r="H106" s="1342"/>
      <c r="I106" s="1342">
        <v>1</v>
      </c>
      <c r="J106" s="1343"/>
      <c r="K106" s="1346">
        <f>K93</f>
        <v>3.0173041789644688</v>
      </c>
      <c r="L106" s="1345"/>
      <c r="M106" s="1345"/>
      <c r="N106" s="1345"/>
      <c r="P106" s="1345"/>
      <c r="Q106" s="1345"/>
      <c r="R106" s="1345"/>
      <c r="S106" s="1346">
        <f>'H2 matriz'!DP$29*5.22</f>
        <v>22.184999999999995</v>
      </c>
      <c r="T106" s="1345"/>
      <c r="U106" s="1345"/>
      <c r="V106" s="1347"/>
      <c r="W106" s="1347">
        <v>2030</v>
      </c>
      <c r="X106" s="1348">
        <v>1</v>
      </c>
    </row>
    <row r="107" spans="2:27" s="1337" customFormat="1">
      <c r="B107" s="1349"/>
      <c r="C107" s="1350"/>
      <c r="D107" s="1339" t="str">
        <f>SUP_HS!D14</f>
        <v>SYNH2DR</v>
      </c>
      <c r="E107" s="1340"/>
      <c r="F107" s="1351"/>
      <c r="G107" s="1341"/>
      <c r="H107" s="1342"/>
      <c r="I107" s="1342"/>
      <c r="J107" s="1343"/>
      <c r="K107" s="1346"/>
      <c r="L107" s="1345"/>
      <c r="M107" s="1345"/>
      <c r="N107" s="1345"/>
      <c r="P107" s="1345"/>
      <c r="Q107" s="1345"/>
      <c r="R107" s="1345"/>
      <c r="S107" s="1346"/>
      <c r="T107" s="1345"/>
      <c r="U107" s="1345"/>
      <c r="V107" s="1347"/>
      <c r="W107" s="1347"/>
      <c r="X107" s="1348"/>
    </row>
    <row r="108" spans="2:27" s="1337" customFormat="1">
      <c r="B108" s="1349"/>
      <c r="C108" s="1338"/>
      <c r="D108" s="1339" t="s">
        <v>277</v>
      </c>
      <c r="E108" s="1340"/>
      <c r="F108" s="558"/>
      <c r="G108" s="1341"/>
      <c r="H108" s="1342"/>
      <c r="I108" s="1342"/>
      <c r="J108" s="1343"/>
      <c r="K108" s="1344"/>
      <c r="L108" s="1345"/>
      <c r="M108" s="1345"/>
      <c r="N108" s="1345"/>
      <c r="P108" s="1345"/>
      <c r="Q108" s="1345"/>
      <c r="R108" s="1345"/>
      <c r="S108" s="1346"/>
      <c r="T108" s="1345"/>
      <c r="U108" s="1345"/>
      <c r="V108" s="1347"/>
      <c r="W108" s="1347"/>
      <c r="X108" s="1348"/>
    </row>
    <row r="109" spans="2:27" s="1337" customFormat="1">
      <c r="B109" s="1349"/>
      <c r="C109" s="1338"/>
      <c r="D109" s="1339" t="str">
        <f>D96</f>
        <v>TRAH2</v>
      </c>
      <c r="E109" s="1340"/>
      <c r="F109" s="558"/>
      <c r="G109" s="1341"/>
      <c r="H109" s="1342"/>
      <c r="I109" s="1342"/>
      <c r="J109" s="1343"/>
      <c r="K109" s="1344"/>
      <c r="L109" s="1345"/>
      <c r="M109" s="1345"/>
      <c r="N109" s="1345"/>
      <c r="P109" s="1345"/>
      <c r="Q109" s="1345"/>
      <c r="R109" s="1345"/>
      <c r="S109" s="1346"/>
      <c r="T109" s="1345"/>
      <c r="U109" s="1345"/>
      <c r="V109" s="1347"/>
      <c r="W109" s="1347"/>
      <c r="X109" s="1348"/>
    </row>
    <row r="110" spans="2:27" s="1322" customFormat="1" ht="26">
      <c r="B110" s="1322" t="s">
        <v>636</v>
      </c>
      <c r="C110" s="1323" t="s">
        <v>624</v>
      </c>
      <c r="D110" s="1324" t="s">
        <v>633</v>
      </c>
      <c r="E110" s="1325"/>
      <c r="F110" s="1322" t="s">
        <v>640</v>
      </c>
      <c r="G110" s="1369">
        <v>1</v>
      </c>
      <c r="H110" s="1326">
        <v>1</v>
      </c>
      <c r="I110" s="1326"/>
      <c r="J110" s="1327"/>
      <c r="K110" s="1328"/>
      <c r="L110" s="1329"/>
      <c r="M110" s="1329"/>
      <c r="N110" s="1329"/>
      <c r="P110" s="1329"/>
      <c r="Q110" s="1329"/>
      <c r="R110" s="1329"/>
      <c r="S110" s="1330">
        <f>'H2 matriz'!DP$26*1.11</f>
        <v>1.2685714285714287</v>
      </c>
      <c r="T110" s="1329"/>
      <c r="U110" s="1329"/>
      <c r="V110" s="1331">
        <v>50</v>
      </c>
      <c r="W110" s="1270">
        <v>2025</v>
      </c>
      <c r="X110" s="1332">
        <v>1</v>
      </c>
    </row>
    <row r="111" spans="2:27" s="331" customFormat="1" ht="26">
      <c r="B111" s="331" t="s">
        <v>1043</v>
      </c>
      <c r="C111" s="1272" t="s">
        <v>624</v>
      </c>
      <c r="D111" s="1273" t="s">
        <v>340</v>
      </c>
      <c r="E111" s="1274"/>
      <c r="F111" s="1275" t="s">
        <v>640</v>
      </c>
      <c r="G111" s="1370">
        <f>1-((10.05*0.06)/((32.56*0.94)+(10.05*0.06)))</f>
        <v>0.98067889802431318</v>
      </c>
      <c r="H111" s="1276">
        <v>1</v>
      </c>
      <c r="I111" s="1276"/>
      <c r="J111" s="1277"/>
      <c r="K111" s="1278"/>
      <c r="L111" s="1279"/>
      <c r="M111" s="1279"/>
      <c r="N111" s="1279"/>
      <c r="P111" s="1279"/>
      <c r="Q111" s="1279"/>
      <c r="R111" s="1279"/>
      <c r="S111" s="1280">
        <f>S110</f>
        <v>1.2685714285714287</v>
      </c>
      <c r="T111" s="1279"/>
      <c r="U111" s="1279"/>
      <c r="V111" s="1281">
        <v>50</v>
      </c>
      <c r="W111" s="1281">
        <v>2025</v>
      </c>
      <c r="X111" s="1282">
        <v>1</v>
      </c>
      <c r="Y111" s="1370"/>
      <c r="Z111" s="1375"/>
      <c r="AA111" s="1375"/>
    </row>
    <row r="112" spans="2:27" s="331" customFormat="1">
      <c r="C112" s="1272"/>
      <c r="D112" s="1273" t="s">
        <v>232</v>
      </c>
      <c r="E112" s="1274"/>
      <c r="F112" s="1275"/>
      <c r="G112" s="1370">
        <f>1-G111</f>
        <v>1.9321101975686816E-2</v>
      </c>
      <c r="H112" s="1276"/>
      <c r="I112" s="1276"/>
      <c r="J112" s="1277"/>
      <c r="K112" s="1278"/>
      <c r="L112" s="1279"/>
      <c r="M112" s="1279"/>
      <c r="N112" s="1279"/>
      <c r="P112" s="1279"/>
      <c r="Q112" s="1279"/>
      <c r="R112" s="1279"/>
      <c r="S112" s="1280"/>
      <c r="T112" s="1279"/>
      <c r="U112" s="1279"/>
      <c r="V112" s="1281"/>
      <c r="W112" s="1281"/>
      <c r="X112" s="1282"/>
    </row>
    <row r="113" spans="2:27" s="331" customFormat="1" ht="26">
      <c r="B113" s="331" t="s">
        <v>1155</v>
      </c>
      <c r="C113" s="1272" t="s">
        <v>624</v>
      </c>
      <c r="D113" s="1273" t="s">
        <v>340</v>
      </c>
      <c r="E113" s="1274"/>
      <c r="F113" s="1275" t="s">
        <v>640</v>
      </c>
      <c r="G113" s="1370">
        <f>1-((10.05*0.06)/((32.56*0.94)+(10.05*0.06)))</f>
        <v>0.98067889802431318</v>
      </c>
      <c r="H113" s="1276">
        <v>1</v>
      </c>
      <c r="I113" s="1276"/>
      <c r="J113" s="1277"/>
      <c r="K113" s="1278"/>
      <c r="L113" s="1279"/>
      <c r="M113" s="1279"/>
      <c r="N113" s="1279"/>
      <c r="P113" s="1279"/>
      <c r="Q113" s="1279"/>
      <c r="R113" s="1279"/>
      <c r="S113" s="1280">
        <f>S111</f>
        <v>1.2685714285714287</v>
      </c>
      <c r="T113" s="1279"/>
      <c r="U113" s="1279"/>
      <c r="V113" s="1281">
        <v>50</v>
      </c>
      <c r="W113" s="1281">
        <v>2025</v>
      </c>
      <c r="X113" s="1282">
        <v>1</v>
      </c>
      <c r="Y113" s="1370"/>
      <c r="Z113" s="1375"/>
      <c r="AA113" s="1375"/>
    </row>
    <row r="114" spans="2:27" s="331" customFormat="1">
      <c r="C114" s="1272"/>
      <c r="D114" s="1273" t="s">
        <v>527</v>
      </c>
      <c r="E114" s="1274"/>
      <c r="F114" s="1275"/>
      <c r="G114" s="1370">
        <f>1-G113</f>
        <v>1.9321101975686816E-2</v>
      </c>
      <c r="H114" s="1276"/>
      <c r="I114" s="1276"/>
      <c r="J114" s="1277"/>
      <c r="K114" s="1278"/>
      <c r="L114" s="1279"/>
      <c r="M114" s="1279"/>
      <c r="N114" s="1279"/>
      <c r="P114" s="1279"/>
      <c r="Q114" s="1279"/>
      <c r="R114" s="1279"/>
      <c r="S114" s="1280"/>
      <c r="T114" s="1279"/>
      <c r="U114" s="1279"/>
      <c r="V114" s="1281"/>
      <c r="W114" s="1281"/>
      <c r="X114" s="1282"/>
    </row>
    <row r="115" spans="2:27" s="380" customFormat="1" ht="26">
      <c r="B115" s="380" t="s">
        <v>645</v>
      </c>
      <c r="C115" s="1283" t="s">
        <v>624</v>
      </c>
      <c r="D115" s="455" t="s">
        <v>615</v>
      </c>
      <c r="E115" s="409"/>
      <c r="F115" s="366" t="s">
        <v>645</v>
      </c>
      <c r="G115" s="1371">
        <v>1</v>
      </c>
      <c r="H115" s="387">
        <v>1</v>
      </c>
      <c r="I115" s="387"/>
      <c r="J115" s="392"/>
      <c r="K115" s="1284"/>
      <c r="L115" s="473"/>
      <c r="M115" s="473"/>
      <c r="N115" s="473"/>
      <c r="P115" s="473"/>
      <c r="Q115" s="473"/>
      <c r="R115" s="473"/>
      <c r="S115" s="1285">
        <f>'H2 matriz'!DP$27*1.11</f>
        <v>2.2670758928571431</v>
      </c>
      <c r="T115" s="473"/>
      <c r="U115" s="473"/>
      <c r="V115" s="371">
        <v>50</v>
      </c>
      <c r="W115" s="371">
        <v>2025</v>
      </c>
      <c r="X115" s="431">
        <v>1</v>
      </c>
    </row>
    <row r="116" spans="2:27" s="1286" customFormat="1" ht="26">
      <c r="B116" s="1286" t="s">
        <v>1157</v>
      </c>
      <c r="C116" s="1287" t="s">
        <v>624</v>
      </c>
      <c r="D116" s="1288" t="s">
        <v>340</v>
      </c>
      <c r="E116" s="1289"/>
      <c r="F116" s="1290" t="s">
        <v>645</v>
      </c>
      <c r="G116" s="1370">
        <f>1-((10.05*0.1)/((32.56*0.9)+(10.05*0.1)))</f>
        <v>0.96684153221815305</v>
      </c>
      <c r="H116" s="1291">
        <v>1</v>
      </c>
      <c r="I116" s="1291"/>
      <c r="J116" s="1292"/>
      <c r="K116" s="1293"/>
      <c r="L116" s="1294"/>
      <c r="M116" s="1294"/>
      <c r="N116" s="1294"/>
      <c r="P116" s="1294"/>
      <c r="Q116" s="1294"/>
      <c r="R116" s="1294"/>
      <c r="S116" s="1295">
        <f>S115</f>
        <v>2.2670758928571431</v>
      </c>
      <c r="T116" s="1294"/>
      <c r="U116" s="1294"/>
      <c r="V116" s="1296">
        <v>50</v>
      </c>
      <c r="W116" s="1296">
        <v>2025</v>
      </c>
      <c r="X116" s="1297">
        <v>1</v>
      </c>
      <c r="Y116" s="1370"/>
      <c r="Z116" s="1375"/>
      <c r="AA116" s="1375"/>
    </row>
    <row r="117" spans="2:27" s="1286" customFormat="1">
      <c r="C117" s="1287"/>
      <c r="D117" s="1288" t="s">
        <v>232</v>
      </c>
      <c r="E117" s="1289"/>
      <c r="F117" s="1290"/>
      <c r="G117" s="1372">
        <f>1-G116</f>
        <v>3.3158467781846945E-2</v>
      </c>
      <c r="H117" s="1291"/>
      <c r="I117" s="1291"/>
      <c r="J117" s="1292"/>
      <c r="K117" s="1293"/>
      <c r="L117" s="1294"/>
      <c r="M117" s="1294"/>
      <c r="N117" s="1294"/>
      <c r="P117" s="1294"/>
      <c r="Q117" s="1294"/>
      <c r="R117" s="1294"/>
      <c r="S117" s="1295"/>
      <c r="T117" s="1294"/>
      <c r="U117" s="1294"/>
      <c r="V117" s="1296"/>
      <c r="W117" s="1296"/>
      <c r="X117" s="1297"/>
    </row>
    <row r="118" spans="2:27" s="1286" customFormat="1" ht="26">
      <c r="B118" s="1286" t="s">
        <v>1156</v>
      </c>
      <c r="C118" s="1287" t="s">
        <v>624</v>
      </c>
      <c r="D118" s="1288" t="s">
        <v>340</v>
      </c>
      <c r="E118" s="1289"/>
      <c r="F118" s="1290" t="s">
        <v>645</v>
      </c>
      <c r="G118" s="1370">
        <f>1-((10.05*0.1)/((32.56*0.9)+(10.05*0.1)))</f>
        <v>0.96684153221815305</v>
      </c>
      <c r="H118" s="1291">
        <v>1</v>
      </c>
      <c r="I118" s="1291"/>
      <c r="J118" s="1292"/>
      <c r="K118" s="1293"/>
      <c r="L118" s="1294"/>
      <c r="M118" s="1294"/>
      <c r="N118" s="1294"/>
      <c r="P118" s="1294"/>
      <c r="Q118" s="1294"/>
      <c r="R118" s="1294"/>
      <c r="S118" s="1295">
        <f>S116</f>
        <v>2.2670758928571431</v>
      </c>
      <c r="T118" s="1294"/>
      <c r="U118" s="1294"/>
      <c r="V118" s="1296">
        <v>50</v>
      </c>
      <c r="W118" s="1296">
        <v>2025</v>
      </c>
      <c r="X118" s="1297">
        <v>1</v>
      </c>
      <c r="Y118" s="1370"/>
      <c r="Z118" s="1375"/>
      <c r="AA118" s="1375"/>
    </row>
    <row r="119" spans="2:27" s="1286" customFormat="1">
      <c r="C119" s="1287"/>
      <c r="D119" s="1288" t="s">
        <v>527</v>
      </c>
      <c r="E119" s="1289"/>
      <c r="F119" s="1290"/>
      <c r="G119" s="1372">
        <f>1-G118</f>
        <v>3.3158467781846945E-2</v>
      </c>
      <c r="H119" s="1291"/>
      <c r="I119" s="1291"/>
      <c r="J119" s="1292"/>
      <c r="K119" s="1293"/>
      <c r="L119" s="1294"/>
      <c r="M119" s="1294"/>
      <c r="N119" s="1294"/>
      <c r="P119" s="1294"/>
      <c r="Q119" s="1294"/>
      <c r="R119" s="1294"/>
      <c r="S119" s="1295"/>
      <c r="T119" s="1294"/>
      <c r="U119" s="1294"/>
      <c r="V119" s="1296"/>
      <c r="W119" s="1296"/>
      <c r="X119" s="1297"/>
    </row>
    <row r="120" spans="2:27" s="1298" customFormat="1" ht="26">
      <c r="B120" s="1298" t="s">
        <v>625</v>
      </c>
      <c r="C120" s="1299" t="s">
        <v>624</v>
      </c>
      <c r="D120" s="1300" t="s">
        <v>616</v>
      </c>
      <c r="E120" s="1301"/>
      <c r="F120" s="1302" t="s">
        <v>625</v>
      </c>
      <c r="G120" s="1373">
        <v>1</v>
      </c>
      <c r="H120" s="1303">
        <v>1</v>
      </c>
      <c r="I120" s="1303"/>
      <c r="J120" s="1304"/>
      <c r="K120" s="1305"/>
      <c r="L120" s="1306"/>
      <c r="M120" s="1306"/>
      <c r="N120" s="1306"/>
      <c r="P120" s="1306"/>
      <c r="Q120" s="1306"/>
      <c r="R120" s="1306"/>
      <c r="S120" s="1305">
        <f>'H2 matriz'!DP$28*1.11</f>
        <v>2.7204910714285711</v>
      </c>
      <c r="T120" s="1306"/>
      <c r="U120" s="1306"/>
      <c r="V120" s="1307">
        <v>50</v>
      </c>
      <c r="W120" s="1307">
        <v>2030</v>
      </c>
      <c r="X120" s="1308">
        <v>1</v>
      </c>
      <c r="Y120" s="1309"/>
    </row>
    <row r="121" spans="2:27" s="1310" customFormat="1" ht="26">
      <c r="B121" s="1310" t="s">
        <v>1044</v>
      </c>
      <c r="C121" s="1311" t="s">
        <v>624</v>
      </c>
      <c r="D121" s="1312" t="s">
        <v>340</v>
      </c>
      <c r="E121" s="1313"/>
      <c r="F121" s="672" t="s">
        <v>625</v>
      </c>
      <c r="G121" s="1374"/>
      <c r="H121" s="1314"/>
      <c r="I121" s="1314">
        <v>1</v>
      </c>
      <c r="J121" s="1315"/>
      <c r="K121" s="1321"/>
      <c r="L121" s="1317"/>
      <c r="M121" s="1317"/>
      <c r="N121" s="1317"/>
      <c r="P121" s="1317"/>
      <c r="Q121" s="1317"/>
      <c r="R121" s="1317"/>
      <c r="S121" s="1318">
        <f>S120</f>
        <v>2.7204910714285711</v>
      </c>
      <c r="T121" s="1317"/>
      <c r="U121" s="1317"/>
      <c r="V121" s="1319">
        <v>50</v>
      </c>
      <c r="W121" s="1319">
        <v>2030</v>
      </c>
      <c r="X121" s="1320">
        <v>1</v>
      </c>
      <c r="Y121" s="1370">
        <f>ROUND(1-((10.05*0.2)/((32.56*0.8)+(10.05*0.2))),2)</f>
        <v>0.93</v>
      </c>
      <c r="Z121" s="1375">
        <f>1-Y121</f>
        <v>6.9999999999999951E-2</v>
      </c>
      <c r="AA121" s="1375">
        <f>1-Y121</f>
        <v>6.9999999999999951E-2</v>
      </c>
    </row>
    <row r="122" spans="2:27" s="1310" customFormat="1">
      <c r="C122" s="1311"/>
      <c r="D122" s="1312" t="s">
        <v>232</v>
      </c>
      <c r="E122" s="1313"/>
      <c r="F122" s="672"/>
      <c r="G122" s="1374"/>
      <c r="H122" s="1314"/>
      <c r="I122" s="1314"/>
      <c r="J122" s="1315"/>
      <c r="K122" s="1316"/>
      <c r="L122" s="1317"/>
      <c r="M122" s="1317"/>
      <c r="N122" s="1317"/>
      <c r="P122" s="1317"/>
      <c r="Q122" s="1317"/>
      <c r="R122" s="1317"/>
      <c r="S122" s="1318"/>
      <c r="T122" s="1317"/>
      <c r="U122" s="1317"/>
      <c r="V122" s="1319"/>
      <c r="W122" s="1319"/>
      <c r="X122" s="1320"/>
    </row>
    <row r="123" spans="2:27" s="1310" customFormat="1">
      <c r="C123" s="1311"/>
      <c r="D123" s="1339" t="s">
        <v>527</v>
      </c>
      <c r="E123" s="1313"/>
      <c r="F123" s="672"/>
      <c r="G123" s="1374"/>
      <c r="H123" s="1314"/>
      <c r="I123" s="1314"/>
      <c r="J123" s="1315"/>
      <c r="K123" s="1316"/>
      <c r="L123" s="1317"/>
      <c r="M123" s="1317"/>
      <c r="N123" s="1317"/>
      <c r="P123" s="1317"/>
      <c r="Q123" s="1317"/>
      <c r="R123" s="1317"/>
      <c r="S123" s="1318"/>
      <c r="T123" s="1317"/>
      <c r="U123" s="1317"/>
      <c r="V123" s="1319"/>
      <c r="W123" s="1319"/>
      <c r="X123" s="1320"/>
    </row>
    <row r="124" spans="2:27" s="1337" customFormat="1">
      <c r="B124" s="1349" t="s">
        <v>1121</v>
      </c>
      <c r="C124" s="1350" t="s">
        <v>1127</v>
      </c>
      <c r="D124" s="1339" t="s">
        <v>277</v>
      </c>
      <c r="E124" s="1340"/>
      <c r="F124" s="1351" t="s">
        <v>367</v>
      </c>
      <c r="G124" s="1341"/>
      <c r="H124" s="1342"/>
      <c r="I124" s="1342">
        <v>1</v>
      </c>
      <c r="J124" s="1343"/>
      <c r="K124" s="1346">
        <f>K106</f>
        <v>3.0173041789644688</v>
      </c>
      <c r="L124" s="1345"/>
      <c r="M124" s="1345"/>
      <c r="N124" s="1345"/>
      <c r="P124" s="1345"/>
      <c r="Q124" s="1345"/>
      <c r="R124" s="1345"/>
      <c r="S124" s="1346">
        <f>'H2 matriz'!DP$29*1.11</f>
        <v>4.7174999999999994</v>
      </c>
      <c r="T124" s="1345"/>
      <c r="U124" s="1345"/>
      <c r="V124" s="1347"/>
      <c r="W124" s="1347">
        <v>2030</v>
      </c>
      <c r="X124" s="1348">
        <v>1</v>
      </c>
    </row>
    <row r="125" spans="2:27" s="1337" customFormat="1">
      <c r="B125" s="1349"/>
      <c r="C125" s="1350"/>
      <c r="D125" s="1339" t="s">
        <v>232</v>
      </c>
      <c r="E125" s="1340"/>
      <c r="F125" s="1351"/>
      <c r="G125" s="1341"/>
      <c r="H125" s="1342"/>
      <c r="I125" s="1342"/>
      <c r="J125" s="1343"/>
      <c r="K125" s="1346"/>
      <c r="L125" s="1345"/>
      <c r="M125" s="1345"/>
      <c r="N125" s="1345"/>
      <c r="P125" s="1345"/>
      <c r="Q125" s="1345"/>
      <c r="R125" s="1345"/>
      <c r="S125" s="1346"/>
      <c r="T125" s="1345"/>
      <c r="U125" s="1345"/>
      <c r="V125" s="1347"/>
      <c r="W125" s="1347"/>
      <c r="X125" s="1348"/>
    </row>
    <row r="126" spans="2:27" s="1337" customFormat="1">
      <c r="B126" s="1349"/>
      <c r="C126" s="1350"/>
      <c r="D126" s="1339" t="s">
        <v>527</v>
      </c>
      <c r="E126" s="1340"/>
      <c r="F126" s="1351"/>
      <c r="G126" s="1341"/>
      <c r="H126" s="1342"/>
      <c r="I126" s="1342"/>
      <c r="J126" s="1343"/>
      <c r="K126" s="1344"/>
      <c r="L126" s="1345"/>
      <c r="M126" s="1345"/>
      <c r="N126" s="1345"/>
      <c r="P126" s="1345"/>
      <c r="Q126" s="1345"/>
      <c r="R126" s="1345"/>
      <c r="S126" s="1346"/>
      <c r="T126" s="1345"/>
      <c r="U126" s="1345"/>
      <c r="V126" s="1347">
        <v>50</v>
      </c>
      <c r="W126" s="1347"/>
      <c r="X126" s="1348"/>
    </row>
    <row r="127" spans="2:27" s="1337" customFormat="1">
      <c r="B127" s="1349"/>
      <c r="C127" s="1350"/>
      <c r="D127" s="1339" t="str">
        <f>D109</f>
        <v>TRAH2</v>
      </c>
      <c r="E127" s="1340"/>
      <c r="F127" s="1351"/>
      <c r="G127" s="1341"/>
      <c r="H127" s="1342"/>
      <c r="I127" s="1342"/>
      <c r="J127" s="1343"/>
      <c r="K127" s="1344"/>
      <c r="L127" s="1345"/>
      <c r="M127" s="1345"/>
      <c r="N127" s="1345"/>
      <c r="P127" s="1345"/>
      <c r="Q127" s="1345"/>
      <c r="R127" s="1345"/>
      <c r="S127" s="1346"/>
      <c r="T127" s="1345"/>
      <c r="U127" s="1345"/>
      <c r="V127" s="1347"/>
      <c r="W127" s="1347"/>
      <c r="X127" s="1348"/>
    </row>
    <row r="128" spans="2:27" s="1322" customFormat="1" ht="26">
      <c r="B128" s="1322" t="s">
        <v>637</v>
      </c>
      <c r="C128" s="1323" t="s">
        <v>626</v>
      </c>
      <c r="D128" s="1324" t="s">
        <v>633</v>
      </c>
      <c r="E128" s="1325"/>
      <c r="F128" s="1322" t="s">
        <v>641</v>
      </c>
      <c r="G128" s="1369">
        <v>1</v>
      </c>
      <c r="H128" s="1326">
        <v>1</v>
      </c>
      <c r="I128" s="1326"/>
      <c r="J128" s="1327"/>
      <c r="K128" s="1328"/>
      <c r="L128" s="1329"/>
      <c r="M128" s="1329"/>
      <c r="N128" s="1329"/>
      <c r="P128" s="1329"/>
      <c r="Q128" s="1329"/>
      <c r="R128" s="1329"/>
      <c r="S128" s="1330">
        <f>'H2 matriz'!DP$26*0.022*0.69*0.86</f>
        <v>1.4919771428571425E-2</v>
      </c>
      <c r="T128" s="1329"/>
      <c r="U128" s="1329"/>
      <c r="V128" s="1331">
        <v>50</v>
      </c>
      <c r="W128" s="1270">
        <v>2025</v>
      </c>
      <c r="X128" s="1332">
        <v>1</v>
      </c>
    </row>
    <row r="129" spans="2:25" s="331" customFormat="1" ht="26">
      <c r="B129" s="331" t="s">
        <v>1045</v>
      </c>
      <c r="C129" s="1272" t="s">
        <v>626</v>
      </c>
      <c r="D129" s="1273" t="s">
        <v>340</v>
      </c>
      <c r="E129" s="1274"/>
      <c r="F129" s="1275" t="s">
        <v>641</v>
      </c>
      <c r="G129" s="1370">
        <f>1-G130</f>
        <v>0.98067889802431318</v>
      </c>
      <c r="H129" s="1276">
        <v>1</v>
      </c>
      <c r="I129" s="1276"/>
      <c r="J129" s="1277"/>
      <c r="K129" s="1278"/>
      <c r="L129" s="1279"/>
      <c r="M129" s="1279"/>
      <c r="N129" s="1279"/>
      <c r="P129" s="1279"/>
      <c r="Q129" s="1279"/>
      <c r="R129" s="1279"/>
      <c r="S129" s="1330">
        <f>S128</f>
        <v>1.4919771428571425E-2</v>
      </c>
      <c r="T129" s="1279"/>
      <c r="U129" s="1279"/>
      <c r="V129" s="1281">
        <v>50</v>
      </c>
      <c r="W129" s="1281">
        <v>2025</v>
      </c>
      <c r="X129" s="1282">
        <v>1</v>
      </c>
    </row>
    <row r="130" spans="2:25" s="331" customFormat="1">
      <c r="C130" s="1272"/>
      <c r="D130" s="1273" t="s">
        <v>232</v>
      </c>
      <c r="E130" s="1274"/>
      <c r="F130" s="1275"/>
      <c r="G130" s="1370">
        <f>(10.05*0.06)/((32.56*0.94)+(10.05*0.06))</f>
        <v>1.9321101975686809E-2</v>
      </c>
      <c r="H130" s="1276"/>
      <c r="I130" s="1276"/>
      <c r="J130" s="1277"/>
      <c r="K130" s="1278"/>
      <c r="L130" s="1279"/>
      <c r="M130" s="1279"/>
      <c r="N130" s="1279"/>
      <c r="P130" s="1279"/>
      <c r="Q130" s="1279"/>
      <c r="R130" s="1279"/>
      <c r="S130" s="1330"/>
      <c r="T130" s="1279"/>
      <c r="U130" s="1279"/>
      <c r="V130" s="1281"/>
      <c r="W130" s="1281"/>
      <c r="X130" s="1282"/>
    </row>
    <row r="131" spans="2:25" s="380" customFormat="1" ht="26">
      <c r="B131" s="380" t="s">
        <v>646</v>
      </c>
      <c r="C131" s="1283" t="s">
        <v>626</v>
      </c>
      <c r="D131" s="455" t="s">
        <v>615</v>
      </c>
      <c r="E131" s="409"/>
      <c r="F131" s="366" t="s">
        <v>646</v>
      </c>
      <c r="G131" s="1371">
        <v>1</v>
      </c>
      <c r="H131" s="387">
        <v>1</v>
      </c>
      <c r="I131" s="387"/>
      <c r="J131" s="392"/>
      <c r="K131" s="1284"/>
      <c r="L131" s="473"/>
      <c r="M131" s="473"/>
      <c r="N131" s="473"/>
      <c r="P131" s="473"/>
      <c r="Q131" s="473"/>
      <c r="R131" s="473"/>
      <c r="S131" s="1330">
        <f>'H2 matriz'!DP$27*0.022*0.69*0.86</f>
        <v>2.6663263392857142E-2</v>
      </c>
      <c r="T131" s="473"/>
      <c r="U131" s="473"/>
      <c r="V131" s="371">
        <v>50</v>
      </c>
      <c r="W131" s="371">
        <v>2025</v>
      </c>
      <c r="X131" s="431">
        <v>1</v>
      </c>
    </row>
    <row r="132" spans="2:25" s="1286" customFormat="1" ht="26">
      <c r="B132" s="1286" t="s">
        <v>1041</v>
      </c>
      <c r="C132" s="1287" t="s">
        <v>626</v>
      </c>
      <c r="D132" s="1288" t="s">
        <v>340</v>
      </c>
      <c r="E132" s="1289"/>
      <c r="F132" s="1290" t="s">
        <v>646</v>
      </c>
      <c r="G132" s="1372">
        <f>1-G133</f>
        <v>0.96684153221815305</v>
      </c>
      <c r="H132" s="1291">
        <v>1</v>
      </c>
      <c r="I132" s="1291"/>
      <c r="J132" s="1292"/>
      <c r="K132" s="1293"/>
      <c r="L132" s="1294"/>
      <c r="M132" s="1294"/>
      <c r="N132" s="1294"/>
      <c r="P132" s="1294"/>
      <c r="Q132" s="1294"/>
      <c r="R132" s="1294"/>
      <c r="S132" s="1330">
        <f>S131</f>
        <v>2.6663263392857142E-2</v>
      </c>
      <c r="T132" s="1294"/>
      <c r="U132" s="1294"/>
      <c r="V132" s="1296">
        <v>50</v>
      </c>
      <c r="W132" s="1296">
        <v>2025</v>
      </c>
      <c r="X132" s="1297">
        <v>1</v>
      </c>
    </row>
    <row r="133" spans="2:25" s="1286" customFormat="1">
      <c r="C133" s="1287"/>
      <c r="D133" s="1288" t="s">
        <v>232</v>
      </c>
      <c r="E133" s="1289"/>
      <c r="F133" s="1290"/>
      <c r="G133" s="1372">
        <f>(10.05*0.1)/((32.56*0.9)+(10.05*0.1))</f>
        <v>3.315846778184698E-2</v>
      </c>
      <c r="H133" s="1291"/>
      <c r="I133" s="1291"/>
      <c r="J133" s="1292"/>
      <c r="K133" s="1293"/>
      <c r="L133" s="1294"/>
      <c r="M133" s="1294"/>
      <c r="N133" s="1294"/>
      <c r="P133" s="1294"/>
      <c r="Q133" s="1294"/>
      <c r="R133" s="1294"/>
      <c r="S133" s="1330"/>
      <c r="T133" s="1294"/>
      <c r="U133" s="1294"/>
      <c r="V133" s="1296"/>
      <c r="W133" s="1296"/>
      <c r="X133" s="1297"/>
    </row>
    <row r="134" spans="2:25" s="1298" customFormat="1" ht="26">
      <c r="B134" s="1298" t="s">
        <v>627</v>
      </c>
      <c r="C134" s="1299" t="s">
        <v>626</v>
      </c>
      <c r="D134" s="1300" t="s">
        <v>616</v>
      </c>
      <c r="E134" s="1301"/>
      <c r="F134" s="1302" t="s">
        <v>627</v>
      </c>
      <c r="G134" s="1373">
        <v>1</v>
      </c>
      <c r="H134" s="1303">
        <v>1</v>
      </c>
      <c r="I134" s="1303"/>
      <c r="J134" s="1304"/>
      <c r="K134" s="1305"/>
      <c r="L134" s="1306"/>
      <c r="M134" s="1306"/>
      <c r="N134" s="1306"/>
      <c r="P134" s="1306"/>
      <c r="Q134" s="1306"/>
      <c r="R134" s="1306"/>
      <c r="S134" s="1330">
        <f>'H2 matriz'!DP$28*0.022*0.69*0.86</f>
        <v>3.1995916071428557E-2</v>
      </c>
      <c r="T134" s="1306"/>
      <c r="U134" s="1306"/>
      <c r="V134" s="1307">
        <v>50</v>
      </c>
      <c r="W134" s="1307">
        <v>2030</v>
      </c>
      <c r="X134" s="1308">
        <v>1</v>
      </c>
      <c r="Y134" s="1309"/>
    </row>
    <row r="135" spans="2:25" s="1310" customFormat="1" ht="26">
      <c r="B135" s="1310" t="s">
        <v>1046</v>
      </c>
      <c r="C135" s="1311" t="s">
        <v>626</v>
      </c>
      <c r="D135" s="1312" t="s">
        <v>340</v>
      </c>
      <c r="E135" s="1313"/>
      <c r="F135" s="672" t="s">
        <v>627</v>
      </c>
      <c r="G135" s="1374">
        <f>1-G136</f>
        <v>0.92836267731128375</v>
      </c>
      <c r="H135" s="1314">
        <v>1</v>
      </c>
      <c r="I135" s="1314"/>
      <c r="J135" s="1315"/>
      <c r="K135" s="1321"/>
      <c r="L135" s="1317"/>
      <c r="M135" s="1317"/>
      <c r="N135" s="1317"/>
      <c r="P135" s="1317"/>
      <c r="Q135" s="1317"/>
      <c r="R135" s="1317"/>
      <c r="S135" s="1330">
        <f>S134</f>
        <v>3.1995916071428557E-2</v>
      </c>
      <c r="T135" s="1317"/>
      <c r="U135" s="1317"/>
      <c r="V135" s="1319">
        <v>50</v>
      </c>
      <c r="W135" s="1319">
        <v>2030</v>
      </c>
      <c r="X135" s="1320">
        <v>1</v>
      </c>
    </row>
    <row r="136" spans="2:25" s="1310" customFormat="1">
      <c r="C136" s="1311"/>
      <c r="D136" s="1312" t="s">
        <v>232</v>
      </c>
      <c r="E136" s="1313"/>
      <c r="F136" s="672"/>
      <c r="G136" s="1374">
        <f>(10.05*0.2)/((32.56*0.8)+(10.05*0.2))</f>
        <v>7.1637322688716226E-2</v>
      </c>
      <c r="H136" s="1314"/>
      <c r="I136" s="1314"/>
      <c r="J136" s="1315"/>
      <c r="K136" s="1316"/>
      <c r="L136" s="1317"/>
      <c r="M136" s="1317"/>
      <c r="N136" s="1317"/>
      <c r="P136" s="1317"/>
      <c r="Q136" s="1317"/>
      <c r="R136" s="1317"/>
      <c r="S136" s="1330"/>
      <c r="T136" s="1317"/>
      <c r="U136" s="1317"/>
      <c r="V136" s="1319"/>
      <c r="W136" s="1319"/>
      <c r="X136" s="1320"/>
    </row>
    <row r="137" spans="2:25" s="1337" customFormat="1">
      <c r="B137" s="1349" t="s">
        <v>1147</v>
      </c>
      <c r="C137" s="1350" t="s">
        <v>1125</v>
      </c>
      <c r="D137" s="1339" t="s">
        <v>232</v>
      </c>
      <c r="E137" s="1340"/>
      <c r="F137" s="1351" t="s">
        <v>1117</v>
      </c>
      <c r="G137" s="1341"/>
      <c r="H137" s="1342"/>
      <c r="I137" s="1342">
        <v>1</v>
      </c>
      <c r="J137" s="1343"/>
      <c r="K137" s="1346">
        <f>K124</f>
        <v>3.0173041789644688</v>
      </c>
      <c r="L137" s="1345"/>
      <c r="M137" s="1345"/>
      <c r="N137" s="1345"/>
      <c r="P137" s="1345"/>
      <c r="Q137" s="1345"/>
      <c r="R137" s="1345"/>
      <c r="S137" s="1330">
        <f>'H2 matriz'!DP$29*0.013</f>
        <v>5.5249999999999987E-2</v>
      </c>
      <c r="T137" s="1345"/>
      <c r="U137" s="1345"/>
      <c r="V137" s="1347"/>
      <c r="W137" s="1347">
        <v>2030</v>
      </c>
      <c r="X137" s="1348">
        <v>1</v>
      </c>
    </row>
    <row r="138" spans="2:25" s="1337" customFormat="1">
      <c r="B138" s="1349"/>
      <c r="C138" s="1350"/>
      <c r="D138" s="1339" t="str">
        <f>SUP_HS!D16</f>
        <v>SYNH2DI</v>
      </c>
      <c r="E138" s="1340"/>
      <c r="F138" s="1351"/>
      <c r="G138" s="1341"/>
      <c r="H138" s="1342"/>
      <c r="I138" s="1342"/>
      <c r="J138" s="1343"/>
      <c r="K138" s="1346"/>
      <c r="L138" s="1345"/>
      <c r="M138" s="1345"/>
      <c r="N138" s="1345"/>
      <c r="P138" s="1345"/>
      <c r="Q138" s="1345"/>
      <c r="R138" s="1345"/>
      <c r="S138" s="1492"/>
      <c r="T138" s="1345"/>
      <c r="U138" s="1345"/>
      <c r="V138" s="1347"/>
      <c r="W138" s="1347"/>
      <c r="X138" s="1348"/>
    </row>
    <row r="139" spans="2:25" s="1337" customFormat="1">
      <c r="B139" s="1349"/>
      <c r="C139" s="1338"/>
      <c r="D139" s="1339" t="s">
        <v>277</v>
      </c>
      <c r="E139" s="1340"/>
      <c r="F139" s="558"/>
      <c r="G139" s="1341"/>
      <c r="H139" s="1342"/>
      <c r="I139" s="1342"/>
      <c r="J139" s="1343"/>
      <c r="K139" s="1344"/>
      <c r="L139" s="1345"/>
      <c r="M139" s="1345"/>
      <c r="N139" s="1345"/>
      <c r="P139" s="1345"/>
      <c r="Q139" s="1345"/>
      <c r="R139" s="1345"/>
      <c r="S139" s="1346"/>
      <c r="T139" s="1345"/>
      <c r="U139" s="1345"/>
      <c r="V139" s="1347"/>
      <c r="W139" s="1347"/>
      <c r="X139" s="1348"/>
    </row>
    <row r="140" spans="2:25" s="1337" customFormat="1">
      <c r="B140" s="1349"/>
      <c r="C140" s="1338"/>
      <c r="D140" s="1339" t="str">
        <f>D127</f>
        <v>TRAH2</v>
      </c>
      <c r="E140" s="1340"/>
      <c r="F140" s="558"/>
      <c r="G140" s="1341"/>
      <c r="H140" s="1342"/>
      <c r="I140" s="1342"/>
      <c r="J140" s="1343"/>
      <c r="K140" s="1344"/>
      <c r="L140" s="1345"/>
      <c r="M140" s="1345"/>
      <c r="N140" s="1345"/>
      <c r="P140" s="1345"/>
      <c r="Q140" s="1345"/>
      <c r="R140" s="1345"/>
      <c r="S140" s="1346"/>
      <c r="T140" s="1345"/>
      <c r="U140" s="1345"/>
      <c r="V140" s="1347"/>
      <c r="W140" s="1347"/>
      <c r="X140" s="1348"/>
    </row>
    <row r="141" spans="2:25" s="1322" customFormat="1" ht="26">
      <c r="B141" s="1322" t="s">
        <v>1033</v>
      </c>
      <c r="C141" s="1323" t="s">
        <v>1034</v>
      </c>
      <c r="D141" s="1324" t="s">
        <v>633</v>
      </c>
      <c r="E141" s="1325"/>
      <c r="F141" s="1322" t="s">
        <v>1035</v>
      </c>
      <c r="G141" s="1369">
        <v>1</v>
      </c>
      <c r="H141" s="1326">
        <v>1</v>
      </c>
      <c r="I141" s="1326"/>
      <c r="J141" s="1327"/>
      <c r="K141" s="1328"/>
      <c r="L141" s="1329"/>
      <c r="M141" s="1329"/>
      <c r="N141" s="1329"/>
      <c r="P141" s="1329"/>
      <c r="Q141" s="1329"/>
      <c r="R141" s="1329"/>
      <c r="S141" s="1330">
        <f>S84</f>
        <v>3.617142857142857</v>
      </c>
      <c r="T141" s="1329"/>
      <c r="U141" s="1329"/>
      <c r="V141" s="1331">
        <v>50</v>
      </c>
      <c r="W141" s="1270">
        <v>2025</v>
      </c>
      <c r="X141" s="1332">
        <v>1</v>
      </c>
    </row>
    <row r="142" spans="2:25" s="331" customFormat="1" ht="26">
      <c r="B142" s="331" t="s">
        <v>1047</v>
      </c>
      <c r="C142" s="1272" t="s">
        <v>1034</v>
      </c>
      <c r="D142" s="1273" t="s">
        <v>340</v>
      </c>
      <c r="E142" s="1274"/>
      <c r="F142" s="1275" t="s">
        <v>1035</v>
      </c>
      <c r="G142" s="1370">
        <f>1-G143</f>
        <v>0.98067889802431318</v>
      </c>
      <c r="H142" s="1276">
        <v>1</v>
      </c>
      <c r="I142" s="1276"/>
      <c r="J142" s="1277"/>
      <c r="K142" s="1278"/>
      <c r="L142" s="1279"/>
      <c r="M142" s="1279"/>
      <c r="N142" s="1279"/>
      <c r="P142" s="1279"/>
      <c r="Q142" s="1279"/>
      <c r="R142" s="1279"/>
      <c r="S142" s="1280">
        <f>S85</f>
        <v>3.617142857142857</v>
      </c>
      <c r="T142" s="1279"/>
      <c r="U142" s="1279"/>
      <c r="V142" s="1281">
        <v>50</v>
      </c>
      <c r="W142" s="1281">
        <v>2025</v>
      </c>
      <c r="X142" s="1282">
        <v>1</v>
      </c>
    </row>
    <row r="143" spans="2:25" s="331" customFormat="1">
      <c r="C143" s="1272"/>
      <c r="D143" s="1273" t="s">
        <v>232</v>
      </c>
      <c r="E143" s="1274"/>
      <c r="F143" s="1275"/>
      <c r="G143" s="1370">
        <f>(10.05*0.06)/((32.56*0.94)+(10.05*0.06))</f>
        <v>1.9321101975686809E-2</v>
      </c>
      <c r="H143" s="1276"/>
      <c r="I143" s="1276"/>
      <c r="J143" s="1277"/>
      <c r="K143" s="1278"/>
      <c r="L143" s="1279"/>
      <c r="M143" s="1279"/>
      <c r="N143" s="1279"/>
      <c r="P143" s="1279"/>
      <c r="Q143" s="1279"/>
      <c r="R143" s="1279"/>
      <c r="S143" s="1280"/>
      <c r="T143" s="1279"/>
      <c r="U143" s="1279"/>
      <c r="V143" s="1281"/>
      <c r="W143" s="1281"/>
      <c r="X143" s="1282"/>
    </row>
    <row r="144" spans="2:25" s="380" customFormat="1" ht="26">
      <c r="B144" s="380" t="s">
        <v>1036</v>
      </c>
      <c r="C144" s="1283" t="s">
        <v>1034</v>
      </c>
      <c r="D144" s="455" t="s">
        <v>615</v>
      </c>
      <c r="E144" s="409"/>
      <c r="F144" s="366" t="s">
        <v>1036</v>
      </c>
      <c r="G144" s="1371">
        <v>1</v>
      </c>
      <c r="H144" s="387">
        <v>1</v>
      </c>
      <c r="I144" s="387"/>
      <c r="J144" s="392"/>
      <c r="K144" s="1284"/>
      <c r="L144" s="473"/>
      <c r="M144" s="473"/>
      <c r="N144" s="473"/>
      <c r="P144" s="473"/>
      <c r="Q144" s="473"/>
      <c r="R144" s="473"/>
      <c r="S144" s="1285">
        <f>S87</f>
        <v>6.4642299107142858</v>
      </c>
      <c r="T144" s="473"/>
      <c r="U144" s="473"/>
      <c r="V144" s="371">
        <v>50</v>
      </c>
      <c r="W144" s="371">
        <v>2025</v>
      </c>
      <c r="X144" s="431">
        <v>1</v>
      </c>
    </row>
    <row r="145" spans="2:26" s="1286" customFormat="1" ht="26">
      <c r="B145" s="1286" t="s">
        <v>1040</v>
      </c>
      <c r="C145" s="1287" t="s">
        <v>1034</v>
      </c>
      <c r="D145" s="1288" t="s">
        <v>340</v>
      </c>
      <c r="E145" s="1289"/>
      <c r="F145" s="1290" t="s">
        <v>1036</v>
      </c>
      <c r="G145" s="1372">
        <f>1-G146</f>
        <v>0.96684153221815305</v>
      </c>
      <c r="H145" s="1291">
        <v>1</v>
      </c>
      <c r="I145" s="1291"/>
      <c r="J145" s="1292"/>
      <c r="K145" s="1293"/>
      <c r="L145" s="1294"/>
      <c r="M145" s="1294"/>
      <c r="N145" s="1294"/>
      <c r="P145" s="1294"/>
      <c r="Q145" s="1294"/>
      <c r="R145" s="1294"/>
      <c r="S145" s="1295">
        <f>S88</f>
        <v>6.4642299107142858</v>
      </c>
      <c r="T145" s="1294"/>
      <c r="U145" s="1294"/>
      <c r="V145" s="1296">
        <v>50</v>
      </c>
      <c r="W145" s="1296">
        <v>2025</v>
      </c>
      <c r="X145" s="1297">
        <v>1</v>
      </c>
    </row>
    <row r="146" spans="2:26" s="1286" customFormat="1">
      <c r="C146" s="1287"/>
      <c r="D146" s="1288" t="s">
        <v>232</v>
      </c>
      <c r="E146" s="1289"/>
      <c r="F146" s="1290"/>
      <c r="G146" s="1372">
        <f>(10.05*0.1)/((32.56*0.9)+(10.05*0.1))</f>
        <v>3.315846778184698E-2</v>
      </c>
      <c r="H146" s="1291"/>
      <c r="I146" s="1291"/>
      <c r="J146" s="1292"/>
      <c r="K146" s="1293"/>
      <c r="L146" s="1294"/>
      <c r="M146" s="1294"/>
      <c r="N146" s="1294"/>
      <c r="P146" s="1294"/>
      <c r="Q146" s="1294"/>
      <c r="R146" s="1294"/>
      <c r="S146" s="1295"/>
      <c r="T146" s="1294"/>
      <c r="U146" s="1294"/>
      <c r="V146" s="1296"/>
      <c r="W146" s="1296"/>
      <c r="X146" s="1297"/>
    </row>
    <row r="147" spans="2:26" s="1298" customFormat="1" ht="26">
      <c r="B147" s="1298" t="s">
        <v>1037</v>
      </c>
      <c r="C147" s="1299" t="s">
        <v>1034</v>
      </c>
      <c r="D147" s="1300" t="s">
        <v>616</v>
      </c>
      <c r="E147" s="1301"/>
      <c r="F147" s="1302" t="s">
        <v>1037</v>
      </c>
      <c r="G147" s="1373">
        <v>1</v>
      </c>
      <c r="H147" s="1303">
        <v>1</v>
      </c>
      <c r="I147" s="1303"/>
      <c r="J147" s="1304"/>
      <c r="K147" s="1305"/>
      <c r="L147" s="1306"/>
      <c r="M147" s="1306"/>
      <c r="N147" s="1306"/>
      <c r="P147" s="1306"/>
      <c r="Q147" s="1306"/>
      <c r="R147" s="1306"/>
      <c r="S147" s="1305">
        <f>S90</f>
        <v>7.7570758928571415</v>
      </c>
      <c r="T147" s="1306"/>
      <c r="U147" s="1306"/>
      <c r="V147" s="1307">
        <v>50</v>
      </c>
      <c r="W147" s="1307">
        <v>2030</v>
      </c>
      <c r="X147" s="1308">
        <v>1</v>
      </c>
      <c r="Y147" s="1309"/>
    </row>
    <row r="148" spans="2:26" s="1310" customFormat="1" ht="26">
      <c r="B148" s="1310" t="s">
        <v>1048</v>
      </c>
      <c r="C148" s="1311" t="s">
        <v>1034</v>
      </c>
      <c r="D148" s="1312" t="s">
        <v>340</v>
      </c>
      <c r="E148" s="1313"/>
      <c r="F148" s="672" t="s">
        <v>1037</v>
      </c>
      <c r="G148" s="1374">
        <f>1-G149</f>
        <v>0.92836267731128375</v>
      </c>
      <c r="H148" s="1314">
        <v>1</v>
      </c>
      <c r="I148" s="1314"/>
      <c r="J148" s="1315"/>
      <c r="K148" s="1305"/>
      <c r="L148" s="1317"/>
      <c r="M148" s="1317"/>
      <c r="N148" s="1317"/>
      <c r="P148" s="1317"/>
      <c r="Q148" s="1317"/>
      <c r="R148" s="1317"/>
      <c r="S148" s="1318">
        <f>S91</f>
        <v>7.7570758928571415</v>
      </c>
      <c r="T148" s="1317"/>
      <c r="U148" s="1317"/>
      <c r="V148" s="1319">
        <v>50</v>
      </c>
      <c r="W148" s="1319">
        <v>2030</v>
      </c>
      <c r="X148" s="1320">
        <v>1</v>
      </c>
    </row>
    <row r="149" spans="2:26" s="1310" customFormat="1">
      <c r="C149" s="1311"/>
      <c r="D149" s="1312" t="s">
        <v>232</v>
      </c>
      <c r="E149" s="1313"/>
      <c r="F149" s="672"/>
      <c r="G149" s="1374">
        <f>(10.05*0.2)/((32.56*0.8)+(10.05*0.2))</f>
        <v>7.1637322688716226E-2</v>
      </c>
      <c r="H149" s="1314"/>
      <c r="I149" s="1314"/>
      <c r="J149" s="1315"/>
      <c r="K149" s="1316"/>
      <c r="L149" s="1317"/>
      <c r="M149" s="1317"/>
      <c r="N149" s="1317"/>
      <c r="P149" s="1317"/>
      <c r="Q149" s="1317"/>
      <c r="R149" s="1317"/>
      <c r="S149" s="1318"/>
      <c r="T149" s="1317"/>
      <c r="U149" s="1317"/>
      <c r="V149" s="1319"/>
      <c r="W149" s="1319"/>
      <c r="X149" s="1320"/>
    </row>
    <row r="150" spans="2:26" s="1337" customFormat="1">
      <c r="B150" s="1349" t="s">
        <v>1123</v>
      </c>
      <c r="C150" s="1350" t="s">
        <v>1124</v>
      </c>
      <c r="D150" s="1339" t="s">
        <v>232</v>
      </c>
      <c r="E150" s="1340"/>
      <c r="F150" s="1351" t="s">
        <v>1122</v>
      </c>
      <c r="G150" s="1341"/>
      <c r="H150" s="1342"/>
      <c r="I150" s="1342">
        <v>1</v>
      </c>
      <c r="J150" s="1343"/>
      <c r="K150" s="1305">
        <f>K93</f>
        <v>3.0173041789644688</v>
      </c>
      <c r="L150" s="1345"/>
      <c r="M150" s="1345"/>
      <c r="N150" s="1345"/>
      <c r="P150" s="1345"/>
      <c r="Q150" s="1345"/>
      <c r="R150" s="1345"/>
      <c r="S150" s="1346">
        <f>S93</f>
        <v>13.451249999999998</v>
      </c>
      <c r="T150" s="1345"/>
      <c r="U150" s="1345"/>
      <c r="V150" s="1347">
        <v>50</v>
      </c>
      <c r="W150" s="1347">
        <v>2030</v>
      </c>
      <c r="X150" s="1348">
        <v>1</v>
      </c>
    </row>
    <row r="151" spans="2:26" s="1337" customFormat="1">
      <c r="B151" s="1349"/>
      <c r="C151" s="1350"/>
      <c r="D151" s="1339" t="s">
        <v>277</v>
      </c>
      <c r="E151" s="1340"/>
      <c r="F151" s="1351"/>
      <c r="G151" s="1341"/>
      <c r="H151" s="1342"/>
      <c r="I151" s="1342"/>
      <c r="J151" s="1343"/>
      <c r="K151" s="1344"/>
      <c r="L151" s="1345"/>
      <c r="M151" s="1345"/>
      <c r="N151" s="1345"/>
      <c r="P151" s="1345"/>
      <c r="Q151" s="1345"/>
      <c r="R151" s="1345"/>
      <c r="S151" s="1346"/>
      <c r="T151" s="1345"/>
      <c r="U151" s="1345"/>
      <c r="V151" s="1347"/>
      <c r="W151" s="1347"/>
      <c r="X151" s="1348"/>
    </row>
    <row r="152" spans="2:26" s="139" customFormat="1">
      <c r="B152" s="293"/>
      <c r="C152" s="293"/>
      <c r="D152" s="692" t="str">
        <f>D140</f>
        <v>TRAH2</v>
      </c>
      <c r="E152" s="293"/>
      <c r="F152" s="293"/>
      <c r="G152" s="233"/>
      <c r="H152" s="22"/>
      <c r="I152" s="633"/>
      <c r="J152" s="295"/>
      <c r="K152" s="233"/>
      <c r="L152" s="233"/>
      <c r="M152" s="233"/>
      <c r="N152" s="676"/>
      <c r="O152" s="233"/>
      <c r="P152" s="233"/>
      <c r="Q152" s="233"/>
      <c r="R152" s="676"/>
      <c r="S152" s="233"/>
      <c r="T152" s="233"/>
      <c r="U152" s="233"/>
      <c r="V152" s="234"/>
      <c r="W152" s="234"/>
      <c r="X152" s="22"/>
      <c r="Z152" s="274"/>
    </row>
    <row r="153" spans="2:26" s="653" customFormat="1">
      <c r="B153" s="692"/>
      <c r="C153" s="692"/>
      <c r="D153" s="692"/>
      <c r="E153" s="692"/>
      <c r="F153" s="692"/>
      <c r="G153" s="676"/>
      <c r="H153" s="633"/>
      <c r="I153" s="633"/>
      <c r="J153" s="694"/>
      <c r="K153" s="676"/>
      <c r="L153" s="676"/>
      <c r="M153" s="676"/>
      <c r="N153" s="676"/>
      <c r="O153" s="676"/>
      <c r="P153" s="676"/>
      <c r="Q153" s="676"/>
      <c r="R153" s="676"/>
      <c r="S153" s="676"/>
      <c r="T153" s="676"/>
      <c r="U153" s="676"/>
      <c r="V153" s="677"/>
      <c r="W153" s="677"/>
      <c r="X153" s="633"/>
      <c r="Z153" s="274"/>
    </row>
    <row r="155" spans="2:26">
      <c r="B155" s="989" t="s">
        <v>8</v>
      </c>
      <c r="C155" s="29"/>
      <c r="D155" s="30"/>
      <c r="E155" s="30"/>
      <c r="F155" s="30"/>
      <c r="G155" s="30"/>
      <c r="H155" s="30"/>
      <c r="I155" s="30"/>
      <c r="J155" s="113"/>
    </row>
    <row r="156" spans="2:26">
      <c r="B156" s="31" t="s">
        <v>7</v>
      </c>
      <c r="C156" s="31" t="s">
        <v>0</v>
      </c>
      <c r="D156" s="31" t="s">
        <v>1</v>
      </c>
      <c r="E156" s="31" t="s">
        <v>9</v>
      </c>
      <c r="F156" s="31" t="s">
        <v>10</v>
      </c>
      <c r="G156" s="31" t="s">
        <v>11</v>
      </c>
      <c r="H156" s="31" t="s">
        <v>12</v>
      </c>
    </row>
    <row r="157" spans="2:26" ht="39">
      <c r="B157" s="38" t="s">
        <v>39</v>
      </c>
      <c r="C157" s="38" t="s">
        <v>14</v>
      </c>
      <c r="D157" s="38" t="s">
        <v>15</v>
      </c>
      <c r="E157" s="38" t="s">
        <v>16</v>
      </c>
      <c r="F157" s="38" t="s">
        <v>17</v>
      </c>
      <c r="G157" s="38" t="s">
        <v>27</v>
      </c>
      <c r="H157" s="38" t="s">
        <v>26</v>
      </c>
    </row>
    <row r="158" spans="2:26">
      <c r="B158" s="641" t="s">
        <v>37</v>
      </c>
      <c r="C158" s="338" t="s">
        <v>1164</v>
      </c>
      <c r="D158" s="338" t="s">
        <v>1165</v>
      </c>
      <c r="E158" s="637" t="s">
        <v>23</v>
      </c>
      <c r="F158" s="638" t="s">
        <v>133</v>
      </c>
      <c r="G158" s="993" t="s">
        <v>24</v>
      </c>
    </row>
    <row r="159" spans="2:26">
      <c r="B159" s="41" t="s">
        <v>37</v>
      </c>
      <c r="C159" s="338" t="str">
        <f>B84</f>
        <v>COMGAS06</v>
      </c>
      <c r="D159" s="338" t="str">
        <f>C84</f>
        <v>Fuel Tech New - Natural Gas (COM)</v>
      </c>
      <c r="E159" s="33" t="s">
        <v>23</v>
      </c>
      <c r="F159" s="34" t="s">
        <v>133</v>
      </c>
      <c r="G159" s="993" t="s">
        <v>24</v>
      </c>
      <c r="H159" s="42"/>
    </row>
    <row r="160" spans="2:26">
      <c r="B160" s="41" t="s">
        <v>37</v>
      </c>
      <c r="C160" s="338" t="str">
        <f>B87</f>
        <v>COMGAS10</v>
      </c>
      <c r="D160" s="338" t="str">
        <f>C87</f>
        <v>Fuel Tech New - Natural Gas (COM)</v>
      </c>
      <c r="E160" s="33" t="s">
        <v>23</v>
      </c>
      <c r="F160" s="34" t="s">
        <v>133</v>
      </c>
      <c r="G160" s="993" t="s">
        <v>24</v>
      </c>
      <c r="H160" s="42"/>
    </row>
    <row r="161" spans="2:15">
      <c r="B161" s="41" t="s">
        <v>37</v>
      </c>
      <c r="C161" s="338" t="str">
        <f>B90</f>
        <v>COMGAS20</v>
      </c>
      <c r="D161" s="338" t="str">
        <f>C90</f>
        <v>Fuel Tech New - Natural Gas (COM)</v>
      </c>
      <c r="E161" s="33" t="s">
        <v>23</v>
      </c>
      <c r="F161" s="34" t="s">
        <v>133</v>
      </c>
      <c r="G161" s="993" t="s">
        <v>24</v>
      </c>
      <c r="H161" s="42"/>
    </row>
    <row r="162" spans="2:15" s="622" customFormat="1">
      <c r="B162" s="641" t="s">
        <v>37</v>
      </c>
      <c r="C162" s="338" t="str">
        <f>B93</f>
        <v>COMHH200</v>
      </c>
      <c r="D162" s="338" t="str">
        <f>C93</f>
        <v>Fuel Tech New - Natural Gas (COM)</v>
      </c>
      <c r="E162" s="637" t="s">
        <v>23</v>
      </c>
      <c r="F162" s="638" t="s">
        <v>133</v>
      </c>
      <c r="G162" s="993" t="s">
        <v>24</v>
      </c>
      <c r="H162" s="642"/>
    </row>
    <row r="163" spans="2:15" s="622" customFormat="1">
      <c r="B163" s="641" t="s">
        <v>37</v>
      </c>
      <c r="C163" s="338" t="str">
        <f>B85</f>
        <v>COMGAS061</v>
      </c>
      <c r="D163" s="338" t="str">
        <f>C85</f>
        <v>Fuel Tech New - Natural Gas (COM)</v>
      </c>
      <c r="E163" s="637" t="s">
        <v>23</v>
      </c>
      <c r="F163" s="638" t="s">
        <v>133</v>
      </c>
      <c r="G163" s="993" t="s">
        <v>24</v>
      </c>
      <c r="H163" s="642"/>
    </row>
    <row r="164" spans="2:15" s="622" customFormat="1">
      <c r="B164" s="641" t="s">
        <v>37</v>
      </c>
      <c r="C164" s="338" t="str">
        <f>B88</f>
        <v>COMGAS011</v>
      </c>
      <c r="D164" s="338" t="str">
        <f>C88</f>
        <v>Fuel Tech New - Natural Gas (COM)</v>
      </c>
      <c r="E164" s="637" t="s">
        <v>23</v>
      </c>
      <c r="F164" s="638" t="s">
        <v>133</v>
      </c>
      <c r="G164" s="993" t="s">
        <v>24</v>
      </c>
      <c r="H164" s="642"/>
    </row>
    <row r="165" spans="2:15" s="622" customFormat="1">
      <c r="B165" s="641" t="s">
        <v>37</v>
      </c>
      <c r="C165" s="338" t="str">
        <f>B91</f>
        <v>COMGAS021</v>
      </c>
      <c r="D165" s="338" t="str">
        <f>C91</f>
        <v>Fuel Tech New - Natural Gas (COM)</v>
      </c>
      <c r="E165" s="637" t="s">
        <v>23</v>
      </c>
      <c r="F165" s="638" t="s">
        <v>133</v>
      </c>
      <c r="G165" s="993" t="s">
        <v>24</v>
      </c>
      <c r="H165" s="642"/>
    </row>
    <row r="166" spans="2:15">
      <c r="B166" s="41" t="s">
        <v>37</v>
      </c>
      <c r="C166" s="338" t="str">
        <f>B97</f>
        <v>RSDGAS06</v>
      </c>
      <c r="D166" s="338" t="str">
        <f>C97</f>
        <v>Fuel Tech New - Natural Gas (RSD)</v>
      </c>
      <c r="E166" s="33" t="s">
        <v>23</v>
      </c>
      <c r="F166" s="34" t="s">
        <v>133</v>
      </c>
      <c r="G166" s="993" t="s">
        <v>24</v>
      </c>
      <c r="H166" s="42"/>
    </row>
    <row r="167" spans="2:15">
      <c r="B167" s="41" t="s">
        <v>37</v>
      </c>
      <c r="C167" s="338" t="str">
        <f>B100</f>
        <v>RSDGAS10</v>
      </c>
      <c r="D167" s="338" t="str">
        <f>C100</f>
        <v>Fuel Tech New - Natural Gas (RSD)</v>
      </c>
      <c r="E167" s="33" t="s">
        <v>23</v>
      </c>
      <c r="F167" s="34" t="s">
        <v>133</v>
      </c>
      <c r="G167" s="993" t="s">
        <v>24</v>
      </c>
      <c r="H167" s="42"/>
    </row>
    <row r="168" spans="2:15">
      <c r="B168" s="41" t="s">
        <v>37</v>
      </c>
      <c r="C168" s="338" t="str">
        <f>B103</f>
        <v>RSDGAS20</v>
      </c>
      <c r="D168" s="338" t="str">
        <f>C103</f>
        <v>Fuel Tech New - Natural Gas (RSD)</v>
      </c>
      <c r="E168" s="637" t="s">
        <v>23</v>
      </c>
      <c r="F168" s="638" t="s">
        <v>133</v>
      </c>
      <c r="G168" s="993" t="s">
        <v>24</v>
      </c>
      <c r="H168" s="42"/>
    </row>
    <row r="169" spans="2:15" s="622" customFormat="1">
      <c r="B169" s="641" t="s">
        <v>37</v>
      </c>
      <c r="C169" s="338" t="str">
        <f>B106</f>
        <v>RSDHH200</v>
      </c>
      <c r="D169" s="338" t="str">
        <f>C106</f>
        <v>Fuel Tech New - H2 (RSD)</v>
      </c>
      <c r="E169" s="637" t="s">
        <v>23</v>
      </c>
      <c r="F169" s="638" t="s">
        <v>133</v>
      </c>
      <c r="G169" s="993" t="s">
        <v>24</v>
      </c>
      <c r="H169" s="642"/>
    </row>
    <row r="170" spans="2:15" s="622" customFormat="1">
      <c r="B170" s="641" t="s">
        <v>37</v>
      </c>
      <c r="C170" s="338" t="str">
        <f>B98</f>
        <v>RSDGAS061</v>
      </c>
      <c r="D170" s="338" t="str">
        <f>C98</f>
        <v>Fuel Tech New - Natural Gas (RSD)</v>
      </c>
      <c r="E170" s="637" t="s">
        <v>23</v>
      </c>
      <c r="F170" s="638" t="s">
        <v>133</v>
      </c>
      <c r="G170" s="993" t="s">
        <v>24</v>
      </c>
      <c r="H170" s="642"/>
    </row>
    <row r="171" spans="2:15" s="622" customFormat="1">
      <c r="B171" s="641" t="s">
        <v>37</v>
      </c>
      <c r="C171" s="338" t="str">
        <f>B101</f>
        <v>RSDGAS011</v>
      </c>
      <c r="D171" s="338" t="str">
        <f>C101</f>
        <v>Fuel Tech New - Natural Gas (RSD)</v>
      </c>
      <c r="E171" s="637" t="s">
        <v>23</v>
      </c>
      <c r="F171" s="638" t="s">
        <v>133</v>
      </c>
      <c r="G171" s="993" t="s">
        <v>24</v>
      </c>
      <c r="H171" s="642"/>
    </row>
    <row r="172" spans="2:15" s="622" customFormat="1">
      <c r="B172" s="641" t="s">
        <v>37</v>
      </c>
      <c r="C172" s="338" t="str">
        <f>B104</f>
        <v>RSDGAS021</v>
      </c>
      <c r="D172" s="338" t="str">
        <f>C104</f>
        <v>Fuel Tech New - Natural Gas (RSD)</v>
      </c>
      <c r="E172" s="637" t="s">
        <v>23</v>
      </c>
      <c r="F172" s="638" t="s">
        <v>133</v>
      </c>
      <c r="G172" s="993" t="s">
        <v>24</v>
      </c>
      <c r="H172" s="642"/>
    </row>
    <row r="173" spans="2:15">
      <c r="B173" s="41" t="s">
        <v>37</v>
      </c>
      <c r="C173" s="338" t="str">
        <f>B110</f>
        <v>INDGAS06</v>
      </c>
      <c r="D173" s="338" t="str">
        <f>C110</f>
        <v>Fuel Tech New - Natural Gas (IND)</v>
      </c>
      <c r="E173" s="637" t="s">
        <v>23</v>
      </c>
      <c r="F173" s="638" t="s">
        <v>133</v>
      </c>
      <c r="G173" s="993" t="s">
        <v>24</v>
      </c>
      <c r="H173" s="42"/>
    </row>
    <row r="174" spans="2:15">
      <c r="B174" s="41" t="s">
        <v>37</v>
      </c>
      <c r="C174" s="338" t="str">
        <f>B111</f>
        <v>INDGAS061</v>
      </c>
      <c r="D174" s="338" t="str">
        <f>C111</f>
        <v>Fuel Tech New - Natural Gas (IND)</v>
      </c>
      <c r="E174" s="637" t="s">
        <v>23</v>
      </c>
      <c r="F174" s="638" t="s">
        <v>133</v>
      </c>
      <c r="G174" s="993" t="s">
        <v>24</v>
      </c>
      <c r="H174" s="42"/>
    </row>
    <row r="175" spans="2:15">
      <c r="B175" s="41" t="s">
        <v>37</v>
      </c>
      <c r="C175" s="338" t="str">
        <f>B113</f>
        <v>INDGAS062</v>
      </c>
      <c r="D175" s="338" t="str">
        <f>C113</f>
        <v>Fuel Tech New - Natural Gas (IND)</v>
      </c>
      <c r="E175" s="637" t="s">
        <v>23</v>
      </c>
      <c r="F175" s="638" t="s">
        <v>133</v>
      </c>
      <c r="G175" s="993" t="s">
        <v>24</v>
      </c>
      <c r="H175" s="42"/>
    </row>
    <row r="176" spans="2:15" s="622" customFormat="1">
      <c r="B176" s="641" t="s">
        <v>37</v>
      </c>
      <c r="C176" s="338" t="str">
        <f>B115</f>
        <v>INDGAS10</v>
      </c>
      <c r="D176" s="338" t="str">
        <f>C115</f>
        <v>Fuel Tech New - Natural Gas (IND)</v>
      </c>
      <c r="E176" s="637" t="s">
        <v>23</v>
      </c>
      <c r="F176" s="638" t="s">
        <v>133</v>
      </c>
      <c r="G176" s="993" t="s">
        <v>24</v>
      </c>
      <c r="H176" s="642"/>
    </row>
    <row r="177" spans="2:15" s="622" customFormat="1">
      <c r="B177" s="641" t="s">
        <v>37</v>
      </c>
      <c r="C177" s="338" t="str">
        <f>B116</f>
        <v>INDGAS0101</v>
      </c>
      <c r="D177" s="338" t="str">
        <f>C116</f>
        <v>Fuel Tech New - Natural Gas (IND)</v>
      </c>
      <c r="E177" s="637" t="s">
        <v>23</v>
      </c>
      <c r="F177" s="638" t="s">
        <v>133</v>
      </c>
      <c r="G177" s="993" t="s">
        <v>24</v>
      </c>
      <c r="H177" s="642"/>
    </row>
    <row r="178" spans="2:15" s="622" customFormat="1">
      <c r="B178" s="641" t="s">
        <v>37</v>
      </c>
      <c r="C178" s="338" t="str">
        <f>B118</f>
        <v>INDGAS0102</v>
      </c>
      <c r="D178" s="338" t="str">
        <f>C118</f>
        <v>Fuel Tech New - Natural Gas (IND)</v>
      </c>
      <c r="E178" s="637" t="s">
        <v>23</v>
      </c>
      <c r="F178" s="638" t="s">
        <v>133</v>
      </c>
      <c r="G178" s="993" t="s">
        <v>24</v>
      </c>
      <c r="H178" s="642"/>
    </row>
    <row r="179" spans="2:15" s="622" customFormat="1">
      <c r="B179" s="641" t="s">
        <v>37</v>
      </c>
      <c r="C179" s="338" t="str">
        <f>B120</f>
        <v>INDGAS20</v>
      </c>
      <c r="D179" s="338" t="str">
        <f>C120</f>
        <v>Fuel Tech New - Natural Gas (IND)</v>
      </c>
      <c r="E179" s="637" t="s">
        <v>23</v>
      </c>
      <c r="F179" s="638" t="s">
        <v>133</v>
      </c>
      <c r="G179" s="993" t="s">
        <v>24</v>
      </c>
      <c r="H179" s="642"/>
    </row>
    <row r="180" spans="2:15" s="622" customFormat="1">
      <c r="B180" s="641" t="s">
        <v>37</v>
      </c>
      <c r="C180" s="338" t="str">
        <f>B121</f>
        <v>INDGAS021</v>
      </c>
      <c r="D180" s="338" t="str">
        <f>C121</f>
        <v>Fuel Tech New - Natural Gas (IND)</v>
      </c>
      <c r="E180" s="637" t="s">
        <v>23</v>
      </c>
      <c r="F180" s="638" t="s">
        <v>133</v>
      </c>
      <c r="G180" s="993" t="s">
        <v>24</v>
      </c>
      <c r="H180" s="642"/>
    </row>
    <row r="181" spans="2:15" s="622" customFormat="1">
      <c r="B181" s="641" t="s">
        <v>37</v>
      </c>
      <c r="C181" s="338" t="str">
        <f>B124</f>
        <v>INDHH200</v>
      </c>
      <c r="D181" s="338" t="str">
        <f>C124</f>
        <v>Fuel Tech New - H2 (IND)</v>
      </c>
      <c r="E181" s="637" t="s">
        <v>23</v>
      </c>
      <c r="F181" s="638" t="s">
        <v>133</v>
      </c>
      <c r="G181" s="993" t="s">
        <v>24</v>
      </c>
      <c r="H181" s="642"/>
    </row>
    <row r="182" spans="2:15">
      <c r="B182" s="41" t="s">
        <v>37</v>
      </c>
      <c r="C182" s="338" t="str">
        <f>B128</f>
        <v>ELCGAS06</v>
      </c>
      <c r="D182" s="338" t="str">
        <f>C128</f>
        <v>Fuel Tech New - Natural Gas (ELC)</v>
      </c>
      <c r="E182" s="33" t="s">
        <v>23</v>
      </c>
      <c r="F182" s="34" t="s">
        <v>133</v>
      </c>
      <c r="G182" s="993" t="s">
        <v>24</v>
      </c>
      <c r="H182" s="42"/>
    </row>
    <row r="183" spans="2:15">
      <c r="B183" s="41" t="s">
        <v>37</v>
      </c>
      <c r="C183" s="338" t="str">
        <f>B131</f>
        <v>ELCGAS10</v>
      </c>
      <c r="D183" s="338" t="str">
        <f>C131</f>
        <v>Fuel Tech New - Natural Gas (ELC)</v>
      </c>
      <c r="E183" s="33" t="s">
        <v>23</v>
      </c>
      <c r="F183" s="34" t="s">
        <v>133</v>
      </c>
      <c r="G183" s="993" t="s">
        <v>24</v>
      </c>
      <c r="H183" s="42"/>
    </row>
    <row r="184" spans="2:15">
      <c r="B184" s="41" t="s">
        <v>37</v>
      </c>
      <c r="C184" s="338" t="str">
        <f>B134</f>
        <v>ELCGAS20</v>
      </c>
      <c r="D184" s="338" t="str">
        <f>C134</f>
        <v>Fuel Tech New - Natural Gas (ELC)</v>
      </c>
      <c r="E184" s="33" t="s">
        <v>23</v>
      </c>
      <c r="F184" s="34" t="s">
        <v>133</v>
      </c>
      <c r="G184" s="993" t="s">
        <v>24</v>
      </c>
      <c r="H184" s="42"/>
      <c r="L184" s="206"/>
    </row>
    <row r="185" spans="2:15" s="622" customFormat="1">
      <c r="B185" s="641" t="s">
        <v>37</v>
      </c>
      <c r="C185" s="338" t="str">
        <f>B137</f>
        <v>ELCHH200</v>
      </c>
      <c r="D185" s="338" t="str">
        <f>C137</f>
        <v>Fuel Tech New - H2 (ELC)</v>
      </c>
      <c r="E185" s="637" t="s">
        <v>23</v>
      </c>
      <c r="F185" s="638" t="s">
        <v>133</v>
      </c>
      <c r="G185" s="993" t="s">
        <v>24</v>
      </c>
      <c r="H185" s="642"/>
      <c r="L185" s="206"/>
    </row>
    <row r="186" spans="2:15" s="622" customFormat="1">
      <c r="B186" s="641" t="s">
        <v>37</v>
      </c>
      <c r="C186" s="338" t="str">
        <f>B129</f>
        <v>ELCGAS061</v>
      </c>
      <c r="D186" s="338" t="str">
        <f>C129</f>
        <v>Fuel Tech New - Natural Gas (ELC)</v>
      </c>
      <c r="E186" s="637" t="s">
        <v>23</v>
      </c>
      <c r="F186" s="638" t="s">
        <v>133</v>
      </c>
      <c r="G186" s="993" t="s">
        <v>24</v>
      </c>
      <c r="H186" s="642"/>
    </row>
    <row r="187" spans="2:15" s="622" customFormat="1">
      <c r="B187" s="641" t="s">
        <v>37</v>
      </c>
      <c r="C187" s="338" t="str">
        <f>B132</f>
        <v>ELCGAS011</v>
      </c>
      <c r="D187" s="338" t="str">
        <f>C132</f>
        <v>Fuel Tech New - Natural Gas (ELC)</v>
      </c>
      <c r="E187" s="637" t="s">
        <v>23</v>
      </c>
      <c r="F187" s="638" t="s">
        <v>133</v>
      </c>
      <c r="G187" s="993" t="s">
        <v>24</v>
      </c>
      <c r="H187" s="642"/>
    </row>
    <row r="188" spans="2:15" s="622" customFormat="1">
      <c r="B188" s="641" t="s">
        <v>37</v>
      </c>
      <c r="C188" s="338" t="str">
        <f>B135</f>
        <v>ELCGAS021</v>
      </c>
      <c r="D188" s="338" t="str">
        <f>C135</f>
        <v>Fuel Tech New - Natural Gas (ELC)</v>
      </c>
      <c r="E188" s="637" t="s">
        <v>23</v>
      </c>
      <c r="F188" s="638" t="s">
        <v>133</v>
      </c>
      <c r="G188" s="993" t="s">
        <v>24</v>
      </c>
      <c r="H188" s="642"/>
    </row>
    <row r="189" spans="2:15">
      <c r="B189" s="41" t="s">
        <v>37</v>
      </c>
      <c r="C189" s="338" t="str">
        <f>B141</f>
        <v>AGRGAS06</v>
      </c>
      <c r="D189" s="338" t="str">
        <f>C141</f>
        <v>Fuel Tech New - Natural Gas (AGR)</v>
      </c>
      <c r="E189" s="33" t="s">
        <v>23</v>
      </c>
      <c r="F189" s="34" t="s">
        <v>133</v>
      </c>
      <c r="G189" s="993" t="s">
        <v>24</v>
      </c>
      <c r="H189" s="42"/>
    </row>
    <row r="190" spans="2:15">
      <c r="B190" s="41" t="s">
        <v>37</v>
      </c>
      <c r="C190" s="338" t="str">
        <f>B144</f>
        <v>AGRGAS10</v>
      </c>
      <c r="D190" s="338" t="str">
        <f>C144</f>
        <v>Fuel Tech New - Natural Gas (AGR)</v>
      </c>
      <c r="E190" s="33" t="s">
        <v>23</v>
      </c>
      <c r="F190" s="34" t="s">
        <v>133</v>
      </c>
      <c r="G190" s="993" t="s">
        <v>24</v>
      </c>
      <c r="H190" s="42"/>
    </row>
    <row r="191" spans="2:15">
      <c r="B191" s="41" t="s">
        <v>37</v>
      </c>
      <c r="C191" s="338" t="str">
        <f>B147</f>
        <v>AGRGAS20</v>
      </c>
      <c r="D191" s="338" t="str">
        <f>C147</f>
        <v>Fuel Tech New - Natural Gas (AGR)</v>
      </c>
      <c r="E191" s="33" t="s">
        <v>23</v>
      </c>
      <c r="F191" s="34" t="s">
        <v>133</v>
      </c>
      <c r="G191" s="993" t="s">
        <v>24</v>
      </c>
      <c r="H191" s="42"/>
    </row>
    <row r="192" spans="2:15" s="622" customFormat="1">
      <c r="B192" s="641" t="s">
        <v>37</v>
      </c>
      <c r="C192" s="338" t="str">
        <f>B150</f>
        <v>AGRHH200</v>
      </c>
      <c r="D192" s="338" t="str">
        <f>C150</f>
        <v>Fuel Tech - H2 (AGR)</v>
      </c>
      <c r="E192" s="637" t="s">
        <v>23</v>
      </c>
      <c r="F192" s="638" t="s">
        <v>133</v>
      </c>
      <c r="G192" s="993" t="s">
        <v>24</v>
      </c>
      <c r="H192" s="642"/>
    </row>
    <row r="193" spans="1:12" s="622" customFormat="1">
      <c r="B193" s="641" t="s">
        <v>37</v>
      </c>
      <c r="C193" s="338" t="str">
        <f>B142</f>
        <v>AGRGAS061</v>
      </c>
      <c r="D193" s="338" t="str">
        <f>C142</f>
        <v>Fuel Tech New - Natural Gas (AGR)</v>
      </c>
      <c r="E193" s="637" t="s">
        <v>23</v>
      </c>
      <c r="F193" s="638" t="s">
        <v>133</v>
      </c>
      <c r="G193" s="993" t="s">
        <v>24</v>
      </c>
      <c r="H193" s="642"/>
    </row>
    <row r="194" spans="1:12" s="622" customFormat="1">
      <c r="B194" s="641" t="s">
        <v>37</v>
      </c>
      <c r="C194" s="338" t="str">
        <f>B145</f>
        <v>AGRGAS011</v>
      </c>
      <c r="D194" s="338" t="str">
        <f>C145</f>
        <v>Fuel Tech New - Natural Gas (AGR)</v>
      </c>
      <c r="E194" s="637" t="s">
        <v>23</v>
      </c>
      <c r="F194" s="638" t="s">
        <v>133</v>
      </c>
      <c r="G194" s="993" t="s">
        <v>24</v>
      </c>
      <c r="H194" s="642"/>
    </row>
    <row r="195" spans="1:12" s="622" customFormat="1">
      <c r="B195" s="641" t="s">
        <v>37</v>
      </c>
      <c r="C195" s="338" t="str">
        <f>B148</f>
        <v>AGRGAS021</v>
      </c>
      <c r="D195" s="338" t="str">
        <f>C148</f>
        <v>Fuel Tech New - Natural Gas (AGR)</v>
      </c>
      <c r="E195" s="637" t="s">
        <v>23</v>
      </c>
      <c r="F195" s="638" t="s">
        <v>133</v>
      </c>
      <c r="G195" s="993" t="s">
        <v>24</v>
      </c>
      <c r="H195" s="642"/>
    </row>
    <row r="196" spans="1:12" s="622" customFormat="1">
      <c r="A196" s="622" t="s">
        <v>605</v>
      </c>
      <c r="B196" s="641" t="s">
        <v>37</v>
      </c>
      <c r="C196" s="338" t="str">
        <f>B39</f>
        <v>SPIPH2100</v>
      </c>
      <c r="D196" s="338" t="str">
        <f>C39</f>
        <v>H2 Pipeline to storage</v>
      </c>
      <c r="E196" s="637" t="s">
        <v>23</v>
      </c>
      <c r="F196" s="638" t="s">
        <v>133</v>
      </c>
      <c r="G196" s="993" t="s">
        <v>24</v>
      </c>
      <c r="H196" s="642"/>
      <c r="I196" s="642"/>
    </row>
    <row r="197" spans="1:12">
      <c r="A197" s="622" t="s">
        <v>605</v>
      </c>
      <c r="B197" s="641" t="s">
        <v>37</v>
      </c>
      <c r="C197" s="41" t="str">
        <f>B43</f>
        <v>STRANSPH200</v>
      </c>
      <c r="D197" s="641" t="str">
        <f>C43</f>
        <v>H2 road transport to storage</v>
      </c>
      <c r="E197" s="637" t="s">
        <v>23</v>
      </c>
      <c r="F197" s="638" t="s">
        <v>133</v>
      </c>
      <c r="G197" s="993" t="s">
        <v>24</v>
      </c>
      <c r="H197" s="42"/>
    </row>
    <row r="198" spans="1:12" s="622" customFormat="1">
      <c r="B198" s="641" t="s">
        <v>37</v>
      </c>
      <c r="C198" s="641" t="str">
        <f>B47</f>
        <v>SPIPH2101</v>
      </c>
      <c r="D198" s="641" t="str">
        <f>C47</f>
        <v xml:space="preserve">H2 Pipeline </v>
      </c>
      <c r="E198" s="637" t="s">
        <v>23</v>
      </c>
      <c r="F198" s="638" t="s">
        <v>133</v>
      </c>
      <c r="G198" s="993" t="s">
        <v>24</v>
      </c>
      <c r="H198" s="642"/>
    </row>
    <row r="199" spans="1:12" s="622" customFormat="1">
      <c r="B199" s="641" t="s">
        <v>37</v>
      </c>
      <c r="C199" s="641" t="str">
        <f>B51</f>
        <v>STRANSPH201</v>
      </c>
      <c r="D199" s="641" t="str">
        <f>C51</f>
        <v>H2 road transport</v>
      </c>
      <c r="E199" s="637" t="s">
        <v>23</v>
      </c>
      <c r="F199" s="638" t="s">
        <v>133</v>
      </c>
      <c r="G199" s="993" t="s">
        <v>24</v>
      </c>
      <c r="H199" s="642"/>
    </row>
    <row r="200" spans="1:12">
      <c r="B200" s="641" t="s">
        <v>37</v>
      </c>
      <c r="C200" s="41" t="str">
        <f>B55</f>
        <v>TRAGH201</v>
      </c>
      <c r="D200" s="641" t="str">
        <f>C55</f>
        <v>Distributed Hydrogen Gas Tank Storage (small storage in petrol stations)</v>
      </c>
      <c r="E200" s="1496" t="s">
        <v>23</v>
      </c>
      <c r="F200" s="1496" t="s">
        <v>1318</v>
      </c>
      <c r="G200" s="993" t="s">
        <v>24</v>
      </c>
      <c r="H200" s="42"/>
      <c r="L200" s="206"/>
    </row>
    <row r="201" spans="1:12" s="622" customFormat="1">
      <c r="B201" s="641" t="s">
        <v>37</v>
      </c>
      <c r="C201" s="641" t="str">
        <f>B58</f>
        <v>TRAGHXS201</v>
      </c>
      <c r="D201" s="641" t="str">
        <f>D200</f>
        <v>Distributed Hydrogen Gas Tank Storage (small storage in petrol stations)</v>
      </c>
      <c r="E201" s="1496" t="s">
        <v>23</v>
      </c>
      <c r="F201" s="1496" t="s">
        <v>1318</v>
      </c>
      <c r="G201" s="993" t="s">
        <v>24</v>
      </c>
      <c r="H201" s="642"/>
      <c r="L201" s="206"/>
    </row>
    <row r="202" spans="1:12" s="622" customFormat="1">
      <c r="B202" s="641" t="s">
        <v>37</v>
      </c>
      <c r="C202" s="641" t="str">
        <f>B61</f>
        <v>TRAGHS201</v>
      </c>
      <c r="D202" s="641" t="str">
        <f>C61</f>
        <v>Distributed Hydrogen Gas Tank Storage (small storage in petrol stations)</v>
      </c>
      <c r="E202" s="1496" t="s">
        <v>23</v>
      </c>
      <c r="F202" s="1496" t="s">
        <v>1318</v>
      </c>
      <c r="G202" s="993" t="s">
        <v>24</v>
      </c>
      <c r="H202" s="642"/>
      <c r="L202" s="206"/>
    </row>
    <row r="203" spans="1:12" s="622" customFormat="1">
      <c r="B203" s="641" t="s">
        <v>37</v>
      </c>
      <c r="C203" s="641" t="str">
        <f>B64</f>
        <v>TRAGHM201</v>
      </c>
      <c r="D203" s="641" t="str">
        <f>C64</f>
        <v>Distributed Hydrogen Gas Tank Storage (small storage in petrol stations)</v>
      </c>
      <c r="E203" s="1496" t="s">
        <v>23</v>
      </c>
      <c r="F203" s="1496" t="s">
        <v>1318</v>
      </c>
      <c r="G203" s="993" t="s">
        <v>24</v>
      </c>
      <c r="H203" s="642"/>
      <c r="L203" s="206"/>
    </row>
    <row r="204" spans="1:12" s="622" customFormat="1">
      <c r="B204" s="641" t="s">
        <v>37</v>
      </c>
      <c r="C204" s="641" t="str">
        <f>B67</f>
        <v>TRAGHL201</v>
      </c>
      <c r="D204" s="641" t="str">
        <f>C67</f>
        <v>Distributed Hydrogen Gas Tank Storage (small storage in petrol stations)</v>
      </c>
      <c r="E204" s="1496" t="s">
        <v>23</v>
      </c>
      <c r="F204" s="1496" t="s">
        <v>1318</v>
      </c>
      <c r="G204" s="993" t="s">
        <v>24</v>
      </c>
      <c r="H204" s="642"/>
      <c r="L204" s="206"/>
    </row>
    <row r="205" spans="1:12" s="622" customFormat="1">
      <c r="B205" s="641" t="s">
        <v>37</v>
      </c>
      <c r="C205" s="641" t="str">
        <f>B70</f>
        <v>TRAGHXL201</v>
      </c>
      <c r="D205" s="641" t="str">
        <f>C70</f>
        <v>Distributed Hydrogen Gas Tank Storage (small storage in petrol stations)</v>
      </c>
      <c r="E205" s="1496" t="s">
        <v>23</v>
      </c>
      <c r="F205" s="1496" t="s">
        <v>1318</v>
      </c>
      <c r="G205" s="993" t="s">
        <v>24</v>
      </c>
      <c r="H205" s="642"/>
      <c r="L205" s="206"/>
    </row>
    <row r="206" spans="1:12">
      <c r="A206" s="622" t="s">
        <v>605</v>
      </c>
      <c r="B206" s="641" t="s">
        <v>37</v>
      </c>
      <c r="C206" s="41" t="str">
        <f>B73</f>
        <v>TRAGH202</v>
      </c>
      <c r="D206" s="641" t="str">
        <f>C73</f>
        <v>Distributed Hydrogen Gas (storage in trucks in petrol stations)</v>
      </c>
      <c r="E206" s="637" t="s">
        <v>23</v>
      </c>
      <c r="F206" s="638" t="s">
        <v>133</v>
      </c>
      <c r="G206" s="993" t="s">
        <v>24</v>
      </c>
      <c r="H206" s="42"/>
    </row>
    <row r="207" spans="1:12">
      <c r="B207" s="641" t="s">
        <v>37</v>
      </c>
      <c r="C207" s="41" t="str">
        <f>B76</f>
        <v>TRAGH203</v>
      </c>
      <c r="D207" s="641" t="str">
        <f>C76</f>
        <v>Liquid to Gas</v>
      </c>
      <c r="E207" s="637" t="s">
        <v>23</v>
      </c>
      <c r="F207" s="638" t="s">
        <v>133</v>
      </c>
      <c r="G207" s="993" t="s">
        <v>24</v>
      </c>
      <c r="H207" s="42"/>
    </row>
    <row r="208" spans="1:12">
      <c r="B208" s="41" t="s">
        <v>37</v>
      </c>
      <c r="C208" s="338" t="s">
        <v>632</v>
      </c>
      <c r="D208" s="338" t="s">
        <v>631</v>
      </c>
      <c r="E208" s="33" t="s">
        <v>23</v>
      </c>
      <c r="F208" s="34" t="s">
        <v>133</v>
      </c>
      <c r="G208" s="993" t="s">
        <v>24</v>
      </c>
      <c r="H208" s="42"/>
      <c r="I208" s="642"/>
    </row>
    <row r="209" spans="2:9">
      <c r="B209" s="41" t="s">
        <v>37</v>
      </c>
      <c r="C209" s="338" t="str">
        <f>B25</f>
        <v>SPIPGASB10100</v>
      </c>
      <c r="D209" s="338" t="str">
        <f>C25</f>
        <v>Gas Pipelines Blending 10%</v>
      </c>
      <c r="E209" s="33" t="s">
        <v>23</v>
      </c>
      <c r="F209" s="34" t="s">
        <v>133</v>
      </c>
      <c r="G209" s="993" t="s">
        <v>24</v>
      </c>
      <c r="H209" s="42"/>
      <c r="I209" s="642"/>
    </row>
    <row r="210" spans="2:9">
      <c r="B210" s="41" t="s">
        <v>37</v>
      </c>
      <c r="C210" s="338" t="s">
        <v>614</v>
      </c>
      <c r="D210" s="338" t="s">
        <v>618</v>
      </c>
      <c r="E210" s="33" t="s">
        <v>23</v>
      </c>
      <c r="F210" s="34" t="s">
        <v>133</v>
      </c>
      <c r="G210" s="993" t="s">
        <v>24</v>
      </c>
      <c r="H210" s="42"/>
    </row>
    <row r="211" spans="2:9">
      <c r="H211" s="113"/>
      <c r="I211" s="113"/>
    </row>
  </sheetData>
  <phoneticPr fontId="137" type="noConversion"/>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FB976-A476-4AA7-875B-282741C20987}">
  <sheetPr codeName="Sheet12">
    <tabColor rgb="FFFFFF00"/>
  </sheetPr>
  <dimension ref="A1:U168"/>
  <sheetViews>
    <sheetView topLeftCell="A38" workbookViewId="0">
      <selection activeCell="G61" sqref="G61"/>
    </sheetView>
  </sheetViews>
  <sheetFormatPr defaultColWidth="8.7265625" defaultRowHeight="13"/>
  <cols>
    <col min="1" max="1" width="8.7265625" style="622"/>
    <col min="2" max="2" width="12.7265625" style="622" customWidth="1"/>
    <col min="3" max="3" width="31.86328125" style="622" customWidth="1"/>
    <col min="4" max="4" width="9.54296875" style="622" customWidth="1"/>
    <col min="5" max="5" width="2.7265625" style="622" customWidth="1"/>
    <col min="6" max="6" width="12.7265625" style="622" customWidth="1"/>
    <col min="7" max="7" width="13.86328125" style="622" bestFit="1" customWidth="1"/>
    <col min="8" max="8" width="9.40625" style="622" bestFit="1" customWidth="1"/>
    <col min="9" max="9" width="9.26953125" style="622" bestFit="1" customWidth="1"/>
    <col min="10" max="10" width="8.86328125" style="622" bestFit="1" customWidth="1"/>
    <col min="11" max="12" width="9.26953125" style="622" bestFit="1" customWidth="1"/>
    <col min="13" max="13" width="8.86328125" style="622" bestFit="1" customWidth="1"/>
    <col min="14" max="15" width="9.26953125" style="622" bestFit="1" customWidth="1"/>
    <col min="16" max="16" width="8.86328125" style="622" bestFit="1" customWidth="1"/>
    <col min="17" max="18" width="9.26953125" style="622" bestFit="1" customWidth="1"/>
    <col min="19" max="19" width="8.86328125" style="622" bestFit="1" customWidth="1"/>
    <col min="20" max="20" width="9.40625" style="622" bestFit="1" customWidth="1"/>
    <col min="21" max="21" width="8.86328125" style="622" bestFit="1" customWidth="1"/>
    <col min="22" max="16384" width="8.7265625" style="622"/>
  </cols>
  <sheetData>
    <row r="1" spans="1:21" ht="23">
      <c r="A1" s="481" t="s">
        <v>132</v>
      </c>
      <c r="D1" s="481" t="s">
        <v>398</v>
      </c>
      <c r="F1" s="622">
        <v>0.76885081447747605</v>
      </c>
      <c r="G1" s="549">
        <v>2000</v>
      </c>
    </row>
    <row r="4" spans="1:21">
      <c r="B4" s="624"/>
      <c r="C4" s="624"/>
      <c r="D4" s="624"/>
      <c r="E4" s="624"/>
      <c r="F4" s="626"/>
      <c r="G4" s="624"/>
      <c r="H4" s="625"/>
      <c r="I4" s="625"/>
      <c r="J4" s="624"/>
      <c r="K4" s="624"/>
      <c r="L4" s="624"/>
      <c r="S4" s="624"/>
      <c r="T4" s="624"/>
    </row>
    <row r="5" spans="1:21" ht="26">
      <c r="B5" s="623" t="s">
        <v>0</v>
      </c>
      <c r="C5" s="636" t="s">
        <v>103</v>
      </c>
      <c r="D5" s="623" t="s">
        <v>2</v>
      </c>
      <c r="E5" s="623" t="s">
        <v>223</v>
      </c>
      <c r="F5" s="623" t="s">
        <v>3</v>
      </c>
      <c r="G5" s="40" t="s">
        <v>28</v>
      </c>
      <c r="H5" s="40" t="s">
        <v>36</v>
      </c>
      <c r="I5" s="40" t="s">
        <v>38</v>
      </c>
      <c r="J5" s="40" t="s">
        <v>44</v>
      </c>
      <c r="K5" s="40" t="s">
        <v>94</v>
      </c>
      <c r="L5" s="40" t="s">
        <v>236</v>
      </c>
      <c r="M5" s="40" t="s">
        <v>96</v>
      </c>
      <c r="N5" s="40" t="s">
        <v>98</v>
      </c>
      <c r="O5" s="40" t="s">
        <v>237</v>
      </c>
      <c r="P5" s="40" t="s">
        <v>21</v>
      </c>
      <c r="Q5" s="40" t="s">
        <v>99</v>
      </c>
      <c r="R5" s="40" t="s">
        <v>100</v>
      </c>
      <c r="S5" s="40" t="s">
        <v>32</v>
      </c>
      <c r="T5" s="40" t="s">
        <v>102</v>
      </c>
      <c r="U5" s="40" t="s">
        <v>31</v>
      </c>
    </row>
    <row r="6" spans="1:21" ht="39">
      <c r="B6" s="217" t="s">
        <v>25</v>
      </c>
      <c r="C6" s="217" t="s">
        <v>15</v>
      </c>
      <c r="D6" s="217" t="s">
        <v>19</v>
      </c>
      <c r="E6" s="217"/>
      <c r="F6" s="217" t="s">
        <v>20</v>
      </c>
      <c r="G6" s="218"/>
      <c r="H6" s="218"/>
      <c r="I6" s="218"/>
      <c r="J6" s="218" t="s">
        <v>397</v>
      </c>
      <c r="K6" s="218" t="s">
        <v>397</v>
      </c>
      <c r="L6" s="218" t="s">
        <v>397</v>
      </c>
      <c r="M6" s="218" t="s">
        <v>397</v>
      </c>
      <c r="N6" s="218" t="s">
        <v>397</v>
      </c>
      <c r="O6" s="218" t="s">
        <v>397</v>
      </c>
      <c r="P6" s="218" t="s">
        <v>35</v>
      </c>
      <c r="Q6" s="218" t="s">
        <v>35</v>
      </c>
      <c r="R6" s="218" t="s">
        <v>35</v>
      </c>
      <c r="S6" s="218" t="s">
        <v>34</v>
      </c>
      <c r="T6" s="218"/>
      <c r="U6" s="218"/>
    </row>
    <row r="7" spans="1:21" s="653" customFormat="1">
      <c r="B7" s="692" t="str">
        <f>'H2 matriz'!$D3</f>
        <v>TRALH2C01</v>
      </c>
      <c r="C7" s="692" t="str">
        <f>'H2 matriz'!$D2</f>
        <v>Fuel Tech - H2 Delivery from centralized production (COMP+TR100+USTOR+RTS+LIQ+LL)</v>
      </c>
      <c r="D7" s="16" t="s">
        <v>663</v>
      </c>
      <c r="E7" s="692"/>
      <c r="F7" s="633"/>
      <c r="G7" s="796">
        <f>SUMIF('H2 matriz'!$3:$3,$B7,'H2 matriz'!$56:$56)+1</f>
        <v>1.03</v>
      </c>
      <c r="H7" s="402"/>
      <c r="I7" s="876">
        <f>IF(D7="SYNH2UG",1,0.98)</f>
        <v>1</v>
      </c>
      <c r="J7" s="796">
        <f>SUMIF('H2 matriz'!$3:$3,$B7,'H2 matriz'!$59:$59)</f>
        <v>22.590223245113364</v>
      </c>
      <c r="K7" s="796">
        <f>SUMIF('H2 matriz'!$3:$3,$B7,'H2 matriz'!$60:$60)</f>
        <v>21.8795633471657</v>
      </c>
      <c r="L7" s="796">
        <f>SUMIF('H2 matriz'!$3:$3,$B7,'H2 matriz'!$61:$61)</f>
        <v>21.378548119112597</v>
      </c>
      <c r="M7" s="796">
        <f>SUMIF('H2 matriz'!$3:$3,$B7,'H2 matriz'!$62:$62)</f>
        <v>1.2286369605199663</v>
      </c>
      <c r="N7" s="796">
        <f>SUMIF('H2 matriz'!$3:$3,$B7,'H2 matriz'!$63:$63)</f>
        <v>1.193103965622583</v>
      </c>
      <c r="O7" s="796">
        <f>SUMIF('H2 matriz'!$3:$3,$B7,'H2 matriz'!$64:$64)</f>
        <v>1.1680532042199281</v>
      </c>
      <c r="P7" s="676"/>
      <c r="Q7" s="676"/>
      <c r="R7" s="676"/>
      <c r="S7" s="677">
        <v>50</v>
      </c>
      <c r="T7" s="677">
        <f>'INPUT-Data(HD)'!V4</f>
        <v>2015</v>
      </c>
      <c r="U7" s="695">
        <v>1</v>
      </c>
    </row>
    <row r="8" spans="1:21" s="653" customFormat="1">
      <c r="B8" s="692"/>
      <c r="C8" s="692"/>
      <c r="D8" s="692" t="s">
        <v>339</v>
      </c>
      <c r="E8" s="692"/>
      <c r="F8" s="692"/>
      <c r="G8" s="796">
        <f>SUMIF('H2 matriz'!$3:$3,$B7,'H2 matriz'!$57:$57)</f>
        <v>1.083</v>
      </c>
      <c r="H8" s="402"/>
      <c r="I8" s="694"/>
      <c r="J8" s="676"/>
      <c r="K8" s="402"/>
      <c r="L8" s="402"/>
      <c r="M8" s="402"/>
      <c r="N8" s="676"/>
      <c r="O8" s="676"/>
      <c r="P8" s="676"/>
      <c r="Q8" s="676"/>
      <c r="R8" s="676"/>
      <c r="S8" s="677"/>
      <c r="T8" s="677"/>
      <c r="U8" s="633"/>
    </row>
    <row r="9" spans="1:21" s="653" customFormat="1">
      <c r="B9" s="692"/>
      <c r="C9" s="692"/>
      <c r="D9" s="692"/>
      <c r="E9" s="692"/>
      <c r="F9" s="697" t="str">
        <f>IF(LEFT(B7,6)="TRALH2","TRALH2","TRAGH2")</f>
        <v>TRALH2</v>
      </c>
      <c r="G9" s="402"/>
      <c r="H9" s="439">
        <v>1</v>
      </c>
      <c r="I9" s="694"/>
      <c r="J9" s="676"/>
      <c r="K9" s="402"/>
      <c r="L9" s="402"/>
      <c r="M9" s="402"/>
      <c r="N9" s="676"/>
      <c r="O9" s="676"/>
      <c r="P9" s="676"/>
      <c r="Q9" s="676"/>
      <c r="R9" s="676"/>
      <c r="S9" s="677"/>
      <c r="T9" s="677"/>
      <c r="U9" s="633"/>
    </row>
    <row r="10" spans="1:21" s="854" customFormat="1">
      <c r="B10" s="855" t="str">
        <f>'H2 matriz'!$E3</f>
        <v>TRAGH2C01</v>
      </c>
      <c r="C10" s="855" t="str">
        <f>'H2 matriz'!$E2</f>
        <v>Fuel Tech - H2 Delivery from centralized production (COMP+TR100+USTOR+RTS+LIQ+LG)</v>
      </c>
      <c r="D10" s="837" t="s">
        <v>663</v>
      </c>
      <c r="E10" s="856"/>
      <c r="G10" s="857">
        <f>SUMIF('H2 matriz'!$3:$3,$B10,'H2 matriz'!$56:$56)+1</f>
        <v>1.03</v>
      </c>
      <c r="H10" s="873"/>
      <c r="I10" s="877">
        <f>IF(D10="SYNH2UG",1,0.98)</f>
        <v>1</v>
      </c>
      <c r="J10" s="857">
        <f>SUMIF('H2 matriz'!$3:$3,$B10,'H2 matriz'!$59:$59)</f>
        <v>30.223372194984037</v>
      </c>
      <c r="K10" s="857">
        <f>SUMIF('H2 matriz'!$3:$3,$B10,'H2 matriz'!$60:$60)</f>
        <v>27.260933356824527</v>
      </c>
      <c r="L10" s="857">
        <f>SUMIF('H2 matriz'!$3:$3,$B10,'H2 matriz'!$61:$61)</f>
        <v>25.172413975922069</v>
      </c>
      <c r="M10" s="857">
        <f>SUMIF('H2 matriz'!$3:$3,$B10,'H2 matriz'!$62:$62)</f>
        <v>1.6102944080135</v>
      </c>
      <c r="N10" s="857">
        <f>SUMIF('H2 matriz'!$3:$3,$B10,'H2 matriz'!$63:$63)</f>
        <v>1.4621724661055244</v>
      </c>
      <c r="O10" s="857">
        <f>SUMIF('H2 matriz'!$3:$3,$B10,'H2 matriz'!$62:$62)</f>
        <v>1.6102944080135</v>
      </c>
      <c r="P10" s="858"/>
      <c r="Q10" s="858"/>
      <c r="R10" s="858"/>
      <c r="S10" s="859">
        <v>35</v>
      </c>
      <c r="T10" s="859">
        <f>'INPUT-Data(HD)'!V10</f>
        <v>2015</v>
      </c>
      <c r="U10" s="860">
        <v>1</v>
      </c>
    </row>
    <row r="11" spans="1:21" s="861" customFormat="1">
      <c r="B11" s="862"/>
      <c r="C11" s="862"/>
      <c r="D11" s="862" t="s">
        <v>339</v>
      </c>
      <c r="E11" s="862"/>
      <c r="F11" s="862"/>
      <c r="G11" s="872">
        <f>SUMIF('H2 matriz'!$3:$3,$B10,'H2 matriz'!$57:$57)</f>
        <v>1.083</v>
      </c>
      <c r="H11" s="874"/>
      <c r="I11" s="863"/>
      <c r="J11" s="864"/>
      <c r="K11" s="864"/>
      <c r="L11" s="864"/>
      <c r="M11" s="864"/>
      <c r="N11" s="864"/>
      <c r="O11" s="864"/>
      <c r="P11" s="864"/>
      <c r="Q11" s="864"/>
      <c r="R11" s="864"/>
      <c r="S11" s="865"/>
      <c r="T11" s="865"/>
    </row>
    <row r="12" spans="1:21" s="866" customFormat="1">
      <c r="B12" s="867"/>
      <c r="C12" s="867"/>
      <c r="D12" s="867"/>
      <c r="E12" s="867"/>
      <c r="F12" s="867" t="str">
        <f>IF(LEFT(B10,6)="TRALH2","TRALH2","TRAGH2")</f>
        <v>TRAGH2</v>
      </c>
      <c r="G12" s="868"/>
      <c r="H12" s="875">
        <v>1</v>
      </c>
      <c r="I12" s="869"/>
      <c r="J12" s="870"/>
      <c r="K12" s="870"/>
      <c r="L12" s="870"/>
      <c r="M12" s="870"/>
      <c r="N12" s="870"/>
      <c r="O12" s="870"/>
      <c r="P12" s="870"/>
      <c r="Q12" s="870"/>
      <c r="R12" s="870"/>
      <c r="S12" s="871"/>
      <c r="T12" s="871"/>
    </row>
    <row r="13" spans="1:21" s="653" customFormat="1">
      <c r="B13" s="692" t="str">
        <f>'H2 matriz'!$F$3</f>
        <v>TRALH2C02</v>
      </c>
      <c r="C13" s="692" t="str">
        <f>'H2 matriz'!$F$2</f>
        <v>Fuel Tech - H2 Delivery from centralized production (COMP+RTS+TS+RTS+LIQ+LL)</v>
      </c>
      <c r="D13" s="16" t="s">
        <v>233</v>
      </c>
      <c r="E13" s="692"/>
      <c r="F13" s="633"/>
      <c r="G13" s="796">
        <f>SUMIF('H2 matriz'!$3:$3,$B13,'H2 matriz'!$56:$56)+1</f>
        <v>1.03</v>
      </c>
      <c r="H13" s="439"/>
      <c r="I13" s="876">
        <f>IF(D13="SYNH2UG",1,0.98)</f>
        <v>0.98</v>
      </c>
      <c r="J13" s="796">
        <f>SUMIF('H2 matriz'!$3:$3,$B13,'H2 matriz'!$59:$59)</f>
        <v>21.76857748470885</v>
      </c>
      <c r="K13" s="796">
        <f>SUMIF('H2 matriz'!$3:$3,$B13,'H2 matriz'!$60:$60)</f>
        <v>21.057917586761189</v>
      </c>
      <c r="L13" s="796">
        <f>SUMIF('H2 matriz'!$3:$3,$B13,'H2 matriz'!$61:$61)</f>
        <v>20.556902358708086</v>
      </c>
      <c r="M13" s="796">
        <f>SUMIF('H2 matriz'!$3:$3,$B13,'H2 matriz'!$62:$62)</f>
        <v>1.1957711301037859</v>
      </c>
      <c r="N13" s="796">
        <f>SUMIF('H2 matriz'!$3:$3,$B13,'H2 matriz'!$63:$63)</f>
        <v>1.1602381352064026</v>
      </c>
      <c r="O13" s="796">
        <f>SUMIF('H2 matriz'!$3:$3,$B13,'H2 matriz'!$62:$62)</f>
        <v>1.1957711301037859</v>
      </c>
      <c r="P13" s="676"/>
      <c r="Q13" s="676"/>
      <c r="R13" s="676"/>
      <c r="S13" s="677">
        <v>50</v>
      </c>
      <c r="T13" s="677">
        <f>'INPUT-Data(HD)'!V10</f>
        <v>2015</v>
      </c>
      <c r="U13" s="695">
        <v>1</v>
      </c>
    </row>
    <row r="14" spans="1:21" s="653" customFormat="1">
      <c r="B14" s="692"/>
      <c r="C14" s="692"/>
      <c r="D14" s="692" t="s">
        <v>339</v>
      </c>
      <c r="E14" s="692"/>
      <c r="F14" s="692"/>
      <c r="G14" s="796">
        <f>SUMIF('H2 matriz'!$3:$3,$B13,'H2 matriz'!$57:$57)</f>
        <v>1.05</v>
      </c>
      <c r="H14" s="439"/>
      <c r="I14" s="694"/>
      <c r="J14" s="676"/>
      <c r="K14" s="402"/>
      <c r="L14" s="402"/>
      <c r="M14" s="402"/>
      <c r="N14" s="676"/>
      <c r="O14" s="676"/>
      <c r="P14" s="676"/>
      <c r="Q14" s="676"/>
      <c r="R14" s="676"/>
      <c r="S14" s="677"/>
      <c r="T14" s="677"/>
      <c r="U14" s="633"/>
    </row>
    <row r="15" spans="1:21" s="653" customFormat="1">
      <c r="B15" s="692"/>
      <c r="C15" s="692"/>
      <c r="D15" s="692"/>
      <c r="E15" s="692"/>
      <c r="F15" s="697" t="str">
        <f>IF(LEFT(B13,6)="TRALH2","TRALH2","TRAGH2")</f>
        <v>TRALH2</v>
      </c>
      <c r="G15" s="402"/>
      <c r="H15" s="439">
        <v>1</v>
      </c>
      <c r="I15" s="694"/>
      <c r="J15" s="676"/>
      <c r="K15" s="402"/>
      <c r="L15" s="402"/>
      <c r="M15" s="402"/>
      <c r="N15" s="676"/>
      <c r="O15" s="676"/>
      <c r="P15" s="676"/>
      <c r="Q15" s="676"/>
      <c r="R15" s="676"/>
      <c r="S15" s="677"/>
      <c r="T15" s="677"/>
      <c r="U15" s="633"/>
    </row>
    <row r="16" spans="1:21" s="854" customFormat="1">
      <c r="B16" s="855" t="str">
        <f>'H2 matriz'!$G$3</f>
        <v>TRAGH2C02</v>
      </c>
      <c r="C16" s="855" t="str">
        <f>'H2 matriz'!$G$2</f>
        <v>Fuel Tech - H2 Delivery from centralized production (COMP+RTS+TS+RTS+LIQ+LG)</v>
      </c>
      <c r="D16" s="837" t="s">
        <v>233</v>
      </c>
      <c r="E16" s="856"/>
      <c r="G16" s="857">
        <f>SUMIF('H2 matriz'!$3:$3,$B16,'H2 matriz'!$56:$56)+1</f>
        <v>1.03</v>
      </c>
      <c r="H16" s="873"/>
      <c r="I16" s="877">
        <f>IF(D16="SYNH2UG",1,0.98)</f>
        <v>0.98</v>
      </c>
      <c r="J16" s="857">
        <f>SUMIF('H2 matriz'!$3:$3,$B16,'H2 matriz'!$59:$59)</f>
        <v>29.401726434579526</v>
      </c>
      <c r="K16" s="857">
        <f>SUMIF('H2 matriz'!$3:$3,$B16,'H2 matriz'!$60:$60)</f>
        <v>26.439287596420016</v>
      </c>
      <c r="L16" s="857">
        <f>SUMIF('H2 matriz'!$3:$3,$B16,'H2 matriz'!$61:$61)</f>
        <v>24.350768215517558</v>
      </c>
      <c r="M16" s="857">
        <f>SUMIF('H2 matriz'!$3:$3,$B16,'H2 matriz'!$62:$62)</f>
        <v>1.5774285775973196</v>
      </c>
      <c r="N16" s="857">
        <f>SUMIF('H2 matriz'!$3:$3,$B16,'H2 matriz'!$63:$63)</f>
        <v>1.429306635689344</v>
      </c>
      <c r="O16" s="857">
        <f>SUMIF('H2 matriz'!$3:$3,$B16,'H2 matriz'!$62:$62)</f>
        <v>1.5774285775973196</v>
      </c>
      <c r="P16" s="858"/>
      <c r="Q16" s="858"/>
      <c r="R16" s="858"/>
      <c r="S16" s="859">
        <v>35</v>
      </c>
      <c r="T16" s="859">
        <f>'INPUT-Data(HD)'!V16</f>
        <v>2015</v>
      </c>
      <c r="U16" s="860">
        <v>1</v>
      </c>
    </row>
    <row r="17" spans="1:21" s="861" customFormat="1">
      <c r="B17" s="862"/>
      <c r="C17" s="862"/>
      <c r="D17" s="862" t="s">
        <v>339</v>
      </c>
      <c r="E17" s="862"/>
      <c r="F17" s="862"/>
      <c r="G17" s="872">
        <f>SUMIF('H2 matriz'!$3:$3,$B16,'H2 matriz'!$57:$57)</f>
        <v>1.05</v>
      </c>
      <c r="H17" s="874"/>
      <c r="I17" s="863"/>
      <c r="J17" s="864"/>
      <c r="K17" s="864"/>
      <c r="L17" s="864"/>
      <c r="M17" s="864"/>
      <c r="N17" s="864"/>
      <c r="O17" s="864"/>
      <c r="P17" s="864"/>
      <c r="Q17" s="864"/>
      <c r="R17" s="864"/>
      <c r="S17" s="865"/>
      <c r="T17" s="865"/>
    </row>
    <row r="18" spans="1:21" s="866" customFormat="1">
      <c r="B18" s="867"/>
      <c r="C18" s="867"/>
      <c r="D18" s="867"/>
      <c r="E18" s="867"/>
      <c r="F18" s="867" t="str">
        <f>IF(LEFT(B16,6)="TRALH2","TRALH2","TRAGH2")</f>
        <v>TRAGH2</v>
      </c>
      <c r="G18" s="868"/>
      <c r="H18" s="875">
        <v>1</v>
      </c>
      <c r="I18" s="869"/>
      <c r="J18" s="870"/>
      <c r="K18" s="870"/>
      <c r="L18" s="870"/>
      <c r="M18" s="870"/>
      <c r="N18" s="870"/>
      <c r="O18" s="870"/>
      <c r="P18" s="870"/>
      <c r="Q18" s="870"/>
      <c r="R18" s="870"/>
      <c r="S18" s="871"/>
      <c r="T18" s="871"/>
    </row>
    <row r="19" spans="1:21" s="653" customFormat="1">
      <c r="A19" s="622" t="s">
        <v>605</v>
      </c>
      <c r="B19" s="692" t="str">
        <f>'H2 matriz'!$H$3</f>
        <v>TRALH2C03</v>
      </c>
      <c r="C19" s="692" t="str">
        <f>'H2 matriz'!$H$2</f>
        <v>Fuel Tech - H2 Delivery from centralized production (COMP+RTS+CRY+RTS+LIQ+LL)</v>
      </c>
      <c r="D19" s="16" t="s">
        <v>663</v>
      </c>
      <c r="E19" s="692"/>
      <c r="F19" s="633"/>
      <c r="G19" s="796">
        <f>SUMIF('H2 matriz'!$3:$3,$B19,'H2 matriz'!$56:$56)+1</f>
        <v>1.03</v>
      </c>
      <c r="H19" s="439"/>
      <c r="I19" s="876">
        <f>IF(D19="SYNH2UG",1,0.98)</f>
        <v>1</v>
      </c>
      <c r="J19" s="796">
        <f>SUMIF('H2 matriz'!$3:$3,$B19,'H2 matriz'!$59:$59)</f>
        <v>21.76857748470885</v>
      </c>
      <c r="K19" s="796">
        <f>SUMIF('H2 matriz'!$3:$3,$B19,'H2 matriz'!$60:$60)</f>
        <v>21.057917586761189</v>
      </c>
      <c r="L19" s="796">
        <f>SUMIF('H2 matriz'!$3:$3,$B19,'H2 matriz'!$61:$61)</f>
        <v>20.556902358708086</v>
      </c>
      <c r="M19" s="796">
        <f>SUMIF('H2 matriz'!$3:$3,$B19,'H2 matriz'!$62:$62)</f>
        <v>1.1957711301037859</v>
      </c>
      <c r="N19" s="796">
        <f>SUMIF('H2 matriz'!$3:$3,$B19,'H2 matriz'!$63:$63)</f>
        <v>1.1602381352064026</v>
      </c>
      <c r="O19" s="796">
        <f>SUMIF('H2 matriz'!$3:$3,$B19,'H2 matriz'!$62:$62)</f>
        <v>1.1957711301037859</v>
      </c>
      <c r="P19" s="676"/>
      <c r="Q19" s="676"/>
      <c r="R19" s="676"/>
      <c r="S19" s="677">
        <v>35</v>
      </c>
      <c r="T19" s="677">
        <v>2015</v>
      </c>
      <c r="U19" s="695">
        <v>1</v>
      </c>
    </row>
    <row r="20" spans="1:21" s="653" customFormat="1">
      <c r="A20" s="622" t="s">
        <v>605</v>
      </c>
      <c r="B20" s="692"/>
      <c r="C20" s="692"/>
      <c r="D20" s="692" t="s">
        <v>339</v>
      </c>
      <c r="E20" s="692"/>
      <c r="F20" s="692"/>
      <c r="G20" s="796">
        <f>SUMIF('H2 matriz'!$3:$3,$B19,'H2 matriz'!$57:$57)</f>
        <v>1.05</v>
      </c>
      <c r="H20" s="439"/>
      <c r="I20" s="694"/>
      <c r="J20" s="676"/>
      <c r="K20" s="402"/>
      <c r="L20" s="402"/>
      <c r="M20" s="402"/>
      <c r="N20" s="676"/>
      <c r="O20" s="676"/>
      <c r="P20" s="676"/>
      <c r="Q20" s="676"/>
      <c r="R20" s="676"/>
      <c r="S20" s="677"/>
      <c r="T20" s="677"/>
      <c r="U20" s="633"/>
    </row>
    <row r="21" spans="1:21" s="653" customFormat="1">
      <c r="A21" s="622" t="s">
        <v>605</v>
      </c>
      <c r="B21" s="692"/>
      <c r="C21" s="692"/>
      <c r="D21" s="692"/>
      <c r="E21" s="692"/>
      <c r="F21" s="697" t="str">
        <f>IF(LEFT(B19,6)="TRALH2","TRALH2","TRAGH2")</f>
        <v>TRALH2</v>
      </c>
      <c r="G21" s="402"/>
      <c r="H21" s="439">
        <v>1</v>
      </c>
      <c r="I21" s="694"/>
      <c r="J21" s="676"/>
      <c r="K21" s="402"/>
      <c r="L21" s="402"/>
      <c r="M21" s="402"/>
      <c r="N21" s="676"/>
      <c r="O21" s="676"/>
      <c r="P21" s="676"/>
      <c r="Q21" s="676"/>
      <c r="R21" s="676"/>
      <c r="S21" s="677"/>
      <c r="T21" s="677"/>
      <c r="U21" s="633"/>
    </row>
    <row r="22" spans="1:21" s="854" customFormat="1">
      <c r="A22" s="622" t="s">
        <v>605</v>
      </c>
      <c r="B22" s="855" t="str">
        <f>'H2 matriz'!$I$3</f>
        <v>TRAGH2C03</v>
      </c>
      <c r="C22" s="855" t="str">
        <f>'H2 matriz'!$I$2</f>
        <v>Fuel Tech - H2 Delivery from centralized production (COMP+RTS+CRY+RTS+LIQ+LG)</v>
      </c>
      <c r="D22" s="837" t="s">
        <v>233</v>
      </c>
      <c r="E22" s="856"/>
      <c r="G22" s="857">
        <f>SUMIF('H2 matriz'!$3:$3,$B22,'H2 matriz'!$56:$56)+1</f>
        <v>1.03</v>
      </c>
      <c r="H22" s="873"/>
      <c r="I22" s="877">
        <f>IF(D22="SYNH2UG",1,0.98)</f>
        <v>0.98</v>
      </c>
      <c r="J22" s="857">
        <f>SUMIF('H2 matriz'!$3:$3,$B22,'H2 matriz'!$59:$59)</f>
        <v>29.401726434579526</v>
      </c>
      <c r="K22" s="857">
        <f>SUMIF('H2 matriz'!$3:$3,$B22,'H2 matriz'!$60:$60)</f>
        <v>26.439287596420016</v>
      </c>
      <c r="L22" s="857">
        <f>SUMIF('H2 matriz'!$3:$3,$B22,'H2 matriz'!$61:$61)</f>
        <v>24.350768215517558</v>
      </c>
      <c r="M22" s="857">
        <f>SUMIF('H2 matriz'!$3:$3,$B22,'H2 matriz'!$62:$62)</f>
        <v>1.5774285775973196</v>
      </c>
      <c r="N22" s="857">
        <f>SUMIF('H2 matriz'!$3:$3,$B22,'H2 matriz'!$63:$63)</f>
        <v>1.429306635689344</v>
      </c>
      <c r="O22" s="857">
        <f>SUMIF('H2 matriz'!$3:$3,$B22,'H2 matriz'!$62:$62)</f>
        <v>1.5774285775973196</v>
      </c>
      <c r="P22" s="858"/>
      <c r="Q22" s="858"/>
      <c r="R22" s="858"/>
      <c r="S22" s="859">
        <v>35</v>
      </c>
      <c r="T22" s="859">
        <v>2015</v>
      </c>
      <c r="U22" s="860">
        <v>1</v>
      </c>
    </row>
    <row r="23" spans="1:21" s="861" customFormat="1">
      <c r="A23" s="622" t="s">
        <v>605</v>
      </c>
      <c r="B23" s="862"/>
      <c r="C23" s="862"/>
      <c r="D23" s="862" t="s">
        <v>339</v>
      </c>
      <c r="E23" s="862"/>
      <c r="F23" s="862"/>
      <c r="G23" s="872">
        <f>SUMIF('H2 matriz'!$3:$3,$B22,'H2 matriz'!$57:$57)</f>
        <v>1.05</v>
      </c>
      <c r="H23" s="874"/>
      <c r="I23" s="863"/>
      <c r="J23" s="864"/>
      <c r="K23" s="864"/>
      <c r="L23" s="864"/>
      <c r="M23" s="864"/>
      <c r="N23" s="864"/>
      <c r="O23" s="864"/>
      <c r="P23" s="864"/>
      <c r="Q23" s="864"/>
      <c r="R23" s="864"/>
      <c r="S23" s="865"/>
      <c r="T23" s="865"/>
    </row>
    <row r="24" spans="1:21" s="866" customFormat="1">
      <c r="A24" s="622" t="s">
        <v>605</v>
      </c>
      <c r="B24" s="867"/>
      <c r="C24" s="867"/>
      <c r="D24" s="867"/>
      <c r="E24" s="867"/>
      <c r="F24" s="867" t="str">
        <f>IF(LEFT(B22,6)="TRALH2","TRALH2","TRAGH2")</f>
        <v>TRAGH2</v>
      </c>
      <c r="G24" s="868"/>
      <c r="H24" s="875">
        <v>1</v>
      </c>
      <c r="I24" s="869"/>
      <c r="J24" s="870"/>
      <c r="K24" s="870"/>
      <c r="L24" s="870"/>
      <c r="M24" s="870"/>
      <c r="N24" s="870"/>
      <c r="O24" s="870"/>
      <c r="P24" s="870"/>
      <c r="Q24" s="870"/>
      <c r="R24" s="870"/>
      <c r="S24" s="871"/>
      <c r="T24" s="871"/>
    </row>
    <row r="25" spans="1:21" s="653" customFormat="1">
      <c r="B25" s="692" t="str">
        <f>'H2 matriz'!$J$3</f>
        <v>TRALH2C04</v>
      </c>
      <c r="C25" s="692" t="str">
        <f>'H2 matriz'!$J$2</f>
        <v>Fuel Tech - H2 Delivery from centralized production (COMP+RTS+NH3+RTS+LIQ+LL)</v>
      </c>
      <c r="D25" s="16" t="s">
        <v>663</v>
      </c>
      <c r="E25" s="692"/>
      <c r="F25" s="633"/>
      <c r="G25" s="796">
        <f>SUMIF('H2 matriz'!$3:$3,$B25,'H2 matriz'!$56:$56)+1</f>
        <v>1.03</v>
      </c>
      <c r="H25" s="439"/>
      <c r="I25" s="876">
        <f>IF(D25="SYNH2UG",1,0.98)</f>
        <v>1</v>
      </c>
      <c r="J25" s="796">
        <f>SUMIF('H2 matriz'!$3:$3,$B25,'H2 matriz'!$59:$59)</f>
        <v>21.76857748470885</v>
      </c>
      <c r="K25" s="796">
        <f>SUMIF('H2 matriz'!$3:$3,$B25,'H2 matriz'!$60:$60)</f>
        <v>21.057917586761189</v>
      </c>
      <c r="L25" s="796">
        <f>SUMIF('H2 matriz'!$3:$3,$B25,'H2 matriz'!$61:$61)</f>
        <v>20.556902358708086</v>
      </c>
      <c r="M25" s="796">
        <f>SUMIF('H2 matriz'!$3:$3,$B25,'H2 matriz'!$62:$62)</f>
        <v>1.1957711301037859</v>
      </c>
      <c r="N25" s="796">
        <f>SUMIF('H2 matriz'!$3:$3,$B25,'H2 matriz'!$63:$63)</f>
        <v>1.1602381352064026</v>
      </c>
      <c r="O25" s="796">
        <f>SUMIF('H2 matriz'!$3:$3,$B25,'H2 matriz'!$62:$62)</f>
        <v>1.1957711301037859</v>
      </c>
      <c r="P25" s="676"/>
      <c r="Q25" s="676"/>
      <c r="R25" s="676"/>
      <c r="S25" s="677">
        <v>35</v>
      </c>
      <c r="T25" s="677">
        <v>2015</v>
      </c>
      <c r="U25" s="695">
        <v>1</v>
      </c>
    </row>
    <row r="26" spans="1:21" s="653" customFormat="1">
      <c r="B26" s="692"/>
      <c r="C26" s="692"/>
      <c r="D26" s="692" t="s">
        <v>339</v>
      </c>
      <c r="E26" s="692"/>
      <c r="F26" s="692"/>
      <c r="G26" s="796">
        <f>SUMIF('H2 matriz'!$3:$3,$B25,'H2 matriz'!$57:$57)</f>
        <v>1.05</v>
      </c>
      <c r="H26" s="439"/>
      <c r="I26" s="694"/>
      <c r="J26" s="676"/>
      <c r="K26" s="402"/>
      <c r="L26" s="402"/>
      <c r="M26" s="402"/>
      <c r="N26" s="676"/>
      <c r="O26" s="676"/>
      <c r="P26" s="676"/>
      <c r="Q26" s="676"/>
      <c r="R26" s="676"/>
      <c r="S26" s="677"/>
      <c r="T26" s="677"/>
      <c r="U26" s="633"/>
    </row>
    <row r="27" spans="1:21" s="653" customFormat="1">
      <c r="B27" s="692"/>
      <c r="C27" s="692"/>
      <c r="D27" s="692"/>
      <c r="E27" s="692"/>
      <c r="F27" s="697" t="str">
        <f>IF(LEFT(B25,6)="TRALH2","TRALH2","TRAGH2")</f>
        <v>TRALH2</v>
      </c>
      <c r="G27" s="402"/>
      <c r="H27" s="439">
        <v>1</v>
      </c>
      <c r="I27" s="694"/>
      <c r="J27" s="676"/>
      <c r="K27" s="402"/>
      <c r="L27" s="402"/>
      <c r="M27" s="402"/>
      <c r="N27" s="676"/>
      <c r="O27" s="676"/>
      <c r="P27" s="676"/>
      <c r="Q27" s="676"/>
      <c r="R27" s="676"/>
      <c r="S27" s="677"/>
      <c r="T27" s="677"/>
      <c r="U27" s="633"/>
    </row>
    <row r="28" spans="1:21" s="854" customFormat="1">
      <c r="B28" s="855" t="str">
        <f>'H2 matriz'!$K$3</f>
        <v>TRAGH2C04</v>
      </c>
      <c r="C28" s="855" t="str">
        <f>'H2 matriz'!$K$2</f>
        <v>Fuel Tech - H2 Delivery from centralized production (COMP+RTS+NH3+RTS+LIQ+LG)</v>
      </c>
      <c r="D28" s="837" t="s">
        <v>233</v>
      </c>
      <c r="E28" s="856"/>
      <c r="G28" s="857">
        <f>SUMIF('H2 matriz'!$3:$3,$B28,'H2 matriz'!$56:$56)+1</f>
        <v>1.03</v>
      </c>
      <c r="H28" s="873"/>
      <c r="I28" s="877">
        <f>IF(D28="SYNH2UG",1,0.98)</f>
        <v>0.98</v>
      </c>
      <c r="J28" s="857">
        <f>SUMIF('H2 matriz'!$3:$3,$B28,'H2 matriz'!$59:$59)</f>
        <v>29.401726434579526</v>
      </c>
      <c r="K28" s="857">
        <f>SUMIF('H2 matriz'!$3:$3,$B28,'H2 matriz'!$60:$60)</f>
        <v>26.439287596420016</v>
      </c>
      <c r="L28" s="857">
        <f>SUMIF('H2 matriz'!$3:$3,$B28,'H2 matriz'!$61:$61)</f>
        <v>24.350768215517558</v>
      </c>
      <c r="M28" s="857">
        <f>SUMIF('H2 matriz'!$3:$3,$B28,'H2 matriz'!$62:$62)</f>
        <v>1.5774285775973196</v>
      </c>
      <c r="N28" s="857">
        <f>SUMIF('H2 matriz'!$3:$3,$B28,'H2 matriz'!$63:$63)</f>
        <v>1.429306635689344</v>
      </c>
      <c r="O28" s="857">
        <f>SUMIF('H2 matriz'!$3:$3,$B28,'H2 matriz'!$62:$62)</f>
        <v>1.5774285775973196</v>
      </c>
      <c r="P28" s="858"/>
      <c r="Q28" s="858"/>
      <c r="R28" s="858"/>
      <c r="S28" s="859">
        <v>35</v>
      </c>
      <c r="T28" s="859">
        <v>2015</v>
      </c>
      <c r="U28" s="860">
        <v>1</v>
      </c>
    </row>
    <row r="29" spans="1:21" s="861" customFormat="1">
      <c r="B29" s="862"/>
      <c r="C29" s="862"/>
      <c r="D29" s="862" t="s">
        <v>339</v>
      </c>
      <c r="E29" s="862"/>
      <c r="F29" s="862"/>
      <c r="G29" s="872">
        <f>SUMIF('H2 matriz'!$3:$3,$B28,'H2 matriz'!$57:$57)</f>
        <v>1.05</v>
      </c>
      <c r="H29" s="874"/>
      <c r="I29" s="863"/>
      <c r="J29" s="864"/>
      <c r="K29" s="864"/>
      <c r="L29" s="864"/>
      <c r="M29" s="864"/>
      <c r="N29" s="864"/>
      <c r="O29" s="864"/>
      <c r="P29" s="864"/>
      <c r="Q29" s="864"/>
      <c r="R29" s="864"/>
      <c r="S29" s="865"/>
      <c r="T29" s="865"/>
    </row>
    <row r="30" spans="1:21" s="866" customFormat="1">
      <c r="B30" s="867"/>
      <c r="C30" s="867"/>
      <c r="D30" s="867"/>
      <c r="E30" s="867"/>
      <c r="F30" s="867" t="str">
        <f>IF(LEFT(B28,6)="TRALH2","TRALH2","TRAGH2")</f>
        <v>TRAGH2</v>
      </c>
      <c r="G30" s="868"/>
      <c r="H30" s="875">
        <v>1</v>
      </c>
      <c r="I30" s="869"/>
      <c r="J30" s="870"/>
      <c r="K30" s="870"/>
      <c r="L30" s="870"/>
      <c r="M30" s="870"/>
      <c r="N30" s="870"/>
      <c r="O30" s="870"/>
      <c r="P30" s="870"/>
      <c r="Q30" s="870"/>
      <c r="R30" s="870"/>
      <c r="S30" s="871"/>
      <c r="T30" s="871"/>
    </row>
    <row r="31" spans="1:21" s="653" customFormat="1">
      <c r="B31" s="692" t="str">
        <f>'H2 matriz'!$L$3</f>
        <v>TRAGH2C05</v>
      </c>
      <c r="C31" s="692" t="str">
        <f>'H2 matriz'!$L$2</f>
        <v>Fuel Tech - H2 Delivery from centralized production (COMP+TR100+USTOR+RTS+TS+GG)</v>
      </c>
      <c r="D31" s="16" t="s">
        <v>663</v>
      </c>
      <c r="E31" s="692"/>
      <c r="F31" s="633"/>
      <c r="G31" s="796">
        <f>SUMIF('H2 matriz'!$3:$3,$B31,'H2 matriz'!$56:$56)+1</f>
        <v>1.0049999999999999</v>
      </c>
      <c r="H31" s="439"/>
      <c r="I31" s="876">
        <f>IF(D31="SYNH2UG",1,0.98)</f>
        <v>1</v>
      </c>
      <c r="J31" s="796">
        <f>SUMIF('H2 matriz'!$3:$3,$B31,'H2 matriz'!$59:$59)</f>
        <v>30.733818518610768</v>
      </c>
      <c r="K31" s="796">
        <f>SUMIF('H2 matriz'!$3:$3,$B31,'H2 matriz'!$60:$60)</f>
        <v>26.681955730333001</v>
      </c>
      <c r="L31" s="796">
        <f>SUMIF('H2 matriz'!$3:$3,$B31,'H2 matriz'!$61:$61)</f>
        <v>23.841231564587723</v>
      </c>
      <c r="M31" s="796">
        <f>SUMIF('H2 matriz'!$3:$3,$B31,'H2 matriz'!$62:$62)</f>
        <v>1.06638516783256</v>
      </c>
      <c r="N31" s="796"/>
      <c r="O31" s="796"/>
      <c r="P31" s="676"/>
      <c r="Q31" s="676"/>
      <c r="R31" s="676"/>
      <c r="S31" s="677">
        <v>35</v>
      </c>
      <c r="T31" s="677">
        <v>2015</v>
      </c>
      <c r="U31" s="695">
        <v>1</v>
      </c>
    </row>
    <row r="32" spans="1:21" s="653" customFormat="1">
      <c r="B32" s="692"/>
      <c r="C32" s="692"/>
      <c r="D32" s="692" t="s">
        <v>339</v>
      </c>
      <c r="E32" s="692"/>
      <c r="F32" s="692"/>
      <c r="G32" s="796">
        <f>SUMIF('H2 matriz'!$3:$3,$B31,'H2 matriz'!$57:$57)</f>
        <v>1.633</v>
      </c>
      <c r="H32" s="439"/>
      <c r="I32" s="694"/>
      <c r="J32" s="676"/>
      <c r="K32" s="402"/>
      <c r="L32" s="402"/>
      <c r="M32" s="402"/>
      <c r="N32" s="676"/>
      <c r="O32" s="676"/>
      <c r="P32" s="676"/>
      <c r="Q32" s="676"/>
      <c r="R32" s="676"/>
      <c r="S32" s="677"/>
      <c r="T32" s="677"/>
      <c r="U32" s="633"/>
    </row>
    <row r="33" spans="1:21" s="653" customFormat="1">
      <c r="B33" s="692"/>
      <c r="C33" s="692"/>
      <c r="D33" s="692"/>
      <c r="E33" s="692"/>
      <c r="F33" s="697" t="str">
        <f>IF(LEFT(B31,6)="TRALH2","TRALH2","TRAGH2")</f>
        <v>TRAGH2</v>
      </c>
      <c r="G33" s="402"/>
      <c r="H33" s="439">
        <v>1</v>
      </c>
      <c r="I33" s="694"/>
      <c r="J33" s="676"/>
      <c r="K33" s="402"/>
      <c r="L33" s="402"/>
      <c r="M33" s="402"/>
      <c r="N33" s="676"/>
      <c r="O33" s="676"/>
      <c r="P33" s="676"/>
      <c r="Q33" s="676"/>
      <c r="R33" s="676"/>
      <c r="S33" s="677"/>
      <c r="T33" s="677"/>
      <c r="U33" s="633"/>
    </row>
    <row r="34" spans="1:21" s="854" customFormat="1">
      <c r="B34" s="692" t="str">
        <f>'H2 matriz'!$M$3</f>
        <v>TRAGH2C06</v>
      </c>
      <c r="C34" s="692" t="str">
        <f>'H2 matriz'!$M$2</f>
        <v>Fuel Tech - H2 Delivery from centralized production (COMP+TR100+USTOR+RTS+TRUCK+GG)</v>
      </c>
      <c r="D34" s="837" t="s">
        <v>233</v>
      </c>
      <c r="E34" s="856"/>
      <c r="G34" s="857">
        <f>SUMIF('H2 matriz'!$3:$3,$B34,'H2 matriz'!$56:$56)+1</f>
        <v>1.0049999999999999</v>
      </c>
      <c r="H34" s="873"/>
      <c r="I34" s="877">
        <f>IF(D34="SYNH2UG",1,0.98)</f>
        <v>0.98</v>
      </c>
      <c r="J34" s="857">
        <f>SUMIF('H2 matriz'!$3:$3,$B34,'H2 matriz'!$59:$59)</f>
        <v>29.445126952238766</v>
      </c>
      <c r="K34" s="857">
        <f>SUMIF('H2 matriz'!$3:$3,$B34,'H2 matriz'!$60:$60)</f>
        <v>25.393264163961</v>
      </c>
      <c r="L34" s="857">
        <f>SUMIF('H2 matriz'!$3:$3,$B34,'H2 matriz'!$61:$61)</f>
        <v>22.552539998215718</v>
      </c>
      <c r="M34" s="857">
        <f>SUMIF('H2 matriz'!$3:$3,$B34,'H2 matriz'!$62:$62)</f>
        <v>0.99536283803181091</v>
      </c>
      <c r="N34" s="857"/>
      <c r="O34" s="857"/>
      <c r="P34" s="858"/>
      <c r="Q34" s="858"/>
      <c r="R34" s="858"/>
      <c r="S34" s="859">
        <v>35</v>
      </c>
      <c r="T34" s="859">
        <v>2015</v>
      </c>
      <c r="U34" s="860">
        <v>1</v>
      </c>
    </row>
    <row r="35" spans="1:21" s="861" customFormat="1">
      <c r="B35" s="862"/>
      <c r="C35" s="862"/>
      <c r="D35" s="862" t="s">
        <v>339</v>
      </c>
      <c r="E35" s="862"/>
      <c r="F35" s="862"/>
      <c r="G35" s="872">
        <f>SUMIF('H2 matriz'!$3:$3,$B34,'H2 matriz'!$57:$57)</f>
        <v>1.633</v>
      </c>
      <c r="H35" s="874"/>
      <c r="I35" s="863"/>
      <c r="J35" s="864"/>
      <c r="K35" s="864"/>
      <c r="L35" s="864"/>
      <c r="M35" s="864"/>
      <c r="N35" s="864"/>
      <c r="O35" s="864"/>
      <c r="P35" s="864"/>
      <c r="Q35" s="864"/>
      <c r="R35" s="864"/>
      <c r="S35" s="865"/>
      <c r="T35" s="865"/>
    </row>
    <row r="36" spans="1:21" s="866" customFormat="1">
      <c r="B36" s="867"/>
      <c r="C36" s="867"/>
      <c r="D36" s="867"/>
      <c r="E36" s="867"/>
      <c r="F36" s="867" t="str">
        <f>IF(LEFT(B34,6)="TRALH2","TRALH2","TRAGH2")</f>
        <v>TRAGH2</v>
      </c>
      <c r="G36" s="868"/>
      <c r="H36" s="875">
        <v>1</v>
      </c>
      <c r="I36" s="869"/>
      <c r="J36" s="870"/>
      <c r="K36" s="870"/>
      <c r="L36" s="870"/>
      <c r="M36" s="870"/>
      <c r="N36" s="870"/>
      <c r="O36" s="870"/>
      <c r="P36" s="870"/>
      <c r="Q36" s="870"/>
      <c r="R36" s="870"/>
      <c r="S36" s="871"/>
      <c r="T36" s="871"/>
    </row>
    <row r="37" spans="1:21" s="653" customFormat="1">
      <c r="B37" s="692" t="str">
        <f>'H2 matriz'!$N$3</f>
        <v>TRAGH2C07</v>
      </c>
      <c r="C37" s="692" t="str">
        <f>'H2 matriz'!$N$2</f>
        <v>Fuel Tech - H2 Delivery from centralized production (COMP+TR100+COMP+RTS+TS+GG)</v>
      </c>
      <c r="D37" s="16" t="s">
        <v>663</v>
      </c>
      <c r="E37" s="692"/>
      <c r="F37" s="633"/>
      <c r="G37" s="796">
        <f>SUMIF('H2 matriz'!$3:$3,$B37,'H2 matriz'!$56:$56)+1</f>
        <v>1.0049999999999999</v>
      </c>
      <c r="H37" s="439"/>
      <c r="I37" s="876">
        <f>IF(D37="SYNH2UG",1,0.98)</f>
        <v>1</v>
      </c>
      <c r="J37" s="796">
        <f>SUMIF('H2 matriz'!$3:$3,$B37,'H2 matriz'!$59:$59)</f>
        <v>29.91217275820626</v>
      </c>
      <c r="K37" s="796">
        <f>SUMIF('H2 matriz'!$3:$3,$B37,'H2 matriz'!$60:$60)</f>
        <v>25.860309969928494</v>
      </c>
      <c r="L37" s="796">
        <f>SUMIF('H2 matriz'!$3:$3,$B37,'H2 matriz'!$61:$61)</f>
        <v>23.019585804183212</v>
      </c>
      <c r="M37" s="796">
        <f>SUMIF('H2 matriz'!$3:$3,$B37,'H2 matriz'!$62:$62)</f>
        <v>1.0335193374163794</v>
      </c>
      <c r="N37" s="796"/>
      <c r="O37" s="796"/>
      <c r="P37" s="676"/>
      <c r="Q37" s="676"/>
      <c r="R37" s="676"/>
      <c r="S37" s="677">
        <v>50</v>
      </c>
      <c r="T37" s="677">
        <f>'INPUT-Data(HD)'!V40</f>
        <v>0</v>
      </c>
      <c r="U37" s="695">
        <v>1</v>
      </c>
    </row>
    <row r="38" spans="1:21" s="653" customFormat="1">
      <c r="B38" s="692"/>
      <c r="C38" s="692"/>
      <c r="D38" s="692" t="s">
        <v>339</v>
      </c>
      <c r="E38" s="692"/>
      <c r="F38" s="692"/>
      <c r="G38" s="796">
        <f>SUMIF('H2 matriz'!$3:$3,$B37,'H2 matriz'!$57:$57)</f>
        <v>1.6</v>
      </c>
      <c r="H38" s="439"/>
      <c r="I38" s="694"/>
      <c r="J38" s="676"/>
      <c r="K38" s="402"/>
      <c r="L38" s="402"/>
      <c r="M38" s="402"/>
      <c r="N38" s="676"/>
      <c r="O38" s="676"/>
      <c r="P38" s="676"/>
      <c r="Q38" s="676"/>
      <c r="R38" s="676"/>
      <c r="S38" s="677"/>
      <c r="T38" s="677"/>
      <c r="U38" s="633"/>
    </row>
    <row r="39" spans="1:21" s="653" customFormat="1">
      <c r="B39" s="692"/>
      <c r="C39" s="692"/>
      <c r="D39" s="692"/>
      <c r="E39" s="692"/>
      <c r="F39" s="697" t="str">
        <f>IF(LEFT(B37,6)="TRALH2","TRALH2","TRAGH2")</f>
        <v>TRAGH2</v>
      </c>
      <c r="G39" s="402"/>
      <c r="H39" s="439">
        <v>1</v>
      </c>
      <c r="I39" s="694"/>
      <c r="J39" s="676"/>
      <c r="K39" s="402"/>
      <c r="L39" s="402"/>
      <c r="M39" s="402"/>
      <c r="N39" s="676"/>
      <c r="O39" s="676"/>
      <c r="P39" s="676"/>
      <c r="Q39" s="676"/>
      <c r="R39" s="676"/>
      <c r="S39" s="677"/>
      <c r="T39" s="677"/>
      <c r="U39" s="633"/>
    </row>
    <row r="40" spans="1:21" s="854" customFormat="1">
      <c r="B40" s="855" t="str">
        <f>'H2 matriz'!$O$3</f>
        <v>TRAGH2C08</v>
      </c>
      <c r="C40" s="855" t="str">
        <f>'H2 matriz'!$O$2</f>
        <v>Fuel Tech - H2 Delivery from centralized production (COMP+TR100+COMP+RTS+TRUCK+GG)</v>
      </c>
      <c r="D40" s="837" t="s">
        <v>663</v>
      </c>
      <c r="E40" s="856"/>
      <c r="G40" s="857">
        <f>SUMIF('H2 matriz'!$3:$3,$B40,'H2 matriz'!$56:$56)+1</f>
        <v>1.0049999999999999</v>
      </c>
      <c r="H40" s="873"/>
      <c r="I40" s="877">
        <f>IF(D40="SYNH2UG",1,0.98)</f>
        <v>1</v>
      </c>
      <c r="J40" s="857">
        <f>SUMIF('H2 matriz'!$3:$3,$B40,'H2 matriz'!$59:$59)</f>
        <v>28.623481191834252</v>
      </c>
      <c r="K40" s="857">
        <f>SUMIF('H2 matriz'!$3:$3,$B40,'H2 matriz'!$60:$60)</f>
        <v>24.571618403556485</v>
      </c>
      <c r="L40" s="857">
        <f>SUMIF('H2 matriz'!$3:$3,$B40,'H2 matriz'!$61:$61)</f>
        <v>21.730894237811203</v>
      </c>
      <c r="M40" s="857">
        <f>SUMIF('H2 matriz'!$3:$3,$B40,'H2 matriz'!$62:$62)</f>
        <v>0.96249700761563051</v>
      </c>
      <c r="N40" s="857"/>
      <c r="O40" s="857"/>
      <c r="P40" s="858"/>
      <c r="Q40" s="858"/>
      <c r="R40" s="858"/>
      <c r="S40" s="859">
        <v>50</v>
      </c>
      <c r="T40" s="859">
        <f>'INPUT-Data(HD)'!V46</f>
        <v>0</v>
      </c>
      <c r="U40" s="860">
        <v>1</v>
      </c>
    </row>
    <row r="41" spans="1:21" s="861" customFormat="1">
      <c r="B41" s="862"/>
      <c r="C41" s="862"/>
      <c r="D41" s="862" t="s">
        <v>339</v>
      </c>
      <c r="E41" s="862"/>
      <c r="F41" s="862"/>
      <c r="G41" s="872">
        <f>SUMIF('H2 matriz'!$3:$3,$B40,'H2 matriz'!$57:$57)</f>
        <v>1.6</v>
      </c>
      <c r="H41" s="874"/>
      <c r="I41" s="863"/>
      <c r="J41" s="864"/>
      <c r="K41" s="864"/>
      <c r="L41" s="864"/>
      <c r="M41" s="864"/>
      <c r="N41" s="864"/>
      <c r="O41" s="864"/>
      <c r="P41" s="864"/>
      <c r="Q41" s="864"/>
      <c r="R41" s="864"/>
      <c r="S41" s="865"/>
      <c r="T41" s="865"/>
    </row>
    <row r="42" spans="1:21" s="866" customFormat="1">
      <c r="B42" s="867"/>
      <c r="C42" s="867"/>
      <c r="D42" s="867"/>
      <c r="E42" s="867"/>
      <c r="F42" s="867" t="str">
        <f>IF(LEFT(B40,6)="TRALH2","TRALH2","TRAGH2")</f>
        <v>TRAGH2</v>
      </c>
      <c r="G42" s="868"/>
      <c r="H42" s="875">
        <v>1</v>
      </c>
      <c r="I42" s="869"/>
      <c r="J42" s="870"/>
      <c r="K42" s="870"/>
      <c r="L42" s="870"/>
      <c r="M42" s="870"/>
      <c r="N42" s="870"/>
      <c r="O42" s="870"/>
      <c r="P42" s="870"/>
      <c r="Q42" s="870"/>
      <c r="R42" s="870"/>
      <c r="S42" s="871"/>
      <c r="T42" s="871"/>
    </row>
    <row r="43" spans="1:21" s="653" customFormat="1">
      <c r="A43" s="622" t="s">
        <v>605</v>
      </c>
      <c r="B43" s="692" t="str">
        <f>'H2 matriz'!$P$3</f>
        <v>TRAGH2C9</v>
      </c>
      <c r="C43" s="692" t="str">
        <f>'H2 matriz'!$P$2</f>
        <v>Fuel Tech - H2 Delivery from centralized production (COMP+TR100+CRY+RTS+TS+GG)</v>
      </c>
      <c r="D43" s="16" t="s">
        <v>621</v>
      </c>
      <c r="E43" s="692"/>
      <c r="F43" s="633"/>
      <c r="G43" s="796">
        <f>SUMIF('H2 matriz'!$3:$3,$B43,'H2 matriz'!$56:$56)+1</f>
        <v>1.0049999999999999</v>
      </c>
      <c r="H43" s="439"/>
      <c r="I43" s="876">
        <f>IF(D43="SYNH2UG",1,0.98)</f>
        <v>0.98</v>
      </c>
      <c r="J43" s="796">
        <f>SUMIF('H2 matriz'!$3:$3,$B43,'H2 matriz'!$59:$59)</f>
        <v>29.91217275820626</v>
      </c>
      <c r="K43" s="796">
        <f>SUMIF('H2 matriz'!$3:$3,$B43,'H2 matriz'!$60:$60)</f>
        <v>25.860309969928494</v>
      </c>
      <c r="L43" s="796">
        <f>SUMIF('H2 matriz'!$3:$3,$B43,'H2 matriz'!$61:$61)</f>
        <v>23.019585804183212</v>
      </c>
      <c r="M43" s="796">
        <f>SUMIF('H2 matriz'!$3:$3,$B43,'H2 matriz'!$62:$62)</f>
        <v>1.0335193374163794</v>
      </c>
      <c r="N43" s="796"/>
      <c r="O43" s="796"/>
      <c r="P43" s="676"/>
      <c r="Q43" s="676"/>
      <c r="R43" s="676"/>
      <c r="S43" s="677">
        <v>50</v>
      </c>
      <c r="T43" s="677">
        <f>'INPUT-Data(HD)'!V49</f>
        <v>0</v>
      </c>
      <c r="U43" s="695">
        <v>1</v>
      </c>
    </row>
    <row r="44" spans="1:21" s="653" customFormat="1">
      <c r="A44" s="622" t="s">
        <v>605</v>
      </c>
      <c r="B44" s="692"/>
      <c r="C44" s="692"/>
      <c r="D44" s="692" t="s">
        <v>232</v>
      </c>
      <c r="E44" s="692"/>
      <c r="F44" s="692"/>
      <c r="G44" s="796">
        <f>SUMIF('H2 matriz'!$3:$3,$B43,'H2 matriz'!$57:$57)</f>
        <v>1.6</v>
      </c>
      <c r="H44" s="439"/>
      <c r="I44" s="694"/>
      <c r="J44" s="676"/>
      <c r="K44" s="402"/>
      <c r="L44" s="402"/>
      <c r="M44" s="402"/>
      <c r="N44" s="676"/>
      <c r="O44" s="676"/>
      <c r="P44" s="676"/>
      <c r="Q44" s="676"/>
      <c r="R44" s="676"/>
      <c r="S44" s="677"/>
      <c r="T44" s="677"/>
      <c r="U44" s="633"/>
    </row>
    <row r="45" spans="1:21" s="653" customFormat="1">
      <c r="A45" s="622" t="s">
        <v>605</v>
      </c>
      <c r="B45" s="692"/>
      <c r="C45" s="692"/>
      <c r="D45" s="692"/>
      <c r="E45" s="692"/>
      <c r="F45" s="697" t="str">
        <f>IF(LEFT(B43,6)="TRALH2","TRALH2","TRAGH2")</f>
        <v>TRAGH2</v>
      </c>
      <c r="G45" s="402"/>
      <c r="H45" s="439">
        <v>1</v>
      </c>
      <c r="I45" s="694"/>
      <c r="J45" s="676"/>
      <c r="K45" s="402"/>
      <c r="L45" s="402"/>
      <c r="M45" s="402"/>
      <c r="N45" s="676"/>
      <c r="O45" s="676"/>
      <c r="P45" s="676"/>
      <c r="Q45" s="676"/>
      <c r="R45" s="676"/>
      <c r="S45" s="677"/>
      <c r="T45" s="677"/>
      <c r="U45" s="633"/>
    </row>
    <row r="46" spans="1:21" s="854" customFormat="1">
      <c r="A46" s="622" t="s">
        <v>605</v>
      </c>
      <c r="B46" s="855" t="str">
        <f>'H2 matriz'!$Q$3</f>
        <v>TRAGH2C10</v>
      </c>
      <c r="C46" s="855" t="str">
        <f>'H2 matriz'!$Q$2</f>
        <v>Fuel Tech - H2 Delivery from centralized production (COMP+TR100+CRY+RTS+TRUCK+GG)</v>
      </c>
      <c r="D46" s="837" t="s">
        <v>621</v>
      </c>
      <c r="E46" s="856"/>
      <c r="G46" s="857">
        <f>SUMIF('H2 matriz'!$3:$3,$B46,'H2 matriz'!$56:$56)+1</f>
        <v>1.0049999999999999</v>
      </c>
      <c r="H46" s="873"/>
      <c r="I46" s="877">
        <f>IF(D46="SYNH2UG",1,0.98)</f>
        <v>0.98</v>
      </c>
      <c r="J46" s="857">
        <f>SUMIF('H2 matriz'!$3:$3,$B46,'H2 matriz'!$59:$59)</f>
        <v>28.623481191834252</v>
      </c>
      <c r="K46" s="857">
        <f>SUMIF('H2 matriz'!$3:$3,$B46,'H2 matriz'!$60:$60)</f>
        <v>24.571618403556485</v>
      </c>
      <c r="L46" s="857">
        <f>SUMIF('H2 matriz'!$3:$3,$B46,'H2 matriz'!$61:$61)</f>
        <v>21.730894237811203</v>
      </c>
      <c r="M46" s="857">
        <f>SUMIF('H2 matriz'!$3:$3,$B46,'H2 matriz'!$62:$62)</f>
        <v>0.96249700761563051</v>
      </c>
      <c r="N46" s="857"/>
      <c r="O46" s="857"/>
      <c r="P46" s="858"/>
      <c r="Q46" s="858"/>
      <c r="R46" s="858"/>
      <c r="S46" s="859">
        <v>50</v>
      </c>
      <c r="T46" s="859">
        <f>'INPUT-Data(HD)'!V52</f>
        <v>0</v>
      </c>
      <c r="U46" s="860">
        <v>1</v>
      </c>
    </row>
    <row r="47" spans="1:21" s="861" customFormat="1">
      <c r="A47" s="622" t="s">
        <v>605</v>
      </c>
      <c r="B47" s="862"/>
      <c r="C47" s="862"/>
      <c r="D47" s="862" t="s">
        <v>232</v>
      </c>
      <c r="E47" s="862"/>
      <c r="F47" s="862"/>
      <c r="G47" s="872">
        <f>SUMIF('H2 matriz'!$3:$3,$B46,'H2 matriz'!$57:$57)</f>
        <v>1.6</v>
      </c>
      <c r="H47" s="874"/>
      <c r="I47" s="863"/>
      <c r="J47" s="864"/>
      <c r="K47" s="864"/>
      <c r="L47" s="864"/>
      <c r="M47" s="864"/>
      <c r="N47" s="864"/>
      <c r="O47" s="864"/>
      <c r="P47" s="864"/>
      <c r="Q47" s="864"/>
      <c r="R47" s="864"/>
      <c r="S47" s="865"/>
      <c r="T47" s="865"/>
    </row>
    <row r="48" spans="1:21" s="866" customFormat="1">
      <c r="A48" s="622" t="s">
        <v>605</v>
      </c>
      <c r="B48" s="867"/>
      <c r="C48" s="867"/>
      <c r="D48" s="867"/>
      <c r="E48" s="867"/>
      <c r="F48" s="867" t="str">
        <f>IF(LEFT(B46,6)="TRALH2","TRALH2","TRAGH2")</f>
        <v>TRAGH2</v>
      </c>
      <c r="G48" s="868"/>
      <c r="H48" s="875">
        <v>1</v>
      </c>
      <c r="I48" s="869"/>
      <c r="J48" s="870"/>
      <c r="K48" s="870"/>
      <c r="L48" s="870"/>
      <c r="M48" s="870"/>
      <c r="N48" s="870"/>
      <c r="O48" s="870"/>
      <c r="P48" s="870"/>
      <c r="Q48" s="870"/>
      <c r="R48" s="870"/>
      <c r="S48" s="871"/>
      <c r="T48" s="871"/>
    </row>
    <row r="49" spans="2:21" s="653" customFormat="1">
      <c r="B49" s="692" t="str">
        <f>'H2 matriz'!$R$3</f>
        <v>TRAGH2C11</v>
      </c>
      <c r="C49" s="692" t="str">
        <f>'H2 matriz'!$R$2</f>
        <v>Fuel Tech - H2 Delivery from centralized production (COMP+TR100+NH3+RTS+TS+GG)</v>
      </c>
      <c r="D49" s="16" t="s">
        <v>663</v>
      </c>
      <c r="E49" s="692"/>
      <c r="F49" s="633"/>
      <c r="G49" s="796">
        <f>SUMIF('H2 matriz'!$3:$3,$B49,'H2 matriz'!$56:$56)+1</f>
        <v>1.0049999999999999</v>
      </c>
      <c r="H49" s="439"/>
      <c r="I49" s="876">
        <f>IF(D49="SYNH2UG",1,0.98)</f>
        <v>1</v>
      </c>
      <c r="J49" s="796">
        <f>SUMIF('H2 matriz'!$3:$3,$B49,'H2 matriz'!$59:$59)</f>
        <v>29.91217275820626</v>
      </c>
      <c r="K49" s="796">
        <f>SUMIF('H2 matriz'!$3:$3,$B49,'H2 matriz'!$60:$60)</f>
        <v>25.860309969928494</v>
      </c>
      <c r="L49" s="796">
        <f>SUMIF('H2 matriz'!$3:$3,$B49,'H2 matriz'!$61:$61)</f>
        <v>23.019585804183212</v>
      </c>
      <c r="M49" s="796">
        <f>SUMIF('H2 matriz'!$3:$3,$B49,'H2 matriz'!$62:$62)</f>
        <v>1.0335193374163794</v>
      </c>
      <c r="N49" s="796"/>
      <c r="O49" s="796"/>
      <c r="P49" s="676"/>
      <c r="Q49" s="676"/>
      <c r="R49" s="676"/>
      <c r="S49" s="677">
        <v>50</v>
      </c>
      <c r="T49" s="677">
        <f>'INPUT-Data(HD)'!V55</f>
        <v>0</v>
      </c>
      <c r="U49" s="695">
        <v>1</v>
      </c>
    </row>
    <row r="50" spans="2:21" s="653" customFormat="1">
      <c r="B50" s="692"/>
      <c r="C50" s="692"/>
      <c r="D50" s="692" t="s">
        <v>339</v>
      </c>
      <c r="E50" s="692"/>
      <c r="F50" s="692"/>
      <c r="G50" s="796">
        <f>SUMIF('H2 matriz'!$3:$3,$B49,'H2 matriz'!$57:$57)</f>
        <v>1.6</v>
      </c>
      <c r="H50" s="439"/>
      <c r="I50" s="694"/>
      <c r="J50" s="676"/>
      <c r="K50" s="402"/>
      <c r="L50" s="402"/>
      <c r="M50" s="402"/>
      <c r="N50" s="676"/>
      <c r="O50" s="676"/>
      <c r="P50" s="676"/>
      <c r="Q50" s="676"/>
      <c r="R50" s="676"/>
      <c r="S50" s="677"/>
      <c r="T50" s="677"/>
      <c r="U50" s="633"/>
    </row>
    <row r="51" spans="2:21" s="653" customFormat="1">
      <c r="B51" s="692"/>
      <c r="C51" s="692"/>
      <c r="D51" s="692"/>
      <c r="E51" s="692"/>
      <c r="F51" s="697" t="str">
        <f>IF(LEFT(B49,6)="TRALH2","TRALH2","TRAGH2")</f>
        <v>TRAGH2</v>
      </c>
      <c r="G51" s="402"/>
      <c r="H51" s="439">
        <v>1</v>
      </c>
      <c r="I51" s="694"/>
      <c r="J51" s="676"/>
      <c r="K51" s="402"/>
      <c r="L51" s="402"/>
      <c r="M51" s="402"/>
      <c r="N51" s="676"/>
      <c r="O51" s="676"/>
      <c r="P51" s="676"/>
      <c r="Q51" s="676"/>
      <c r="R51" s="676"/>
      <c r="S51" s="677"/>
      <c r="T51" s="677"/>
      <c r="U51" s="633"/>
    </row>
    <row r="52" spans="2:21" s="854" customFormat="1">
      <c r="B52" s="855" t="str">
        <f>'H2 matriz'!$Q$3</f>
        <v>TRAGH2C10</v>
      </c>
      <c r="C52" s="855" t="str">
        <f>'H2 matriz'!$Q$2</f>
        <v>Fuel Tech - H2 Delivery from centralized production (COMP+TR100+CRY+RTS+TRUCK+GG)</v>
      </c>
      <c r="D52" s="837" t="s">
        <v>233</v>
      </c>
      <c r="E52" s="856"/>
      <c r="G52" s="857">
        <f>SUMIF('H2 matriz'!$3:$3,$B52,'H2 matriz'!$56:$56)+1</f>
        <v>1.0049999999999999</v>
      </c>
      <c r="H52" s="873"/>
      <c r="I52" s="877">
        <f>IF(D52="SYNH2UG",1,0.98)</f>
        <v>0.98</v>
      </c>
      <c r="J52" s="857">
        <f>SUMIF('H2 matriz'!$3:$3,$B52,'H2 matriz'!$59:$59)</f>
        <v>28.623481191834252</v>
      </c>
      <c r="K52" s="857">
        <f>SUMIF('H2 matriz'!$3:$3,$B52,'H2 matriz'!$60:$60)</f>
        <v>24.571618403556485</v>
      </c>
      <c r="L52" s="857">
        <f>SUMIF('H2 matriz'!$3:$3,$B52,'H2 matriz'!$61:$61)</f>
        <v>21.730894237811203</v>
      </c>
      <c r="M52" s="857">
        <f>SUMIF('H2 matriz'!$3:$3,$B52,'H2 matriz'!$62:$62)</f>
        <v>0.96249700761563051</v>
      </c>
      <c r="N52" s="857"/>
      <c r="O52" s="857"/>
      <c r="P52" s="858"/>
      <c r="Q52" s="858"/>
      <c r="R52" s="858"/>
      <c r="S52" s="859">
        <v>35</v>
      </c>
      <c r="T52" s="859">
        <f>'INPUT-Data(HD)'!V61</f>
        <v>0</v>
      </c>
      <c r="U52" s="860">
        <v>1</v>
      </c>
    </row>
    <row r="53" spans="2:21" s="861" customFormat="1">
      <c r="B53" s="862"/>
      <c r="C53" s="862"/>
      <c r="D53" s="862" t="s">
        <v>339</v>
      </c>
      <c r="E53" s="862"/>
      <c r="F53" s="862"/>
      <c r="G53" s="872">
        <f>SUMIF('H2 matriz'!$3:$3,$B52,'H2 matriz'!$57:$57)</f>
        <v>1.6</v>
      </c>
      <c r="H53" s="874"/>
      <c r="I53" s="863"/>
      <c r="J53" s="864"/>
      <c r="K53" s="864"/>
      <c r="L53" s="864"/>
      <c r="M53" s="864"/>
      <c r="N53" s="864"/>
      <c r="O53" s="864"/>
      <c r="P53" s="864"/>
      <c r="Q53" s="864"/>
      <c r="R53" s="864"/>
      <c r="S53" s="865"/>
      <c r="T53" s="865"/>
    </row>
    <row r="54" spans="2:21" s="866" customFormat="1">
      <c r="B54" s="867"/>
      <c r="C54" s="867"/>
      <c r="D54" s="867"/>
      <c r="E54" s="867"/>
      <c r="F54" s="867" t="str">
        <f>IF(LEFT(B52,6)="TRALH2","TRALH2","TRAGH2")</f>
        <v>TRAGH2</v>
      </c>
      <c r="G54" s="868"/>
      <c r="H54" s="875">
        <v>1</v>
      </c>
      <c r="I54" s="869"/>
      <c r="J54" s="870"/>
      <c r="K54" s="870"/>
      <c r="L54" s="870"/>
      <c r="M54" s="870"/>
      <c r="N54" s="870"/>
      <c r="O54" s="870"/>
      <c r="P54" s="870"/>
      <c r="Q54" s="870"/>
      <c r="R54" s="870"/>
      <c r="S54" s="871"/>
      <c r="T54" s="871"/>
    </row>
    <row r="55" spans="2:21" s="653" customFormat="1">
      <c r="B55" s="692" t="str">
        <f>'H2 matriz'!$R$3</f>
        <v>TRAGH2C11</v>
      </c>
      <c r="C55" s="692" t="str">
        <f>'H2 matriz'!$R$2</f>
        <v>Fuel Tech - H2 Delivery from centralized production (COMP+TR100+NH3+RTS+TS+GG)</v>
      </c>
      <c r="D55" s="16" t="s">
        <v>663</v>
      </c>
      <c r="E55" s="692"/>
      <c r="F55" s="633"/>
      <c r="G55" s="796">
        <f>SUMIF('H2 matriz'!$3:$3,$B55,'H2 matriz'!$56:$56)+1</f>
        <v>1.0049999999999999</v>
      </c>
      <c r="H55" s="439"/>
      <c r="I55" s="876">
        <f>IF(D55="SYNH2UG",1,0.98)</f>
        <v>1</v>
      </c>
      <c r="J55" s="796">
        <f>SUMIF('H2 matriz'!$3:$3,$B55,'H2 matriz'!$59:$59)</f>
        <v>29.91217275820626</v>
      </c>
      <c r="K55" s="796">
        <f>SUMIF('H2 matriz'!$3:$3,$B55,'H2 matriz'!$60:$60)</f>
        <v>25.860309969928494</v>
      </c>
      <c r="L55" s="796">
        <f>SUMIF('H2 matriz'!$3:$3,$B55,'H2 matriz'!$61:$61)</f>
        <v>23.019585804183212</v>
      </c>
      <c r="M55" s="796">
        <f>SUMIF('H2 matriz'!$3:$3,$B55,'H2 matriz'!$62:$62)</f>
        <v>1.0335193374163794</v>
      </c>
      <c r="N55" s="796"/>
      <c r="O55" s="796"/>
      <c r="P55" s="676"/>
      <c r="Q55" s="676"/>
      <c r="R55" s="676"/>
      <c r="S55" s="677">
        <v>35</v>
      </c>
      <c r="T55" s="677">
        <v>2015</v>
      </c>
      <c r="U55" s="695">
        <v>1</v>
      </c>
    </row>
    <row r="56" spans="2:21" s="653" customFormat="1">
      <c r="B56" s="692"/>
      <c r="C56" s="692"/>
      <c r="D56" s="692" t="s">
        <v>339</v>
      </c>
      <c r="E56" s="692"/>
      <c r="F56" s="692"/>
      <c r="G56" s="796">
        <f>SUMIF('H2 matriz'!$3:$3,$B55,'H2 matriz'!$57:$57)</f>
        <v>1.6</v>
      </c>
      <c r="H56" s="439"/>
      <c r="I56" s="694"/>
      <c r="J56" s="676"/>
      <c r="K56" s="402"/>
      <c r="L56" s="402"/>
      <c r="M56" s="402"/>
      <c r="N56" s="676"/>
      <c r="O56" s="676"/>
      <c r="P56" s="676"/>
      <c r="Q56" s="676"/>
      <c r="R56" s="676"/>
      <c r="S56" s="677"/>
      <c r="T56" s="677"/>
      <c r="U56" s="633"/>
    </row>
    <row r="57" spans="2:21" s="653" customFormat="1">
      <c r="B57" s="692"/>
      <c r="C57" s="692"/>
      <c r="D57" s="692"/>
      <c r="E57" s="692"/>
      <c r="F57" s="697" t="str">
        <f>IF(LEFT(B55,6)="TRALH2","TRALH2","TRAGH2")</f>
        <v>TRAGH2</v>
      </c>
      <c r="G57" s="402"/>
      <c r="H57" s="439">
        <v>1</v>
      </c>
      <c r="I57" s="694"/>
      <c r="J57" s="676"/>
      <c r="K57" s="402"/>
      <c r="L57" s="402"/>
      <c r="M57" s="402"/>
      <c r="N57" s="676"/>
      <c r="O57" s="676"/>
      <c r="P57" s="676"/>
      <c r="Q57" s="676"/>
      <c r="R57" s="676"/>
      <c r="S57" s="677"/>
      <c r="T57" s="677"/>
      <c r="U57" s="633"/>
    </row>
    <row r="58" spans="2:21" s="854" customFormat="1">
      <c r="B58" s="855" t="str">
        <f>'H2 matriz'!$S$3</f>
        <v>TRAGH2C12</v>
      </c>
      <c r="C58" s="855" t="str">
        <f>'H2 matriz'!$S$2</f>
        <v>Fuel Tech - H2 Delivery from centralized production (COMP+TR100+NH3+RTS+TRUCK+GG)</v>
      </c>
      <c r="D58" s="837" t="s">
        <v>233</v>
      </c>
      <c r="E58" s="856"/>
      <c r="G58" s="857">
        <f>SUMIF('H2 matriz'!$3:$3,$B58,'H2 matriz'!$56:$56)+1</f>
        <v>1.0049999999999999</v>
      </c>
      <c r="H58" s="873"/>
      <c r="I58" s="877">
        <f>IF(D58="SYNH2UG",1,0.98)</f>
        <v>0.98</v>
      </c>
      <c r="J58" s="857">
        <f>SUMIF('H2 matriz'!$3:$3,$B58,'H2 matriz'!$59:$59)</f>
        <v>28.623481191834252</v>
      </c>
      <c r="K58" s="857">
        <f>SUMIF('H2 matriz'!$3:$3,$B58,'H2 matriz'!$60:$60)</f>
        <v>24.571618403556485</v>
      </c>
      <c r="L58" s="857">
        <f>SUMIF('H2 matriz'!$3:$3,$B58,'H2 matriz'!$61:$61)</f>
        <v>21.730894237811203</v>
      </c>
      <c r="M58" s="857">
        <f>SUMIF('H2 matriz'!$3:$3,$B58,'H2 matriz'!$62:$62)</f>
        <v>0.96249700761563051</v>
      </c>
      <c r="N58" s="857"/>
      <c r="O58" s="857"/>
      <c r="P58" s="858"/>
      <c r="Q58" s="858"/>
      <c r="R58" s="858"/>
      <c r="S58" s="859">
        <v>35</v>
      </c>
      <c r="T58" s="859">
        <v>2015</v>
      </c>
      <c r="U58" s="860">
        <v>1</v>
      </c>
    </row>
    <row r="59" spans="2:21" s="861" customFormat="1">
      <c r="B59" s="862"/>
      <c r="C59" s="862"/>
      <c r="D59" s="862" t="s">
        <v>339</v>
      </c>
      <c r="E59" s="862"/>
      <c r="F59" s="862"/>
      <c r="G59" s="872">
        <f>SUMIF('H2 matriz'!$3:$3,$B58,'H2 matriz'!$57:$57)</f>
        <v>1.6</v>
      </c>
      <c r="H59" s="874"/>
      <c r="I59" s="863"/>
      <c r="J59" s="864"/>
      <c r="K59" s="864"/>
      <c r="L59" s="864"/>
      <c r="M59" s="864"/>
      <c r="N59" s="864"/>
      <c r="O59" s="864"/>
      <c r="P59" s="864"/>
      <c r="Q59" s="864"/>
      <c r="R59" s="864"/>
      <c r="S59" s="865"/>
      <c r="T59" s="865"/>
    </row>
    <row r="60" spans="2:21" s="866" customFormat="1">
      <c r="B60" s="867"/>
      <c r="C60" s="867"/>
      <c r="D60" s="867"/>
      <c r="E60" s="867"/>
      <c r="F60" s="867" t="str">
        <f>IF(LEFT(B58,6)="TRALH2","TRALH2","TRAGH2")</f>
        <v>TRAGH2</v>
      </c>
      <c r="G60" s="868"/>
      <c r="H60" s="875">
        <v>1</v>
      </c>
      <c r="I60" s="869"/>
      <c r="J60" s="870"/>
      <c r="K60" s="870"/>
      <c r="L60" s="870"/>
      <c r="M60" s="870"/>
      <c r="N60" s="870"/>
      <c r="O60" s="870"/>
      <c r="P60" s="870"/>
      <c r="Q60" s="870"/>
      <c r="R60" s="870"/>
      <c r="S60" s="871"/>
      <c r="T60" s="871"/>
    </row>
    <row r="61" spans="2:21" s="653" customFormat="1">
      <c r="B61" s="692" t="str">
        <f>'H2 matriz'!$T$3</f>
        <v>TRALH2D01</v>
      </c>
      <c r="C61" s="692" t="str">
        <f>'H2 matriz'!$T$2</f>
        <v>Fuel Tech - H2 Delivery from decentralized production (COMP+RTS+LIQ+LIQST+LL)</v>
      </c>
      <c r="D61" s="16" t="s">
        <v>663</v>
      </c>
      <c r="E61" s="692"/>
      <c r="F61" s="633"/>
      <c r="G61" s="796">
        <f>SUMIF('H2 matriz'!$3:$3,$B61,'H2 matriz'!$56:$56)+1</f>
        <v>1.03</v>
      </c>
      <c r="H61" s="439"/>
      <c r="I61" s="876">
        <f>IF(D61="SYNH2UG",1,0.98)</f>
        <v>1</v>
      </c>
      <c r="J61" s="796">
        <f>SUMIF('H2 matriz'!$3:$3,$B61,'H2 matriz'!$59:$59)</f>
        <v>21.76857748470885</v>
      </c>
      <c r="K61" s="796">
        <f>SUMIF('H2 matriz'!$3:$3,$B61,'H2 matriz'!$60:$60)</f>
        <v>21.057917586761189</v>
      </c>
      <c r="L61" s="796">
        <f>SUMIF('H2 matriz'!$3:$3,$B61,'H2 matriz'!$61:$61)</f>
        <v>20.556902358708086</v>
      </c>
      <c r="M61" s="796">
        <f>SUMIF('H2 matriz'!$3:$3,$B61,'H2 matriz'!$62:$62)</f>
        <v>1.1957711301037859</v>
      </c>
      <c r="N61" s="796"/>
      <c r="O61" s="796"/>
      <c r="P61" s="676"/>
      <c r="Q61" s="676"/>
      <c r="R61" s="676"/>
      <c r="S61" s="677">
        <v>35</v>
      </c>
      <c r="T61" s="677">
        <v>2015</v>
      </c>
      <c r="U61" s="695">
        <v>1</v>
      </c>
    </row>
    <row r="62" spans="2:21" s="653" customFormat="1">
      <c r="B62" s="692"/>
      <c r="C62" s="692"/>
      <c r="D62" s="692" t="s">
        <v>339</v>
      </c>
      <c r="E62" s="692"/>
      <c r="F62" s="692"/>
      <c r="G62" s="796">
        <f>SUMIF('H2 matriz'!$3:$3,$B61,'H2 matriz'!$57:$57)</f>
        <v>1.05</v>
      </c>
      <c r="H62" s="439"/>
      <c r="I62" s="694"/>
      <c r="J62" s="676"/>
      <c r="K62" s="402"/>
      <c r="L62" s="402"/>
      <c r="M62" s="402"/>
      <c r="N62" s="676"/>
      <c r="O62" s="676"/>
      <c r="P62" s="676"/>
      <c r="Q62" s="676"/>
      <c r="R62" s="676"/>
      <c r="S62" s="677"/>
      <c r="T62" s="677"/>
      <c r="U62" s="633"/>
    </row>
    <row r="63" spans="2:21" s="653" customFormat="1">
      <c r="B63" s="692"/>
      <c r="C63" s="692"/>
      <c r="D63" s="692"/>
      <c r="E63" s="692"/>
      <c r="F63" s="697" t="str">
        <f>IF(LEFT(B61,6)="TRALH2","TRALH2","TRAGH2")</f>
        <v>TRALH2</v>
      </c>
      <c r="G63" s="402"/>
      <c r="H63" s="439">
        <v>1</v>
      </c>
      <c r="I63" s="694"/>
      <c r="J63" s="676"/>
      <c r="K63" s="402"/>
      <c r="L63" s="402"/>
      <c r="M63" s="402"/>
      <c r="N63" s="676"/>
      <c r="O63" s="676"/>
      <c r="P63" s="676"/>
      <c r="Q63" s="676"/>
      <c r="R63" s="676"/>
      <c r="S63" s="677"/>
      <c r="T63" s="677"/>
      <c r="U63" s="633"/>
    </row>
    <row r="64" spans="2:21" s="854" customFormat="1">
      <c r="B64" s="855" t="str">
        <f>'H2 matriz'!$U$3</f>
        <v>TRALH2D02</v>
      </c>
      <c r="C64" s="855" t="str">
        <f>'H2 matriz'!$U$2</f>
        <v>Fuel Tech - H2 Delivery from decentralized production (COMP+RTS+LIQ+LIQST+LG)</v>
      </c>
      <c r="D64" s="837" t="s">
        <v>233</v>
      </c>
      <c r="E64" s="856"/>
      <c r="G64" s="857">
        <f>SUMIF('H2 matriz'!$3:$3,$B64,'H2 matriz'!$56:$56)+1</f>
        <v>1.03</v>
      </c>
      <c r="H64" s="873"/>
      <c r="I64" s="877">
        <f>IF(D64="SYNH2UG",1,0.98)</f>
        <v>0.98</v>
      </c>
      <c r="J64" s="857">
        <f>SUMIF('H2 matriz'!$3:$3,$B64,'H2 matriz'!$59:$59)</f>
        <v>29.401726434579526</v>
      </c>
      <c r="K64" s="857">
        <f>SUMIF('H2 matriz'!$3:$3,$B64,'H2 matriz'!$60:$60)</f>
        <v>26.439287596420016</v>
      </c>
      <c r="L64" s="857">
        <f>SUMIF('H2 matriz'!$3:$3,$B64,'H2 matriz'!$61:$61)</f>
        <v>24.350768215517558</v>
      </c>
      <c r="M64" s="857">
        <f>SUMIF('H2 matriz'!$3:$3,$B64,'H2 matriz'!$62:$62)</f>
        <v>1.5774285775973196</v>
      </c>
      <c r="N64" s="857"/>
      <c r="O64" s="857"/>
      <c r="P64" s="858"/>
      <c r="Q64" s="858"/>
      <c r="R64" s="858"/>
      <c r="S64" s="859">
        <v>35</v>
      </c>
      <c r="T64" s="859">
        <v>2015</v>
      </c>
      <c r="U64" s="860">
        <v>1</v>
      </c>
    </row>
    <row r="65" spans="1:21" s="861" customFormat="1">
      <c r="B65" s="862"/>
      <c r="C65" s="862"/>
      <c r="D65" s="862" t="s">
        <v>339</v>
      </c>
      <c r="E65" s="862"/>
      <c r="F65" s="862"/>
      <c r="G65" s="872">
        <f>SUMIF('H2 matriz'!$3:$3,$B64,'H2 matriz'!$57:$57)</f>
        <v>1.05</v>
      </c>
      <c r="H65" s="874"/>
      <c r="I65" s="863"/>
      <c r="J65" s="864"/>
      <c r="K65" s="864"/>
      <c r="L65" s="864"/>
      <c r="M65" s="864"/>
      <c r="N65" s="864"/>
      <c r="O65" s="864"/>
      <c r="P65" s="864"/>
      <c r="Q65" s="864"/>
      <c r="R65" s="864"/>
      <c r="S65" s="865"/>
      <c r="T65" s="865"/>
    </row>
    <row r="66" spans="1:21" s="866" customFormat="1">
      <c r="B66" s="867"/>
      <c r="C66" s="867"/>
      <c r="D66" s="867"/>
      <c r="E66" s="867"/>
      <c r="F66" s="867" t="str">
        <f>IF(LEFT(B64,6)="TRALH2","TRALH2","TRAGH2")</f>
        <v>TRALH2</v>
      </c>
      <c r="G66" s="868"/>
      <c r="H66" s="875">
        <v>1</v>
      </c>
      <c r="I66" s="869"/>
      <c r="J66" s="870"/>
      <c r="K66" s="870"/>
      <c r="L66" s="870"/>
      <c r="M66" s="870"/>
      <c r="N66" s="870"/>
      <c r="O66" s="870"/>
      <c r="P66" s="870"/>
      <c r="Q66" s="870"/>
      <c r="R66" s="870"/>
      <c r="S66" s="871"/>
      <c r="T66" s="871"/>
    </row>
    <row r="67" spans="1:21" s="653" customFormat="1">
      <c r="B67" s="692" t="str">
        <f>'H2 matriz'!$V$3</f>
        <v>TRAGH2D01</v>
      </c>
      <c r="C67" s="692" t="str">
        <f>'H2 matriz'!$V$2</f>
        <v>Fuel Tech - H2 Delivery from decentralized production (COMP+RTS+LIQ+TS+GG)</v>
      </c>
      <c r="D67" s="16" t="s">
        <v>232</v>
      </c>
      <c r="E67" s="692"/>
      <c r="F67" s="633"/>
      <c r="G67" s="796">
        <f>SUMIF('H2 matriz'!$3:$3,$B67,'H2 matriz'!$56:$56)+1</f>
        <v>1.0049999999999999</v>
      </c>
      <c r="H67" s="439"/>
      <c r="I67" s="876">
        <f>IF(D67="SYNH2UG",1,0.98)</f>
        <v>0.98</v>
      </c>
      <c r="J67" s="796">
        <f>SUMIF('H2 matriz'!$3:$3,$B67,'H2 matriz'!$59:$59)</f>
        <v>29.91217275820626</v>
      </c>
      <c r="K67" s="796">
        <f>SUMIF('H2 matriz'!$3:$3,$B67,'H2 matriz'!$60:$60)</f>
        <v>25.860309969928494</v>
      </c>
      <c r="L67" s="796">
        <f>SUMIF('H2 matriz'!$3:$3,$B67,'H2 matriz'!$61:$61)</f>
        <v>23.019585804183212</v>
      </c>
      <c r="M67" s="796">
        <f>SUMIF('H2 matriz'!$3:$3,$B67,'H2 matriz'!$62:$62)</f>
        <v>1.0335193374163794</v>
      </c>
      <c r="N67" s="796"/>
      <c r="O67" s="796"/>
      <c r="P67" s="676"/>
      <c r="Q67" s="676"/>
      <c r="R67" s="676"/>
      <c r="S67" s="677">
        <v>35</v>
      </c>
      <c r="T67" s="677">
        <v>2015</v>
      </c>
      <c r="U67" s="695">
        <v>1</v>
      </c>
    </row>
    <row r="68" spans="1:21" s="653" customFormat="1">
      <c r="B68" s="692"/>
      <c r="C68" s="692"/>
      <c r="D68" s="692" t="s">
        <v>339</v>
      </c>
      <c r="E68" s="692"/>
      <c r="F68" s="692"/>
      <c r="G68" s="796">
        <f>SUMIF('H2 matriz'!$3:$3,$B67,'H2 matriz'!$57:$57)</f>
        <v>1.6</v>
      </c>
      <c r="H68" s="439"/>
      <c r="I68" s="694"/>
      <c r="J68" s="676"/>
      <c r="K68" s="402"/>
      <c r="L68" s="402"/>
      <c r="M68" s="402"/>
      <c r="N68" s="676"/>
      <c r="O68" s="676"/>
      <c r="P68" s="676"/>
      <c r="Q68" s="676"/>
      <c r="R68" s="676"/>
      <c r="S68" s="677"/>
      <c r="T68" s="677"/>
      <c r="U68" s="633"/>
    </row>
    <row r="69" spans="1:21" s="653" customFormat="1">
      <c r="B69" s="692"/>
      <c r="C69" s="692"/>
      <c r="D69" s="692"/>
      <c r="E69" s="692"/>
      <c r="F69" s="697" t="str">
        <f>IF(LEFT(B67,6)="TRALH2","TRALH2","TRAGH2")</f>
        <v>TRAGH2</v>
      </c>
      <c r="G69" s="402"/>
      <c r="H69" s="439">
        <v>1</v>
      </c>
      <c r="I69" s="694"/>
      <c r="J69" s="676"/>
      <c r="K69" s="402"/>
      <c r="L69" s="402"/>
      <c r="M69" s="402"/>
      <c r="N69" s="676"/>
      <c r="O69" s="676"/>
      <c r="P69" s="676"/>
      <c r="Q69" s="676"/>
      <c r="R69" s="676"/>
      <c r="S69" s="677"/>
      <c r="T69" s="677"/>
      <c r="U69" s="633"/>
    </row>
    <row r="70" spans="1:21" s="854" customFormat="1">
      <c r="B70" s="855" t="str">
        <f>'H2 matriz'!$W$3</f>
        <v>TRAGH2D02</v>
      </c>
      <c r="C70" s="855" t="str">
        <f>'H2 matriz'!$W$2</f>
        <v>Fuel Tech - H2 Delivery from decentralized production (COMP+RTS+LIQ+TRUC+GG)</v>
      </c>
      <c r="D70" s="837" t="s">
        <v>232</v>
      </c>
      <c r="E70" s="856"/>
      <c r="G70" s="857">
        <f>SUMIF('H2 matriz'!$3:$3,$B70,'H2 matriz'!$56:$56)+1</f>
        <v>1.0049999999999999</v>
      </c>
      <c r="H70" s="873"/>
      <c r="I70" s="877">
        <f>IF(D70="SYNH2UG",1,0.98)</f>
        <v>0.98</v>
      </c>
      <c r="J70" s="857">
        <f>SUMIF('H2 matriz'!$3:$3,$B70,'H2 matriz'!$59:$59)</f>
        <v>28.623481191834252</v>
      </c>
      <c r="K70" s="857">
        <f>SUMIF('H2 matriz'!$3:$3,$B70,'H2 matriz'!$60:$60)</f>
        <v>24.571618403556485</v>
      </c>
      <c r="L70" s="857">
        <f>SUMIF('H2 matriz'!$3:$3,$B70,'H2 matriz'!$61:$61)</f>
        <v>21.730894237811203</v>
      </c>
      <c r="M70" s="857">
        <f>SUMIF('H2 matriz'!$3:$3,$B70,'H2 matriz'!$62:$62)</f>
        <v>0.96249700761563051</v>
      </c>
      <c r="N70" s="857"/>
      <c r="O70" s="857"/>
      <c r="P70" s="858"/>
      <c r="Q70" s="858"/>
      <c r="R70" s="858"/>
      <c r="S70" s="859">
        <v>35</v>
      </c>
      <c r="T70" s="859">
        <v>2015</v>
      </c>
      <c r="U70" s="860">
        <v>1</v>
      </c>
    </row>
    <row r="71" spans="1:21" s="861" customFormat="1">
      <c r="B71" s="862"/>
      <c r="C71" s="862"/>
      <c r="D71" s="862" t="s">
        <v>339</v>
      </c>
      <c r="E71" s="862"/>
      <c r="F71" s="862"/>
      <c r="G71" s="872">
        <f>SUMIF('H2 matriz'!$3:$3,$B70,'H2 matriz'!$57:$57)</f>
        <v>1.6</v>
      </c>
      <c r="H71" s="874"/>
      <c r="I71" s="863"/>
      <c r="J71" s="864"/>
      <c r="K71" s="864"/>
      <c r="L71" s="864"/>
      <c r="M71" s="864"/>
      <c r="N71" s="864"/>
      <c r="O71" s="864"/>
      <c r="P71" s="864"/>
      <c r="Q71" s="864"/>
      <c r="R71" s="864"/>
      <c r="S71" s="865"/>
      <c r="T71" s="865"/>
    </row>
    <row r="72" spans="1:21" s="866" customFormat="1">
      <c r="B72" s="867"/>
      <c r="C72" s="867"/>
      <c r="D72" s="867"/>
      <c r="E72" s="867"/>
      <c r="F72" s="867" t="str">
        <f>IF(LEFT(B70,6)="TRALH2","TRALH2","TRAGH2")</f>
        <v>TRAGH2</v>
      </c>
      <c r="G72" s="868"/>
      <c r="H72" s="875">
        <v>1</v>
      </c>
      <c r="I72" s="869"/>
      <c r="J72" s="870"/>
      <c r="K72" s="870"/>
      <c r="L72" s="870"/>
      <c r="M72" s="870"/>
      <c r="N72" s="870"/>
      <c r="O72" s="870"/>
      <c r="P72" s="870"/>
      <c r="Q72" s="870"/>
      <c r="R72" s="870"/>
      <c r="S72" s="871"/>
      <c r="T72" s="871"/>
    </row>
    <row r="73" spans="1:21" s="653" customFormat="1">
      <c r="B73" s="692" t="str">
        <f>'H2 matriz'!$X$3</f>
        <v>TRALH2C05</v>
      </c>
      <c r="C73" s="692" t="str">
        <f>'H2 matriz'!$X$2</f>
        <v>Fuel Tech - H2 Delivery from centralized production (COMP+TR100+USTOR+RCRY+LIQ+LL)</v>
      </c>
      <c r="D73" s="16" t="s">
        <v>232</v>
      </c>
      <c r="E73" s="692"/>
      <c r="F73" s="633"/>
      <c r="G73" s="796">
        <f>SUMIF('H2 matriz'!$3:$3,$B73,'H2 matriz'!$56:$56)+1</f>
        <v>1.03</v>
      </c>
      <c r="H73" s="439"/>
      <c r="I73" s="876">
        <f>IF(D73="SYNH2UG",1,0.98)</f>
        <v>0.98</v>
      </c>
      <c r="J73" s="796">
        <f>SUMIF('H2 matriz'!$3:$3,$B73,'H2 matriz'!$59:$59)</f>
        <v>21.299065621620556</v>
      </c>
      <c r="K73" s="796">
        <f>SUMIF('H2 matriz'!$3:$3,$B73,'H2 matriz'!$60:$60)</f>
        <v>20.588405723672896</v>
      </c>
      <c r="L73" s="796">
        <f>SUMIF('H2 matriz'!$3:$3,$B73,'H2 matriz'!$61:$61)</f>
        <v>20.087390495619793</v>
      </c>
      <c r="M73" s="796">
        <f>SUMIF('H2 matriz'!$3:$3,$B73,'H2 matriz'!$62:$62)</f>
        <v>1.2242180253379589</v>
      </c>
      <c r="N73" s="796"/>
      <c r="O73" s="796"/>
      <c r="P73" s="676"/>
      <c r="Q73" s="676"/>
      <c r="R73" s="676"/>
      <c r="S73" s="677">
        <v>50</v>
      </c>
      <c r="T73" s="677">
        <f>'INPUT-Data(HD)'!V85</f>
        <v>0</v>
      </c>
      <c r="U73" s="695">
        <v>1</v>
      </c>
    </row>
    <row r="74" spans="1:21" s="653" customFormat="1">
      <c r="B74" s="692"/>
      <c r="C74" s="692"/>
      <c r="D74" s="692" t="s">
        <v>339</v>
      </c>
      <c r="E74" s="692"/>
      <c r="F74" s="692"/>
      <c r="G74" s="796">
        <f>SUMIF('H2 matriz'!$3:$3,$B73,'H2 matriz'!$57:$57)</f>
        <v>1.083</v>
      </c>
      <c r="H74" s="439"/>
      <c r="I74" s="694"/>
      <c r="J74" s="676"/>
      <c r="K74" s="402"/>
      <c r="L74" s="402"/>
      <c r="M74" s="402"/>
      <c r="N74" s="676"/>
      <c r="O74" s="676"/>
      <c r="P74" s="676"/>
      <c r="Q74" s="676"/>
      <c r="R74" s="676"/>
      <c r="S74" s="677"/>
      <c r="T74" s="677"/>
      <c r="U74" s="633"/>
    </row>
    <row r="75" spans="1:21" s="653" customFormat="1">
      <c r="B75" s="692"/>
      <c r="C75" s="692"/>
      <c r="D75" s="692"/>
      <c r="E75" s="692"/>
      <c r="F75" s="697" t="str">
        <f>IF(LEFT(B73,6)="TRALH2","TRALH2","TRAGH2")</f>
        <v>TRALH2</v>
      </c>
      <c r="G75" s="402"/>
      <c r="H75" s="439">
        <v>1</v>
      </c>
      <c r="I75" s="694"/>
      <c r="J75" s="676"/>
      <c r="K75" s="402"/>
      <c r="L75" s="402"/>
      <c r="M75" s="402"/>
      <c r="N75" s="676"/>
      <c r="O75" s="676"/>
      <c r="P75" s="676"/>
      <c r="Q75" s="676"/>
      <c r="R75" s="676"/>
      <c r="S75" s="677"/>
      <c r="T75" s="677"/>
      <c r="U75" s="633"/>
    </row>
    <row r="76" spans="1:21" s="854" customFormat="1">
      <c r="B76" s="855" t="str">
        <f>'H2 matriz'!$Y$3</f>
        <v>TRAGH2C013</v>
      </c>
      <c r="C76" s="855" t="str">
        <f>'H2 matriz'!$Y$2</f>
        <v>Fuel Tech - H2 Delivery from centralized production (COMP+TR100+USTOR+RCRY+LIQ+LG)</v>
      </c>
      <c r="D76" s="837" t="s">
        <v>232</v>
      </c>
      <c r="E76" s="856"/>
      <c r="G76" s="857">
        <f>SUMIF('H2 matriz'!$3:$3,$B76,'H2 matriz'!$56:$56)+1</f>
        <v>1.03</v>
      </c>
      <c r="H76" s="873"/>
      <c r="I76" s="877">
        <f>IF(D76="SYNH2UG",1,0.98)</f>
        <v>0.98</v>
      </c>
      <c r="J76" s="857">
        <f>SUMIF('H2 matriz'!$3:$3,$B76,'H2 matriz'!$59:$59)</f>
        <v>28.932214571491233</v>
      </c>
      <c r="K76" s="857">
        <f>SUMIF('H2 matriz'!$3:$3,$B76,'H2 matriz'!$60:$60)</f>
        <v>25.969775733331723</v>
      </c>
      <c r="L76" s="857">
        <f>SUMIF('H2 matriz'!$3:$3,$B76,'H2 matriz'!$61:$61)</f>
        <v>23.881256352429265</v>
      </c>
      <c r="M76" s="857">
        <f>SUMIF('H2 matriz'!$3:$3,$B76,'H2 matriz'!$62:$62)</f>
        <v>1.6058754728314928</v>
      </c>
      <c r="N76" s="857"/>
      <c r="O76" s="857"/>
      <c r="P76" s="858"/>
      <c r="Q76" s="858"/>
      <c r="R76" s="858"/>
      <c r="S76" s="859">
        <v>50</v>
      </c>
      <c r="T76" s="859">
        <f>'INPUT-Data(HD)'!V88</f>
        <v>0</v>
      </c>
      <c r="U76" s="860">
        <v>1</v>
      </c>
    </row>
    <row r="77" spans="1:21" s="861" customFormat="1">
      <c r="B77" s="862"/>
      <c r="C77" s="862"/>
      <c r="D77" s="862" t="s">
        <v>339</v>
      </c>
      <c r="E77" s="862"/>
      <c r="F77" s="862"/>
      <c r="G77" s="872">
        <f>SUMIF('H2 matriz'!$3:$3,$B76,'H2 matriz'!$57:$57)</f>
        <v>1.083</v>
      </c>
      <c r="H77" s="874"/>
      <c r="I77" s="863"/>
      <c r="J77" s="864"/>
      <c r="K77" s="864"/>
      <c r="L77" s="864"/>
      <c r="M77" s="864"/>
      <c r="N77" s="864"/>
      <c r="O77" s="864"/>
      <c r="P77" s="864"/>
      <c r="Q77" s="864"/>
      <c r="R77" s="864"/>
      <c r="S77" s="865"/>
      <c r="T77" s="865"/>
    </row>
    <row r="78" spans="1:21" s="866" customFormat="1">
      <c r="B78" s="867"/>
      <c r="C78" s="867"/>
      <c r="D78" s="867"/>
      <c r="E78" s="867"/>
      <c r="F78" s="867" t="str">
        <f>IF(LEFT(B76,6)="TRALH2","TRALH2","TRAGH2")</f>
        <v>TRAGH2</v>
      </c>
      <c r="G78" s="868"/>
      <c r="H78" s="875">
        <v>1</v>
      </c>
      <c r="I78" s="869"/>
      <c r="J78" s="870"/>
      <c r="K78" s="870"/>
      <c r="L78" s="870"/>
      <c r="M78" s="870"/>
      <c r="N78" s="870"/>
      <c r="O78" s="870"/>
      <c r="P78" s="870"/>
      <c r="Q78" s="870"/>
      <c r="R78" s="870"/>
      <c r="S78" s="871"/>
      <c r="T78" s="871"/>
    </row>
    <row r="79" spans="1:21" s="653" customFormat="1">
      <c r="A79" s="622" t="s">
        <v>605</v>
      </c>
      <c r="B79" s="928" t="str">
        <f>'H2 matriz'!$Z$3</f>
        <v>TRALH2C06</v>
      </c>
      <c r="C79" s="928" t="str">
        <f>'H2 matriz'!$Z$2</f>
        <v>Fuel Tech - H2 Delivery from centralized production (COMP+TR+COMP+RCRY+LIQ+LL)</v>
      </c>
      <c r="D79" s="16" t="s">
        <v>663</v>
      </c>
      <c r="E79" s="692"/>
      <c r="F79" s="633"/>
      <c r="G79" s="796">
        <f>SUMIF('H2 matriz'!$3:$3,$B79,'H2 matriz'!$56:$56)+1</f>
        <v>1.03</v>
      </c>
      <c r="H79" s="439"/>
      <c r="I79" s="876">
        <f>IF(D79="SYNH2UG",1,0.98)</f>
        <v>1</v>
      </c>
      <c r="J79" s="796">
        <f>SUMIF('H2 matriz'!$3:$3,$B79,'H2 matriz'!$59:$59)</f>
        <v>20.477419861216049</v>
      </c>
      <c r="K79" s="796">
        <f>SUMIF('H2 matriz'!$3:$3,$B79,'H2 matriz'!$60:$60)</f>
        <v>19.766759963268385</v>
      </c>
      <c r="L79" s="796">
        <f>SUMIF('H2 matriz'!$3:$3,$B79,'H2 matriz'!$61:$61)</f>
        <v>19.265744735215282</v>
      </c>
      <c r="M79" s="796">
        <f>SUMIF('H2 matriz'!$3:$3,$B79,'H2 matriz'!$62:$62)</f>
        <v>1.1913521949217782</v>
      </c>
      <c r="N79" s="796"/>
      <c r="O79" s="796"/>
      <c r="P79" s="676"/>
      <c r="Q79" s="676"/>
      <c r="R79" s="676"/>
      <c r="S79" s="677">
        <v>50</v>
      </c>
      <c r="T79" s="677">
        <f>'INPUT-Data(HD)'!V85</f>
        <v>0</v>
      </c>
      <c r="U79" s="695">
        <v>1</v>
      </c>
    </row>
    <row r="80" spans="1:21" s="653" customFormat="1">
      <c r="A80" s="622" t="s">
        <v>605</v>
      </c>
      <c r="B80" s="692"/>
      <c r="C80" s="692"/>
      <c r="D80" s="692" t="s">
        <v>339</v>
      </c>
      <c r="E80" s="692"/>
      <c r="F80" s="692"/>
      <c r="G80" s="796">
        <f>SUMIF('H2 matriz'!$3:$3,$B79,'H2 matriz'!$57:$57)</f>
        <v>1.05</v>
      </c>
      <c r="H80" s="439"/>
      <c r="I80" s="694"/>
      <c r="J80" s="676"/>
      <c r="K80" s="402"/>
      <c r="L80" s="402"/>
      <c r="M80" s="402"/>
      <c r="N80" s="676"/>
      <c r="O80" s="676"/>
      <c r="P80" s="676"/>
      <c r="Q80" s="676"/>
      <c r="R80" s="676"/>
      <c r="S80" s="677"/>
      <c r="T80" s="677"/>
      <c r="U80" s="633"/>
    </row>
    <row r="81" spans="1:21" s="653" customFormat="1">
      <c r="A81" s="622" t="s">
        <v>605</v>
      </c>
      <c r="B81" s="692"/>
      <c r="C81" s="692"/>
      <c r="D81" s="692"/>
      <c r="E81" s="692"/>
      <c r="F81" s="697" t="str">
        <f>IF(LEFT(B79,6)="TRALH2","TRALH2","TRAGH2")</f>
        <v>TRALH2</v>
      </c>
      <c r="G81" s="402"/>
      <c r="H81" s="439">
        <v>1</v>
      </c>
      <c r="I81" s="694"/>
      <c r="J81" s="676"/>
      <c r="K81" s="402"/>
      <c r="L81" s="402"/>
      <c r="M81" s="402"/>
      <c r="N81" s="676"/>
      <c r="O81" s="676"/>
      <c r="P81" s="676"/>
      <c r="Q81" s="676"/>
      <c r="R81" s="676"/>
      <c r="S81" s="677"/>
      <c r="T81" s="677"/>
      <c r="U81" s="633"/>
    </row>
    <row r="82" spans="1:21" s="854" customFormat="1">
      <c r="A82" s="622" t="s">
        <v>605</v>
      </c>
      <c r="B82" s="855" t="str">
        <f>'H2 matriz'!$AA$3</f>
        <v>TRAGH2C014</v>
      </c>
      <c r="C82" s="855" t="str">
        <f>'H2 matriz'!$AA$2</f>
        <v>Fuel Tech - H2 Delivery from centralized production (COMP++TR+COMP+RCRY+LIQ+LG)</v>
      </c>
      <c r="D82" s="837" t="s">
        <v>233</v>
      </c>
      <c r="E82" s="856"/>
      <c r="G82" s="857">
        <f>SUMIF('H2 matriz'!$3:$3,$B82,'H2 matriz'!$56:$56)+1</f>
        <v>1.03</v>
      </c>
      <c r="H82" s="873"/>
      <c r="I82" s="877">
        <f>IF(D82="SYNH2UG",1,0.98)</f>
        <v>0.98</v>
      </c>
      <c r="J82" s="857">
        <f>SUMIF('H2 matriz'!$3:$3,$B82,'H2 matriz'!$59:$59)</f>
        <v>28.110568811086722</v>
      </c>
      <c r="K82" s="857">
        <f>SUMIF('H2 matriz'!$3:$3,$B82,'H2 matriz'!$60:$60)</f>
        <v>25.148129972927212</v>
      </c>
      <c r="L82" s="857">
        <f>SUMIF('H2 matriz'!$3:$3,$B82,'H2 matriz'!$61:$61)</f>
        <v>23.059610592024754</v>
      </c>
      <c r="M82" s="857">
        <f>SUMIF('H2 matriz'!$3:$3,$B82,'H2 matriz'!$62:$62)</f>
        <v>1.5730096424153119</v>
      </c>
      <c r="N82" s="857"/>
      <c r="O82" s="857"/>
      <c r="P82" s="858"/>
      <c r="Q82" s="858"/>
      <c r="R82" s="858"/>
      <c r="S82" s="859">
        <v>35</v>
      </c>
      <c r="T82" s="859">
        <f>'INPUT-Data(HD)'!V91</f>
        <v>0</v>
      </c>
      <c r="U82" s="860">
        <v>1</v>
      </c>
    </row>
    <row r="83" spans="1:21" s="861" customFormat="1">
      <c r="A83" s="622" t="s">
        <v>605</v>
      </c>
      <c r="B83" s="862"/>
      <c r="C83" s="862"/>
      <c r="D83" s="862" t="s">
        <v>339</v>
      </c>
      <c r="E83" s="862"/>
      <c r="F83" s="862"/>
      <c r="G83" s="872">
        <f>SUMIF('H2 matriz'!$3:$3,$B82,'H2 matriz'!$57:$57)</f>
        <v>1.05</v>
      </c>
      <c r="H83" s="874"/>
      <c r="I83" s="863"/>
      <c r="J83" s="864"/>
      <c r="K83" s="864"/>
      <c r="L83" s="864"/>
      <c r="M83" s="864"/>
      <c r="N83" s="864"/>
      <c r="O83" s="864"/>
      <c r="P83" s="864"/>
      <c r="Q83" s="864"/>
      <c r="R83" s="864"/>
      <c r="S83" s="865"/>
      <c r="T83" s="865"/>
    </row>
    <row r="84" spans="1:21" s="866" customFormat="1">
      <c r="A84" s="622" t="s">
        <v>605</v>
      </c>
      <c r="B84" s="867"/>
      <c r="C84" s="867"/>
      <c r="D84" s="867"/>
      <c r="E84" s="867"/>
      <c r="F84" s="867" t="str">
        <f>IF(LEFT(B82,6)="TRALH2","TRALH2","TRAGH2")</f>
        <v>TRAGH2</v>
      </c>
      <c r="G84" s="868"/>
      <c r="H84" s="875">
        <v>1</v>
      </c>
      <c r="I84" s="869"/>
      <c r="J84" s="870"/>
      <c r="K84" s="870"/>
      <c r="L84" s="870"/>
      <c r="M84" s="870"/>
      <c r="N84" s="870"/>
      <c r="O84" s="870"/>
      <c r="P84" s="870"/>
      <c r="Q84" s="870"/>
      <c r="R84" s="870"/>
      <c r="S84" s="871"/>
      <c r="T84" s="871"/>
    </row>
    <row r="85" spans="1:21" s="653" customFormat="1">
      <c r="B85" s="692" t="str">
        <f>'H2 matriz'!$AB$3</f>
        <v>TRALH2C07</v>
      </c>
      <c r="C85" s="692" t="str">
        <f>'H2 matriz'!$AB$2</f>
        <v>Fuel Tech - H2 Delivery from centralized production (COMP+TR+CRY+RCRY+LIQ+LL)</v>
      </c>
      <c r="D85" s="942" t="s">
        <v>966</v>
      </c>
      <c r="E85" s="692"/>
      <c r="F85" s="633"/>
      <c r="G85" s="796">
        <f>SUMIF('H2 matriz'!$3:$3,$B85,'H2 matriz'!$56:$56)+1</f>
        <v>1.03</v>
      </c>
      <c r="H85" s="439"/>
      <c r="I85" s="876">
        <f>IF(D85="SYNH2UG",1,0.98)</f>
        <v>0.98</v>
      </c>
      <c r="J85" s="796">
        <f>SUMIF('H2 matriz'!$3:$3,$B85,'H2 matriz'!$59:$59)</f>
        <v>12.329353904117999</v>
      </c>
      <c r="K85" s="796">
        <f>SUMIF('H2 matriz'!$3:$3,$B85,'H2 matriz'!$60:$60)</f>
        <v>11.618694006170337</v>
      </c>
      <c r="L85" s="796">
        <f>SUMIF('H2 matriz'!$3:$3,$B85,'H2 matriz'!$61:$61)</f>
        <v>11.117678778117234</v>
      </c>
      <c r="M85" s="796">
        <f>SUMIF('H2 matriz'!$3:$3,$B85,'H2 matriz'!$62:$62)</f>
        <v>0.6209875779249151</v>
      </c>
      <c r="N85" s="796"/>
      <c r="O85" s="796"/>
      <c r="P85" s="676"/>
      <c r="Q85" s="676"/>
      <c r="R85" s="676"/>
      <c r="S85" s="677">
        <v>35</v>
      </c>
      <c r="T85" s="677">
        <v>2015</v>
      </c>
      <c r="U85" s="695">
        <v>1</v>
      </c>
    </row>
    <row r="86" spans="1:21" s="653" customFormat="1">
      <c r="B86" s="692"/>
      <c r="C86" s="692"/>
      <c r="D86" s="692" t="s">
        <v>339</v>
      </c>
      <c r="E86" s="692"/>
      <c r="F86" s="692"/>
      <c r="G86" s="796">
        <f>SUMIF('H2 matriz'!$3:$3,$B85,'H2 matriz'!$57:$57)</f>
        <v>0.6</v>
      </c>
      <c r="H86" s="439"/>
      <c r="I86" s="694"/>
      <c r="J86" s="676"/>
      <c r="K86" s="402"/>
      <c r="L86" s="402"/>
      <c r="M86" s="402"/>
      <c r="N86" s="676"/>
      <c r="O86" s="676"/>
      <c r="P86" s="676"/>
      <c r="Q86" s="676"/>
      <c r="R86" s="676"/>
      <c r="S86" s="677"/>
      <c r="T86" s="677"/>
      <c r="U86" s="633"/>
    </row>
    <row r="87" spans="1:21" s="653" customFormat="1">
      <c r="B87" s="692"/>
      <c r="C87" s="692"/>
      <c r="D87" s="692"/>
      <c r="E87" s="692"/>
      <c r="F87" s="697" t="str">
        <f>IF(LEFT(B85,6)="TRALH2","TRALH2","TRAGH2")</f>
        <v>TRALH2</v>
      </c>
      <c r="G87" s="402"/>
      <c r="H87" s="439">
        <v>1</v>
      </c>
      <c r="I87" s="694"/>
      <c r="J87" s="676"/>
      <c r="K87" s="402"/>
      <c r="L87" s="402"/>
      <c r="M87" s="402"/>
      <c r="N87" s="676"/>
      <c r="O87" s="676"/>
      <c r="P87" s="676"/>
      <c r="Q87" s="676"/>
      <c r="R87" s="676"/>
      <c r="S87" s="677"/>
      <c r="T87" s="677"/>
      <c r="U87" s="633"/>
    </row>
    <row r="88" spans="1:21" s="854" customFormat="1">
      <c r="B88" s="855" t="str">
        <f>'H2 matriz'!$AC$3</f>
        <v>TRAGH2C015</v>
      </c>
      <c r="C88" s="855" t="str">
        <f>'H2 matriz'!$AC$2</f>
        <v>Fuel Tech - H2 Delivery from centralized production (COMP+TR+CRY+RCRY+LIQ+LG)</v>
      </c>
      <c r="D88" s="943" t="s">
        <v>966</v>
      </c>
      <c r="E88" s="856"/>
      <c r="G88" s="857">
        <f>SUMIF('H2 matriz'!$3:$3,$B88,'H2 matriz'!$56:$56)+1</f>
        <v>1.03</v>
      </c>
      <c r="H88" s="873"/>
      <c r="I88" s="877">
        <f>IF(D88="SYNH2UG",1,0.98)</f>
        <v>0.98</v>
      </c>
      <c r="J88" s="857">
        <f>SUMIF('H2 matriz'!$3:$3,$B88,'H2 matriz'!$59:$59)</f>
        <v>19.962502853988674</v>
      </c>
      <c r="K88" s="857">
        <f>SUMIF('H2 matriz'!$3:$3,$B88,'H2 matriz'!$60:$60)</f>
        <v>17.000064015829164</v>
      </c>
      <c r="L88" s="857">
        <f>SUMIF('H2 matriz'!$3:$3,$B88,'H2 matriz'!$61:$61)</f>
        <v>14.911544634926706</v>
      </c>
      <c r="M88" s="857">
        <f>SUMIF('H2 matriz'!$3:$3,$B88,'H2 matriz'!$62:$62)</f>
        <v>1.0026450254184489</v>
      </c>
      <c r="N88" s="857"/>
      <c r="O88" s="857"/>
      <c r="P88" s="858"/>
      <c r="Q88" s="858"/>
      <c r="R88" s="858"/>
      <c r="S88" s="859">
        <v>35</v>
      </c>
      <c r="T88" s="859">
        <v>2015</v>
      </c>
      <c r="U88" s="860">
        <v>1</v>
      </c>
    </row>
    <row r="89" spans="1:21" s="861" customFormat="1">
      <c r="B89" s="862"/>
      <c r="C89" s="862"/>
      <c r="D89" s="862" t="s">
        <v>339</v>
      </c>
      <c r="E89" s="862"/>
      <c r="F89" s="862"/>
      <c r="G89" s="872">
        <f>SUMIF('H2 matriz'!$3:$3,$B88,'H2 matriz'!$57:$57)</f>
        <v>0.6</v>
      </c>
      <c r="H89" s="874"/>
      <c r="I89" s="863"/>
      <c r="J89" s="864"/>
      <c r="K89" s="864"/>
      <c r="L89" s="864"/>
      <c r="M89" s="864"/>
      <c r="N89" s="864"/>
      <c r="O89" s="864"/>
      <c r="P89" s="864"/>
      <c r="Q89" s="864"/>
      <c r="R89" s="864"/>
      <c r="S89" s="865"/>
      <c r="T89" s="865"/>
    </row>
    <row r="90" spans="1:21" s="866" customFormat="1">
      <c r="B90" s="867"/>
      <c r="C90" s="867"/>
      <c r="D90" s="867"/>
      <c r="E90" s="867"/>
      <c r="F90" s="867" t="str">
        <f>IF(LEFT(B88,6)="TRALH2","TRALH2","TRAGH2")</f>
        <v>TRAGH2</v>
      </c>
      <c r="G90" s="868"/>
      <c r="H90" s="875">
        <v>1</v>
      </c>
      <c r="I90" s="869"/>
      <c r="J90" s="870"/>
      <c r="K90" s="870"/>
      <c r="L90" s="870"/>
      <c r="M90" s="870"/>
      <c r="N90" s="870"/>
      <c r="O90" s="870"/>
      <c r="P90" s="870"/>
      <c r="Q90" s="870"/>
      <c r="R90" s="870"/>
      <c r="S90" s="871"/>
      <c r="T90" s="871"/>
    </row>
    <row r="91" spans="1:21" s="653" customFormat="1">
      <c r="A91" s="622" t="s">
        <v>605</v>
      </c>
      <c r="B91" s="692" t="str">
        <f>'H2 matriz'!$AD$3</f>
        <v>TRALH2C08</v>
      </c>
      <c r="C91" s="692" t="str">
        <f>'H2 matriz'!$AD$2</f>
        <v>Fuel Tech - H2 Delivery from centralized production (COMP+TR+NH3+RCRY+LIQ+LL)</v>
      </c>
      <c r="D91" s="16" t="s">
        <v>663</v>
      </c>
      <c r="E91" s="692"/>
      <c r="F91" s="633"/>
      <c r="G91" s="796">
        <f>SUMIF('H2 matriz'!$3:$3,$B91,'H2 matriz'!$56:$56)+1</f>
        <v>1.03</v>
      </c>
      <c r="H91" s="439"/>
      <c r="I91" s="876">
        <f>IF(D91="SYNH2UG",1,0.98)</f>
        <v>1</v>
      </c>
      <c r="J91" s="796">
        <f>SUMIF('H2 matriz'!$3:$3,$B91,'H2 matriz'!$59:$59)</f>
        <v>20.477419861216049</v>
      </c>
      <c r="K91" s="796">
        <f>SUMIF('H2 matriz'!$3:$3,$B91,'H2 matriz'!$60:$60)</f>
        <v>19.766759963268385</v>
      </c>
      <c r="L91" s="796">
        <f>SUMIF('H2 matriz'!$3:$3,$B91,'H2 matriz'!$61:$61)</f>
        <v>19.265744735215282</v>
      </c>
      <c r="M91" s="796">
        <f>SUMIF('H2 matriz'!$3:$3,$B91,'H2 matriz'!$62:$62)</f>
        <v>1.1913521949217782</v>
      </c>
      <c r="N91" s="796"/>
      <c r="O91" s="796"/>
      <c r="P91" s="676"/>
      <c r="Q91" s="676"/>
      <c r="R91" s="676"/>
      <c r="S91" s="677">
        <v>35</v>
      </c>
      <c r="T91" s="677">
        <v>2015</v>
      </c>
      <c r="U91" s="695">
        <v>1</v>
      </c>
    </row>
    <row r="92" spans="1:21" s="653" customFormat="1">
      <c r="A92" s="622" t="s">
        <v>605</v>
      </c>
      <c r="B92" s="692"/>
      <c r="C92" s="692"/>
      <c r="D92" s="692" t="s">
        <v>339</v>
      </c>
      <c r="E92" s="692"/>
      <c r="F92" s="692"/>
      <c r="G92" s="796">
        <f>SUMIF('H2 matriz'!$3:$3,$B91,'H2 matriz'!$57:$57)</f>
        <v>1.05</v>
      </c>
      <c r="H92" s="439"/>
      <c r="I92" s="694"/>
      <c r="J92" s="676"/>
      <c r="K92" s="402"/>
      <c r="L92" s="402"/>
      <c r="M92" s="402"/>
      <c r="N92" s="676"/>
      <c r="O92" s="676"/>
      <c r="P92" s="676"/>
      <c r="Q92" s="676"/>
      <c r="R92" s="676"/>
      <c r="S92" s="677"/>
      <c r="T92" s="677"/>
      <c r="U92" s="633"/>
    </row>
    <row r="93" spans="1:21" s="653" customFormat="1">
      <c r="A93" s="622" t="s">
        <v>605</v>
      </c>
      <c r="B93" s="692"/>
      <c r="C93" s="692"/>
      <c r="D93" s="692"/>
      <c r="E93" s="692"/>
      <c r="F93" s="697" t="str">
        <f>IF(LEFT(B91,6)="TRALH2","TRALH2","TRAGH2")</f>
        <v>TRALH2</v>
      </c>
      <c r="G93" s="402"/>
      <c r="H93" s="439">
        <v>1</v>
      </c>
      <c r="I93" s="694"/>
      <c r="J93" s="676"/>
      <c r="K93" s="402"/>
      <c r="L93" s="402"/>
      <c r="M93" s="402"/>
      <c r="N93" s="676"/>
      <c r="O93" s="676"/>
      <c r="P93" s="676"/>
      <c r="Q93" s="676"/>
      <c r="R93" s="676"/>
      <c r="S93" s="677"/>
      <c r="T93" s="677"/>
      <c r="U93" s="633"/>
    </row>
    <row r="94" spans="1:21" s="854" customFormat="1">
      <c r="A94" s="622" t="s">
        <v>605</v>
      </c>
      <c r="B94" s="855" t="str">
        <f>'H2 matriz'!$AE$3</f>
        <v>TRAGH2C16</v>
      </c>
      <c r="C94" s="855" t="str">
        <f>'H2 matriz'!$AE$2</f>
        <v>Fuel Tech - H2 Delivery from centralized production (COMP+TR+NH3+RCRY+LIQ+LG)</v>
      </c>
      <c r="D94" s="837" t="s">
        <v>233</v>
      </c>
      <c r="E94" s="856"/>
      <c r="G94" s="857">
        <f>SUMIF('H2 matriz'!$3:$3,$B94,'H2 matriz'!$56:$56)+1</f>
        <v>1.03</v>
      </c>
      <c r="H94" s="873"/>
      <c r="I94" s="877">
        <f>IF(D94="SYNH2UG",1,0.98)</f>
        <v>0.98</v>
      </c>
      <c r="J94" s="857">
        <f>SUMIF('H2 matriz'!$3:$3,$B94,'H2 matriz'!$59:$59)</f>
        <v>28.110568811086722</v>
      </c>
      <c r="K94" s="857">
        <f>SUMIF('H2 matriz'!$3:$3,$B94,'H2 matriz'!$60:$60)</f>
        <v>25.148129972927212</v>
      </c>
      <c r="L94" s="857">
        <f>SUMIF('H2 matriz'!$3:$3,$B94,'H2 matriz'!$61:$61)</f>
        <v>23.059610592024754</v>
      </c>
      <c r="M94" s="857">
        <f>SUMIF('H2 matriz'!$3:$3,$B94,'H2 matriz'!$62:$62)</f>
        <v>1.5730096424153119</v>
      </c>
      <c r="N94" s="857"/>
      <c r="O94" s="857"/>
      <c r="P94" s="858"/>
      <c r="Q94" s="858"/>
      <c r="R94" s="858"/>
      <c r="S94" s="859">
        <v>35</v>
      </c>
      <c r="T94" s="859">
        <v>2015</v>
      </c>
      <c r="U94" s="860">
        <v>1</v>
      </c>
    </row>
    <row r="95" spans="1:21" s="861" customFormat="1">
      <c r="A95" s="622" t="s">
        <v>605</v>
      </c>
      <c r="B95" s="862"/>
      <c r="C95" s="862"/>
      <c r="D95" s="862" t="s">
        <v>339</v>
      </c>
      <c r="E95" s="862"/>
      <c r="F95" s="862"/>
      <c r="G95" s="872">
        <f>SUMIF('H2 matriz'!$3:$3,$B94,'H2 matriz'!$57:$57)</f>
        <v>1.05</v>
      </c>
      <c r="H95" s="874"/>
      <c r="I95" s="863"/>
      <c r="J95" s="864"/>
      <c r="K95" s="864"/>
      <c r="L95" s="864"/>
      <c r="M95" s="864"/>
      <c r="N95" s="864"/>
      <c r="O95" s="864"/>
      <c r="P95" s="864"/>
      <c r="Q95" s="864"/>
      <c r="R95" s="864"/>
      <c r="S95" s="865"/>
      <c r="T95" s="865"/>
    </row>
    <row r="96" spans="1:21" s="866" customFormat="1">
      <c r="A96" s="622" t="s">
        <v>605</v>
      </c>
      <c r="B96" s="867"/>
      <c r="C96" s="867"/>
      <c r="D96" s="867"/>
      <c r="E96" s="867"/>
      <c r="F96" s="867" t="str">
        <f>IF(LEFT(B94,6)="TRALH2","TRALH2","TRAGH2")</f>
        <v>TRAGH2</v>
      </c>
      <c r="G96" s="868"/>
      <c r="H96" s="875">
        <v>1</v>
      </c>
      <c r="I96" s="869"/>
      <c r="J96" s="870"/>
      <c r="K96" s="870"/>
      <c r="L96" s="870"/>
      <c r="M96" s="870"/>
      <c r="N96" s="870"/>
      <c r="O96" s="870"/>
      <c r="P96" s="870"/>
      <c r="Q96" s="870"/>
      <c r="R96" s="870"/>
      <c r="S96" s="871"/>
      <c r="T96" s="871"/>
    </row>
    <row r="97" spans="1:21" s="653" customFormat="1">
      <c r="A97" s="622" t="s">
        <v>605</v>
      </c>
      <c r="B97" s="692" t="str">
        <f>'H2 matriz'!$AF$3</f>
        <v>TRALH2C9</v>
      </c>
      <c r="C97" s="692" t="str">
        <f>'H2 matriz'!$AF$2</f>
        <v>Fuel Tech - H2 Delivery from centralized production (COMP+TR+DIST+RCRY+LIQ+LL)</v>
      </c>
      <c r="D97" s="16" t="s">
        <v>232</v>
      </c>
      <c r="E97" s="692"/>
      <c r="F97" s="633"/>
      <c r="G97" s="796">
        <f>SUMIF('H2 matriz'!$3:$3,$B97,'H2 matriz'!$56:$56)+1</f>
        <v>1.03</v>
      </c>
      <c r="H97" s="439"/>
      <c r="I97" s="876">
        <f>IF(D97="SYNH2UG",1,0.98)</f>
        <v>0.98</v>
      </c>
      <c r="J97" s="796">
        <f>SUMIF('H2 matriz'!$3:$3,$B97,'H2 matriz'!$59:$59)</f>
        <v>20.477419861216049</v>
      </c>
      <c r="K97" s="796">
        <f>SUMIF('H2 matriz'!$3:$3,$B97,'H2 matriz'!$60:$60)</f>
        <v>19.766759963268385</v>
      </c>
      <c r="L97" s="796">
        <f>SUMIF('H2 matriz'!$3:$3,$B97,'H2 matriz'!$61:$61)</f>
        <v>19.265744735215282</v>
      </c>
      <c r="M97" s="796">
        <f>SUMIF('H2 matriz'!$3:$3,$B97,'H2 matriz'!$62:$62)</f>
        <v>1.1913521949217782</v>
      </c>
      <c r="N97" s="796"/>
      <c r="O97" s="796"/>
      <c r="P97" s="676"/>
      <c r="Q97" s="676"/>
      <c r="R97" s="676"/>
      <c r="S97" s="677">
        <v>35</v>
      </c>
      <c r="T97" s="677">
        <v>2015</v>
      </c>
      <c r="U97" s="695">
        <v>1</v>
      </c>
    </row>
    <row r="98" spans="1:21" s="653" customFormat="1">
      <c r="A98" s="622" t="s">
        <v>605</v>
      </c>
      <c r="B98" s="692"/>
      <c r="C98" s="692"/>
      <c r="D98" s="692" t="s">
        <v>339</v>
      </c>
      <c r="E98" s="692"/>
      <c r="F98" s="692"/>
      <c r="G98" s="796">
        <f>SUMIF('H2 matriz'!$3:$3,$B97,'H2 matriz'!$57:$57)</f>
        <v>1.05</v>
      </c>
      <c r="H98" s="439"/>
      <c r="I98" s="694"/>
      <c r="J98" s="676"/>
      <c r="K98" s="402"/>
      <c r="L98" s="402"/>
      <c r="M98" s="402"/>
      <c r="N98" s="676"/>
      <c r="O98" s="676"/>
      <c r="P98" s="676"/>
      <c r="Q98" s="676"/>
      <c r="R98" s="676"/>
      <c r="S98" s="677"/>
      <c r="T98" s="677"/>
      <c r="U98" s="633"/>
    </row>
    <row r="99" spans="1:21" s="653" customFormat="1">
      <c r="A99" s="622" t="s">
        <v>605</v>
      </c>
      <c r="B99" s="692"/>
      <c r="C99" s="692"/>
      <c r="D99" s="692"/>
      <c r="E99" s="692"/>
      <c r="F99" s="697" t="str">
        <f>IF(LEFT(B97,6)="TRALH2","TRALH2","TRAGH2")</f>
        <v>TRALH2</v>
      </c>
      <c r="G99" s="402"/>
      <c r="H99" s="439">
        <v>1</v>
      </c>
      <c r="I99" s="694"/>
      <c r="J99" s="676"/>
      <c r="K99" s="402"/>
      <c r="L99" s="402"/>
      <c r="M99" s="402"/>
      <c r="N99" s="676"/>
      <c r="O99" s="676"/>
      <c r="P99" s="676"/>
      <c r="Q99" s="676"/>
      <c r="R99" s="676"/>
      <c r="S99" s="677"/>
      <c r="T99" s="677"/>
      <c r="U99" s="633"/>
    </row>
    <row r="100" spans="1:21" s="854" customFormat="1">
      <c r="A100" s="622" t="s">
        <v>605</v>
      </c>
      <c r="B100" s="855" t="str">
        <f>'H2 matriz'!$AG$3</f>
        <v>TRAGH2C17</v>
      </c>
      <c r="C100" s="855" t="str">
        <f>'H2 matriz'!$AG$2</f>
        <v>Fuel Tech - H2 Delivery from centralized production (COMP+TR+DIST+RCRY+LIQ+LG)</v>
      </c>
      <c r="D100" s="837" t="s">
        <v>232</v>
      </c>
      <c r="E100" s="856"/>
      <c r="G100" s="857">
        <f>SUMIF('H2 matriz'!$3:$3,$B100,'H2 matriz'!$56:$56)+1</f>
        <v>1.03</v>
      </c>
      <c r="H100" s="873"/>
      <c r="I100" s="877">
        <f>IF(D100="SYNH2UG",1,0.98)</f>
        <v>0.98</v>
      </c>
      <c r="J100" s="857">
        <f>SUMIF('H2 matriz'!$3:$3,$B100,'H2 matriz'!$59:$59)</f>
        <v>28.110568811086722</v>
      </c>
      <c r="K100" s="857">
        <f>SUMIF('H2 matriz'!$3:$3,$B100,'H2 matriz'!$60:$60)</f>
        <v>25.148129972927212</v>
      </c>
      <c r="L100" s="857">
        <f>SUMIF('H2 matriz'!$3:$3,$B100,'H2 matriz'!$61:$61)</f>
        <v>23.059610592024754</v>
      </c>
      <c r="M100" s="857">
        <f>SUMIF('H2 matriz'!$3:$3,$B100,'H2 matriz'!$62:$62)</f>
        <v>1.5730096424153119</v>
      </c>
      <c r="N100" s="857"/>
      <c r="O100" s="857"/>
      <c r="P100" s="858"/>
      <c r="Q100" s="858"/>
      <c r="R100" s="858"/>
      <c r="S100" s="859">
        <v>35</v>
      </c>
      <c r="T100" s="859">
        <v>2015</v>
      </c>
      <c r="U100" s="860">
        <v>1</v>
      </c>
    </row>
    <row r="101" spans="1:21" s="861" customFormat="1">
      <c r="A101" s="622" t="s">
        <v>605</v>
      </c>
      <c r="B101" s="862"/>
      <c r="C101" s="862"/>
      <c r="D101" s="862" t="s">
        <v>339</v>
      </c>
      <c r="E101" s="862"/>
      <c r="F101" s="862"/>
      <c r="G101" s="872">
        <f>SUMIF('H2 matriz'!$3:$3,$B100,'H2 matriz'!$57:$57)</f>
        <v>1.05</v>
      </c>
      <c r="H101" s="874"/>
      <c r="I101" s="863"/>
      <c r="J101" s="864"/>
      <c r="K101" s="864"/>
      <c r="L101" s="864"/>
      <c r="M101" s="864"/>
      <c r="N101" s="864"/>
      <c r="O101" s="864"/>
      <c r="P101" s="864"/>
      <c r="Q101" s="864"/>
      <c r="R101" s="864"/>
      <c r="S101" s="865"/>
      <c r="T101" s="865"/>
    </row>
    <row r="102" spans="1:21" s="866" customFormat="1">
      <c r="A102" s="622" t="s">
        <v>605</v>
      </c>
      <c r="B102" s="867"/>
      <c r="C102" s="867"/>
      <c r="D102" s="867"/>
      <c r="E102" s="867"/>
      <c r="F102" s="867" t="str">
        <f>IF(LEFT(B100,6)="TRALH2","TRALH2","TRAGH2")</f>
        <v>TRAGH2</v>
      </c>
      <c r="G102" s="868"/>
      <c r="H102" s="875">
        <v>1</v>
      </c>
      <c r="I102" s="869"/>
      <c r="J102" s="870"/>
      <c r="K102" s="870"/>
      <c r="L102" s="870"/>
      <c r="M102" s="870"/>
      <c r="N102" s="870"/>
      <c r="O102" s="870"/>
      <c r="P102" s="870"/>
      <c r="Q102" s="870"/>
      <c r="R102" s="870"/>
      <c r="S102" s="871"/>
      <c r="T102" s="871"/>
    </row>
    <row r="103" spans="1:21" s="653" customFormat="1">
      <c r="B103" s="692" t="str">
        <f>'H2 matriz'!$AH$3</f>
        <v>TRALH2D03</v>
      </c>
      <c r="C103" s="692" t="str">
        <f>'H2 matriz'!$AH$2</f>
        <v>Fuel Tech - H2 Delivery from decentralized production (COMP+LIQ+RCRY+LL)</v>
      </c>
      <c r="D103" s="16" t="s">
        <v>232</v>
      </c>
      <c r="E103" s="692"/>
      <c r="F103" s="633"/>
      <c r="G103" s="796">
        <f>SUMIF('H2 matriz'!$3:$3,$B103,'H2 matriz'!$56:$56)+1</f>
        <v>1.03</v>
      </c>
      <c r="H103" s="439"/>
      <c r="I103" s="876">
        <f>IF(D103="SYNH2UG",1,0.98)</f>
        <v>0.98</v>
      </c>
      <c r="J103" s="796">
        <f>SUMIF('H2 matriz'!$3:$3,$B103,'H2 matriz'!$59:$59)</f>
        <v>20.477419861216049</v>
      </c>
      <c r="K103" s="796">
        <f>SUMIF('H2 matriz'!$3:$3,$B103,'H2 matriz'!$60:$60)</f>
        <v>19.766759963268385</v>
      </c>
      <c r="L103" s="796">
        <f>SUMIF('H2 matriz'!$3:$3,$B103,'H2 matriz'!$61:$61)</f>
        <v>19.265744735215282</v>
      </c>
      <c r="M103" s="796">
        <f>SUMIF('H2 matriz'!$3:$3,$B103,'H2 matriz'!$62:$62)</f>
        <v>1.1913521949217782</v>
      </c>
      <c r="N103" s="796"/>
      <c r="O103" s="796"/>
      <c r="P103" s="676"/>
      <c r="Q103" s="676"/>
      <c r="R103" s="676"/>
      <c r="S103" s="677">
        <v>50</v>
      </c>
      <c r="T103" s="677">
        <f>'INPUT-Data(HD)'!V115</f>
        <v>0</v>
      </c>
      <c r="U103" s="695">
        <v>1</v>
      </c>
    </row>
    <row r="104" spans="1:21" s="653" customFormat="1">
      <c r="B104" s="692"/>
      <c r="C104" s="692"/>
      <c r="D104" s="692" t="s">
        <v>339</v>
      </c>
      <c r="E104" s="692"/>
      <c r="F104" s="692"/>
      <c r="G104" s="796">
        <f>SUMIF('H2 matriz'!$3:$3,$B103,'H2 matriz'!$57:$57)</f>
        <v>1.05</v>
      </c>
      <c r="H104" s="439"/>
      <c r="I104" s="694"/>
      <c r="J104" s="676"/>
      <c r="K104" s="402"/>
      <c r="L104" s="402"/>
      <c r="M104" s="402"/>
      <c r="N104" s="676"/>
      <c r="O104" s="676"/>
      <c r="P104" s="676"/>
      <c r="Q104" s="676"/>
      <c r="R104" s="676"/>
      <c r="S104" s="677"/>
      <c r="T104" s="677"/>
      <c r="U104" s="633"/>
    </row>
    <row r="105" spans="1:21" s="653" customFormat="1">
      <c r="B105" s="692"/>
      <c r="C105" s="692"/>
      <c r="D105" s="692"/>
      <c r="E105" s="692"/>
      <c r="F105" s="697" t="str">
        <f>IF(LEFT(B103,6)="TRALH2","TRALH2","TRAGH2")</f>
        <v>TRALH2</v>
      </c>
      <c r="G105" s="402"/>
      <c r="H105" s="439">
        <v>1</v>
      </c>
      <c r="I105" s="694"/>
      <c r="J105" s="676"/>
      <c r="K105" s="402"/>
      <c r="L105" s="402"/>
      <c r="M105" s="402"/>
      <c r="N105" s="676"/>
      <c r="O105" s="676"/>
      <c r="P105" s="676"/>
      <c r="Q105" s="676"/>
      <c r="R105" s="676"/>
      <c r="S105" s="677"/>
      <c r="T105" s="677"/>
      <c r="U105" s="633"/>
    </row>
    <row r="106" spans="1:21" s="854" customFormat="1">
      <c r="B106" s="855" t="str">
        <f>'H2 matriz'!$AI$3</f>
        <v>TRAGH2D04</v>
      </c>
      <c r="C106" s="855" t="str">
        <f>'H2 matriz'!$AI$2</f>
        <v>Fuel Tech - H2 Delivery from decentralized production (COMP+LIQ+RCRY+LG)</v>
      </c>
      <c r="D106" s="837" t="s">
        <v>232</v>
      </c>
      <c r="E106" s="856"/>
      <c r="G106" s="857">
        <f>SUMIF('H2 matriz'!$3:$3,$B106,'H2 matriz'!$56:$56)+1</f>
        <v>1.03</v>
      </c>
      <c r="H106" s="873"/>
      <c r="I106" s="877">
        <f>IF(D106="SYNH2UG",1,0.98)</f>
        <v>0.98</v>
      </c>
      <c r="J106" s="857">
        <f>SUMIF('H2 matriz'!$3:$3,$B106,'H2 matriz'!$59:$59)</f>
        <v>28.110568811086722</v>
      </c>
      <c r="K106" s="857">
        <f>SUMIF('H2 matriz'!$3:$3,$B106,'H2 matriz'!$60:$60)</f>
        <v>25.148129972927212</v>
      </c>
      <c r="L106" s="857">
        <f>SUMIF('H2 matriz'!$3:$3,$B106,'H2 matriz'!$61:$61)</f>
        <v>23.059610592024754</v>
      </c>
      <c r="M106" s="857">
        <f>SUMIF('H2 matriz'!$3:$3,$B106,'H2 matriz'!$62:$62)</f>
        <v>1.5730096424153119</v>
      </c>
      <c r="N106" s="857"/>
      <c r="O106" s="857"/>
      <c r="P106" s="858"/>
      <c r="Q106" s="858"/>
      <c r="R106" s="858"/>
      <c r="S106" s="859">
        <v>50</v>
      </c>
      <c r="T106" s="859">
        <f>'INPUT-Data(HD)'!V118</f>
        <v>0</v>
      </c>
      <c r="U106" s="860">
        <v>1</v>
      </c>
    </row>
    <row r="107" spans="1:21" s="861" customFormat="1">
      <c r="B107" s="862"/>
      <c r="C107" s="862"/>
      <c r="D107" s="862" t="s">
        <v>339</v>
      </c>
      <c r="E107" s="862"/>
      <c r="F107" s="862"/>
      <c r="G107" s="872">
        <f>SUMIF('H2 matriz'!$3:$3,$B106,'H2 matriz'!$57:$57)</f>
        <v>1.05</v>
      </c>
      <c r="H107" s="874"/>
      <c r="I107" s="863"/>
      <c r="J107" s="864"/>
      <c r="K107" s="864"/>
      <c r="L107" s="864"/>
      <c r="M107" s="864"/>
      <c r="N107" s="864"/>
      <c r="O107" s="864"/>
      <c r="P107" s="864"/>
      <c r="Q107" s="864"/>
      <c r="R107" s="864"/>
      <c r="S107" s="865"/>
      <c r="T107" s="865"/>
    </row>
    <row r="108" spans="1:21" s="866" customFormat="1">
      <c r="B108" s="867"/>
      <c r="C108" s="867"/>
      <c r="D108" s="867"/>
      <c r="E108" s="867"/>
      <c r="F108" s="867" t="str">
        <f>IF(LEFT(B106,6)="TRALH2","TRALH2","TRAGH2")</f>
        <v>TRAGH2</v>
      </c>
      <c r="G108" s="868"/>
      <c r="H108" s="875">
        <v>1</v>
      </c>
      <c r="I108" s="869"/>
      <c r="J108" s="870"/>
      <c r="K108" s="870"/>
      <c r="L108" s="870"/>
      <c r="M108" s="870"/>
      <c r="N108" s="870"/>
      <c r="O108" s="870"/>
      <c r="P108" s="870"/>
      <c r="Q108" s="870"/>
      <c r="R108" s="870"/>
      <c r="S108" s="871"/>
      <c r="T108" s="871"/>
    </row>
    <row r="109" spans="1:21" s="653" customFormat="1">
      <c r="B109" s="692" t="str">
        <f>'H2 matriz'!$AJ$3</f>
        <v>TRALH2M01</v>
      </c>
      <c r="C109" s="692" t="str">
        <f>'H2 matriz'!$AJ$2</f>
        <v>Fuel Tech - H2 Delivery from Microdecentralized production (COMP+LIQ+LL)</v>
      </c>
      <c r="D109" s="16" t="s">
        <v>525</v>
      </c>
      <c r="E109" s="692"/>
      <c r="F109" s="633"/>
      <c r="G109" s="796">
        <f>SUMIF('H2 matriz'!$3:$3,$B109,'H2 matriz'!$56:$56)+1</f>
        <v>1.03</v>
      </c>
      <c r="H109" s="439"/>
      <c r="I109" s="876">
        <f>IF(D109="SYNH2UG",1,0.98)</f>
        <v>0.98</v>
      </c>
      <c r="J109" s="796">
        <f>SUMIF('H2 matriz'!$3:$3,$B109,'H2 matriz'!$59:$59)</f>
        <v>68.311802669299198</v>
      </c>
      <c r="K109" s="796">
        <f>SUMIF('H2 matriz'!$3:$3,$B109,'H2 matriz'!$60:$60)</f>
        <v>67.601142771351533</v>
      </c>
      <c r="L109" s="796">
        <f>SUMIF('H2 matriz'!$3:$3,$B109,'H2 matriz'!$61:$61)</f>
        <v>67.100127543298427</v>
      </c>
      <c r="M109" s="796">
        <f>SUMIF('H2 matriz'!$3:$3,$B109,'H2 matriz'!$62:$62)</f>
        <v>4.6253758606389939</v>
      </c>
      <c r="N109" s="796"/>
      <c r="O109" s="796"/>
      <c r="P109" s="676"/>
      <c r="Q109" s="676"/>
      <c r="R109" s="676"/>
      <c r="S109" s="677">
        <v>50</v>
      </c>
      <c r="T109" s="677">
        <f>'INPUT-Data(HD)'!V91</f>
        <v>0</v>
      </c>
      <c r="U109" s="695">
        <v>1</v>
      </c>
    </row>
    <row r="110" spans="1:21" s="653" customFormat="1">
      <c r="B110" s="692"/>
      <c r="C110" s="692"/>
      <c r="D110" s="692" t="s">
        <v>339</v>
      </c>
      <c r="E110" s="692"/>
      <c r="F110" s="692"/>
      <c r="G110" s="796">
        <f>SUMIF('H2 matriz'!$3:$3,$B109,'H2 matriz'!$57:$57)</f>
        <v>1.05</v>
      </c>
      <c r="H110" s="439"/>
      <c r="I110" s="694"/>
      <c r="J110" s="676"/>
      <c r="K110" s="402"/>
      <c r="L110" s="402"/>
      <c r="M110" s="402"/>
      <c r="N110" s="676"/>
      <c r="O110" s="676"/>
      <c r="P110" s="676"/>
      <c r="Q110" s="676"/>
      <c r="R110" s="676"/>
      <c r="S110" s="677"/>
      <c r="T110" s="677"/>
      <c r="U110" s="633"/>
    </row>
    <row r="111" spans="1:21" s="653" customFormat="1">
      <c r="B111" s="692"/>
      <c r="C111" s="692"/>
      <c r="D111" s="692"/>
      <c r="E111" s="692"/>
      <c r="F111" s="697" t="str">
        <f>IF(LEFT(B109,6)="TRALH2","TRALH2","TRAGH2")</f>
        <v>TRALH2</v>
      </c>
      <c r="G111" s="402"/>
      <c r="H111" s="439">
        <v>1</v>
      </c>
      <c r="I111" s="694"/>
      <c r="J111" s="676"/>
      <c r="K111" s="402"/>
      <c r="L111" s="402"/>
      <c r="M111" s="402"/>
      <c r="N111" s="676"/>
      <c r="O111" s="676"/>
      <c r="P111" s="676"/>
      <c r="Q111" s="676"/>
      <c r="R111" s="676"/>
      <c r="S111" s="677"/>
      <c r="T111" s="677"/>
      <c r="U111" s="633"/>
    </row>
    <row r="112" spans="1:21" s="854" customFormat="1">
      <c r="B112" s="855" t="str">
        <f>'H2 matriz'!$AK$3</f>
        <v>TRALH2M02</v>
      </c>
      <c r="C112" s="855" t="str">
        <f>'H2 matriz'!$AK$2</f>
        <v>Fuel Tech - H2 Delivery from Microdecentralized production (COMP+LIQ+LG)</v>
      </c>
      <c r="D112" s="837" t="s">
        <v>525</v>
      </c>
      <c r="E112" s="856"/>
      <c r="G112" s="857">
        <f>SUMIF('H2 matriz'!$3:$3,$B112,'H2 matriz'!$56:$56)+1</f>
        <v>1.03</v>
      </c>
      <c r="H112" s="873"/>
      <c r="I112" s="877">
        <f>IF(D112="SYNH2UG",1,0.98)</f>
        <v>0.98</v>
      </c>
      <c r="J112" s="857">
        <f>SUMIF('H2 matriz'!$3:$3,$B112,'H2 matriz'!$59:$59)</f>
        <v>75.944951619169871</v>
      </c>
      <c r="K112" s="857">
        <f>SUMIF('H2 matriz'!$3:$3,$B112,'H2 matriz'!$60:$60)</f>
        <v>72.982512781010357</v>
      </c>
      <c r="L112" s="857">
        <f>SUMIF('H2 matriz'!$3:$3,$B112,'H2 matriz'!$61:$61)</f>
        <v>70.893993400107902</v>
      </c>
      <c r="M112" s="857">
        <f>SUMIF('H2 matriz'!$3:$3,$B112,'H2 matriz'!$62:$62)</f>
        <v>5.0070333081325273</v>
      </c>
      <c r="N112" s="857"/>
      <c r="O112" s="857"/>
      <c r="P112" s="858"/>
      <c r="Q112" s="858"/>
      <c r="R112" s="858"/>
      <c r="S112" s="859">
        <v>50</v>
      </c>
      <c r="T112" s="859">
        <f>'INPUT-Data(HD)'!V94</f>
        <v>0</v>
      </c>
      <c r="U112" s="860">
        <v>1</v>
      </c>
    </row>
    <row r="113" spans="2:21" s="861" customFormat="1">
      <c r="B113" s="862"/>
      <c r="C113" s="862"/>
      <c r="D113" s="862" t="s">
        <v>339</v>
      </c>
      <c r="E113" s="862"/>
      <c r="F113" s="862"/>
      <c r="G113" s="872">
        <f>SUMIF('H2 matriz'!$3:$3,$B112,'H2 matriz'!$57:$57)</f>
        <v>1.05</v>
      </c>
      <c r="H113" s="874"/>
      <c r="I113" s="863"/>
      <c r="J113" s="864"/>
      <c r="K113" s="864"/>
      <c r="L113" s="864"/>
      <c r="M113" s="864"/>
      <c r="N113" s="864"/>
      <c r="O113" s="864"/>
      <c r="P113" s="864"/>
      <c r="Q113" s="864"/>
      <c r="R113" s="864"/>
      <c r="S113" s="865"/>
      <c r="T113" s="865"/>
    </row>
    <row r="114" spans="2:21" s="866" customFormat="1">
      <c r="B114" s="867"/>
      <c r="C114" s="867"/>
      <c r="D114" s="867"/>
      <c r="E114" s="867"/>
      <c r="F114" s="867" t="str">
        <f>IF(LEFT(B112,6)="TRALH2","TRALH2","TRAGH2")</f>
        <v>TRALH2</v>
      </c>
      <c r="G114" s="868"/>
      <c r="H114" s="875">
        <v>1</v>
      </c>
      <c r="I114" s="869"/>
      <c r="J114" s="870"/>
      <c r="K114" s="870"/>
      <c r="L114" s="870"/>
      <c r="M114" s="870"/>
      <c r="N114" s="870"/>
      <c r="O114" s="870"/>
      <c r="P114" s="870"/>
      <c r="Q114" s="870"/>
      <c r="R114" s="870"/>
      <c r="S114" s="871"/>
      <c r="T114" s="871"/>
    </row>
    <row r="115" spans="2:21" s="653" customFormat="1">
      <c r="B115" s="692" t="str">
        <f>'H2 matriz'!$AL$3</f>
        <v>TRAGH2M01</v>
      </c>
      <c r="C115" s="692" t="str">
        <f>'H2 matriz'!$AL$2</f>
        <v>Fuel Tech - H2 Delivery from Microdecentralized production (COMP+CRY+ST+GG)</v>
      </c>
      <c r="D115" s="16" t="s">
        <v>525</v>
      </c>
      <c r="E115" s="692"/>
      <c r="F115" s="633"/>
      <c r="G115" s="796">
        <f>SUMIF('H2 matriz'!$3:$3,$B115,'H2 matriz'!$56:$56)+1</f>
        <v>1.0049999999999999</v>
      </c>
      <c r="H115" s="439"/>
      <c r="I115" s="876">
        <f>IF(D115="SYNH2UG",1,0.98)</f>
        <v>0.98</v>
      </c>
      <c r="J115" s="796">
        <f>SUMIF('H2 matriz'!$3:$3,$B115,'H2 matriz'!$59:$59)</f>
        <v>26.480593405928591</v>
      </c>
      <c r="K115" s="796">
        <f>SUMIF('H2 matriz'!$3:$3,$B115,'H2 matriz'!$60:$60)</f>
        <v>22.428730617650825</v>
      </c>
      <c r="L115" s="796">
        <f>SUMIF('H2 matriz'!$3:$3,$B115,'H2 matriz'!$61:$61)</f>
        <v>19.588006451905542</v>
      </c>
      <c r="M115" s="796">
        <f>SUMIF('H2 matriz'!$3:$3,$B115,'H2 matriz'!$62:$62)</f>
        <v>0.96488775037082619</v>
      </c>
      <c r="N115" s="796"/>
      <c r="O115" s="796"/>
      <c r="P115" s="676"/>
      <c r="Q115" s="676"/>
      <c r="R115" s="676"/>
      <c r="S115" s="677">
        <v>50</v>
      </c>
      <c r="T115" s="677">
        <f>'INPUT-Data(HD)'!V97</f>
        <v>0</v>
      </c>
      <c r="U115" s="695">
        <v>1</v>
      </c>
    </row>
    <row r="116" spans="2:21" s="653" customFormat="1">
      <c r="B116" s="692"/>
      <c r="C116" s="692"/>
      <c r="D116" s="692" t="s">
        <v>339</v>
      </c>
      <c r="E116" s="692"/>
      <c r="F116" s="692"/>
      <c r="G116" s="796">
        <f>SUMIF('H2 matriz'!$3:$3,$B115,'H2 matriz'!$57:$57)</f>
        <v>1.6</v>
      </c>
      <c r="H116" s="439"/>
      <c r="I116" s="694"/>
      <c r="J116" s="676"/>
      <c r="K116" s="402"/>
      <c r="L116" s="402"/>
      <c r="M116" s="402"/>
      <c r="N116" s="676"/>
      <c r="O116" s="676"/>
      <c r="P116" s="676"/>
      <c r="Q116" s="676"/>
      <c r="R116" s="676"/>
      <c r="S116" s="677"/>
      <c r="T116" s="677"/>
      <c r="U116" s="633"/>
    </row>
    <row r="117" spans="2:21" s="653" customFormat="1">
      <c r="B117" s="692"/>
      <c r="C117" s="692"/>
      <c r="D117" s="692"/>
      <c r="E117" s="692"/>
      <c r="F117" s="697" t="str">
        <f>IF(LEFT(B115,6)="TRALH2","TRALH2","TRAGH2")</f>
        <v>TRAGH2</v>
      </c>
      <c r="G117" s="402"/>
      <c r="H117" s="439">
        <v>1</v>
      </c>
      <c r="I117" s="694"/>
      <c r="J117" s="676"/>
      <c r="K117" s="402"/>
      <c r="L117" s="402"/>
      <c r="M117" s="402"/>
      <c r="N117" s="676"/>
      <c r="O117" s="676"/>
      <c r="P117" s="676"/>
      <c r="Q117" s="676"/>
      <c r="R117" s="676"/>
      <c r="S117" s="677"/>
      <c r="T117" s="677"/>
      <c r="U117" s="633"/>
    </row>
    <row r="118" spans="2:21" s="854" customFormat="1">
      <c r="B118" s="855" t="str">
        <f>'H2 matriz'!$AM$3</f>
        <v>TRAGH2M02</v>
      </c>
      <c r="C118" s="855" t="str">
        <f>'H2 matriz'!$AM$2</f>
        <v>Fuel Tech - H2 Delivery from Microdecentralized production (COMP+CRY+TRUCK+GG)</v>
      </c>
      <c r="D118" s="837" t="s">
        <v>526</v>
      </c>
      <c r="E118" s="856"/>
      <c r="G118" s="857">
        <f>SUMIF('H2 matriz'!$3:$3,$B118,'H2 matriz'!$56:$56)+1</f>
        <v>1.0049999999999999</v>
      </c>
      <c r="H118" s="873"/>
      <c r="I118" s="877">
        <f>IF(D118="SYNH2UG",1,0.98)</f>
        <v>0.98</v>
      </c>
      <c r="J118" s="857">
        <f>SUMIF('H2 matriz'!$3:$3,$B118,'H2 matriz'!$59:$59)</f>
        <v>25.191901839556586</v>
      </c>
      <c r="K118" s="857">
        <f>SUMIF('H2 matriz'!$3:$3,$B118,'H2 matriz'!$60:$60)</f>
        <v>21.140039051278819</v>
      </c>
      <c r="L118" s="857">
        <f>SUMIF('H2 matriz'!$3:$3,$B118,'H2 matriz'!$61:$61)</f>
        <v>18.299314885533537</v>
      </c>
      <c r="M118" s="857">
        <f>SUMIF('H2 matriz'!$3:$3,$B118,'H2 matriz'!$62:$62)</f>
        <v>0.89386542057007712</v>
      </c>
      <c r="N118" s="857"/>
      <c r="O118" s="857"/>
      <c r="P118" s="858"/>
      <c r="Q118" s="858"/>
      <c r="R118" s="858"/>
      <c r="S118" s="859">
        <v>50</v>
      </c>
      <c r="T118" s="859">
        <f>'INPUT-Data(HD)'!V100</f>
        <v>0</v>
      </c>
      <c r="U118" s="860">
        <v>1</v>
      </c>
    </row>
    <row r="119" spans="2:21" s="861" customFormat="1">
      <c r="B119" s="862"/>
      <c r="C119" s="862"/>
      <c r="D119" s="862" t="s">
        <v>339</v>
      </c>
      <c r="E119" s="862"/>
      <c r="F119" s="862"/>
      <c r="G119" s="872">
        <f>SUMIF('H2 matriz'!$3:$3,$B118,'H2 matriz'!$57:$57)</f>
        <v>1.6</v>
      </c>
      <c r="H119" s="874"/>
      <c r="I119" s="863"/>
      <c r="J119" s="864"/>
      <c r="K119" s="864"/>
      <c r="L119" s="864"/>
      <c r="M119" s="864"/>
      <c r="N119" s="864"/>
      <c r="O119" s="864"/>
      <c r="P119" s="864"/>
      <c r="Q119" s="864"/>
      <c r="R119" s="864"/>
      <c r="S119" s="865"/>
      <c r="T119" s="865"/>
    </row>
    <row r="120" spans="2:21" s="866" customFormat="1">
      <c r="B120" s="867"/>
      <c r="C120" s="867"/>
      <c r="D120" s="867"/>
      <c r="E120" s="867"/>
      <c r="F120" s="867" t="str">
        <f>IF(LEFT(B118,6)="TRALH2","TRALH2","TRAGH2")</f>
        <v>TRAGH2</v>
      </c>
      <c r="G120" s="868"/>
      <c r="H120" s="875">
        <v>1</v>
      </c>
      <c r="I120" s="869"/>
      <c r="J120" s="870"/>
      <c r="K120" s="870"/>
      <c r="L120" s="870"/>
      <c r="M120" s="870"/>
      <c r="N120" s="870"/>
      <c r="O120" s="870"/>
      <c r="P120" s="870"/>
      <c r="Q120" s="870"/>
      <c r="R120" s="870"/>
      <c r="S120" s="871"/>
      <c r="T120" s="871"/>
    </row>
    <row r="121" spans="2:21" s="633" customFormat="1">
      <c r="B121" s="692"/>
      <c r="C121" s="692"/>
      <c r="D121" s="692"/>
      <c r="E121" s="692"/>
      <c r="F121" s="692"/>
      <c r="G121" s="402"/>
      <c r="H121" s="402"/>
      <c r="I121" s="694"/>
      <c r="J121" s="676"/>
      <c r="K121" s="402"/>
      <c r="L121" s="402"/>
      <c r="M121" s="402"/>
      <c r="N121" s="676"/>
      <c r="O121" s="676"/>
      <c r="P121" s="676"/>
      <c r="Q121" s="676"/>
      <c r="R121" s="676"/>
      <c r="S121" s="677"/>
      <c r="T121" s="677"/>
    </row>
    <row r="122" spans="2:21" s="633" customFormat="1">
      <c r="B122" s="692"/>
      <c r="C122" s="692"/>
      <c r="D122" s="692"/>
      <c r="E122" s="692"/>
      <c r="F122" s="697"/>
      <c r="G122" s="402"/>
      <c r="H122" s="402"/>
      <c r="I122" s="694"/>
      <c r="J122" s="676"/>
      <c r="K122" s="402"/>
      <c r="L122" s="402"/>
      <c r="M122" s="402"/>
      <c r="N122" s="676"/>
      <c r="O122" s="676"/>
      <c r="P122" s="676"/>
      <c r="Q122" s="676"/>
      <c r="R122" s="676"/>
      <c r="S122" s="677"/>
      <c r="T122" s="677"/>
    </row>
    <row r="124" spans="2:21">
      <c r="B124" s="29"/>
      <c r="C124" s="29"/>
      <c r="D124" s="30"/>
      <c r="E124" s="30"/>
      <c r="F124" s="30"/>
      <c r="G124" s="30"/>
      <c r="H124" s="30"/>
      <c r="I124" s="113"/>
    </row>
    <row r="125" spans="2:21">
      <c r="B125" s="636" t="s">
        <v>7</v>
      </c>
      <c r="C125" s="636" t="s">
        <v>0</v>
      </c>
      <c r="D125" s="636" t="s">
        <v>1</v>
      </c>
      <c r="E125" s="636" t="s">
        <v>9</v>
      </c>
      <c r="F125" s="636" t="s">
        <v>10</v>
      </c>
      <c r="G125" s="636" t="s">
        <v>11</v>
      </c>
      <c r="H125" s="636" t="s">
        <v>12</v>
      </c>
    </row>
    <row r="126" spans="2:21" ht="104">
      <c r="B126" s="38" t="s">
        <v>39</v>
      </c>
      <c r="C126" s="38" t="s">
        <v>14</v>
      </c>
      <c r="D126" s="38" t="s">
        <v>15</v>
      </c>
      <c r="E126" s="38" t="s">
        <v>16</v>
      </c>
      <c r="F126" s="38" t="s">
        <v>17</v>
      </c>
      <c r="G126" s="38" t="s">
        <v>27</v>
      </c>
      <c r="H126" s="38" t="s">
        <v>26</v>
      </c>
    </row>
    <row r="127" spans="2:21">
      <c r="B127" s="641" t="s">
        <v>37</v>
      </c>
      <c r="C127" s="692" t="str">
        <f>B7</f>
        <v>TRALH2C01</v>
      </c>
      <c r="D127" s="692" t="str">
        <f>C7</f>
        <v>Fuel Tech - H2 Delivery from centralized production (COMP+TR100+USTOR+RTS+LIQ+LL)</v>
      </c>
      <c r="E127" s="637" t="s">
        <v>23</v>
      </c>
      <c r="F127" s="638" t="s">
        <v>133</v>
      </c>
      <c r="G127" s="637" t="s">
        <v>230</v>
      </c>
      <c r="H127" s="642"/>
    </row>
    <row r="128" spans="2:21">
      <c r="B128" s="641" t="s">
        <v>37</v>
      </c>
      <c r="C128" s="692" t="str">
        <f>B10</f>
        <v>TRAGH2C01</v>
      </c>
      <c r="D128" s="692" t="str">
        <f>C10</f>
        <v>Fuel Tech - H2 Delivery from centralized production (COMP+TR100+USTOR+RTS+LIQ+LG)</v>
      </c>
      <c r="E128" s="637" t="s">
        <v>23</v>
      </c>
      <c r="F128" s="638" t="s">
        <v>133</v>
      </c>
      <c r="G128" s="637" t="s">
        <v>230</v>
      </c>
      <c r="H128" s="642"/>
    </row>
    <row r="129" spans="1:13">
      <c r="B129" s="641" t="s">
        <v>37</v>
      </c>
      <c r="C129" s="692" t="str">
        <f>B13</f>
        <v>TRALH2C02</v>
      </c>
      <c r="D129" s="692" t="str">
        <f>C13</f>
        <v>Fuel Tech - H2 Delivery from centralized production (COMP+RTS+TS+RTS+LIQ+LL)</v>
      </c>
      <c r="E129" s="637" t="s">
        <v>23</v>
      </c>
      <c r="F129" s="638" t="s">
        <v>133</v>
      </c>
      <c r="G129" s="637" t="s">
        <v>230</v>
      </c>
      <c r="H129" s="642"/>
    </row>
    <row r="130" spans="1:13">
      <c r="B130" s="641" t="s">
        <v>37</v>
      </c>
      <c r="C130" s="692" t="str">
        <f>B16</f>
        <v>TRAGH2C02</v>
      </c>
      <c r="D130" s="692" t="str">
        <f>C16</f>
        <v>Fuel Tech - H2 Delivery from centralized production (COMP+RTS+TS+RTS+LIQ+LG)</v>
      </c>
      <c r="E130" s="637" t="s">
        <v>23</v>
      </c>
      <c r="F130" s="638" t="s">
        <v>133</v>
      </c>
      <c r="G130" s="637" t="s">
        <v>230</v>
      </c>
      <c r="H130" s="642"/>
    </row>
    <row r="131" spans="1:13">
      <c r="A131" s="622" t="s">
        <v>605</v>
      </c>
      <c r="B131" s="641" t="s">
        <v>37</v>
      </c>
      <c r="C131" s="692" t="str">
        <f>B19</f>
        <v>TRALH2C03</v>
      </c>
      <c r="D131" s="692" t="str">
        <f>C19</f>
        <v>Fuel Tech - H2 Delivery from centralized production (COMP+RTS+CRY+RTS+LIQ+LL)</v>
      </c>
      <c r="E131" s="637" t="s">
        <v>23</v>
      </c>
      <c r="F131" s="638" t="s">
        <v>133</v>
      </c>
      <c r="G131" s="637" t="s">
        <v>230</v>
      </c>
      <c r="H131" s="642"/>
    </row>
    <row r="132" spans="1:13">
      <c r="A132" s="622" t="s">
        <v>605</v>
      </c>
      <c r="B132" s="641" t="s">
        <v>37</v>
      </c>
      <c r="C132" s="692" t="str">
        <f>B22</f>
        <v>TRAGH2C03</v>
      </c>
      <c r="D132" s="692" t="str">
        <f>C22</f>
        <v>Fuel Tech - H2 Delivery from centralized production (COMP+RTS+CRY+RTS+LIQ+LG)</v>
      </c>
      <c r="E132" s="637" t="s">
        <v>23</v>
      </c>
      <c r="F132" s="638" t="s">
        <v>133</v>
      </c>
      <c r="G132" s="637" t="s">
        <v>230</v>
      </c>
      <c r="H132" s="642"/>
    </row>
    <row r="133" spans="1:13">
      <c r="B133" s="641" t="s">
        <v>37</v>
      </c>
      <c r="C133" s="692" t="str">
        <f>B25</f>
        <v>TRALH2C04</v>
      </c>
      <c r="D133" s="692" t="str">
        <f>C25</f>
        <v>Fuel Tech - H2 Delivery from centralized production (COMP+RTS+NH3+RTS+LIQ+LL)</v>
      </c>
      <c r="E133" s="637" t="s">
        <v>23</v>
      </c>
      <c r="F133" s="638" t="s">
        <v>133</v>
      </c>
      <c r="G133" s="637" t="s">
        <v>230</v>
      </c>
      <c r="H133" s="642"/>
    </row>
    <row r="134" spans="1:13">
      <c r="B134" s="641" t="s">
        <v>37</v>
      </c>
      <c r="C134" s="692" t="str">
        <f>B28</f>
        <v>TRAGH2C04</v>
      </c>
      <c r="D134" s="692" t="str">
        <f>C28</f>
        <v>Fuel Tech - H2 Delivery from centralized production (COMP+RTS+NH3+RTS+LIQ+LG)</v>
      </c>
      <c r="E134" s="637" t="s">
        <v>23</v>
      </c>
      <c r="F134" s="638" t="s">
        <v>133</v>
      </c>
      <c r="G134" s="637" t="s">
        <v>230</v>
      </c>
      <c r="H134" s="642"/>
    </row>
    <row r="135" spans="1:13">
      <c r="B135" s="641" t="s">
        <v>37</v>
      </c>
      <c r="C135" s="692" t="str">
        <f>B31</f>
        <v>TRAGH2C05</v>
      </c>
      <c r="D135" s="692" t="str">
        <f>C31</f>
        <v>Fuel Tech - H2 Delivery from centralized production (COMP+TR100+USTOR+RTS+TS+GG)</v>
      </c>
      <c r="E135" s="637" t="s">
        <v>23</v>
      </c>
      <c r="F135" s="638" t="s">
        <v>133</v>
      </c>
      <c r="G135" s="637" t="s">
        <v>230</v>
      </c>
      <c r="H135" s="642"/>
    </row>
    <row r="136" spans="1:13">
      <c r="B136" s="641" t="s">
        <v>37</v>
      </c>
      <c r="C136" s="692" t="str">
        <f>B34</f>
        <v>TRAGH2C06</v>
      </c>
      <c r="D136" s="692" t="str">
        <f>C34</f>
        <v>Fuel Tech - H2 Delivery from centralized production (COMP+TR100+USTOR+RTS+TRUCK+GG)</v>
      </c>
      <c r="E136" s="637" t="s">
        <v>23</v>
      </c>
      <c r="F136" s="638" t="s">
        <v>133</v>
      </c>
      <c r="G136" s="637" t="s">
        <v>230</v>
      </c>
      <c r="H136" s="642"/>
    </row>
    <row r="137" spans="1:13">
      <c r="B137" s="641" t="s">
        <v>37</v>
      </c>
      <c r="C137" s="697" t="str">
        <f>B37</f>
        <v>TRAGH2C07</v>
      </c>
      <c r="D137" s="697" t="str">
        <f>C37</f>
        <v>Fuel Tech - H2 Delivery from centralized production (COMP+TR100+COMP+RTS+TS+GG)</v>
      </c>
      <c r="E137" s="637" t="s">
        <v>23</v>
      </c>
      <c r="F137" s="638" t="s">
        <v>133</v>
      </c>
      <c r="G137" s="637" t="s">
        <v>230</v>
      </c>
      <c r="H137" s="642"/>
    </row>
    <row r="138" spans="1:13">
      <c r="B138" s="641" t="s">
        <v>37</v>
      </c>
      <c r="C138" s="697" t="str">
        <f>B40</f>
        <v>TRAGH2C08</v>
      </c>
      <c r="D138" s="697" t="str">
        <f>C40</f>
        <v>Fuel Tech - H2 Delivery from centralized production (COMP+TR100+COMP+RTS+TRUCK+GG)</v>
      </c>
      <c r="E138" s="637" t="s">
        <v>23</v>
      </c>
      <c r="F138" s="638" t="s">
        <v>133</v>
      </c>
      <c r="G138" s="637" t="s">
        <v>230</v>
      </c>
      <c r="H138" s="642"/>
    </row>
    <row r="139" spans="1:13">
      <c r="A139" s="622" t="s">
        <v>605</v>
      </c>
      <c r="B139" s="641" t="s">
        <v>37</v>
      </c>
      <c r="C139" s="697" t="str">
        <f>B43</f>
        <v>TRAGH2C9</v>
      </c>
      <c r="D139" s="697" t="str">
        <f>C43</f>
        <v>Fuel Tech - H2 Delivery from centralized production (COMP+TR100+CRY+RTS+TS+GG)</v>
      </c>
      <c r="E139" s="637" t="s">
        <v>23</v>
      </c>
      <c r="F139" s="638" t="s">
        <v>133</v>
      </c>
      <c r="G139" s="637" t="s">
        <v>230</v>
      </c>
      <c r="H139" s="642"/>
    </row>
    <row r="140" spans="1:13">
      <c r="A140" s="622" t="s">
        <v>605</v>
      </c>
      <c r="B140" s="641" t="s">
        <v>37</v>
      </c>
      <c r="C140" s="819" t="str">
        <f>B46</f>
        <v>TRAGH2C10</v>
      </c>
      <c r="D140" s="819" t="str">
        <f>C46</f>
        <v>Fuel Tech - H2 Delivery from centralized production (COMP+TR100+CRY+RTS+TRUCK+GG)</v>
      </c>
      <c r="E140" s="637" t="s">
        <v>23</v>
      </c>
      <c r="F140" s="638" t="s">
        <v>133</v>
      </c>
      <c r="G140" s="637" t="s">
        <v>230</v>
      </c>
      <c r="H140" s="642"/>
    </row>
    <row r="141" spans="1:13">
      <c r="B141" s="641" t="s">
        <v>37</v>
      </c>
      <c r="C141" s="697" t="str">
        <f>B49</f>
        <v>TRAGH2C11</v>
      </c>
      <c r="D141" s="697" t="str">
        <f>C49</f>
        <v>Fuel Tech - H2 Delivery from centralized production (COMP+TR100+NH3+RTS+TS+GG)</v>
      </c>
      <c r="E141" s="637" t="s">
        <v>23</v>
      </c>
      <c r="F141" s="638" t="s">
        <v>133</v>
      </c>
      <c r="G141" s="637" t="s">
        <v>230</v>
      </c>
      <c r="H141" s="642"/>
    </row>
    <row r="142" spans="1:13">
      <c r="B142" s="641" t="s">
        <v>37</v>
      </c>
      <c r="C142" s="692" t="str">
        <f>B52</f>
        <v>TRAGH2C10</v>
      </c>
      <c r="D142" s="692" t="str">
        <f>C52</f>
        <v>Fuel Tech - H2 Delivery from centralized production (COMP+TR100+CRY+RTS+TRUCK+GG)</v>
      </c>
      <c r="E142" s="637" t="s">
        <v>23</v>
      </c>
      <c r="F142" s="638" t="s">
        <v>133</v>
      </c>
      <c r="G142" s="637" t="s">
        <v>230</v>
      </c>
      <c r="H142" s="642"/>
      <c r="J142" s="206"/>
    </row>
    <row r="143" spans="1:13">
      <c r="B143" s="641" t="s">
        <v>37</v>
      </c>
      <c r="C143" s="692" t="str">
        <f>B55</f>
        <v>TRAGH2C11</v>
      </c>
      <c r="D143" s="692" t="str">
        <f>C55</f>
        <v>Fuel Tech - H2 Delivery from centralized production (COMP+TR100+NH3+RTS+TS+GG)</v>
      </c>
      <c r="E143" s="637" t="s">
        <v>23</v>
      </c>
      <c r="F143" s="638" t="s">
        <v>133</v>
      </c>
      <c r="G143" s="637" t="s">
        <v>230</v>
      </c>
      <c r="H143" s="642"/>
    </row>
    <row r="144" spans="1:13">
      <c r="B144" s="641" t="s">
        <v>37</v>
      </c>
      <c r="C144" s="692" t="str">
        <f>B58</f>
        <v>TRAGH2C12</v>
      </c>
      <c r="D144" s="692" t="str">
        <f>C58</f>
        <v>Fuel Tech - H2 Delivery from centralized production (COMP+TR100+NH3+RTS+TRUCK+GG)</v>
      </c>
      <c r="E144" s="637" t="s">
        <v>23</v>
      </c>
      <c r="F144" s="638" t="s">
        <v>133</v>
      </c>
      <c r="G144" s="637" t="s">
        <v>230</v>
      </c>
      <c r="H144" s="642"/>
    </row>
    <row r="145" spans="1:11">
      <c r="B145" s="641" t="s">
        <v>37</v>
      </c>
      <c r="C145" s="692" t="str">
        <f>B61</f>
        <v>TRALH2D01</v>
      </c>
      <c r="D145" s="692" t="str">
        <f>C61</f>
        <v>Fuel Tech - H2 Delivery from decentralized production (COMP+RTS+LIQ+LIQST+LL)</v>
      </c>
      <c r="E145" s="637" t="s">
        <v>23</v>
      </c>
      <c r="F145" s="638" t="s">
        <v>133</v>
      </c>
      <c r="G145" s="637" t="s">
        <v>230</v>
      </c>
      <c r="H145" s="642"/>
    </row>
    <row r="146" spans="1:11">
      <c r="B146" s="641" t="s">
        <v>37</v>
      </c>
      <c r="C146" s="697" t="str">
        <f>B64</f>
        <v>TRALH2D02</v>
      </c>
      <c r="D146" s="697" t="str">
        <f>C64</f>
        <v>Fuel Tech - H2 Delivery from decentralized production (COMP+RTS+LIQ+LIQST+LG)</v>
      </c>
      <c r="E146" s="637" t="s">
        <v>23</v>
      </c>
      <c r="F146" s="638" t="s">
        <v>133</v>
      </c>
      <c r="G146" s="637" t="s">
        <v>230</v>
      </c>
      <c r="H146" s="642"/>
    </row>
    <row r="147" spans="1:11">
      <c r="B147" s="641" t="s">
        <v>37</v>
      </c>
      <c r="C147" s="692" t="str">
        <f>B67</f>
        <v>TRAGH2D01</v>
      </c>
      <c r="D147" s="692" t="str">
        <f>C67</f>
        <v>Fuel Tech - H2 Delivery from decentralized production (COMP+RTS+LIQ+TS+GG)</v>
      </c>
      <c r="E147" s="637" t="s">
        <v>23</v>
      </c>
      <c r="F147" s="638" t="s">
        <v>133</v>
      </c>
      <c r="G147" s="637" t="s">
        <v>230</v>
      </c>
      <c r="H147" s="642"/>
    </row>
    <row r="148" spans="1:11">
      <c r="B148" s="641" t="s">
        <v>37</v>
      </c>
      <c r="C148" s="692" t="str">
        <f>B70</f>
        <v>TRAGH2D02</v>
      </c>
      <c r="D148" s="692" t="str">
        <f>C70</f>
        <v>Fuel Tech - H2 Delivery from decentralized production (COMP+RTS+LIQ+TRUC+GG)</v>
      </c>
      <c r="E148" s="637" t="s">
        <v>23</v>
      </c>
      <c r="F148" s="638" t="s">
        <v>133</v>
      </c>
      <c r="G148" s="637" t="s">
        <v>230</v>
      </c>
      <c r="H148" s="642"/>
    </row>
    <row r="149" spans="1:11">
      <c r="B149" s="641" t="s">
        <v>37</v>
      </c>
      <c r="C149" s="697" t="str">
        <f>B73</f>
        <v>TRALH2C05</v>
      </c>
      <c r="D149" s="697" t="str">
        <f>C73</f>
        <v>Fuel Tech - H2 Delivery from centralized production (COMP+TR100+USTOR+RCRY+LIQ+LL)</v>
      </c>
      <c r="E149" s="637" t="s">
        <v>23</v>
      </c>
      <c r="F149" s="638" t="s">
        <v>133</v>
      </c>
      <c r="G149" s="637" t="s">
        <v>230</v>
      </c>
      <c r="H149" s="642"/>
      <c r="K149" s="206"/>
    </row>
    <row r="150" spans="1:11">
      <c r="B150" s="641" t="s">
        <v>37</v>
      </c>
      <c r="C150" s="697" t="str">
        <f>B76</f>
        <v>TRAGH2C013</v>
      </c>
      <c r="D150" s="697" t="str">
        <f>C76</f>
        <v>Fuel Tech - H2 Delivery from centralized production (COMP+TR100+USTOR+RCRY+LIQ+LG)</v>
      </c>
      <c r="E150" s="637" t="s">
        <v>23</v>
      </c>
      <c r="F150" s="638" t="s">
        <v>133</v>
      </c>
      <c r="G150" s="637" t="s">
        <v>230</v>
      </c>
      <c r="H150" s="642"/>
    </row>
    <row r="151" spans="1:11">
      <c r="A151" s="622" t="s">
        <v>605</v>
      </c>
      <c r="B151" s="641" t="s">
        <v>37</v>
      </c>
      <c r="C151" s="692" t="str">
        <f>B79</f>
        <v>TRALH2C06</v>
      </c>
      <c r="D151" s="692" t="str">
        <f>C79</f>
        <v>Fuel Tech - H2 Delivery from centralized production (COMP+TR+COMP+RCRY+LIQ+LL)</v>
      </c>
      <c r="E151" s="637" t="s">
        <v>23</v>
      </c>
      <c r="F151" s="638" t="s">
        <v>133</v>
      </c>
      <c r="G151" s="637" t="s">
        <v>230</v>
      </c>
      <c r="H151" s="642"/>
    </row>
    <row r="152" spans="1:11">
      <c r="A152" s="622" t="s">
        <v>605</v>
      </c>
      <c r="B152" s="641" t="s">
        <v>37</v>
      </c>
      <c r="C152" s="692" t="str">
        <f>B82</f>
        <v>TRAGH2C014</v>
      </c>
      <c r="D152" s="692" t="str">
        <f>C82</f>
        <v>Fuel Tech - H2 Delivery from centralized production (COMP++TR+COMP+RCRY+LIQ+LG)</v>
      </c>
      <c r="E152" s="637" t="s">
        <v>23</v>
      </c>
      <c r="F152" s="638" t="s">
        <v>133</v>
      </c>
      <c r="G152" s="637" t="s">
        <v>230</v>
      </c>
      <c r="H152" s="642"/>
    </row>
    <row r="153" spans="1:11">
      <c r="B153" s="641" t="s">
        <v>37</v>
      </c>
      <c r="C153" s="692" t="str">
        <f>B85</f>
        <v>TRALH2C07</v>
      </c>
      <c r="D153" s="692" t="str">
        <f>C85</f>
        <v>Fuel Tech - H2 Delivery from centralized production (COMP+TR+CRY+RCRY+LIQ+LL)</v>
      </c>
      <c r="E153" s="637" t="s">
        <v>23</v>
      </c>
      <c r="F153" s="638" t="s">
        <v>133</v>
      </c>
      <c r="G153" s="637" t="s">
        <v>230</v>
      </c>
      <c r="H153" s="642"/>
    </row>
    <row r="154" spans="1:11">
      <c r="B154" s="641" t="s">
        <v>37</v>
      </c>
      <c r="C154" s="697" t="str">
        <f>B88</f>
        <v>TRAGH2C015</v>
      </c>
      <c r="D154" s="697" t="str">
        <f>C88</f>
        <v>Fuel Tech - H2 Delivery from centralized production (COMP+TR+CRY+RCRY+LIQ+LG)</v>
      </c>
      <c r="E154" s="637" t="s">
        <v>23</v>
      </c>
      <c r="F154" s="638" t="s">
        <v>133</v>
      </c>
      <c r="G154" s="637" t="s">
        <v>230</v>
      </c>
      <c r="H154" s="642"/>
    </row>
    <row r="155" spans="1:11">
      <c r="A155" s="622" t="s">
        <v>605</v>
      </c>
      <c r="B155" s="641" t="s">
        <v>37</v>
      </c>
      <c r="C155" s="692" t="str">
        <f>B91</f>
        <v>TRALH2C08</v>
      </c>
      <c r="D155" s="692" t="str">
        <f>C91</f>
        <v>Fuel Tech - H2 Delivery from centralized production (COMP+TR+NH3+RCRY+LIQ+LL)</v>
      </c>
      <c r="E155" s="637" t="s">
        <v>23</v>
      </c>
      <c r="F155" s="638" t="s">
        <v>133</v>
      </c>
      <c r="G155" s="637" t="s">
        <v>230</v>
      </c>
      <c r="H155" s="642"/>
    </row>
    <row r="156" spans="1:11">
      <c r="A156" s="622" t="s">
        <v>605</v>
      </c>
      <c r="B156" s="641" t="s">
        <v>37</v>
      </c>
      <c r="C156" s="692" t="str">
        <f>B94</f>
        <v>TRAGH2C16</v>
      </c>
      <c r="D156" s="692" t="str">
        <f>C94</f>
        <v>Fuel Tech - H2 Delivery from centralized production (COMP+TR+NH3+RCRY+LIQ+LG)</v>
      </c>
      <c r="E156" s="637" t="s">
        <v>23</v>
      </c>
      <c r="F156" s="638" t="s">
        <v>133</v>
      </c>
      <c r="G156" s="637" t="s">
        <v>230</v>
      </c>
      <c r="H156" s="642"/>
    </row>
    <row r="157" spans="1:11">
      <c r="A157" s="622" t="s">
        <v>605</v>
      </c>
      <c r="B157" s="641" t="s">
        <v>37</v>
      </c>
      <c r="C157" s="697" t="str">
        <f>B97</f>
        <v>TRALH2C9</v>
      </c>
      <c r="D157" s="697" t="str">
        <f>C97</f>
        <v>Fuel Tech - H2 Delivery from centralized production (COMP+TR+DIST+RCRY+LIQ+LL)</v>
      </c>
      <c r="E157" s="637" t="s">
        <v>23</v>
      </c>
      <c r="F157" s="638" t="s">
        <v>133</v>
      </c>
      <c r="G157" s="637" t="s">
        <v>230</v>
      </c>
      <c r="H157" s="642"/>
      <c r="K157" s="206"/>
    </row>
    <row r="158" spans="1:11">
      <c r="A158" s="622" t="s">
        <v>605</v>
      </c>
      <c r="B158" s="641" t="s">
        <v>37</v>
      </c>
      <c r="C158" s="697" t="str">
        <f>B100</f>
        <v>TRAGH2C17</v>
      </c>
      <c r="D158" s="697" t="str">
        <f>C100</f>
        <v>Fuel Tech - H2 Delivery from centralized production (COMP+TR+DIST+RCRY+LIQ+LG)</v>
      </c>
      <c r="E158" s="637" t="s">
        <v>23</v>
      </c>
      <c r="F158" s="638" t="s">
        <v>133</v>
      </c>
      <c r="G158" s="637" t="s">
        <v>230</v>
      </c>
      <c r="H158" s="642"/>
    </row>
    <row r="159" spans="1:11">
      <c r="B159" s="641" t="s">
        <v>37</v>
      </c>
      <c r="C159" s="697" t="str">
        <f>B103</f>
        <v>TRALH2D03</v>
      </c>
      <c r="D159" s="697" t="str">
        <f>C103</f>
        <v>Fuel Tech - H2 Delivery from decentralized production (COMP+LIQ+RCRY+LL)</v>
      </c>
      <c r="E159" s="637" t="s">
        <v>23</v>
      </c>
      <c r="F159" s="638" t="s">
        <v>133</v>
      </c>
      <c r="G159" s="637" t="s">
        <v>230</v>
      </c>
      <c r="H159" s="642"/>
    </row>
    <row r="160" spans="1:11">
      <c r="B160" s="641" t="s">
        <v>37</v>
      </c>
      <c r="C160" s="697" t="str">
        <f>B106</f>
        <v>TRAGH2D04</v>
      </c>
      <c r="D160" s="697" t="str">
        <f>C106</f>
        <v>Fuel Tech - H2 Delivery from decentralized production (COMP+LIQ+RCRY+LG)</v>
      </c>
      <c r="E160" s="637" t="s">
        <v>23</v>
      </c>
      <c r="F160" s="638" t="s">
        <v>133</v>
      </c>
      <c r="G160" s="637" t="s">
        <v>230</v>
      </c>
      <c r="H160" s="642"/>
    </row>
    <row r="161" spans="1:11">
      <c r="B161" s="641" t="s">
        <v>37</v>
      </c>
      <c r="C161" s="692" t="str">
        <f>B109</f>
        <v>TRALH2M01</v>
      </c>
      <c r="D161" s="692" t="str">
        <f>C109</f>
        <v>Fuel Tech - H2 Delivery from Microdecentralized production (COMP+LIQ+LL)</v>
      </c>
      <c r="E161" s="637" t="s">
        <v>23</v>
      </c>
      <c r="F161" s="638" t="s">
        <v>133</v>
      </c>
      <c r="G161" s="637" t="s">
        <v>230</v>
      </c>
      <c r="H161" s="642"/>
    </row>
    <row r="162" spans="1:11">
      <c r="B162" s="641" t="s">
        <v>37</v>
      </c>
      <c r="C162" s="692" t="str">
        <f>B112</f>
        <v>TRALH2M02</v>
      </c>
      <c r="D162" s="692" t="str">
        <f>C112</f>
        <v>Fuel Tech - H2 Delivery from Microdecentralized production (COMP+LIQ+LG)</v>
      </c>
      <c r="E162" s="637" t="s">
        <v>23</v>
      </c>
      <c r="F162" s="638" t="s">
        <v>133</v>
      </c>
      <c r="G162" s="637" t="s">
        <v>230</v>
      </c>
      <c r="H162" s="642"/>
    </row>
    <row r="163" spans="1:11">
      <c r="B163" s="641" t="s">
        <v>37</v>
      </c>
      <c r="C163" s="697" t="str">
        <f>B115</f>
        <v>TRAGH2M01</v>
      </c>
      <c r="D163" s="697" t="str">
        <f>C115</f>
        <v>Fuel Tech - H2 Delivery from Microdecentralized production (COMP+CRY+ST+GG)</v>
      </c>
      <c r="E163" s="637" t="s">
        <v>23</v>
      </c>
      <c r="F163" s="638" t="s">
        <v>133</v>
      </c>
      <c r="G163" s="637" t="s">
        <v>230</v>
      </c>
      <c r="H163" s="642"/>
      <c r="K163" s="206"/>
    </row>
    <row r="164" spans="1:11">
      <c r="B164" s="641" t="s">
        <v>37</v>
      </c>
      <c r="C164" s="697" t="str">
        <f>B118</f>
        <v>TRAGH2M02</v>
      </c>
      <c r="D164" s="697" t="str">
        <f>C118</f>
        <v>Fuel Tech - H2 Delivery from Microdecentralized production (COMP+CRY+TRUCK+GG)</v>
      </c>
      <c r="E164" s="637" t="s">
        <v>23</v>
      </c>
      <c r="F164" s="638" t="s">
        <v>133</v>
      </c>
      <c r="G164" s="637" t="s">
        <v>230</v>
      </c>
      <c r="H164" s="642"/>
    </row>
    <row r="165" spans="1:11">
      <c r="A165" s="641"/>
      <c r="B165" s="697"/>
      <c r="C165" s="697"/>
      <c r="D165" s="637"/>
      <c r="E165" s="638"/>
      <c r="F165" s="637"/>
      <c r="G165" s="642"/>
    </row>
    <row r="166" spans="1:11">
      <c r="A166" s="641"/>
      <c r="B166" s="697"/>
      <c r="C166" s="697"/>
      <c r="D166" s="637"/>
      <c r="E166" s="638"/>
      <c r="F166" s="637"/>
      <c r="G166" s="642"/>
    </row>
    <row r="167" spans="1:11">
      <c r="A167" s="641"/>
      <c r="B167" s="697"/>
      <c r="C167" s="697"/>
      <c r="D167" s="637"/>
      <c r="E167" s="638"/>
      <c r="F167" s="637"/>
      <c r="G167" s="642"/>
    </row>
    <row r="168" spans="1:11">
      <c r="A168" s="641"/>
      <c r="B168" s="697"/>
      <c r="C168" s="697"/>
      <c r="D168" s="637"/>
      <c r="E168" s="638"/>
      <c r="F168" s="637"/>
      <c r="G168" s="642"/>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C783A-1CF1-4F30-B87F-01B6ED5B3F1E}">
  <sheetPr codeName="Sheet15">
    <tabColor rgb="FFFFFF00"/>
  </sheetPr>
  <dimension ref="A1:U193"/>
  <sheetViews>
    <sheetView workbookViewId="0"/>
  </sheetViews>
  <sheetFormatPr defaultColWidth="8.7265625" defaultRowHeight="13"/>
  <cols>
    <col min="1" max="1" width="8.7265625" style="622"/>
    <col min="2" max="2" width="12.7265625" style="622" customWidth="1"/>
    <col min="3" max="3" width="59.7265625" style="622" bestFit="1" customWidth="1"/>
    <col min="4" max="4" width="9.54296875" style="622" customWidth="1"/>
    <col min="5" max="5" width="2.7265625" style="622" customWidth="1"/>
    <col min="6" max="6" width="8.40625" style="622" customWidth="1"/>
    <col min="7" max="7" width="13.86328125" style="878" bestFit="1" customWidth="1"/>
    <col min="8" max="8" width="8.7265625" style="622"/>
    <col min="9" max="9" width="9.26953125" style="849" bestFit="1" customWidth="1"/>
    <col min="10" max="10" width="8.86328125" style="622" bestFit="1" customWidth="1"/>
    <col min="11" max="12" width="9.26953125" style="622" bestFit="1" customWidth="1"/>
    <col min="13" max="13" width="8.86328125" style="622" bestFit="1" customWidth="1"/>
    <col min="14" max="15" width="9.26953125" style="622" bestFit="1" customWidth="1"/>
    <col min="16" max="16" width="8.86328125" style="622" bestFit="1" customWidth="1"/>
    <col min="17" max="18" width="9.26953125" style="622" bestFit="1" customWidth="1"/>
    <col min="19" max="19" width="8.86328125" style="622" bestFit="1" customWidth="1"/>
    <col min="20" max="20" width="9.40625" style="622" bestFit="1" customWidth="1"/>
    <col min="21" max="21" width="8.86328125" style="622" bestFit="1" customWidth="1"/>
    <col min="22" max="16384" width="8.7265625" style="622"/>
  </cols>
  <sheetData>
    <row r="1" spans="1:21" ht="23">
      <c r="A1" s="481" t="s">
        <v>132</v>
      </c>
      <c r="D1" s="481" t="s">
        <v>398</v>
      </c>
      <c r="F1" s="622">
        <v>0.76885081447747605</v>
      </c>
      <c r="G1" s="878">
        <v>2000</v>
      </c>
    </row>
    <row r="4" spans="1:21">
      <c r="B4" s="624"/>
      <c r="C4" s="624"/>
      <c r="D4" s="624"/>
      <c r="E4" s="624"/>
      <c r="F4" s="626"/>
      <c r="G4" s="68"/>
      <c r="H4" s="625"/>
      <c r="I4" s="681"/>
      <c r="J4" s="624"/>
      <c r="K4" s="624"/>
      <c r="L4" s="624"/>
      <c r="S4" s="624"/>
      <c r="T4" s="624"/>
    </row>
    <row r="5" spans="1:21" ht="26">
      <c r="B5" s="623" t="s">
        <v>0</v>
      </c>
      <c r="C5" s="636" t="s">
        <v>103</v>
      </c>
      <c r="D5" s="623" t="s">
        <v>2</v>
      </c>
      <c r="E5" s="623" t="s">
        <v>223</v>
      </c>
      <c r="F5" s="623" t="s">
        <v>3</v>
      </c>
      <c r="G5" s="879" t="s">
        <v>28</v>
      </c>
      <c r="H5" s="40" t="s">
        <v>36</v>
      </c>
      <c r="I5" s="40" t="s">
        <v>38</v>
      </c>
      <c r="J5" s="40" t="s">
        <v>44</v>
      </c>
      <c r="K5" s="40" t="s">
        <v>94</v>
      </c>
      <c r="L5" s="40" t="s">
        <v>236</v>
      </c>
      <c r="M5" s="40" t="s">
        <v>96</v>
      </c>
      <c r="N5" s="40" t="s">
        <v>98</v>
      </c>
      <c r="O5" s="40" t="s">
        <v>237</v>
      </c>
      <c r="P5" s="40" t="s">
        <v>21</v>
      </c>
      <c r="Q5" s="40" t="s">
        <v>99</v>
      </c>
      <c r="R5" s="40" t="s">
        <v>100</v>
      </c>
      <c r="S5" s="40" t="s">
        <v>32</v>
      </c>
      <c r="T5" s="40" t="s">
        <v>102</v>
      </c>
      <c r="U5" s="40" t="s">
        <v>31</v>
      </c>
    </row>
    <row r="6" spans="1:21" ht="13.4" customHeight="1">
      <c r="B6" s="217" t="s">
        <v>25</v>
      </c>
      <c r="C6" s="217" t="s">
        <v>15</v>
      </c>
      <c r="D6" s="217" t="s">
        <v>19</v>
      </c>
      <c r="E6" s="217"/>
      <c r="F6" s="217" t="s">
        <v>20</v>
      </c>
      <c r="G6" s="880"/>
      <c r="H6" s="218"/>
      <c r="I6" s="218"/>
      <c r="J6" s="218" t="s">
        <v>397</v>
      </c>
      <c r="K6" s="218" t="s">
        <v>397</v>
      </c>
      <c r="L6" s="218" t="s">
        <v>397</v>
      </c>
      <c r="M6" s="218" t="s">
        <v>397</v>
      </c>
      <c r="N6" s="218" t="s">
        <v>397</v>
      </c>
      <c r="O6" s="218" t="s">
        <v>397</v>
      </c>
      <c r="P6" s="218" t="s">
        <v>35</v>
      </c>
      <c r="Q6" s="218" t="s">
        <v>35</v>
      </c>
      <c r="R6" s="218" t="s">
        <v>35</v>
      </c>
      <c r="S6" s="218" t="s">
        <v>34</v>
      </c>
      <c r="T6" s="218"/>
      <c r="U6" s="218"/>
    </row>
    <row r="7" spans="1:21" s="274" customFormat="1">
      <c r="B7" s="697" t="s">
        <v>342</v>
      </c>
      <c r="C7" s="697" t="s">
        <v>967</v>
      </c>
      <c r="D7" s="697" t="s">
        <v>621</v>
      </c>
      <c r="E7" s="697"/>
      <c r="F7" s="822"/>
      <c r="G7" s="886">
        <v>1</v>
      </c>
      <c r="H7" s="823"/>
      <c r="I7" s="876" t="e">
        <f>IF(#REF!="SYNH2UG",1,0.98)</f>
        <v>#REF!</v>
      </c>
      <c r="J7" s="796">
        <f>SUMIF('H2 matriz'!$3:$3,$B7,'H2 matriz'!$59:$59)</f>
        <v>0</v>
      </c>
      <c r="K7" s="796">
        <f>SUMIF('H2 matriz'!$3:$3,$B7,'H2 matriz'!$60:$60)</f>
        <v>0</v>
      </c>
      <c r="L7" s="796">
        <f>SUMIF('H2 matriz'!$3:$3,$B7,'H2 matriz'!$61:$61)</f>
        <v>0</v>
      </c>
      <c r="M7" s="796">
        <f>SUMIF('H2 matriz'!$3:$3,$B7,'H2 matriz'!$62:$62)</f>
        <v>0</v>
      </c>
      <c r="N7" s="826"/>
      <c r="O7" s="826"/>
      <c r="P7" s="826"/>
      <c r="Q7" s="826"/>
      <c r="R7" s="826"/>
      <c r="S7" s="827">
        <v>50</v>
      </c>
      <c r="T7" s="827">
        <f>'INPUT-Data(HD)'!V99</f>
        <v>0</v>
      </c>
      <c r="U7" s="828">
        <v>1</v>
      </c>
    </row>
    <row r="8" spans="1:21" s="274" customFormat="1">
      <c r="B8" s="697"/>
      <c r="C8" s="697"/>
      <c r="D8" s="697" t="s">
        <v>339</v>
      </c>
      <c r="E8" s="697"/>
      <c r="F8" s="697"/>
      <c r="G8" s="825">
        <f>SUMIF('H2 matriz'!$3:$3,$B7,'H2 matriz'!$58:$58)</f>
        <v>0</v>
      </c>
      <c r="H8" s="823"/>
      <c r="I8" s="824"/>
      <c r="J8" s="897"/>
      <c r="K8" s="825"/>
      <c r="L8" s="825"/>
      <c r="M8" s="825"/>
      <c r="N8" s="826"/>
      <c r="O8" s="826"/>
      <c r="P8" s="826"/>
      <c r="Q8" s="826"/>
      <c r="R8" s="826"/>
      <c r="S8" s="827"/>
      <c r="T8" s="827"/>
      <c r="U8" s="822"/>
    </row>
    <row r="9" spans="1:21" s="274" customFormat="1">
      <c r="B9" s="697"/>
      <c r="C9" s="697"/>
      <c r="D9" s="697"/>
      <c r="E9" s="697"/>
      <c r="F9" s="697" t="s">
        <v>171</v>
      </c>
      <c r="G9" s="825"/>
      <c r="H9" s="823">
        <v>1</v>
      </c>
      <c r="I9" s="824"/>
      <c r="J9" s="897"/>
      <c r="K9" s="825"/>
      <c r="L9" s="825"/>
      <c r="M9" s="825"/>
      <c r="N9" s="826"/>
      <c r="O9" s="826"/>
      <c r="P9" s="826"/>
      <c r="Q9" s="826"/>
      <c r="R9" s="826"/>
      <c r="S9" s="827"/>
      <c r="T9" s="827"/>
      <c r="U9" s="822"/>
    </row>
    <row r="10" spans="1:21" s="274" customFormat="1">
      <c r="B10" s="697" t="str">
        <f>'H2 matriz'!$AN$3</f>
        <v>RSDGH2C01</v>
      </c>
      <c r="C10" s="697" t="str">
        <f>'H2 matriz'!$AN$2</f>
        <v>Fuel Tech - H2 Delivery from centralized production (USTOR+T100)</v>
      </c>
      <c r="D10" s="16" t="s">
        <v>663</v>
      </c>
      <c r="E10" s="697"/>
      <c r="F10" s="822"/>
      <c r="G10" s="886">
        <v>1</v>
      </c>
      <c r="H10" s="823"/>
      <c r="I10" s="876">
        <f>IF(D10="SYNH2UG",1,0.98)</f>
        <v>1</v>
      </c>
      <c r="J10" s="796">
        <f>SUMIF('H2 matriz'!$3:$3,$B10,'H2 matriz'!$59:$59)</f>
        <v>4.6605956997734923</v>
      </c>
      <c r="K10" s="796">
        <f>SUMIF('H2 matriz'!$3:$3,$B10,'H2 matriz'!$60:$60)</f>
        <v>4.6605956997734923</v>
      </c>
      <c r="L10" s="796">
        <f>SUMIF('H2 matriz'!$3:$3,$B10,'H2 matriz'!$61:$61)</f>
        <v>4.6605956997734923</v>
      </c>
      <c r="M10" s="796">
        <f>SUMIF('H2 matriz'!$3:$3,$B10,'H2 matriz'!$62:$62)</f>
        <v>0.11099122351682798</v>
      </c>
      <c r="N10" s="826"/>
      <c r="O10" s="826"/>
      <c r="P10" s="826"/>
      <c r="Q10" s="826"/>
      <c r="R10" s="826"/>
      <c r="S10" s="827">
        <v>50</v>
      </c>
      <c r="T10" s="827">
        <f>'INPUT-Data(HD)'!V103</f>
        <v>0</v>
      </c>
      <c r="U10" s="828">
        <v>1</v>
      </c>
    </row>
    <row r="11" spans="1:21" s="274" customFormat="1">
      <c r="B11" s="697"/>
      <c r="C11" s="697"/>
      <c r="D11" s="697" t="s">
        <v>621</v>
      </c>
      <c r="E11" s="697"/>
      <c r="F11" s="697"/>
      <c r="G11" s="825">
        <f>SUMIF('H2 matriz'!$3:$3,$B10,'H2 matriz'!$58:$58)</f>
        <v>0</v>
      </c>
      <c r="H11" s="823"/>
      <c r="I11" s="824"/>
      <c r="J11" s="897"/>
      <c r="K11" s="825"/>
      <c r="L11" s="825"/>
      <c r="M11" s="825"/>
      <c r="N11" s="826"/>
      <c r="O11" s="826"/>
      <c r="P11" s="826"/>
      <c r="Q11" s="826"/>
      <c r="R11" s="826"/>
      <c r="S11" s="827"/>
      <c r="T11" s="827"/>
      <c r="U11" s="822"/>
    </row>
    <row r="12" spans="1:21" s="274" customFormat="1">
      <c r="B12" s="697"/>
      <c r="C12" s="697"/>
      <c r="D12" s="697" t="s">
        <v>339</v>
      </c>
      <c r="E12" s="697"/>
      <c r="F12" s="697"/>
      <c r="G12" s="825">
        <f>SUMIF('H2 matriz'!$3:$3,$B10,'H2 matriz'!$57:$57)</f>
        <v>3.3000000000000002E-2</v>
      </c>
      <c r="H12" s="823"/>
      <c r="I12" s="824"/>
      <c r="J12" s="897"/>
      <c r="K12" s="825"/>
      <c r="L12" s="825"/>
      <c r="M12" s="825"/>
      <c r="N12" s="826"/>
      <c r="O12" s="826"/>
      <c r="P12" s="826"/>
      <c r="Q12" s="826"/>
      <c r="R12" s="826"/>
      <c r="S12" s="827"/>
      <c r="T12" s="827"/>
      <c r="U12" s="822"/>
    </row>
    <row r="13" spans="1:21" s="274" customFormat="1">
      <c r="B13" s="697"/>
      <c r="C13" s="697"/>
      <c r="D13" s="697"/>
      <c r="E13" s="697"/>
      <c r="F13" s="697" t="s">
        <v>171</v>
      </c>
      <c r="G13" s="825"/>
      <c r="H13" s="823">
        <v>1</v>
      </c>
      <c r="I13" s="824"/>
      <c r="J13" s="897"/>
      <c r="K13" s="825"/>
      <c r="L13" s="825"/>
      <c r="M13" s="825"/>
      <c r="N13" s="826"/>
      <c r="O13" s="826"/>
      <c r="P13" s="826"/>
      <c r="Q13" s="826"/>
      <c r="R13" s="826"/>
      <c r="S13" s="827"/>
      <c r="T13" s="827"/>
      <c r="U13" s="822"/>
    </row>
    <row r="14" spans="1:21" s="887" customFormat="1">
      <c r="B14" s="887" t="str">
        <f>'H2 matriz'!$AO$3</f>
        <v>RSDGH2C02</v>
      </c>
      <c r="C14" s="887" t="str">
        <f>'H2 matriz'!$AO$2</f>
        <v>Fuel Tech - H2 Delivery from centralized production (USTOR+T100+RTS)</v>
      </c>
      <c r="D14" s="888" t="s">
        <v>663</v>
      </c>
      <c r="E14" s="889"/>
      <c r="G14" s="892">
        <v>1</v>
      </c>
      <c r="H14" s="891"/>
      <c r="I14" s="876">
        <f>IF(D14="SYNH2UG",1,0.98)</f>
        <v>1</v>
      </c>
      <c r="J14" s="890">
        <f>SUMIF('H2 matriz'!$3:$3,$B14,'H2 matriz'!$59:$59)</f>
        <v>7.270529291646648</v>
      </c>
      <c r="K14" s="890">
        <f>SUMIF('H2 matriz'!$3:$3,$B14,'H2 matriz'!$60:$60)</f>
        <v>7.270529291646648</v>
      </c>
      <c r="L14" s="890">
        <f>SUMIF('H2 matriz'!$3:$3,$B14,'H2 matriz'!$61:$61)</f>
        <v>7.270529291646648</v>
      </c>
      <c r="M14" s="890">
        <f>SUMIF('H2 matriz'!$3:$3,$B14,'H2 matriz'!$62:$62)</f>
        <v>0.14675698014620087</v>
      </c>
      <c r="S14" s="887">
        <v>50</v>
      </c>
      <c r="T14" s="887">
        <f>'INPUT-Data(HD)'!V106</f>
        <v>0</v>
      </c>
      <c r="U14" s="887">
        <v>1</v>
      </c>
    </row>
    <row r="15" spans="1:21" s="840" customFormat="1">
      <c r="D15" s="841" t="s">
        <v>339</v>
      </c>
      <c r="E15" s="841"/>
      <c r="F15" s="841"/>
      <c r="G15" s="882">
        <f>'H2 matriz'!DX$21</f>
        <v>3.3000000000000002E-2</v>
      </c>
      <c r="H15" s="842"/>
      <c r="I15" s="850"/>
      <c r="J15" s="898"/>
      <c r="K15" s="898"/>
      <c r="L15" s="898"/>
      <c r="M15" s="898"/>
    </row>
    <row r="16" spans="1:21" s="843" customFormat="1">
      <c r="D16" s="844"/>
      <c r="E16" s="844"/>
      <c r="F16" s="844" t="s">
        <v>171</v>
      </c>
      <c r="G16" s="883"/>
      <c r="H16" s="845">
        <v>1</v>
      </c>
      <c r="I16" s="851"/>
      <c r="J16" s="899"/>
      <c r="K16" s="899"/>
      <c r="L16" s="899"/>
      <c r="M16" s="899"/>
    </row>
    <row r="17" spans="2:21" s="274" customFormat="1">
      <c r="B17" s="697" t="str">
        <f>'H2 matriz'!$AP$3</f>
        <v>RSDGH2C03</v>
      </c>
      <c r="C17" s="697" t="str">
        <f>'H2 matriz'!$AP$2</f>
        <v>Fuel Tech - H2 Delivery from centralized production (USTOR+T20+RTS)</v>
      </c>
      <c r="D17" s="16" t="s">
        <v>663</v>
      </c>
      <c r="E17" s="697"/>
      <c r="F17" s="822"/>
      <c r="G17" s="825">
        <f>'H2 matriz'!DV$20</f>
        <v>7.1637322688716226E-2</v>
      </c>
      <c r="H17" s="823"/>
      <c r="I17" s="876">
        <f>IF(D17="SYNH2UG",1,0.98)</f>
        <v>1</v>
      </c>
      <c r="J17" s="796">
        <f>SUMIF('H2 matriz'!$3:$3,$B17,'H2 matriz'!$59:$59)</f>
        <v>6.3833769947336485</v>
      </c>
      <c r="K17" s="796">
        <f>SUMIF('H2 matriz'!$3:$3,$B17,'H2 matriz'!$60:$60)</f>
        <v>6.3833769947336485</v>
      </c>
      <c r="L17" s="796">
        <f>SUMIF('H2 matriz'!$3:$3,$B17,'H2 matriz'!$61:$61)</f>
        <v>6.3833769947336485</v>
      </c>
      <c r="M17" s="796">
        <f>SUMIF('H2 matriz'!$3:$3,$B17,'H2 matriz'!$62:$62)</f>
        <v>0.11368499126010743</v>
      </c>
      <c r="N17" s="826"/>
      <c r="O17" s="826"/>
      <c r="P17" s="826"/>
      <c r="Q17" s="826"/>
      <c r="R17" s="826"/>
      <c r="S17" s="827">
        <v>50</v>
      </c>
      <c r="T17" s="827">
        <f>'INPUT-Data(HD)'!V109</f>
        <v>0</v>
      </c>
      <c r="U17" s="828">
        <v>1</v>
      </c>
    </row>
    <row r="18" spans="2:21" s="274" customFormat="1">
      <c r="B18" s="697"/>
      <c r="C18" s="697"/>
      <c r="D18" s="697" t="s">
        <v>621</v>
      </c>
      <c r="E18" s="697"/>
      <c r="F18" s="697"/>
      <c r="G18" s="825">
        <f>'H2 matriz'!DZ$20</f>
        <v>0.92836267731128375</v>
      </c>
      <c r="H18" s="823"/>
      <c r="I18" s="824"/>
      <c r="J18" s="897"/>
      <c r="K18" s="825"/>
      <c r="L18" s="825"/>
      <c r="M18" s="825"/>
      <c r="N18" s="826"/>
      <c r="O18" s="826"/>
      <c r="P18" s="826"/>
      <c r="Q18" s="826"/>
      <c r="R18" s="826"/>
      <c r="S18" s="827"/>
      <c r="T18" s="827"/>
      <c r="U18" s="822"/>
    </row>
    <row r="19" spans="2:21" s="274" customFormat="1">
      <c r="B19" s="697"/>
      <c r="C19" s="697"/>
      <c r="D19" s="697" t="s">
        <v>339</v>
      </c>
      <c r="E19" s="697"/>
      <c r="F19" s="697"/>
      <c r="G19" s="825">
        <f>'H2 matriz'!DX$20</f>
        <v>1.4274418604651165E-2</v>
      </c>
      <c r="H19" s="823"/>
      <c r="I19" s="824"/>
      <c r="J19" s="897"/>
      <c r="K19" s="825"/>
      <c r="L19" s="825"/>
      <c r="M19" s="825"/>
      <c r="N19" s="826"/>
      <c r="O19" s="826"/>
      <c r="P19" s="826"/>
      <c r="Q19" s="826"/>
      <c r="R19" s="826"/>
      <c r="S19" s="827"/>
      <c r="T19" s="827"/>
      <c r="U19" s="822"/>
    </row>
    <row r="20" spans="2:21" s="274" customFormat="1">
      <c r="B20" s="687"/>
      <c r="C20" s="687"/>
      <c r="D20" s="697"/>
      <c r="E20" s="687"/>
      <c r="F20" s="687" t="s">
        <v>623</v>
      </c>
      <c r="G20" s="825"/>
      <c r="H20" s="823">
        <v>1</v>
      </c>
      <c r="I20" s="829"/>
      <c r="J20" s="897"/>
      <c r="K20" s="825"/>
      <c r="L20" s="825"/>
      <c r="M20" s="825"/>
      <c r="N20" s="830"/>
      <c r="O20" s="830"/>
      <c r="P20" s="830"/>
      <c r="Q20" s="830"/>
      <c r="R20" s="830"/>
      <c r="S20" s="832"/>
      <c r="T20" s="832"/>
      <c r="U20" s="833"/>
    </row>
    <row r="21" spans="2:21" s="836" customFormat="1">
      <c r="B21" s="836" t="str">
        <f>'H2 matriz'!$AQ$3</f>
        <v>RSDGH2C04</v>
      </c>
      <c r="C21" s="836" t="str">
        <f>'H2 matriz'!$AQ$2</f>
        <v>Fuel Tech - H2 Delivery from centralized production (USTOR+T10+RTS)</v>
      </c>
      <c r="D21" s="837" t="s">
        <v>663</v>
      </c>
      <c r="E21" s="838"/>
      <c r="G21" s="881">
        <f>'H2 matriz'!DV$19</f>
        <v>3.315846778184698E-2</v>
      </c>
      <c r="H21" s="839"/>
      <c r="I21" s="876">
        <f>IF(D21="SYNH2UG",1,0.98)</f>
        <v>1</v>
      </c>
      <c r="J21" s="900">
        <f>SUMIF('H2 matriz'!$3:$3,$B21,'H2 matriz'!$59:$59)</f>
        <v>6.3833769947336485</v>
      </c>
      <c r="K21" s="900">
        <f>SUMIF('H2 matriz'!$3:$3,$B21,'H2 matriz'!$60:$60)</f>
        <v>6.3833769947336485</v>
      </c>
      <c r="L21" s="900">
        <f>SUMIF('H2 matriz'!$3:$3,$B21,'H2 matriz'!$61:$61)</f>
        <v>6.3833769947336485</v>
      </c>
      <c r="M21" s="900">
        <f>SUMIF('H2 matriz'!$3:$3,$B21,'H2 matriz'!$62:$62)</f>
        <v>0.10617609055768176</v>
      </c>
      <c r="S21" s="836">
        <v>50</v>
      </c>
      <c r="T21" s="836">
        <f>'INPUT-Data(HD)'!V112</f>
        <v>0</v>
      </c>
      <c r="U21" s="836">
        <v>1</v>
      </c>
    </row>
    <row r="22" spans="2:21" s="840" customFormat="1">
      <c r="D22" s="841" t="s">
        <v>621</v>
      </c>
      <c r="E22" s="841"/>
      <c r="F22" s="841"/>
      <c r="G22" s="882">
        <f>'H2 matriz'!DZ$19</f>
        <v>0.96684153221815305</v>
      </c>
      <c r="H22" s="842"/>
      <c r="I22" s="850"/>
      <c r="J22" s="901"/>
      <c r="K22" s="901"/>
      <c r="L22" s="901"/>
      <c r="M22" s="901"/>
    </row>
    <row r="23" spans="2:21" s="840" customFormat="1">
      <c r="D23" s="841" t="s">
        <v>339</v>
      </c>
      <c r="E23" s="841"/>
      <c r="F23" s="841"/>
      <c r="G23" s="882">
        <f>'H2 matriz'!DX$19</f>
        <v>1.1933720930232559E-2</v>
      </c>
      <c r="H23" s="842"/>
      <c r="I23" s="850"/>
      <c r="J23" s="901"/>
      <c r="K23" s="901"/>
      <c r="L23" s="901"/>
      <c r="M23" s="901"/>
    </row>
    <row r="24" spans="2:21" s="843" customFormat="1">
      <c r="D24" s="844"/>
      <c r="E24" s="844"/>
      <c r="F24" s="844" t="s">
        <v>644</v>
      </c>
      <c r="G24" s="883"/>
      <c r="H24" s="845">
        <v>1</v>
      </c>
      <c r="I24" s="851"/>
      <c r="J24" s="902"/>
      <c r="K24" s="902"/>
      <c r="L24" s="902"/>
      <c r="M24" s="902"/>
    </row>
    <row r="25" spans="2:21" s="274" customFormat="1">
      <c r="B25" s="274" t="str">
        <f>'H2 matriz'!$AR$3</f>
        <v>RSDGH2C05</v>
      </c>
      <c r="C25" s="274" t="str">
        <f>'H2 matriz'!$AR$2</f>
        <v>Fuel Tech - H2 Delivery from centralized production (USTOR+T6+RTS)</v>
      </c>
      <c r="D25" s="16" t="s">
        <v>663</v>
      </c>
      <c r="E25" s="697"/>
      <c r="F25" s="822"/>
      <c r="G25" s="825">
        <f>'H2 matriz'!DV$18</f>
        <v>1.9321101975686809E-2</v>
      </c>
      <c r="H25" s="823"/>
      <c r="I25" s="876">
        <f>IF(D25="SYNH2UG",1,0.98)</f>
        <v>1</v>
      </c>
      <c r="J25" s="796">
        <f>SUMIF('H2 matriz'!$3:$3,$B25,'H2 matriz'!$59:$59)</f>
        <v>3.4315793522776676</v>
      </c>
      <c r="K25" s="796">
        <f>SUMIF('H2 matriz'!$3:$3,$B25,'H2 matriz'!$60:$60)</f>
        <v>3.4315793522776676</v>
      </c>
      <c r="L25" s="796">
        <f>SUMIF('H2 matriz'!$3:$3,$B25,'H2 matriz'!$61:$61)</f>
        <v>3.4315793522776676</v>
      </c>
      <c r="M25" s="796">
        <f>SUMIF('H2 matriz'!$3:$3,$B25,'H2 matriz'!$62:$62)</f>
        <v>8.9640096114635054E-2</v>
      </c>
      <c r="S25" s="274">
        <v>50</v>
      </c>
      <c r="T25" s="274">
        <f>'INPUT-Data(HD)'!V115</f>
        <v>0</v>
      </c>
      <c r="U25" s="274">
        <v>1</v>
      </c>
    </row>
    <row r="26" spans="2:21" s="274" customFormat="1">
      <c r="D26" s="697" t="s">
        <v>621</v>
      </c>
      <c r="E26" s="697"/>
      <c r="F26" s="697"/>
      <c r="G26" s="825">
        <f>'H2 matriz'!DZ$18</f>
        <v>0.98067889802431318</v>
      </c>
      <c r="H26" s="823"/>
      <c r="I26" s="852"/>
      <c r="J26" s="897"/>
      <c r="K26" s="825"/>
      <c r="L26" s="825"/>
      <c r="M26" s="825"/>
    </row>
    <row r="27" spans="2:21" s="274" customFormat="1">
      <c r="D27" s="697" t="s">
        <v>339</v>
      </c>
      <c r="E27" s="697"/>
      <c r="F27" s="697"/>
      <c r="G27" s="825">
        <f>'H2 matriz'!DX$18</f>
        <v>1.0997441860465116E-2</v>
      </c>
      <c r="H27" s="823"/>
      <c r="I27" s="852"/>
      <c r="J27" s="897"/>
      <c r="K27" s="825"/>
      <c r="L27" s="825"/>
      <c r="M27" s="825"/>
    </row>
    <row r="28" spans="2:21" s="274" customFormat="1">
      <c r="D28" s="687"/>
      <c r="E28" s="687"/>
      <c r="F28" s="687" t="s">
        <v>639</v>
      </c>
      <c r="G28" s="825"/>
      <c r="H28" s="823">
        <v>1</v>
      </c>
      <c r="I28" s="852"/>
      <c r="J28" s="897"/>
      <c r="K28" s="825"/>
      <c r="L28" s="825"/>
      <c r="M28" s="825"/>
    </row>
    <row r="29" spans="2:21" s="887" customFormat="1">
      <c r="B29" s="887" t="str">
        <f>'H2 matriz'!$AS$3</f>
        <v>RSDGH2C06</v>
      </c>
      <c r="C29" s="887" t="str">
        <f>'H2 matriz'!$AS$2</f>
        <v>Fuel Tech - H2 Delivery from centralized production (COMP+T100+RTS)</v>
      </c>
      <c r="D29" s="888" t="s">
        <v>233</v>
      </c>
      <c r="E29" s="889"/>
      <c r="G29" s="890">
        <f>G14</f>
        <v>1</v>
      </c>
      <c r="H29" s="891"/>
      <c r="I29" s="876">
        <f>IF(D29="SYNH2UG",1,0.98)</f>
        <v>0.98</v>
      </c>
      <c r="J29" s="890">
        <f>SUMIF('H2 matriz'!$3:$3,$B29,'H2 matriz'!$59:$59)</f>
        <v>3.8389499393689808</v>
      </c>
      <c r="K29" s="890">
        <f>SUMIF('H2 matriz'!$3:$3,$B29,'H2 matriz'!$60:$60)</f>
        <v>3.8389499393689808</v>
      </c>
      <c r="L29" s="890">
        <f>SUMIF('H2 matriz'!$3:$3,$B29,'H2 matriz'!$61:$61)</f>
        <v>3.8389499393689808</v>
      </c>
      <c r="M29" s="890">
        <f>SUMIF('H2 matriz'!$3:$3,$B29,'H2 matriz'!$62:$62)</f>
        <v>7.8125393100647506E-2</v>
      </c>
      <c r="S29" s="887">
        <v>50</v>
      </c>
      <c r="T29" s="887">
        <f>'INPUT-Data(HD)'!V118</f>
        <v>0</v>
      </c>
      <c r="U29" s="887">
        <v>1</v>
      </c>
    </row>
    <row r="30" spans="2:21" s="840" customFormat="1">
      <c r="D30" s="841" t="s">
        <v>339</v>
      </c>
      <c r="E30" s="841"/>
      <c r="F30" s="841"/>
      <c r="G30" s="882">
        <f>G15</f>
        <v>3.3000000000000002E-2</v>
      </c>
      <c r="H30" s="842"/>
      <c r="I30" s="850"/>
      <c r="J30" s="898"/>
      <c r="K30" s="898"/>
      <c r="L30" s="898"/>
      <c r="M30" s="898"/>
    </row>
    <row r="31" spans="2:21" s="843" customFormat="1">
      <c r="D31" s="844"/>
      <c r="E31" s="844"/>
      <c r="F31" s="844" t="s">
        <v>171</v>
      </c>
      <c r="G31" s="883"/>
      <c r="H31" s="845">
        <v>1</v>
      </c>
      <c r="I31" s="851"/>
      <c r="J31" s="899"/>
      <c r="K31" s="899"/>
      <c r="L31" s="899"/>
      <c r="M31" s="899"/>
    </row>
    <row r="32" spans="2:21" s="274" customFormat="1">
      <c r="B32" s="697" t="str">
        <f>'H2 matriz'!$AT$3</f>
        <v>RSDGH2C07</v>
      </c>
      <c r="C32" s="697" t="str">
        <f>'H2 matriz'!$AT$2</f>
        <v>Fuel Tech - H2 Delivery from centralized production (COMP+T20+RTS)</v>
      </c>
      <c r="D32" s="16" t="s">
        <v>233</v>
      </c>
      <c r="E32" s="697"/>
      <c r="F32" s="822"/>
      <c r="G32" s="825">
        <f>G17</f>
        <v>7.1637322688716226E-2</v>
      </c>
      <c r="H32" s="823"/>
      <c r="I32" s="876">
        <f>IF(D32="SYNH2UG",1,0.98)</f>
        <v>0.98</v>
      </c>
      <c r="J32" s="796">
        <f>SUMIF('H2 matriz'!$3:$3,$B32,'H2 matriz'!$59:$59)</f>
        <v>2.9517976424559813</v>
      </c>
      <c r="K32" s="796">
        <f>SUMIF('H2 matriz'!$3:$3,$B32,'H2 matriz'!$60:$60)</f>
        <v>2.9517976424559813</v>
      </c>
      <c r="L32" s="796">
        <f>SUMIF('H2 matriz'!$3:$3,$B32,'H2 matriz'!$61:$61)</f>
        <v>2.9517976424559813</v>
      </c>
      <c r="M32" s="796">
        <f>SUMIF('H2 matriz'!$3:$3,$B32,'H2 matriz'!$62:$62)</f>
        <v>4.5053404214554074E-2</v>
      </c>
      <c r="N32" s="826"/>
      <c r="O32" s="826"/>
      <c r="P32" s="826"/>
      <c r="Q32" s="826"/>
      <c r="R32" s="826"/>
      <c r="S32" s="827">
        <v>50</v>
      </c>
      <c r="T32" s="827">
        <f>'INPUT-Data(HD)'!V121</f>
        <v>0</v>
      </c>
      <c r="U32" s="828">
        <v>1</v>
      </c>
    </row>
    <row r="33" spans="2:21" s="274" customFormat="1">
      <c r="B33" s="697"/>
      <c r="C33" s="697"/>
      <c r="D33" s="697" t="s">
        <v>621</v>
      </c>
      <c r="E33" s="697"/>
      <c r="F33" s="697"/>
      <c r="G33" s="825">
        <f>G18</f>
        <v>0.92836267731128375</v>
      </c>
      <c r="H33" s="823"/>
      <c r="I33" s="824"/>
      <c r="J33" s="897"/>
      <c r="K33" s="825"/>
      <c r="L33" s="825"/>
      <c r="M33" s="825"/>
      <c r="N33" s="826"/>
      <c r="O33" s="826"/>
      <c r="P33" s="826"/>
      <c r="Q33" s="826"/>
      <c r="R33" s="826"/>
      <c r="S33" s="827"/>
      <c r="T33" s="827"/>
      <c r="U33" s="822"/>
    </row>
    <row r="34" spans="2:21" s="274" customFormat="1">
      <c r="B34" s="697"/>
      <c r="C34" s="697"/>
      <c r="D34" s="697" t="s">
        <v>339</v>
      </c>
      <c r="E34" s="697"/>
      <c r="F34" s="697"/>
      <c r="G34" s="825">
        <f>G19</f>
        <v>1.4274418604651165E-2</v>
      </c>
      <c r="H34" s="823"/>
      <c r="I34" s="824"/>
      <c r="J34" s="897"/>
      <c r="K34" s="825"/>
      <c r="L34" s="825"/>
      <c r="M34" s="825"/>
      <c r="N34" s="826"/>
      <c r="O34" s="826"/>
      <c r="P34" s="826"/>
      <c r="Q34" s="826"/>
      <c r="R34" s="826"/>
      <c r="S34" s="827"/>
      <c r="T34" s="827"/>
      <c r="U34" s="822"/>
    </row>
    <row r="35" spans="2:21" s="274" customFormat="1">
      <c r="B35" s="697"/>
      <c r="C35" s="697"/>
      <c r="D35" s="697"/>
      <c r="E35" s="697"/>
      <c r="F35" s="697" t="s">
        <v>623</v>
      </c>
      <c r="G35" s="825"/>
      <c r="H35" s="823">
        <v>1</v>
      </c>
      <c r="I35" s="824"/>
      <c r="J35" s="897"/>
      <c r="K35" s="825"/>
      <c r="L35" s="825"/>
      <c r="M35" s="825"/>
      <c r="N35" s="826"/>
      <c r="O35" s="826"/>
      <c r="P35" s="826"/>
      <c r="Q35" s="826"/>
      <c r="R35" s="826"/>
      <c r="S35" s="827"/>
      <c r="T35" s="827"/>
      <c r="U35" s="822"/>
    </row>
    <row r="36" spans="2:21" s="836" customFormat="1">
      <c r="B36" s="836" t="str">
        <f>'H2 matriz'!$AU$3</f>
        <v>RSDGH2C08</v>
      </c>
      <c r="C36" s="836" t="str">
        <f>'H2 matriz'!$AU$2</f>
        <v>Fuel Tech - H2 Delivery from centralized production (COMP+T10+RTS)</v>
      </c>
      <c r="D36" s="837" t="s">
        <v>233</v>
      </c>
      <c r="E36" s="838"/>
      <c r="G36" s="881">
        <f>G21</f>
        <v>3.315846778184698E-2</v>
      </c>
      <c r="H36" s="839"/>
      <c r="I36" s="876">
        <f>IF(D36="SYNH2UG",1,0.98)</f>
        <v>0.98</v>
      </c>
      <c r="J36" s="900">
        <f>SUMIF('H2 matriz'!$3:$3,$B36,'H2 matriz'!$59:$59)</f>
        <v>2.9517976424559813</v>
      </c>
      <c r="K36" s="900">
        <f>SUMIF('H2 matriz'!$3:$3,$B36,'H2 matriz'!$60:$60)</f>
        <v>2.9517976424559813</v>
      </c>
      <c r="L36" s="900">
        <f>SUMIF('H2 matriz'!$3:$3,$B36,'H2 matriz'!$61:$61)</f>
        <v>2.9517976424559813</v>
      </c>
      <c r="M36" s="900">
        <f>SUMIF('H2 matriz'!$3:$3,$B36,'H2 matriz'!$62:$62)</f>
        <v>3.7544503512128402E-2</v>
      </c>
      <c r="S36" s="836">
        <v>50</v>
      </c>
      <c r="T36" s="836">
        <f>'INPUT-Data(HD)'!V124</f>
        <v>0</v>
      </c>
      <c r="U36" s="836">
        <v>1</v>
      </c>
    </row>
    <row r="37" spans="2:21" s="840" customFormat="1">
      <c r="D37" s="841" t="s">
        <v>621</v>
      </c>
      <c r="E37" s="841"/>
      <c r="F37" s="841"/>
      <c r="G37" s="882">
        <f>G22</f>
        <v>0.96684153221815305</v>
      </c>
      <c r="H37" s="842"/>
      <c r="I37" s="850"/>
      <c r="J37" s="901"/>
      <c r="K37" s="901"/>
      <c r="L37" s="901"/>
      <c r="M37" s="901"/>
    </row>
    <row r="38" spans="2:21" s="840" customFormat="1">
      <c r="D38" s="841" t="s">
        <v>339</v>
      </c>
      <c r="E38" s="841"/>
      <c r="F38" s="841"/>
      <c r="G38" s="882">
        <f>G23</f>
        <v>1.1933720930232559E-2</v>
      </c>
      <c r="H38" s="842"/>
      <c r="I38" s="850"/>
      <c r="J38" s="901"/>
      <c r="K38" s="901"/>
      <c r="L38" s="901"/>
      <c r="M38" s="901"/>
    </row>
    <row r="39" spans="2:21" s="843" customFormat="1">
      <c r="D39" s="844"/>
      <c r="E39" s="844"/>
      <c r="F39" s="844" t="s">
        <v>644</v>
      </c>
      <c r="G39" s="883"/>
      <c r="H39" s="845">
        <v>1</v>
      </c>
      <c r="I39" s="851"/>
      <c r="J39" s="902"/>
      <c r="K39" s="902"/>
      <c r="L39" s="902"/>
      <c r="M39" s="902"/>
    </row>
    <row r="40" spans="2:21" s="274" customFormat="1">
      <c r="B40" s="697" t="str">
        <f>'H2 matriz'!$AV$3</f>
        <v>RSDGH2C09</v>
      </c>
      <c r="C40" s="697" t="str">
        <f>'H2 matriz'!$AV$2</f>
        <v>Fuel Tech - H2 Delivery from centralized production (COMP+T6+RTS)</v>
      </c>
      <c r="D40" s="16" t="s">
        <v>233</v>
      </c>
      <c r="E40" s="697"/>
      <c r="F40" s="822"/>
      <c r="G40" s="825">
        <f>G25</f>
        <v>1.9321101975686809E-2</v>
      </c>
      <c r="H40" s="823"/>
      <c r="I40" s="876">
        <f>IF(D40="SYNH2UG",1,0.98)</f>
        <v>0.98</v>
      </c>
      <c r="J40" s="796">
        <f>SUMIF('H2 matriz'!$3:$3,$B40,'H2 matriz'!$59:$59)</f>
        <v>0</v>
      </c>
      <c r="K40" s="796">
        <f>SUMIF('H2 matriz'!$3:$3,$B40,'H2 matriz'!$60:$60)</f>
        <v>0</v>
      </c>
      <c r="L40" s="796">
        <f>SUMIF('H2 matriz'!$3:$3,$B40,'H2 matriz'!$61:$61)</f>
        <v>0</v>
      </c>
      <c r="M40" s="796">
        <f>SUMIF('H2 matriz'!$3:$3,$B40,'H2 matriz'!$62:$62)</f>
        <v>2.1008509069081686E-2</v>
      </c>
      <c r="N40" s="826"/>
      <c r="O40" s="826"/>
      <c r="P40" s="826"/>
      <c r="Q40" s="826"/>
      <c r="R40" s="826"/>
      <c r="S40" s="827">
        <v>50</v>
      </c>
      <c r="T40" s="827">
        <f>'INPUT-Data(HD)'!V127</f>
        <v>0</v>
      </c>
      <c r="U40" s="828">
        <v>1</v>
      </c>
    </row>
    <row r="41" spans="2:21" s="274" customFormat="1">
      <c r="B41" s="697"/>
      <c r="C41" s="697"/>
      <c r="D41" s="697" t="s">
        <v>621</v>
      </c>
      <c r="E41" s="697"/>
      <c r="F41" s="697"/>
      <c r="G41" s="825">
        <f>G26</f>
        <v>0.98067889802431318</v>
      </c>
      <c r="H41" s="823"/>
      <c r="I41" s="824"/>
      <c r="J41" s="897"/>
      <c r="K41" s="825"/>
      <c r="L41" s="825"/>
      <c r="M41" s="825"/>
      <c r="N41" s="826"/>
      <c r="O41" s="826"/>
      <c r="P41" s="826"/>
      <c r="Q41" s="826"/>
      <c r="R41" s="826"/>
      <c r="S41" s="827"/>
      <c r="T41" s="827"/>
      <c r="U41" s="822"/>
    </row>
    <row r="42" spans="2:21" s="274" customFormat="1">
      <c r="B42" s="697"/>
      <c r="C42" s="697"/>
      <c r="D42" s="697" t="s">
        <v>339</v>
      </c>
      <c r="E42" s="697"/>
      <c r="F42" s="697"/>
      <c r="G42" s="825">
        <f>G27</f>
        <v>1.0997441860465116E-2</v>
      </c>
      <c r="H42" s="823"/>
      <c r="I42" s="824"/>
      <c r="J42" s="897"/>
      <c r="K42" s="825"/>
      <c r="L42" s="825"/>
      <c r="M42" s="825"/>
      <c r="N42" s="826"/>
      <c r="O42" s="826"/>
      <c r="P42" s="826"/>
      <c r="Q42" s="826"/>
      <c r="R42" s="826"/>
      <c r="S42" s="827"/>
      <c r="T42" s="827"/>
      <c r="U42" s="822"/>
    </row>
    <row r="43" spans="2:21" s="274" customFormat="1">
      <c r="B43" s="687"/>
      <c r="C43" s="687"/>
      <c r="D43" s="687"/>
      <c r="E43" s="687"/>
      <c r="F43" s="687" t="s">
        <v>639</v>
      </c>
      <c r="G43" s="825"/>
      <c r="H43" s="823">
        <v>1</v>
      </c>
      <c r="I43" s="829"/>
      <c r="J43" s="897"/>
      <c r="K43" s="825"/>
      <c r="L43" s="825"/>
      <c r="M43" s="825"/>
      <c r="N43" s="830"/>
      <c r="O43" s="830"/>
      <c r="P43" s="830"/>
      <c r="Q43" s="830"/>
      <c r="R43" s="830"/>
      <c r="S43" s="832"/>
      <c r="T43" s="832"/>
      <c r="U43" s="833"/>
    </row>
    <row r="44" spans="2:21" s="887" customFormat="1">
      <c r="B44" s="887" t="str">
        <f>'H2 matriz'!$AW$3</f>
        <v>RSDGH2C10</v>
      </c>
      <c r="C44" s="887" t="str">
        <f>'H2 matriz'!$AW$2</f>
        <v>Fuel Tech - H2 Delivery from centralized production (CRY+T100+RTS)</v>
      </c>
      <c r="D44" s="944" t="s">
        <v>966</v>
      </c>
      <c r="E44" s="889"/>
      <c r="G44" s="890">
        <f>G29</f>
        <v>1</v>
      </c>
      <c r="H44" s="891"/>
      <c r="I44" s="876">
        <f>IF(D44="SYNH2UG",1,0.98)</f>
        <v>0.98</v>
      </c>
      <c r="J44" s="890">
        <f>SUMIF('H2 matriz'!$3:$3,$B44,'H2 matriz'!$59:$59)</f>
        <v>5.1577259077493318</v>
      </c>
      <c r="K44" s="890">
        <f>SUMIF('H2 matriz'!$3:$3,$B44,'H2 matriz'!$60:$60)</f>
        <v>5.1577259077493318</v>
      </c>
      <c r="L44" s="890">
        <f>SUMIF('H2 matriz'!$3:$3,$B44,'H2 matriz'!$61:$61)</f>
        <v>5.1577259077493318</v>
      </c>
      <c r="M44" s="890">
        <f>SUMIF('H2 matriz'!$3:$3,$B44,'H2 matriz'!$62:$62)</f>
        <v>0.10947221454801292</v>
      </c>
      <c r="S44" s="887">
        <v>50</v>
      </c>
      <c r="T44" s="887">
        <f>'INPUT-Data(HD)'!V130</f>
        <v>0</v>
      </c>
      <c r="U44" s="887">
        <v>1</v>
      </c>
    </row>
    <row r="45" spans="2:21" s="840" customFormat="1">
      <c r="D45" s="841" t="s">
        <v>339</v>
      </c>
      <c r="E45" s="841"/>
      <c r="F45" s="841"/>
      <c r="G45" s="882">
        <f>G30</f>
        <v>3.3000000000000002E-2</v>
      </c>
      <c r="H45" s="842"/>
      <c r="I45" s="850"/>
      <c r="J45" s="898"/>
      <c r="K45" s="898"/>
      <c r="L45" s="898"/>
      <c r="M45" s="898"/>
    </row>
    <row r="46" spans="2:21" s="843" customFormat="1">
      <c r="D46" s="844"/>
      <c r="E46" s="844"/>
      <c r="F46" s="844" t="s">
        <v>171</v>
      </c>
      <c r="G46" s="883"/>
      <c r="H46" s="845">
        <v>1</v>
      </c>
      <c r="I46" s="851"/>
      <c r="J46" s="899"/>
      <c r="K46" s="899"/>
      <c r="L46" s="899"/>
      <c r="M46" s="899"/>
    </row>
    <row r="47" spans="2:21" s="274" customFormat="1">
      <c r="B47" s="274" t="str">
        <f>'H2 matriz'!$AX$3</f>
        <v>RSDGH2C11</v>
      </c>
      <c r="C47" s="274" t="str">
        <f>'H2 matriz'!$AX$2</f>
        <v>Fuel Tech - H2 Delivery from centralized production (CRY+T20+RTS)</v>
      </c>
      <c r="D47" s="944" t="s">
        <v>966</v>
      </c>
      <c r="E47" s="697"/>
      <c r="F47" s="822"/>
      <c r="G47" s="825">
        <f>G32</f>
        <v>7.1637322688716226E-2</v>
      </c>
      <c r="H47" s="823"/>
      <c r="I47" s="876">
        <f>IF(D47="SYNH2UG",1,0.98)</f>
        <v>0.98</v>
      </c>
      <c r="J47" s="796">
        <f>SUMIF('H2 matriz'!$3:$3,$B47,'H2 matriz'!$59:$59)</f>
        <v>4.4604497319382155</v>
      </c>
      <c r="K47" s="796">
        <f>SUMIF('H2 matriz'!$3:$3,$B47,'H2 matriz'!$60:$60)</f>
        <v>4.4604497319382155</v>
      </c>
      <c r="L47" s="796">
        <f>SUMIF('H2 matriz'!$3:$3,$B47,'H2 matriz'!$61:$61)</f>
        <v>4.4604497319382155</v>
      </c>
      <c r="M47" s="796">
        <f>SUMIF('H2 matriz'!$3:$3,$B47,'H2 matriz'!$62:$62)</f>
        <v>9.0312966899021102E-2</v>
      </c>
      <c r="S47" s="274">
        <v>50</v>
      </c>
      <c r="T47" s="274">
        <f>'INPUT-Data(HD)'!V133</f>
        <v>0</v>
      </c>
      <c r="U47" s="274">
        <v>1</v>
      </c>
    </row>
    <row r="48" spans="2:21" s="274" customFormat="1">
      <c r="D48" s="697" t="s">
        <v>621</v>
      </c>
      <c r="E48" s="697"/>
      <c r="F48" s="697"/>
      <c r="G48" s="825">
        <f>G33</f>
        <v>0.92836267731128375</v>
      </c>
      <c r="H48" s="823"/>
      <c r="I48" s="852"/>
      <c r="J48" s="897"/>
      <c r="K48" s="825"/>
      <c r="L48" s="825"/>
      <c r="M48" s="825"/>
    </row>
    <row r="49" spans="2:21" s="274" customFormat="1">
      <c r="D49" s="697" t="s">
        <v>339</v>
      </c>
      <c r="E49" s="697"/>
      <c r="F49" s="697"/>
      <c r="G49" s="825">
        <f>G34</f>
        <v>1.4274418604651165E-2</v>
      </c>
      <c r="H49" s="823"/>
      <c r="I49" s="852"/>
      <c r="J49" s="897"/>
      <c r="K49" s="825"/>
      <c r="L49" s="825"/>
      <c r="M49" s="825"/>
    </row>
    <row r="50" spans="2:21" s="274" customFormat="1">
      <c r="D50" s="687"/>
      <c r="E50" s="687"/>
      <c r="F50" s="687" t="s">
        <v>623</v>
      </c>
      <c r="G50" s="825"/>
      <c r="H50" s="823">
        <v>1</v>
      </c>
      <c r="I50" s="852"/>
      <c r="J50" s="897"/>
      <c r="K50" s="825"/>
      <c r="L50" s="825"/>
      <c r="M50" s="825"/>
    </row>
    <row r="51" spans="2:21" s="836" customFormat="1">
      <c r="B51" s="836" t="str">
        <f>'H2 matriz'!$AY$3</f>
        <v>RSDGH2C12</v>
      </c>
      <c r="C51" s="836" t="str">
        <f>'H2 matriz'!$AY$2</f>
        <v>Fuel Tech - H2 Delivery from centralized production (CRY+T10+RTS)</v>
      </c>
      <c r="D51" s="944" t="s">
        <v>966</v>
      </c>
      <c r="E51" s="838"/>
      <c r="G51" s="881">
        <f>G36</f>
        <v>3.315846778184698E-2</v>
      </c>
      <c r="H51" s="839"/>
      <c r="I51" s="876">
        <f>IF(D51="SYNH2UG",1,0.98)</f>
        <v>0.98</v>
      </c>
      <c r="J51" s="900">
        <f>SUMIF('H2 matriz'!$3:$3,$B51,'H2 matriz'!$59:$59)</f>
        <v>4.4604497319382155</v>
      </c>
      <c r="K51" s="900">
        <f>SUMIF('H2 matriz'!$3:$3,$B51,'H2 matriz'!$60:$60)</f>
        <v>4.4604497319382155</v>
      </c>
      <c r="L51" s="900">
        <f>SUMIF('H2 matriz'!$3:$3,$B51,'H2 matriz'!$61:$61)</f>
        <v>4.4604497319382155</v>
      </c>
      <c r="M51" s="900">
        <f>SUMIF('H2 matriz'!$3:$3,$B51,'H2 matriz'!$62:$62)</f>
        <v>8.5962914393108575E-2</v>
      </c>
      <c r="S51" s="836">
        <v>50</v>
      </c>
      <c r="T51" s="836">
        <f>'INPUT-Data(HD)'!V136</f>
        <v>0</v>
      </c>
      <c r="U51" s="836">
        <v>1</v>
      </c>
    </row>
    <row r="52" spans="2:21" s="840" customFormat="1">
      <c r="D52" s="841" t="s">
        <v>621</v>
      </c>
      <c r="E52" s="841"/>
      <c r="F52" s="841"/>
      <c r="G52" s="882">
        <f>G37</f>
        <v>0.96684153221815305</v>
      </c>
      <c r="H52" s="842"/>
      <c r="I52" s="850"/>
      <c r="J52" s="901"/>
      <c r="K52" s="901"/>
      <c r="L52" s="901"/>
      <c r="M52" s="901"/>
    </row>
    <row r="53" spans="2:21" s="840" customFormat="1">
      <c r="D53" s="841" t="s">
        <v>339</v>
      </c>
      <c r="E53" s="841"/>
      <c r="F53" s="841"/>
      <c r="G53" s="882">
        <f>G38</f>
        <v>1.1933720930232559E-2</v>
      </c>
      <c r="H53" s="842"/>
      <c r="I53" s="850"/>
      <c r="J53" s="901"/>
      <c r="K53" s="901"/>
      <c r="L53" s="901"/>
      <c r="M53" s="901"/>
    </row>
    <row r="54" spans="2:21" s="843" customFormat="1">
      <c r="D54" s="844"/>
      <c r="E54" s="844"/>
      <c r="F54" s="844" t="s">
        <v>644</v>
      </c>
      <c r="G54" s="883"/>
      <c r="H54" s="845">
        <v>1</v>
      </c>
      <c r="I54" s="851"/>
      <c r="J54" s="902"/>
      <c r="K54" s="902"/>
      <c r="L54" s="902"/>
      <c r="M54" s="902"/>
    </row>
    <row r="55" spans="2:21" s="274" customFormat="1">
      <c r="B55" s="697" t="str">
        <f>'H2 matriz'!$AZ$3</f>
        <v>RSDGH2C13</v>
      </c>
      <c r="C55" s="697" t="str">
        <f>'H2 matriz'!$AZ$2</f>
        <v>Fuel Tech - H2 Delivery from centralized production (CRY+T6+RTS)</v>
      </c>
      <c r="D55" s="944" t="s">
        <v>966</v>
      </c>
      <c r="E55" s="697"/>
      <c r="F55" s="822"/>
      <c r="G55" s="825">
        <f>G40</f>
        <v>1.9321101975686809E-2</v>
      </c>
      <c r="H55" s="823"/>
      <c r="I55" s="876">
        <f>IF(D55="SYNH2UG",1,0.98)</f>
        <v>0.98</v>
      </c>
      <c r="J55" s="796">
        <f>SUMIF('H2 matriz'!$3:$3,$B55,'H2 matriz'!$59:$59)</f>
        <v>2.140421728784863</v>
      </c>
      <c r="K55" s="796">
        <f>SUMIF('H2 matriz'!$3:$3,$B55,'H2 matriz'!$60:$60)</f>
        <v>2.140421728784863</v>
      </c>
      <c r="L55" s="796">
        <f>SUMIF('H2 matriz'!$3:$3,$B55,'H2 matriz'!$61:$61)</f>
        <v>2.140421728784863</v>
      </c>
      <c r="M55" s="796">
        <f>SUMIF('H2 matriz'!$3:$3,$B55,'H2 matriz'!$62:$62)</f>
        <v>7.6383290568612663E-2</v>
      </c>
      <c r="N55" s="826"/>
      <c r="O55" s="826"/>
      <c r="P55" s="826"/>
      <c r="Q55" s="826"/>
      <c r="R55" s="826"/>
      <c r="S55" s="827">
        <v>50</v>
      </c>
      <c r="T55" s="827">
        <f>'INPUT-Data(HD)'!V139</f>
        <v>0</v>
      </c>
      <c r="U55" s="828">
        <v>1</v>
      </c>
    </row>
    <row r="56" spans="2:21" s="274" customFormat="1">
      <c r="B56" s="697"/>
      <c r="C56" s="697"/>
      <c r="D56" s="697" t="s">
        <v>621</v>
      </c>
      <c r="E56" s="697"/>
      <c r="F56" s="697"/>
      <c r="G56" s="825">
        <f>G41</f>
        <v>0.98067889802431318</v>
      </c>
      <c r="H56" s="823"/>
      <c r="I56" s="824"/>
      <c r="J56" s="897"/>
      <c r="K56" s="825"/>
      <c r="L56" s="825"/>
      <c r="M56" s="825"/>
      <c r="N56" s="826"/>
      <c r="O56" s="826"/>
      <c r="P56" s="826"/>
      <c r="Q56" s="826"/>
      <c r="R56" s="826"/>
      <c r="S56" s="827"/>
      <c r="T56" s="827"/>
      <c r="U56" s="822"/>
    </row>
    <row r="57" spans="2:21" s="274" customFormat="1">
      <c r="B57" s="697"/>
      <c r="C57" s="697"/>
      <c r="D57" s="697" t="s">
        <v>339</v>
      </c>
      <c r="E57" s="697"/>
      <c r="F57" s="697"/>
      <c r="G57" s="825">
        <f>G42</f>
        <v>1.0997441860465116E-2</v>
      </c>
      <c r="H57" s="823"/>
      <c r="I57" s="824"/>
      <c r="J57" s="897"/>
      <c r="K57" s="825"/>
      <c r="L57" s="825"/>
      <c r="M57" s="825"/>
      <c r="N57" s="826"/>
      <c r="O57" s="826"/>
      <c r="P57" s="826"/>
      <c r="Q57" s="826"/>
      <c r="R57" s="826"/>
      <c r="S57" s="827"/>
      <c r="T57" s="827"/>
      <c r="U57" s="822"/>
    </row>
    <row r="58" spans="2:21" s="274" customFormat="1">
      <c r="B58" s="697"/>
      <c r="C58" s="697"/>
      <c r="D58" s="697"/>
      <c r="E58" s="697"/>
      <c r="F58" s="697" t="s">
        <v>639</v>
      </c>
      <c r="G58" s="825"/>
      <c r="H58" s="823">
        <v>1</v>
      </c>
      <c r="I58" s="824"/>
      <c r="J58" s="897"/>
      <c r="K58" s="825"/>
      <c r="L58" s="825"/>
      <c r="M58" s="825"/>
      <c r="N58" s="826"/>
      <c r="O58" s="826"/>
      <c r="P58" s="826"/>
      <c r="Q58" s="826"/>
      <c r="R58" s="826"/>
      <c r="S58" s="827"/>
      <c r="T58" s="827"/>
      <c r="U58" s="822"/>
    </row>
    <row r="59" spans="2:21" s="887" customFormat="1">
      <c r="B59" s="887" t="str">
        <f>'H2 matriz'!$BA$3</f>
        <v>RSDGH2C14</v>
      </c>
      <c r="C59" s="887" t="str">
        <f>'H2 matriz'!$BA$2</f>
        <v>Fuel Tech - H2 Delivery from centralized production (NH3+T100+RTS)</v>
      </c>
      <c r="D59" s="888" t="s">
        <v>233</v>
      </c>
      <c r="E59" s="889"/>
      <c r="G59" s="890">
        <f>G44</f>
        <v>1</v>
      </c>
      <c r="H59" s="891"/>
      <c r="I59" s="876">
        <f>IF(D59="SYNH2UG",1,0.98)</f>
        <v>0.98</v>
      </c>
      <c r="J59" s="890">
        <f>SUMIF('H2 matriz'!$3:$3,$B59,'H2 matriz'!$59:$59)</f>
        <v>3.8389499393689808</v>
      </c>
      <c r="K59" s="890">
        <f>SUMIF('H2 matriz'!$3:$3,$B59,'H2 matriz'!$60:$60)</f>
        <v>3.8389499393689808</v>
      </c>
      <c r="L59" s="890">
        <f>SUMIF('H2 matriz'!$3:$3,$B59,'H2 matriz'!$61:$61)</f>
        <v>3.8389499393689808</v>
      </c>
      <c r="M59" s="890">
        <f>SUMIF('H2 matriz'!$3:$3,$B59,'H2 matriz'!$62:$62)</f>
        <v>7.8125393100647506E-2</v>
      </c>
      <c r="S59" s="887">
        <v>50</v>
      </c>
      <c r="T59" s="887">
        <f>'INPUT-Data(HD)'!V142</f>
        <v>0</v>
      </c>
      <c r="U59" s="887">
        <v>1</v>
      </c>
    </row>
    <row r="60" spans="2:21" s="840" customFormat="1">
      <c r="D60" s="841" t="s">
        <v>339</v>
      </c>
      <c r="E60" s="841"/>
      <c r="F60" s="841"/>
      <c r="G60" s="882">
        <f>G45</f>
        <v>3.3000000000000002E-2</v>
      </c>
      <c r="H60" s="842"/>
      <c r="I60" s="850"/>
      <c r="J60" s="898"/>
      <c r="K60" s="898"/>
      <c r="L60" s="898"/>
      <c r="M60" s="898"/>
    </row>
    <row r="61" spans="2:21" s="843" customFormat="1">
      <c r="D61" s="844"/>
      <c r="E61" s="844"/>
      <c r="F61" s="844" t="s">
        <v>171</v>
      </c>
      <c r="G61" s="883"/>
      <c r="H61" s="845">
        <v>1</v>
      </c>
      <c r="I61" s="851"/>
      <c r="J61" s="899"/>
      <c r="K61" s="899"/>
      <c r="L61" s="899"/>
      <c r="M61" s="899"/>
    </row>
    <row r="62" spans="2:21" s="274" customFormat="1">
      <c r="B62" s="697" t="str">
        <f>'H2 matriz'!$BB$3</f>
        <v>RSDGH2C15</v>
      </c>
      <c r="C62" s="697" t="str">
        <f>'H2 matriz'!$BB$2</f>
        <v>Fuel Tech - H2 Delivery from centralized production (NH3+T20+RTS)</v>
      </c>
      <c r="D62" s="16" t="s">
        <v>233</v>
      </c>
      <c r="E62" s="697"/>
      <c r="F62" s="822"/>
      <c r="G62" s="825">
        <f>G47</f>
        <v>7.1637322688716226E-2</v>
      </c>
      <c r="H62" s="823"/>
      <c r="I62" s="876">
        <f>IF(D62="SYNH2UG",1,0.98)</f>
        <v>0.98</v>
      </c>
      <c r="J62" s="796">
        <f>SUMIF('H2 matriz'!$3:$3,$B62,'H2 matriz'!$59:$59)</f>
        <v>2.9517976424559813</v>
      </c>
      <c r="K62" s="796">
        <f>SUMIF('H2 matriz'!$3:$3,$B62,'H2 matriz'!$60:$60)</f>
        <v>2.9517976424559813</v>
      </c>
      <c r="L62" s="796">
        <f>SUMIF('H2 matriz'!$3:$3,$B62,'H2 matriz'!$61:$61)</f>
        <v>2.9517976424559813</v>
      </c>
      <c r="M62" s="796">
        <f>SUMIF('H2 matriz'!$3:$3,$B62,'H2 matriz'!$62:$62)</f>
        <v>4.5053404214554074E-2</v>
      </c>
      <c r="N62" s="826"/>
      <c r="O62" s="826"/>
      <c r="P62" s="826"/>
      <c r="Q62" s="826"/>
      <c r="R62" s="826"/>
      <c r="S62" s="827">
        <v>50</v>
      </c>
      <c r="T62" s="827">
        <f>'INPUT-Data(HD)'!V145</f>
        <v>0</v>
      </c>
      <c r="U62" s="828">
        <v>1</v>
      </c>
    </row>
    <row r="63" spans="2:21" s="274" customFormat="1">
      <c r="B63" s="697"/>
      <c r="C63" s="697"/>
      <c r="D63" s="697" t="s">
        <v>621</v>
      </c>
      <c r="E63" s="697"/>
      <c r="F63" s="697"/>
      <c r="G63" s="825">
        <f t="shared" ref="G63:G64" si="0">G48</f>
        <v>0.92836267731128375</v>
      </c>
      <c r="H63" s="823"/>
      <c r="I63" s="824"/>
      <c r="J63" s="897"/>
      <c r="K63" s="825"/>
      <c r="L63" s="825"/>
      <c r="M63" s="825"/>
      <c r="N63" s="826"/>
      <c r="O63" s="826"/>
      <c r="P63" s="826"/>
      <c r="Q63" s="826"/>
      <c r="R63" s="826"/>
      <c r="S63" s="827"/>
      <c r="T63" s="827"/>
      <c r="U63" s="822"/>
    </row>
    <row r="64" spans="2:21" s="274" customFormat="1">
      <c r="B64" s="697"/>
      <c r="C64" s="697"/>
      <c r="D64" s="697" t="s">
        <v>339</v>
      </c>
      <c r="E64" s="697"/>
      <c r="F64" s="697"/>
      <c r="G64" s="825">
        <f t="shared" si="0"/>
        <v>1.4274418604651165E-2</v>
      </c>
      <c r="H64" s="823"/>
      <c r="I64" s="824"/>
      <c r="J64" s="897"/>
      <c r="K64" s="825"/>
      <c r="L64" s="825"/>
      <c r="M64" s="825"/>
      <c r="N64" s="826"/>
      <c r="O64" s="826"/>
      <c r="P64" s="826"/>
      <c r="Q64" s="826"/>
      <c r="R64" s="826"/>
      <c r="S64" s="827"/>
      <c r="T64" s="827"/>
      <c r="U64" s="822"/>
    </row>
    <row r="65" spans="2:21" s="274" customFormat="1">
      <c r="B65" s="687"/>
      <c r="C65" s="687"/>
      <c r="D65" s="687"/>
      <c r="E65" s="687"/>
      <c r="F65" s="687" t="s">
        <v>623</v>
      </c>
      <c r="G65" s="825"/>
      <c r="H65" s="823">
        <v>1</v>
      </c>
      <c r="I65" s="829"/>
      <c r="J65" s="897"/>
      <c r="K65" s="825"/>
      <c r="L65" s="825"/>
      <c r="M65" s="825"/>
      <c r="N65" s="830"/>
      <c r="O65" s="830"/>
      <c r="P65" s="830"/>
      <c r="Q65" s="830"/>
      <c r="R65" s="830"/>
      <c r="S65" s="832"/>
      <c r="T65" s="832"/>
      <c r="U65" s="833"/>
    </row>
    <row r="66" spans="2:21" s="836" customFormat="1">
      <c r="B66" s="836" t="str">
        <f>'H2 matriz'!$BC$3</f>
        <v>RSDGH2C16</v>
      </c>
      <c r="C66" s="836" t="str">
        <f>'H2 matriz'!$BC$2</f>
        <v>Fuel Tech - H2 Delivery from centralized production (NH3+T10+RTS)</v>
      </c>
      <c r="D66" s="837" t="s">
        <v>233</v>
      </c>
      <c r="E66" s="838"/>
      <c r="G66" s="881">
        <f>G51</f>
        <v>3.315846778184698E-2</v>
      </c>
      <c r="H66" s="839"/>
      <c r="I66" s="876">
        <f>IF(D66="SYNH2UG",1,0.98)</f>
        <v>0.98</v>
      </c>
      <c r="J66" s="900">
        <f>SUMIF('H2 matriz'!$3:$3,$B66,'H2 matriz'!$59:$59)</f>
        <v>2.9517976424559813</v>
      </c>
      <c r="K66" s="900">
        <f>SUMIF('H2 matriz'!$3:$3,$B66,'H2 matriz'!$60:$60)</f>
        <v>2.9517976424559813</v>
      </c>
      <c r="L66" s="900">
        <f>SUMIF('H2 matriz'!$3:$3,$B66,'H2 matriz'!$61:$61)</f>
        <v>2.9517976424559813</v>
      </c>
      <c r="M66" s="900">
        <f>SUMIF('H2 matriz'!$3:$3,$B66,'H2 matriz'!$62:$62)</f>
        <v>3.7544503512128402E-2</v>
      </c>
      <c r="S66" s="836">
        <v>50</v>
      </c>
      <c r="T66" s="836">
        <f>'INPUT-Data(HD)'!V148</f>
        <v>0</v>
      </c>
      <c r="U66" s="836">
        <v>1</v>
      </c>
    </row>
    <row r="67" spans="2:21" s="840" customFormat="1">
      <c r="D67" s="841" t="s">
        <v>621</v>
      </c>
      <c r="E67" s="841"/>
      <c r="F67" s="841"/>
      <c r="G67" s="882">
        <f t="shared" ref="G67:G68" si="1">G52</f>
        <v>0.96684153221815305</v>
      </c>
      <c r="H67" s="842"/>
      <c r="I67" s="850"/>
      <c r="J67" s="901"/>
      <c r="K67" s="901"/>
      <c r="L67" s="901"/>
      <c r="M67" s="901"/>
    </row>
    <row r="68" spans="2:21" s="840" customFormat="1">
      <c r="D68" s="841" t="s">
        <v>339</v>
      </c>
      <c r="E68" s="841"/>
      <c r="F68" s="841"/>
      <c r="G68" s="882">
        <f t="shared" si="1"/>
        <v>1.1933720930232559E-2</v>
      </c>
      <c r="H68" s="842"/>
      <c r="I68" s="850"/>
      <c r="J68" s="901"/>
      <c r="K68" s="901"/>
      <c r="L68" s="901"/>
      <c r="M68" s="901"/>
    </row>
    <row r="69" spans="2:21" s="843" customFormat="1">
      <c r="D69" s="844"/>
      <c r="E69" s="844"/>
      <c r="F69" s="844" t="s">
        <v>644</v>
      </c>
      <c r="G69" s="883"/>
      <c r="H69" s="845">
        <v>1</v>
      </c>
      <c r="I69" s="851"/>
      <c r="J69" s="902"/>
      <c r="K69" s="902"/>
      <c r="L69" s="902"/>
      <c r="M69" s="902"/>
    </row>
    <row r="70" spans="2:21" s="274" customFormat="1">
      <c r="B70" s="274" t="str">
        <f>'H2 matriz'!$BD$3</f>
        <v>RSDGH2C17</v>
      </c>
      <c r="C70" s="274" t="str">
        <f>'H2 matriz'!$BD$2</f>
        <v>Fuel Tech - H2 Delivery from centralized production (NH3+T6+RTS)</v>
      </c>
      <c r="D70" s="16" t="s">
        <v>233</v>
      </c>
      <c r="E70" s="697"/>
      <c r="F70" s="822"/>
      <c r="G70" s="825">
        <f>G55</f>
        <v>1.9321101975686809E-2</v>
      </c>
      <c r="H70" s="823"/>
      <c r="I70" s="876">
        <f>IF(D70="SYNH2UG",1,0.98)</f>
        <v>0.98</v>
      </c>
      <c r="J70" s="796">
        <f>SUMIF('H2 matriz'!$3:$3,$B70,'H2 matriz'!$59:$59)</f>
        <v>0</v>
      </c>
      <c r="K70" s="796">
        <f>SUMIF('H2 matriz'!$3:$3,$B70,'H2 matriz'!$60:$60)</f>
        <v>0</v>
      </c>
      <c r="L70" s="796">
        <f>SUMIF('H2 matriz'!$3:$3,$B70,'H2 matriz'!$61:$61)</f>
        <v>0</v>
      </c>
      <c r="M70" s="796">
        <f>SUMIF('H2 matriz'!$3:$3,$B70,'H2 matriz'!$62:$62)</f>
        <v>1.2170638705066765E-2</v>
      </c>
      <c r="S70" s="274">
        <v>50</v>
      </c>
      <c r="T70" s="274">
        <f>'INPUT-Data(HD)'!V151</f>
        <v>0</v>
      </c>
      <c r="U70" s="274">
        <v>1</v>
      </c>
    </row>
    <row r="71" spans="2:21" s="274" customFormat="1">
      <c r="D71" s="697" t="s">
        <v>621</v>
      </c>
      <c r="E71" s="697"/>
      <c r="F71" s="697"/>
      <c r="G71" s="825">
        <f t="shared" ref="G71:G72" si="2">G56</f>
        <v>0.98067889802431318</v>
      </c>
      <c r="H71" s="823"/>
      <c r="I71" s="852"/>
      <c r="J71" s="897"/>
      <c r="K71" s="825"/>
      <c r="L71" s="825"/>
      <c r="M71" s="825"/>
    </row>
    <row r="72" spans="2:21" s="274" customFormat="1">
      <c r="D72" s="697" t="s">
        <v>339</v>
      </c>
      <c r="E72" s="697"/>
      <c r="F72" s="697"/>
      <c r="G72" s="825">
        <f t="shared" si="2"/>
        <v>1.0997441860465116E-2</v>
      </c>
      <c r="H72" s="823"/>
      <c r="I72" s="852"/>
      <c r="J72" s="897"/>
      <c r="K72" s="825"/>
      <c r="L72" s="825"/>
      <c r="M72" s="825"/>
    </row>
    <row r="73" spans="2:21" s="274" customFormat="1">
      <c r="D73" s="687"/>
      <c r="E73" s="687"/>
      <c r="F73" s="687" t="s">
        <v>639</v>
      </c>
      <c r="G73" s="825"/>
      <c r="H73" s="823">
        <v>1</v>
      </c>
      <c r="I73" s="852"/>
      <c r="J73" s="897"/>
      <c r="K73" s="825"/>
      <c r="L73" s="825"/>
      <c r="M73" s="825"/>
    </row>
    <row r="74" spans="2:21" s="887" customFormat="1">
      <c r="B74" s="887" t="str">
        <f>'H2 matriz'!$BE$3</f>
        <v>RSDGH2D01</v>
      </c>
      <c r="C74" s="887" t="str">
        <f>'H2 matriz'!$BE$2</f>
        <v>Fuel Tech - H2 Delivery from decentralized production (ST+T100+RTS)</v>
      </c>
      <c r="D74" s="888" t="s">
        <v>537</v>
      </c>
      <c r="E74" s="889"/>
      <c r="G74" s="890">
        <f>G59</f>
        <v>1</v>
      </c>
      <c r="H74" s="891"/>
      <c r="I74" s="876">
        <f>IF(D74="SYNH2UG",1,0.98)</f>
        <v>0.98</v>
      </c>
      <c r="J74" s="890">
        <f>SUMIF('H2 matriz'!$3:$3,$B74,'H2 matriz'!$59:$59)</f>
        <v>3.0173041789644688</v>
      </c>
      <c r="K74" s="890">
        <f>SUMIF('H2 matriz'!$3:$3,$B74,'H2 matriz'!$60:$60)</f>
        <v>3.0173041789644688</v>
      </c>
      <c r="L74" s="890">
        <f>SUMIF('H2 matriz'!$3:$3,$B74,'H2 matriz'!$61:$61)</f>
        <v>3.0173041789644688</v>
      </c>
      <c r="M74" s="890">
        <f>SUMIF('H2 matriz'!$3:$3,$B74,'H2 matriz'!$62:$62)</f>
        <v>4.5259562684467021E-2</v>
      </c>
      <c r="S74" s="887">
        <v>50</v>
      </c>
      <c r="T74" s="887">
        <f>'INPUT-Data(HD)'!V150</f>
        <v>0</v>
      </c>
      <c r="U74" s="887">
        <v>1</v>
      </c>
    </row>
    <row r="75" spans="2:21" s="840" customFormat="1">
      <c r="D75" s="841" t="s">
        <v>339</v>
      </c>
      <c r="E75" s="841"/>
      <c r="F75" s="841"/>
      <c r="G75" s="882"/>
      <c r="H75" s="842"/>
      <c r="I75" s="850"/>
      <c r="J75" s="898"/>
      <c r="K75" s="898"/>
      <c r="L75" s="898"/>
      <c r="M75" s="898"/>
    </row>
    <row r="76" spans="2:21" s="843" customFormat="1">
      <c r="D76" s="844"/>
      <c r="E76" s="844"/>
      <c r="F76" s="844" t="s">
        <v>171</v>
      </c>
      <c r="G76" s="883"/>
      <c r="H76" s="845">
        <v>1</v>
      </c>
      <c r="I76" s="851"/>
      <c r="J76" s="899"/>
      <c r="K76" s="899"/>
      <c r="L76" s="899"/>
      <c r="M76" s="899"/>
    </row>
    <row r="77" spans="2:21" s="274" customFormat="1">
      <c r="B77" s="697" t="str">
        <f>'H2 matriz'!$BF$3</f>
        <v>RSDGH2D02</v>
      </c>
      <c r="C77" s="697" t="str">
        <f>'H2 matriz'!$BF$2</f>
        <v>Fuel Tech - H2 Delivery from decentralized production (ST+T20+RTS)</v>
      </c>
      <c r="D77" s="16" t="s">
        <v>537</v>
      </c>
      <c r="E77" s="697"/>
      <c r="F77" s="822"/>
      <c r="G77" s="825">
        <f>G62</f>
        <v>7.1637322688716226E-2</v>
      </c>
      <c r="H77" s="823"/>
      <c r="I77" s="876">
        <f>IF(D77="SYNH2UG",1,0.98)</f>
        <v>0.98</v>
      </c>
      <c r="J77" s="796">
        <f>SUMIF('H2 matriz'!$3:$3,$B77,'H2 matriz'!$59:$59)</f>
        <v>2.3200280031533524</v>
      </c>
      <c r="K77" s="796">
        <f>SUMIF('H2 matriz'!$3:$3,$B77,'H2 matriz'!$60:$60)</f>
        <v>2.3200280031533524</v>
      </c>
      <c r="L77" s="796">
        <f>SUMIF('H2 matriz'!$3:$3,$B77,'H2 matriz'!$61:$61)</f>
        <v>2.3200280031533524</v>
      </c>
      <c r="M77" s="796">
        <f>SUMIF('H2 matriz'!$3:$3,$B77,'H2 matriz'!$62:$62)</f>
        <v>2.6100315035475205E-2</v>
      </c>
      <c r="N77" s="826"/>
      <c r="O77" s="826"/>
      <c r="P77" s="826"/>
      <c r="Q77" s="826"/>
      <c r="R77" s="826"/>
      <c r="S77" s="827">
        <v>50</v>
      </c>
      <c r="T77" s="827">
        <f>'INPUT-Data(HD)'!V154</f>
        <v>0</v>
      </c>
      <c r="U77" s="828">
        <v>1</v>
      </c>
    </row>
    <row r="78" spans="2:21" s="274" customFormat="1">
      <c r="B78" s="697"/>
      <c r="C78" s="697"/>
      <c r="D78" s="697" t="s">
        <v>621</v>
      </c>
      <c r="E78" s="697"/>
      <c r="F78" s="697"/>
      <c r="G78" s="825">
        <f>G63</f>
        <v>0.92836267731128375</v>
      </c>
      <c r="H78" s="823"/>
      <c r="I78" s="824"/>
      <c r="J78" s="897"/>
      <c r="K78" s="825"/>
      <c r="L78" s="825"/>
      <c r="M78" s="825"/>
      <c r="N78" s="826"/>
      <c r="O78" s="826"/>
      <c r="P78" s="826"/>
      <c r="Q78" s="826"/>
      <c r="R78" s="826"/>
      <c r="S78" s="827"/>
      <c r="T78" s="827"/>
      <c r="U78" s="822"/>
    </row>
    <row r="79" spans="2:21" s="274" customFormat="1">
      <c r="B79" s="697"/>
      <c r="C79" s="697"/>
      <c r="D79" s="697" t="s">
        <v>339</v>
      </c>
      <c r="E79" s="697"/>
      <c r="F79" s="697"/>
      <c r="G79" s="825"/>
      <c r="H79" s="823"/>
      <c r="I79" s="824"/>
      <c r="J79" s="897"/>
      <c r="K79" s="825"/>
      <c r="L79" s="825"/>
      <c r="M79" s="825"/>
      <c r="N79" s="826"/>
      <c r="O79" s="826"/>
      <c r="P79" s="826"/>
      <c r="Q79" s="826"/>
      <c r="R79" s="826"/>
      <c r="S79" s="827"/>
      <c r="T79" s="827"/>
      <c r="U79" s="822"/>
    </row>
    <row r="80" spans="2:21" s="274" customFormat="1">
      <c r="B80" s="697"/>
      <c r="C80" s="697"/>
      <c r="D80" s="697"/>
      <c r="E80" s="697"/>
      <c r="F80" s="697" t="s">
        <v>623</v>
      </c>
      <c r="G80" s="825"/>
      <c r="H80" s="823">
        <v>1</v>
      </c>
      <c r="I80" s="824"/>
      <c r="J80" s="897"/>
      <c r="K80" s="825"/>
      <c r="L80" s="825"/>
      <c r="M80" s="825"/>
      <c r="N80" s="826"/>
      <c r="O80" s="826"/>
      <c r="P80" s="826"/>
      <c r="Q80" s="826"/>
      <c r="R80" s="826"/>
      <c r="S80" s="827"/>
      <c r="T80" s="827"/>
      <c r="U80" s="822"/>
    </row>
    <row r="81" spans="1:21" s="836" customFormat="1">
      <c r="B81" s="836" t="str">
        <f>'H2 matriz'!$BG$3</f>
        <v>RSDGH2D03</v>
      </c>
      <c r="C81" s="836" t="str">
        <f>'H2 matriz'!$BG$2</f>
        <v>Fuel Tech - H2 Delivery from decentralized production (ST+T10+RTS)</v>
      </c>
      <c r="D81" s="837" t="s">
        <v>537</v>
      </c>
      <c r="E81" s="838"/>
      <c r="G81" s="881">
        <f>G66</f>
        <v>3.315846778184698E-2</v>
      </c>
      <c r="H81" s="839"/>
      <c r="I81" s="876">
        <f>IF(D81="SYNH2UG",1,0.98)</f>
        <v>0.98</v>
      </c>
      <c r="J81" s="900">
        <f>SUMIF('H2 matriz'!$3:$3,$B81,'H2 matriz'!$59:$59)</f>
        <v>2.3200280031533524</v>
      </c>
      <c r="K81" s="900">
        <f>SUMIF('H2 matriz'!$3:$3,$B81,'H2 matriz'!$60:$60)</f>
        <v>2.3200280031533524</v>
      </c>
      <c r="L81" s="900">
        <f>SUMIF('H2 matriz'!$3:$3,$B81,'H2 matriz'!$61:$61)</f>
        <v>2.3200280031533524</v>
      </c>
      <c r="M81" s="900">
        <f>SUMIF('H2 matriz'!$3:$3,$B81,'H2 matriz'!$62:$62)</f>
        <v>2.1750262529562674E-2</v>
      </c>
      <c r="S81" s="836">
        <v>50</v>
      </c>
      <c r="T81" s="836">
        <f>'INPUT-Data(HD)'!V153</f>
        <v>0</v>
      </c>
      <c r="U81" s="836">
        <v>1</v>
      </c>
    </row>
    <row r="82" spans="1:21" s="840" customFormat="1">
      <c r="D82" s="841" t="s">
        <v>621</v>
      </c>
      <c r="E82" s="841"/>
      <c r="F82" s="841"/>
      <c r="G82" s="882">
        <f>G67</f>
        <v>0.96684153221815305</v>
      </c>
      <c r="H82" s="842"/>
      <c r="I82" s="850"/>
      <c r="J82" s="901"/>
      <c r="K82" s="901"/>
      <c r="L82" s="901"/>
      <c r="M82" s="901"/>
    </row>
    <row r="83" spans="1:21" s="840" customFormat="1">
      <c r="D83" s="841" t="s">
        <v>339</v>
      </c>
      <c r="E83" s="841"/>
      <c r="F83" s="841"/>
      <c r="G83" s="882"/>
      <c r="H83" s="842"/>
      <c r="I83" s="850"/>
      <c r="J83" s="901"/>
      <c r="K83" s="901"/>
      <c r="L83" s="901"/>
      <c r="M83" s="901"/>
    </row>
    <row r="84" spans="1:21" s="843" customFormat="1">
      <c r="D84" s="844"/>
      <c r="E84" s="844"/>
      <c r="F84" s="844" t="s">
        <v>644</v>
      </c>
      <c r="G84" s="883"/>
      <c r="H84" s="845">
        <v>1</v>
      </c>
      <c r="I84" s="851"/>
      <c r="J84" s="902"/>
      <c r="K84" s="902"/>
      <c r="L84" s="902"/>
      <c r="M84" s="902"/>
    </row>
    <row r="85" spans="1:21" s="274" customFormat="1">
      <c r="B85" s="697" t="str">
        <f>'H2 matriz'!$BH$3</f>
        <v>RSDGH2D04</v>
      </c>
      <c r="C85" s="697" t="str">
        <f>'H2 matriz'!$BH$2</f>
        <v>Fuel Tech - H2 Delivery from decentralized production (ST+T6+RTS)</v>
      </c>
      <c r="D85" s="16" t="s">
        <v>537</v>
      </c>
      <c r="E85" s="697"/>
      <c r="F85" s="822"/>
      <c r="G85" s="825">
        <f>G70</f>
        <v>1.9321101975686809E-2</v>
      </c>
      <c r="H85" s="823"/>
      <c r="I85" s="876">
        <f>IF(D85="SYNH2UG",1,0.98)</f>
        <v>0.98</v>
      </c>
      <c r="J85" s="796">
        <f>SUMIF('H2 matriz'!$3:$3,$B85,'H2 matriz'!$59:$59)</f>
        <v>0</v>
      </c>
      <c r="K85" s="796">
        <f>SUMIF('H2 matriz'!$3:$3,$B85,'H2 matriz'!$60:$60)</f>
        <v>0</v>
      </c>
      <c r="L85" s="796">
        <f>SUMIF('H2 matriz'!$3:$3,$B85,'H2 matriz'!$61:$61)</f>
        <v>0</v>
      </c>
      <c r="M85" s="796">
        <f>SUMIF('H2 matriz'!$3:$3,$B85,'H2 matriz'!$62:$62)</f>
        <v>1.2170638705066765E-2</v>
      </c>
      <c r="N85" s="826"/>
      <c r="O85" s="826"/>
      <c r="P85" s="826"/>
      <c r="Q85" s="826"/>
      <c r="R85" s="826"/>
      <c r="S85" s="827">
        <v>50</v>
      </c>
      <c r="T85" s="827">
        <f>'INPUT-Data(HD)'!V157</f>
        <v>0</v>
      </c>
      <c r="U85" s="828">
        <v>1</v>
      </c>
    </row>
    <row r="86" spans="1:21" s="274" customFormat="1">
      <c r="B86" s="697"/>
      <c r="C86" s="697"/>
      <c r="D86" s="697" t="s">
        <v>621</v>
      </c>
      <c r="E86" s="697"/>
      <c r="F86" s="697"/>
      <c r="G86" s="825">
        <f>G71</f>
        <v>0.98067889802431318</v>
      </c>
      <c r="H86" s="823"/>
      <c r="I86" s="824"/>
      <c r="J86" s="897"/>
      <c r="K86" s="825"/>
      <c r="L86" s="825"/>
      <c r="M86" s="825"/>
      <c r="N86" s="826"/>
      <c r="O86" s="826"/>
      <c r="P86" s="826"/>
      <c r="Q86" s="826"/>
      <c r="R86" s="826"/>
      <c r="S86" s="827"/>
      <c r="T86" s="827"/>
      <c r="U86" s="822"/>
    </row>
    <row r="87" spans="1:21" s="274" customFormat="1">
      <c r="B87" s="697"/>
      <c r="C87" s="697"/>
      <c r="D87" s="697" t="s">
        <v>339</v>
      </c>
      <c r="E87" s="697"/>
      <c r="F87" s="697"/>
      <c r="G87" s="825"/>
      <c r="H87" s="823"/>
      <c r="I87" s="824"/>
      <c r="J87" s="897"/>
      <c r="K87" s="825"/>
      <c r="L87" s="825"/>
      <c r="M87" s="825"/>
      <c r="N87" s="826"/>
      <c r="O87" s="826"/>
      <c r="P87" s="826"/>
      <c r="Q87" s="826"/>
      <c r="R87" s="826"/>
      <c r="S87" s="827"/>
      <c r="T87" s="827"/>
      <c r="U87" s="822"/>
    </row>
    <row r="88" spans="1:21" s="274" customFormat="1">
      <c r="B88" s="687"/>
      <c r="C88" s="687"/>
      <c r="D88" s="687"/>
      <c r="E88" s="687"/>
      <c r="F88" s="687" t="s">
        <v>639</v>
      </c>
      <c r="G88" s="825"/>
      <c r="H88" s="823">
        <v>1</v>
      </c>
      <c r="I88" s="829"/>
      <c r="J88" s="897"/>
      <c r="K88" s="825"/>
      <c r="L88" s="825"/>
      <c r="M88" s="825"/>
      <c r="N88" s="830"/>
      <c r="O88" s="830"/>
      <c r="P88" s="830"/>
      <c r="Q88" s="830"/>
      <c r="R88" s="830"/>
      <c r="S88" s="832"/>
      <c r="T88" s="832"/>
      <c r="U88" s="833"/>
    </row>
    <row r="89" spans="1:21" s="887" customFormat="1">
      <c r="B89" s="887" t="str">
        <f>'H2 matriz'!$BI$3</f>
        <v>RSDGH2M01</v>
      </c>
      <c r="C89" s="887" t="str">
        <f>'H2 matriz'!$BI$2</f>
        <v>Fuel Tech - H2 Delivery from micrpdecentralized production</v>
      </c>
      <c r="D89" s="888" t="s">
        <v>537</v>
      </c>
      <c r="E89" s="889"/>
      <c r="G89" s="890">
        <v>1</v>
      </c>
      <c r="H89" s="891"/>
      <c r="I89" s="876">
        <f>IF(D89="SYNH2UG",1,0.98)</f>
        <v>0.98</v>
      </c>
      <c r="J89" s="890">
        <f>SUMIF('H2 matriz'!$3:$3,$B89,'H2 matriz'!$59:$59)</f>
        <v>0</v>
      </c>
      <c r="K89" s="890">
        <f>SUMIF('H2 matriz'!$3:$3,$B89,'H2 matriz'!$60:$60)</f>
        <v>0</v>
      </c>
      <c r="L89" s="890">
        <f>SUMIF('H2 matriz'!$3:$3,$B89,'H2 matriz'!$61:$61)</f>
        <v>0</v>
      </c>
      <c r="M89" s="890">
        <f>SUMIF('H2 matriz'!$3:$3,$B89,'H2 matriz'!$62:$62)</f>
        <v>0</v>
      </c>
      <c r="S89" s="887">
        <v>50</v>
      </c>
      <c r="T89" s="887">
        <f>'INPUT-Data(HD)'!V160</f>
        <v>0</v>
      </c>
      <c r="U89" s="887">
        <v>1</v>
      </c>
    </row>
    <row r="90" spans="1:21" s="840" customFormat="1">
      <c r="D90" s="841" t="s">
        <v>339</v>
      </c>
      <c r="E90" s="841"/>
      <c r="F90" s="841"/>
      <c r="G90" s="882"/>
      <c r="H90" s="842"/>
      <c r="I90" s="850"/>
      <c r="J90" s="898"/>
      <c r="K90" s="898"/>
      <c r="L90" s="898"/>
      <c r="M90" s="898"/>
    </row>
    <row r="91" spans="1:21" s="843" customFormat="1">
      <c r="D91" s="844"/>
      <c r="E91" s="844"/>
      <c r="F91" s="844" t="s">
        <v>171</v>
      </c>
      <c r="G91" s="883"/>
      <c r="H91" s="845">
        <v>1</v>
      </c>
      <c r="I91" s="851"/>
      <c r="J91" s="899"/>
      <c r="K91" s="899"/>
      <c r="L91" s="899"/>
      <c r="M91" s="899"/>
    </row>
    <row r="92" spans="1:21" s="633" customFormat="1">
      <c r="B92" s="692"/>
      <c r="C92" s="697"/>
      <c r="D92" s="638"/>
      <c r="E92" s="692"/>
      <c r="G92" s="796"/>
      <c r="H92" s="402"/>
      <c r="I92" s="694"/>
      <c r="J92" s="694"/>
      <c r="K92" s="694"/>
      <c r="L92" s="694"/>
      <c r="M92" s="694"/>
      <c r="N92" s="694"/>
      <c r="O92" s="676"/>
      <c r="P92" s="676"/>
      <c r="Q92" s="676"/>
      <c r="R92" s="676"/>
      <c r="S92" s="677"/>
      <c r="T92" s="677"/>
      <c r="U92" s="695"/>
    </row>
    <row r="94" spans="1:21">
      <c r="A94" s="29"/>
      <c r="B94" s="29"/>
      <c r="C94" s="30"/>
      <c r="D94" s="30"/>
      <c r="E94" s="30"/>
      <c r="F94" s="30"/>
      <c r="G94" s="68"/>
      <c r="H94" s="30"/>
      <c r="I94" s="853"/>
      <c r="J94" s="113"/>
      <c r="K94" s="113"/>
      <c r="L94" s="113"/>
      <c r="M94" s="113"/>
      <c r="N94" s="113"/>
    </row>
    <row r="95" spans="1:21">
      <c r="A95" s="636" t="s">
        <v>7</v>
      </c>
      <c r="B95" s="636" t="s">
        <v>0</v>
      </c>
      <c r="C95" s="636" t="s">
        <v>1</v>
      </c>
      <c r="D95" s="636" t="s">
        <v>9</v>
      </c>
      <c r="E95" s="636" t="s">
        <v>10</v>
      </c>
      <c r="F95" s="636" t="s">
        <v>11</v>
      </c>
      <c r="G95" s="884" t="s">
        <v>12</v>
      </c>
    </row>
    <row r="96" spans="1:21" ht="117">
      <c r="A96" s="38" t="s">
        <v>39</v>
      </c>
      <c r="B96" s="38" t="s">
        <v>14</v>
      </c>
      <c r="C96" s="38" t="s">
        <v>15</v>
      </c>
      <c r="D96" s="38" t="s">
        <v>16</v>
      </c>
      <c r="E96" s="38" t="s">
        <v>17</v>
      </c>
      <c r="F96" s="38" t="s">
        <v>27</v>
      </c>
      <c r="G96" s="885" t="s">
        <v>26</v>
      </c>
    </row>
    <row r="97" spans="1:13">
      <c r="A97" s="641" t="s">
        <v>37</v>
      </c>
      <c r="B97" s="692" t="str">
        <f>B10</f>
        <v>RSDGH2C01</v>
      </c>
      <c r="C97" s="692" t="str">
        <f>C10</f>
        <v>Fuel Tech - H2 Delivery from centralized production (USTOR+T100)</v>
      </c>
      <c r="D97" s="637" t="s">
        <v>23</v>
      </c>
      <c r="E97" s="638" t="s">
        <v>133</v>
      </c>
      <c r="F97" s="637" t="s">
        <v>230</v>
      </c>
      <c r="H97" s="642"/>
    </row>
    <row r="98" spans="1:13">
      <c r="A98" s="641" t="s">
        <v>37</v>
      </c>
      <c r="B98" s="692" t="str">
        <f>B14</f>
        <v>RSDGH2C02</v>
      </c>
      <c r="C98" s="692" t="str">
        <f>C14</f>
        <v>Fuel Tech - H2 Delivery from centralized production (USTOR+T100+RTS)</v>
      </c>
      <c r="D98" s="637" t="s">
        <v>23</v>
      </c>
      <c r="E98" s="638" t="s">
        <v>133</v>
      </c>
      <c r="F98" s="637" t="s">
        <v>230</v>
      </c>
      <c r="H98" s="642"/>
    </row>
    <row r="99" spans="1:13">
      <c r="A99" s="641" t="s">
        <v>37</v>
      </c>
      <c r="B99" s="692" t="str">
        <f>B17</f>
        <v>RSDGH2C03</v>
      </c>
      <c r="C99" s="692" t="str">
        <f>C17</f>
        <v>Fuel Tech - H2 Delivery from centralized production (USTOR+T20+RTS)</v>
      </c>
      <c r="D99" s="637" t="s">
        <v>23</v>
      </c>
      <c r="E99" s="638" t="s">
        <v>133</v>
      </c>
      <c r="F99" s="637" t="s">
        <v>230</v>
      </c>
      <c r="H99" s="642"/>
    </row>
    <row r="100" spans="1:13">
      <c r="A100" s="641" t="s">
        <v>37</v>
      </c>
      <c r="B100" s="692" t="str">
        <f>B21</f>
        <v>RSDGH2C04</v>
      </c>
      <c r="C100" s="692" t="str">
        <f>C21</f>
        <v>Fuel Tech - H2 Delivery from centralized production (USTOR+T10+RTS)</v>
      </c>
      <c r="D100" s="637" t="s">
        <v>23</v>
      </c>
      <c r="E100" s="638" t="s">
        <v>133</v>
      </c>
      <c r="F100" s="637" t="s">
        <v>230</v>
      </c>
      <c r="H100" s="642"/>
    </row>
    <row r="101" spans="1:13">
      <c r="A101" s="641" t="s">
        <v>37</v>
      </c>
      <c r="B101" s="692" t="str">
        <f>B25</f>
        <v>RSDGH2C05</v>
      </c>
      <c r="C101" s="692" t="str">
        <f>C25</f>
        <v>Fuel Tech - H2 Delivery from centralized production (USTOR+T6+RTS)</v>
      </c>
      <c r="D101" s="637" t="s">
        <v>23</v>
      </c>
      <c r="E101" s="638" t="s">
        <v>133</v>
      </c>
      <c r="F101" s="637" t="s">
        <v>230</v>
      </c>
    </row>
    <row r="102" spans="1:13">
      <c r="A102" s="641" t="s">
        <v>37</v>
      </c>
      <c r="B102" s="692" t="str">
        <f>B29</f>
        <v>RSDGH2C06</v>
      </c>
      <c r="C102" s="692" t="str">
        <f>C29</f>
        <v>Fuel Tech - H2 Delivery from centralized production (COMP+T100+RTS)</v>
      </c>
      <c r="D102" s="637" t="s">
        <v>23</v>
      </c>
      <c r="E102" s="638" t="s">
        <v>133</v>
      </c>
      <c r="F102" s="637" t="s">
        <v>230</v>
      </c>
    </row>
    <row r="103" spans="1:13">
      <c r="A103" s="641" t="s">
        <v>37</v>
      </c>
      <c r="B103" s="692" t="str">
        <f>B32</f>
        <v>RSDGH2C07</v>
      </c>
      <c r="C103" s="692" t="str">
        <f>C32</f>
        <v>Fuel Tech - H2 Delivery from centralized production (COMP+T20+RTS)</v>
      </c>
      <c r="D103" s="637" t="s">
        <v>23</v>
      </c>
      <c r="E103" s="638" t="s">
        <v>133</v>
      </c>
      <c r="F103" s="637" t="s">
        <v>230</v>
      </c>
    </row>
    <row r="104" spans="1:13">
      <c r="A104" s="641" t="s">
        <v>37</v>
      </c>
      <c r="B104" s="692" t="str">
        <f>B36</f>
        <v>RSDGH2C08</v>
      </c>
      <c r="C104" s="692" t="str">
        <f>C36</f>
        <v>Fuel Tech - H2 Delivery from centralized production (COMP+T10+RTS)</v>
      </c>
      <c r="D104" s="637" t="s">
        <v>23</v>
      </c>
      <c r="E104" s="638" t="s">
        <v>133</v>
      </c>
      <c r="F104" s="637" t="s">
        <v>230</v>
      </c>
    </row>
    <row r="105" spans="1:13">
      <c r="A105" s="641" t="s">
        <v>37</v>
      </c>
      <c r="B105" s="692" t="str">
        <f>B40</f>
        <v>RSDGH2C09</v>
      </c>
      <c r="C105" s="692" t="str">
        <f>C40</f>
        <v>Fuel Tech - H2 Delivery from centralized production (COMP+T6+RTS)</v>
      </c>
      <c r="D105" s="637" t="s">
        <v>23</v>
      </c>
      <c r="E105" s="638" t="s">
        <v>133</v>
      </c>
      <c r="F105" s="637" t="s">
        <v>230</v>
      </c>
    </row>
    <row r="106" spans="1:13">
      <c r="A106" s="641" t="s">
        <v>37</v>
      </c>
      <c r="B106" s="692" t="str">
        <f>B44</f>
        <v>RSDGH2C10</v>
      </c>
      <c r="C106" s="692" t="str">
        <f>C44</f>
        <v>Fuel Tech - H2 Delivery from centralized production (CRY+T100+RTS)</v>
      </c>
      <c r="D106" s="637" t="s">
        <v>23</v>
      </c>
      <c r="E106" s="638" t="s">
        <v>133</v>
      </c>
      <c r="F106" s="637" t="s">
        <v>230</v>
      </c>
    </row>
    <row r="107" spans="1:13">
      <c r="A107" s="641" t="s">
        <v>37</v>
      </c>
      <c r="B107" s="697" t="str">
        <f>B47</f>
        <v>RSDGH2C11</v>
      </c>
      <c r="C107" s="697" t="str">
        <f>C47</f>
        <v>Fuel Tech - H2 Delivery from centralized production (CRY+T20+RTS)</v>
      </c>
      <c r="D107" s="637" t="s">
        <v>23</v>
      </c>
      <c r="E107" s="638" t="s">
        <v>133</v>
      </c>
      <c r="F107" s="637" t="s">
        <v>230</v>
      </c>
    </row>
    <row r="108" spans="1:13">
      <c r="A108" s="641" t="s">
        <v>37</v>
      </c>
      <c r="B108" s="697" t="str">
        <f>B51</f>
        <v>RSDGH2C12</v>
      </c>
      <c r="C108" s="697" t="str">
        <f>C51</f>
        <v>Fuel Tech - H2 Delivery from centralized production (CRY+T10+RTS)</v>
      </c>
      <c r="D108" s="637" t="s">
        <v>23</v>
      </c>
      <c r="E108" s="638" t="s">
        <v>133</v>
      </c>
      <c r="F108" s="637" t="s">
        <v>230</v>
      </c>
    </row>
    <row r="109" spans="1:13">
      <c r="A109" s="641" t="s">
        <v>37</v>
      </c>
      <c r="B109" s="697" t="str">
        <f>B55</f>
        <v>RSDGH2C13</v>
      </c>
      <c r="C109" s="697" t="str">
        <f>C55</f>
        <v>Fuel Tech - H2 Delivery from centralized production (CRY+T6+RTS)</v>
      </c>
      <c r="D109" s="637" t="s">
        <v>23</v>
      </c>
      <c r="E109" s="638" t="s">
        <v>133</v>
      </c>
      <c r="F109" s="637" t="s">
        <v>230</v>
      </c>
    </row>
    <row r="110" spans="1:13">
      <c r="A110" s="641" t="s">
        <v>37</v>
      </c>
      <c r="B110" s="819" t="str">
        <f>B59</f>
        <v>RSDGH2C14</v>
      </c>
      <c r="C110" s="819" t="str">
        <f>C59</f>
        <v>Fuel Tech - H2 Delivery from centralized production (NH3+T100+RTS)</v>
      </c>
      <c r="D110" s="637" t="s">
        <v>23</v>
      </c>
      <c r="E110" s="638" t="s">
        <v>133</v>
      </c>
      <c r="F110" s="637" t="s">
        <v>230</v>
      </c>
    </row>
    <row r="111" spans="1:13">
      <c r="A111" s="641" t="s">
        <v>37</v>
      </c>
      <c r="B111" s="697" t="str">
        <f>B62</f>
        <v>RSDGH2C15</v>
      </c>
      <c r="C111" s="697" t="str">
        <f>C62</f>
        <v>Fuel Tech - H2 Delivery from centralized production (NH3+T20+RTS)</v>
      </c>
      <c r="D111" s="637" t="s">
        <v>23</v>
      </c>
      <c r="E111" s="638" t="s">
        <v>133</v>
      </c>
      <c r="F111" s="637" t="s">
        <v>230</v>
      </c>
    </row>
    <row r="112" spans="1:13">
      <c r="A112" s="641" t="s">
        <v>37</v>
      </c>
      <c r="B112" s="692" t="str">
        <f>B66</f>
        <v>RSDGH2C16</v>
      </c>
      <c r="C112" s="692" t="str">
        <f>C66</f>
        <v>Fuel Tech - H2 Delivery from centralized production (NH3+T10+RTS)</v>
      </c>
      <c r="D112" s="637" t="s">
        <v>23</v>
      </c>
      <c r="E112" s="638" t="s">
        <v>133</v>
      </c>
      <c r="F112" s="637" t="s">
        <v>230</v>
      </c>
      <c r="J112" s="206"/>
    </row>
    <row r="113" spans="1:11">
      <c r="A113" s="641" t="s">
        <v>37</v>
      </c>
      <c r="B113" s="692" t="str">
        <f>B70</f>
        <v>RSDGH2C17</v>
      </c>
      <c r="C113" s="692" t="str">
        <f>C70</f>
        <v>Fuel Tech - H2 Delivery from centralized production (NH3+T6+RTS)</v>
      </c>
      <c r="D113" s="637" t="s">
        <v>23</v>
      </c>
      <c r="E113" s="638" t="s">
        <v>133</v>
      </c>
      <c r="F113" s="637" t="s">
        <v>230</v>
      </c>
    </row>
    <row r="114" spans="1:11">
      <c r="A114" s="641" t="s">
        <v>37</v>
      </c>
      <c r="B114" s="692" t="str">
        <f>B74</f>
        <v>RSDGH2D01</v>
      </c>
      <c r="C114" s="692" t="str">
        <f>C74</f>
        <v>Fuel Tech - H2 Delivery from decentralized production (ST+T100+RTS)</v>
      </c>
      <c r="D114" s="637" t="s">
        <v>23</v>
      </c>
      <c r="E114" s="638" t="s">
        <v>133</v>
      </c>
      <c r="F114" s="637" t="s">
        <v>230</v>
      </c>
    </row>
    <row r="115" spans="1:11">
      <c r="A115" s="641" t="s">
        <v>37</v>
      </c>
      <c r="B115" s="692" t="str">
        <f>B77</f>
        <v>RSDGH2D02</v>
      </c>
      <c r="C115" s="692" t="str">
        <f>C77</f>
        <v>Fuel Tech - H2 Delivery from decentralized production (ST+T20+RTS)</v>
      </c>
      <c r="D115" s="637" t="s">
        <v>23</v>
      </c>
      <c r="E115" s="638" t="s">
        <v>133</v>
      </c>
      <c r="F115" s="637" t="s">
        <v>230</v>
      </c>
    </row>
    <row r="116" spans="1:11">
      <c r="A116" s="641" t="s">
        <v>37</v>
      </c>
      <c r="B116" s="697" t="str">
        <f>B81</f>
        <v>RSDGH2D03</v>
      </c>
      <c r="C116" s="697" t="str">
        <f>C81</f>
        <v>Fuel Tech - H2 Delivery from decentralized production (ST+T10+RTS)</v>
      </c>
      <c r="D116" s="637" t="s">
        <v>23</v>
      </c>
      <c r="E116" s="638" t="s">
        <v>133</v>
      </c>
      <c r="F116" s="637" t="s">
        <v>230</v>
      </c>
    </row>
    <row r="117" spans="1:11">
      <c r="A117" s="641" t="s">
        <v>37</v>
      </c>
      <c r="B117" s="692" t="str">
        <f>B85</f>
        <v>RSDGH2D04</v>
      </c>
      <c r="C117" s="692" t="str">
        <f>C85</f>
        <v>Fuel Tech - H2 Delivery from decentralized production (ST+T6+RTS)</v>
      </c>
      <c r="D117" s="637" t="s">
        <v>23</v>
      </c>
      <c r="E117" s="638" t="s">
        <v>133</v>
      </c>
      <c r="F117" s="637" t="s">
        <v>230</v>
      </c>
    </row>
    <row r="118" spans="1:11">
      <c r="A118" s="641" t="s">
        <v>37</v>
      </c>
      <c r="B118" s="692" t="str">
        <f>B89</f>
        <v>RSDGH2M01</v>
      </c>
      <c r="C118" s="692" t="str">
        <f>C89</f>
        <v>Fuel Tech - H2 Delivery from micrpdecentralized production</v>
      </c>
      <c r="D118" s="637" t="s">
        <v>23</v>
      </c>
      <c r="E118" s="638" t="s">
        <v>133</v>
      </c>
      <c r="F118" s="637" t="s">
        <v>230</v>
      </c>
    </row>
    <row r="119" spans="1:11">
      <c r="A119" s="641"/>
      <c r="C119" s="470"/>
      <c r="D119" s="637"/>
      <c r="E119" s="638"/>
      <c r="F119" s="637"/>
      <c r="K119" s="206"/>
    </row>
    <row r="120" spans="1:11">
      <c r="A120" s="641"/>
      <c r="C120" s="470"/>
      <c r="D120" s="637"/>
      <c r="E120" s="638"/>
      <c r="F120" s="637"/>
    </row>
    <row r="121" spans="1:11">
      <c r="A121" s="641"/>
      <c r="B121" s="697"/>
      <c r="C121" s="470"/>
      <c r="D121" s="637"/>
      <c r="E121" s="638"/>
      <c r="F121" s="637"/>
    </row>
    <row r="122" spans="1:11">
      <c r="A122" s="641"/>
      <c r="B122" s="697"/>
      <c r="C122" s="470"/>
      <c r="D122" s="637"/>
      <c r="E122" s="638"/>
      <c r="F122" s="637"/>
    </row>
    <row r="123" spans="1:11">
      <c r="A123" s="641"/>
      <c r="B123" s="697"/>
      <c r="C123" s="697"/>
      <c r="D123" s="637"/>
      <c r="E123" s="638"/>
      <c r="F123" s="637"/>
    </row>
    <row r="124" spans="1:11">
      <c r="A124" s="641"/>
      <c r="B124" s="697"/>
      <c r="C124" s="477"/>
      <c r="D124" s="637"/>
      <c r="E124" s="638"/>
      <c r="F124" s="637"/>
    </row>
    <row r="125" spans="1:11">
      <c r="A125" s="641"/>
      <c r="B125" s="697"/>
      <c r="C125" s="697"/>
      <c r="D125" s="637"/>
      <c r="E125" s="638"/>
      <c r="F125" s="637"/>
      <c r="K125" s="206"/>
    </row>
    <row r="126" spans="1:11">
      <c r="A126" s="641"/>
      <c r="B126" s="697"/>
      <c r="C126" s="455"/>
      <c r="D126" s="637"/>
      <c r="E126" s="638"/>
      <c r="F126" s="637"/>
    </row>
    <row r="127" spans="1:11">
      <c r="A127" s="641"/>
      <c r="B127" s="697"/>
      <c r="C127" s="697"/>
      <c r="D127" s="637"/>
      <c r="E127" s="638"/>
      <c r="F127" s="637"/>
    </row>
    <row r="128" spans="1:11">
      <c r="A128" s="641"/>
      <c r="B128" s="697"/>
      <c r="C128" s="455"/>
      <c r="D128" s="637"/>
      <c r="E128" s="638"/>
      <c r="F128" s="637"/>
    </row>
    <row r="129" spans="1:8">
      <c r="A129" s="641"/>
      <c r="B129" s="697"/>
      <c r="C129" s="697"/>
      <c r="D129" s="637"/>
      <c r="E129" s="638"/>
      <c r="F129" s="637"/>
    </row>
    <row r="130" spans="1:8">
      <c r="A130" s="641"/>
      <c r="B130" s="697"/>
      <c r="C130" s="455"/>
      <c r="D130" s="637"/>
      <c r="E130" s="638"/>
      <c r="F130" s="637"/>
    </row>
    <row r="131" spans="1:8">
      <c r="A131" s="641"/>
      <c r="B131" s="697"/>
      <c r="C131" s="470"/>
      <c r="D131" s="637"/>
      <c r="E131" s="638"/>
      <c r="F131" s="637"/>
    </row>
    <row r="132" spans="1:8">
      <c r="A132" s="641"/>
      <c r="B132" s="697"/>
      <c r="C132" s="470"/>
      <c r="D132" s="637"/>
      <c r="E132" s="638"/>
      <c r="F132" s="637"/>
    </row>
    <row r="133" spans="1:8">
      <c r="A133" s="641"/>
      <c r="B133" s="697"/>
      <c r="C133" s="470"/>
      <c r="D133" s="637"/>
      <c r="E133" s="638"/>
      <c r="F133" s="637"/>
    </row>
    <row r="134" spans="1:8">
      <c r="A134" s="641"/>
      <c r="B134" s="697"/>
      <c r="C134" s="470"/>
      <c r="D134" s="637"/>
      <c r="E134" s="638"/>
      <c r="F134" s="637"/>
    </row>
    <row r="135" spans="1:8">
      <c r="A135" s="641"/>
      <c r="B135" s="642"/>
      <c r="C135" s="470"/>
      <c r="D135" s="637"/>
      <c r="E135" s="638"/>
      <c r="F135" s="637"/>
      <c r="H135" s="113"/>
    </row>
    <row r="136" spans="1:8">
      <c r="A136" s="641"/>
      <c r="C136" s="470"/>
      <c r="D136" s="637"/>
      <c r="E136" s="638"/>
      <c r="F136" s="637"/>
    </row>
    <row r="137" spans="1:8">
      <c r="A137" s="641"/>
      <c r="B137" s="642"/>
      <c r="C137" s="470"/>
      <c r="D137" s="637"/>
      <c r="E137" s="638"/>
      <c r="F137" s="637"/>
    </row>
    <row r="138" spans="1:8">
      <c r="A138" s="641"/>
      <c r="C138" s="470"/>
      <c r="D138" s="637"/>
      <c r="E138" s="638"/>
      <c r="F138" s="637"/>
    </row>
    <row r="139" spans="1:8">
      <c r="A139" s="641"/>
      <c r="B139" s="642"/>
      <c r="C139" s="470"/>
      <c r="D139" s="637"/>
      <c r="E139" s="638"/>
      <c r="F139" s="637"/>
    </row>
    <row r="140" spans="1:8">
      <c r="A140" s="641"/>
      <c r="C140" s="470"/>
      <c r="D140" s="637"/>
      <c r="E140" s="638"/>
      <c r="F140" s="637"/>
    </row>
    <row r="141" spans="1:8">
      <c r="A141" s="641"/>
      <c r="B141" s="642"/>
      <c r="C141" s="470"/>
      <c r="D141" s="637"/>
      <c r="E141" s="638"/>
      <c r="F141" s="637"/>
    </row>
    <row r="142" spans="1:8">
      <c r="A142" s="641"/>
      <c r="B142" s="642"/>
      <c r="C142" s="470"/>
      <c r="D142" s="637"/>
      <c r="E142" s="638"/>
      <c r="F142" s="637"/>
    </row>
    <row r="143" spans="1:8">
      <c r="A143" s="641"/>
      <c r="C143" s="470"/>
      <c r="D143" s="637"/>
      <c r="E143" s="638"/>
      <c r="F143" s="637"/>
    </row>
    <row r="144" spans="1:8">
      <c r="A144" s="641"/>
      <c r="B144" s="642"/>
      <c r="C144" s="470"/>
      <c r="D144" s="637"/>
      <c r="E144" s="638"/>
      <c r="F144" s="637"/>
    </row>
    <row r="145" spans="1:6">
      <c r="A145" s="641"/>
      <c r="B145" s="642"/>
      <c r="C145" s="470"/>
      <c r="D145" s="637"/>
      <c r="E145" s="638"/>
      <c r="F145" s="637"/>
    </row>
    <row r="146" spans="1:6">
      <c r="A146" s="641"/>
      <c r="C146" s="470"/>
      <c r="D146" s="637"/>
      <c r="E146" s="638"/>
      <c r="F146" s="637"/>
    </row>
    <row r="147" spans="1:6">
      <c r="A147" s="641"/>
      <c r="B147" s="642"/>
      <c r="C147" s="470"/>
      <c r="D147" s="637"/>
      <c r="E147" s="638"/>
      <c r="F147" s="637"/>
    </row>
    <row r="148" spans="1:6">
      <c r="A148" s="641"/>
      <c r="C148" s="470"/>
      <c r="D148" s="637"/>
      <c r="E148" s="638"/>
      <c r="F148" s="637"/>
    </row>
    <row r="149" spans="1:6">
      <c r="A149" s="641"/>
      <c r="B149" s="642"/>
      <c r="C149" s="470"/>
      <c r="D149" s="637"/>
      <c r="E149" s="638"/>
      <c r="F149" s="637"/>
    </row>
    <row r="150" spans="1:6">
      <c r="A150" s="641"/>
      <c r="C150" s="470"/>
      <c r="D150" s="637"/>
      <c r="E150" s="638"/>
      <c r="F150" s="637"/>
    </row>
    <row r="151" spans="1:6">
      <c r="A151" s="641"/>
      <c r="C151" s="470"/>
      <c r="D151" s="637"/>
      <c r="E151" s="638"/>
      <c r="F151" s="637"/>
    </row>
    <row r="152" spans="1:6">
      <c r="A152" s="641"/>
      <c r="B152" s="642"/>
      <c r="C152" s="470"/>
      <c r="D152" s="637"/>
      <c r="E152" s="638"/>
      <c r="F152" s="637"/>
    </row>
    <row r="153" spans="1:6">
      <c r="A153" s="641"/>
      <c r="C153" s="470"/>
      <c r="D153" s="637"/>
      <c r="E153" s="638"/>
      <c r="F153" s="637"/>
    </row>
    <row r="154" spans="1:6">
      <c r="A154" s="641"/>
      <c r="B154" s="642"/>
      <c r="C154" s="470"/>
      <c r="D154" s="637"/>
      <c r="E154" s="638"/>
      <c r="F154" s="637"/>
    </row>
    <row r="155" spans="1:6">
      <c r="A155" s="641"/>
      <c r="C155" s="470"/>
      <c r="D155" s="637"/>
      <c r="E155" s="638"/>
      <c r="F155" s="637"/>
    </row>
    <row r="156" spans="1:6">
      <c r="A156" s="641"/>
      <c r="B156" s="642"/>
      <c r="C156" s="470"/>
      <c r="D156" s="637"/>
      <c r="E156" s="638"/>
      <c r="F156" s="637"/>
    </row>
    <row r="157" spans="1:6">
      <c r="A157" s="641"/>
      <c r="C157" s="470"/>
      <c r="D157" s="637"/>
      <c r="E157" s="638"/>
      <c r="F157" s="637"/>
    </row>
    <row r="158" spans="1:6">
      <c r="A158" s="641"/>
      <c r="B158" s="642"/>
      <c r="C158" s="470"/>
      <c r="D158" s="637"/>
      <c r="E158" s="638"/>
      <c r="F158" s="637"/>
    </row>
    <row r="159" spans="1:6">
      <c r="A159" s="641"/>
      <c r="C159" s="470"/>
      <c r="D159" s="637"/>
      <c r="E159" s="638"/>
      <c r="F159" s="637"/>
    </row>
    <row r="160" spans="1:6">
      <c r="A160" s="641"/>
      <c r="B160" s="642"/>
      <c r="C160" s="470"/>
      <c r="D160" s="637"/>
      <c r="E160" s="638"/>
      <c r="F160" s="637"/>
    </row>
    <row r="161" spans="1:6">
      <c r="A161" s="641"/>
      <c r="C161" s="470"/>
      <c r="D161" s="637"/>
      <c r="E161" s="638"/>
      <c r="F161" s="637"/>
    </row>
    <row r="162" spans="1:6">
      <c r="A162" s="641"/>
      <c r="B162" s="642"/>
      <c r="C162" s="470"/>
      <c r="D162" s="637"/>
      <c r="E162" s="638"/>
      <c r="F162" s="637"/>
    </row>
    <row r="163" spans="1:6">
      <c r="A163" s="641"/>
      <c r="C163" s="470"/>
      <c r="D163" s="637"/>
      <c r="E163" s="638"/>
      <c r="F163" s="637"/>
    </row>
    <row r="164" spans="1:6">
      <c r="A164" s="641"/>
      <c r="B164" s="642"/>
      <c r="C164" s="470"/>
      <c r="D164" s="637"/>
      <c r="E164" s="638"/>
      <c r="F164" s="637"/>
    </row>
    <row r="165" spans="1:6">
      <c r="A165" s="641"/>
      <c r="C165" s="470"/>
      <c r="D165" s="637"/>
      <c r="E165" s="638"/>
      <c r="F165" s="637"/>
    </row>
    <row r="166" spans="1:6">
      <c r="A166" s="641"/>
      <c r="B166" s="642"/>
      <c r="C166" s="470"/>
      <c r="D166" s="637"/>
      <c r="E166" s="638"/>
      <c r="F166" s="637"/>
    </row>
    <row r="167" spans="1:6">
      <c r="A167" s="641"/>
      <c r="C167" s="470"/>
      <c r="D167" s="637"/>
      <c r="E167" s="638"/>
      <c r="F167" s="637"/>
    </row>
    <row r="168" spans="1:6">
      <c r="A168" s="641"/>
      <c r="B168" s="642"/>
      <c r="C168" s="470"/>
      <c r="D168" s="637"/>
      <c r="E168" s="638"/>
      <c r="F168" s="637"/>
    </row>
    <row r="169" spans="1:6">
      <c r="A169" s="641"/>
      <c r="C169" s="470"/>
      <c r="D169" s="637"/>
      <c r="E169" s="638"/>
      <c r="F169" s="637"/>
    </row>
    <row r="170" spans="1:6">
      <c r="A170" s="641"/>
      <c r="B170" s="642"/>
      <c r="C170" s="470"/>
      <c r="D170" s="637"/>
      <c r="E170" s="638"/>
      <c r="F170" s="637"/>
    </row>
    <row r="171" spans="1:6">
      <c r="A171" s="641"/>
      <c r="C171" s="470"/>
      <c r="D171" s="637"/>
      <c r="E171" s="638"/>
      <c r="F171" s="637"/>
    </row>
    <row r="172" spans="1:6">
      <c r="A172" s="641"/>
      <c r="B172" s="642"/>
      <c r="C172" s="470"/>
      <c r="D172" s="637"/>
      <c r="E172" s="638"/>
      <c r="F172" s="637"/>
    </row>
    <row r="173" spans="1:6">
      <c r="A173" s="641"/>
      <c r="C173" s="470"/>
      <c r="D173" s="637"/>
      <c r="E173" s="638"/>
      <c r="F173" s="637"/>
    </row>
    <row r="174" spans="1:6">
      <c r="A174" s="641"/>
      <c r="B174" s="642"/>
      <c r="C174" s="470"/>
      <c r="D174" s="637"/>
      <c r="E174" s="638"/>
      <c r="F174" s="637"/>
    </row>
    <row r="175" spans="1:6">
      <c r="A175" s="641"/>
      <c r="C175" s="470"/>
      <c r="D175" s="637"/>
      <c r="E175" s="638"/>
      <c r="F175" s="637"/>
    </row>
    <row r="176" spans="1:6">
      <c r="A176" s="641"/>
      <c r="B176" s="642"/>
      <c r="C176" s="470"/>
      <c r="D176" s="637"/>
      <c r="E176" s="638"/>
      <c r="F176" s="637"/>
    </row>
    <row r="177" spans="1:6">
      <c r="A177" s="641"/>
      <c r="C177" s="470"/>
      <c r="D177" s="637"/>
      <c r="E177" s="638"/>
      <c r="F177" s="637"/>
    </row>
    <row r="178" spans="1:6">
      <c r="A178" s="641"/>
      <c r="B178" s="642"/>
      <c r="C178" s="470"/>
      <c r="D178" s="637"/>
      <c r="E178" s="638"/>
      <c r="F178" s="637"/>
    </row>
    <row r="179" spans="1:6">
      <c r="A179" s="641"/>
      <c r="C179" s="470"/>
      <c r="D179" s="637"/>
      <c r="E179" s="638"/>
      <c r="F179" s="637"/>
    </row>
    <row r="180" spans="1:6">
      <c r="A180" s="641"/>
      <c r="B180" s="642"/>
      <c r="C180" s="470"/>
      <c r="D180" s="637"/>
      <c r="E180" s="638"/>
      <c r="F180" s="637"/>
    </row>
    <row r="181" spans="1:6">
      <c r="A181" s="641"/>
      <c r="C181" s="470"/>
      <c r="D181" s="637"/>
      <c r="E181" s="638"/>
      <c r="F181" s="637"/>
    </row>
    <row r="182" spans="1:6">
      <c r="A182" s="641"/>
      <c r="B182" s="642"/>
      <c r="C182" s="470"/>
      <c r="D182" s="637"/>
      <c r="E182" s="638"/>
      <c r="F182" s="637"/>
    </row>
    <row r="183" spans="1:6">
      <c r="A183" s="641"/>
      <c r="C183" s="470"/>
      <c r="D183" s="637"/>
      <c r="E183" s="638"/>
      <c r="F183" s="637"/>
    </row>
    <row r="184" spans="1:6">
      <c r="A184" s="641"/>
      <c r="B184" s="642"/>
      <c r="C184" s="470"/>
      <c r="D184" s="637"/>
      <c r="E184" s="638"/>
      <c r="F184" s="637"/>
    </row>
    <row r="185" spans="1:6">
      <c r="A185" s="641"/>
      <c r="C185" s="470"/>
      <c r="D185" s="637"/>
      <c r="E185" s="638"/>
      <c r="F185" s="637"/>
    </row>
    <row r="186" spans="1:6">
      <c r="A186" s="641"/>
      <c r="B186" s="642"/>
      <c r="C186" s="470"/>
      <c r="D186" s="637"/>
      <c r="E186" s="638"/>
      <c r="F186" s="637"/>
    </row>
    <row r="187" spans="1:6">
      <c r="A187" s="641"/>
      <c r="C187" s="470"/>
      <c r="D187" s="637"/>
      <c r="E187" s="638"/>
      <c r="F187" s="637"/>
    </row>
    <row r="188" spans="1:6">
      <c r="A188" s="641"/>
      <c r="B188" s="642"/>
      <c r="C188" s="470"/>
      <c r="D188" s="637"/>
      <c r="E188" s="638"/>
      <c r="F188" s="637"/>
    </row>
    <row r="189" spans="1:6">
      <c r="A189" s="641"/>
      <c r="C189" s="470"/>
      <c r="D189" s="637"/>
      <c r="E189" s="638"/>
      <c r="F189" s="637"/>
    </row>
    <row r="190" spans="1:6">
      <c r="A190" s="641"/>
      <c r="B190" s="642"/>
      <c r="C190" s="470"/>
      <c r="D190" s="637"/>
      <c r="E190" s="638"/>
      <c r="F190" s="637"/>
    </row>
    <row r="191" spans="1:6">
      <c r="A191" s="641"/>
      <c r="C191" s="470"/>
      <c r="D191" s="637"/>
      <c r="E191" s="638"/>
      <c r="F191" s="637"/>
    </row>
    <row r="192" spans="1:6">
      <c r="A192" s="641"/>
      <c r="B192" s="642"/>
      <c r="C192" s="470"/>
      <c r="D192" s="637"/>
      <c r="E192" s="638"/>
      <c r="F192" s="637"/>
    </row>
    <row r="193" spans="1:6">
      <c r="A193" s="641"/>
      <c r="C193" s="470"/>
      <c r="D193" s="637"/>
      <c r="E193" s="638"/>
      <c r="F193" s="637"/>
    </row>
  </sheetData>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5F18F-738E-4862-8648-807402ED1274}">
  <sheetPr codeName="Sheet14">
    <tabColor rgb="FFFFFF00"/>
  </sheetPr>
  <dimension ref="A1:U114"/>
  <sheetViews>
    <sheetView workbookViewId="0"/>
  </sheetViews>
  <sheetFormatPr defaultColWidth="8.7265625" defaultRowHeight="13"/>
  <cols>
    <col min="1" max="1" width="8.7265625" style="622"/>
    <col min="2" max="2" width="12.7265625" style="622" customWidth="1"/>
    <col min="3" max="3" width="61" style="622" bestFit="1" customWidth="1"/>
    <col min="4" max="4" width="9.54296875" style="622" customWidth="1"/>
    <col min="5" max="5" width="2.7265625" style="622" customWidth="1"/>
    <col min="6" max="6" width="8.40625" style="622" customWidth="1"/>
    <col min="7" max="7" width="13.86328125" style="878" bestFit="1" customWidth="1"/>
    <col min="8" max="8" width="8.7265625" style="622"/>
    <col min="9" max="9" width="9.26953125" style="849" bestFit="1" customWidth="1"/>
    <col min="10" max="10" width="8.86328125" style="622" bestFit="1" customWidth="1"/>
    <col min="11" max="12" width="9.26953125" style="622" bestFit="1" customWidth="1"/>
    <col min="13" max="13" width="8.86328125" style="622" bestFit="1" customWidth="1"/>
    <col min="14" max="15" width="9.26953125" style="622" bestFit="1" customWidth="1"/>
    <col min="16" max="16" width="8.86328125" style="622" bestFit="1" customWidth="1"/>
    <col min="17" max="18" width="9.26953125" style="622" bestFit="1" customWidth="1"/>
    <col min="19" max="19" width="8.86328125" style="622" bestFit="1" customWidth="1"/>
    <col min="20" max="20" width="9.40625" style="622" bestFit="1" customWidth="1"/>
    <col min="21" max="21" width="8.86328125" style="622" bestFit="1" customWidth="1"/>
    <col min="22" max="16384" width="8.7265625" style="622"/>
  </cols>
  <sheetData>
    <row r="1" spans="1:21" ht="23">
      <c r="A1" s="481" t="s">
        <v>132</v>
      </c>
      <c r="D1" s="481" t="s">
        <v>398</v>
      </c>
      <c r="F1" s="622">
        <v>0.76885081447747605</v>
      </c>
      <c r="G1" s="878">
        <v>2000</v>
      </c>
    </row>
    <row r="4" spans="1:21">
      <c r="B4" s="624"/>
      <c r="C4" s="624"/>
      <c r="D4" s="624"/>
      <c r="E4" s="624"/>
      <c r="F4" s="626"/>
      <c r="G4" s="68"/>
      <c r="H4" s="625"/>
      <c r="I4" s="681"/>
      <c r="J4" s="624"/>
      <c r="K4" s="624"/>
      <c r="L4" s="624"/>
      <c r="S4" s="624"/>
      <c r="T4" s="624"/>
    </row>
    <row r="5" spans="1:21" ht="26">
      <c r="B5" s="623" t="s">
        <v>0</v>
      </c>
      <c r="C5" s="636" t="s">
        <v>103</v>
      </c>
      <c r="D5" s="623" t="s">
        <v>2</v>
      </c>
      <c r="E5" s="623" t="s">
        <v>223</v>
      </c>
      <c r="F5" s="623" t="s">
        <v>3</v>
      </c>
      <c r="G5" s="879" t="s">
        <v>28</v>
      </c>
      <c r="H5" s="40" t="s">
        <v>36</v>
      </c>
      <c r="I5" s="40" t="s">
        <v>38</v>
      </c>
      <c r="J5" s="40" t="s">
        <v>44</v>
      </c>
      <c r="K5" s="40" t="s">
        <v>94</v>
      </c>
      <c r="L5" s="40" t="s">
        <v>236</v>
      </c>
      <c r="M5" s="40" t="s">
        <v>96</v>
      </c>
      <c r="N5" s="40" t="s">
        <v>98</v>
      </c>
      <c r="O5" s="40" t="s">
        <v>237</v>
      </c>
      <c r="P5" s="40" t="s">
        <v>21</v>
      </c>
      <c r="Q5" s="40" t="s">
        <v>99</v>
      </c>
      <c r="R5" s="40" t="s">
        <v>100</v>
      </c>
      <c r="S5" s="40" t="s">
        <v>32</v>
      </c>
      <c r="T5" s="40" t="s">
        <v>102</v>
      </c>
      <c r="U5" s="40" t="s">
        <v>31</v>
      </c>
    </row>
    <row r="6" spans="1:21" ht="13.4" customHeight="1">
      <c r="B6" s="217" t="s">
        <v>25</v>
      </c>
      <c r="C6" s="217" t="s">
        <v>15</v>
      </c>
      <c r="D6" s="217" t="s">
        <v>19</v>
      </c>
      <c r="E6" s="217"/>
      <c r="F6" s="217" t="s">
        <v>20</v>
      </c>
      <c r="G6" s="880"/>
      <c r="H6" s="218"/>
      <c r="I6" s="218"/>
      <c r="J6" s="218" t="s">
        <v>397</v>
      </c>
      <c r="K6" s="218" t="s">
        <v>397</v>
      </c>
      <c r="L6" s="218" t="s">
        <v>397</v>
      </c>
      <c r="M6" s="218" t="s">
        <v>397</v>
      </c>
      <c r="N6" s="218" t="s">
        <v>397</v>
      </c>
      <c r="O6" s="218" t="s">
        <v>397</v>
      </c>
      <c r="P6" s="218" t="s">
        <v>35</v>
      </c>
      <c r="Q6" s="218" t="s">
        <v>35</v>
      </c>
      <c r="R6" s="218" t="s">
        <v>35</v>
      </c>
      <c r="S6" s="218" t="s">
        <v>34</v>
      </c>
      <c r="T6" s="218"/>
      <c r="U6" s="218"/>
    </row>
    <row r="7" spans="1:21" s="274" customFormat="1">
      <c r="B7" s="697" t="str">
        <f>'H2 matriz'!$BJ$3</f>
        <v>COMGH2C01</v>
      </c>
      <c r="C7" s="697" t="str">
        <f>'H2 matriz'!$BJ$2</f>
        <v>Fuel Tech - H2 Delivery from centralized production (USTOR+T100)</v>
      </c>
      <c r="D7" s="16" t="s">
        <v>663</v>
      </c>
      <c r="E7" s="697"/>
      <c r="F7" s="822"/>
      <c r="G7" s="886">
        <v>1</v>
      </c>
      <c r="H7" s="823"/>
      <c r="I7" s="876">
        <f>IF(D7="SYNH2UG",1,0.98)</f>
        <v>1</v>
      </c>
      <c r="J7" s="402">
        <f>SUMIF('H2 matriz'!$3:$3,$B7,'H2 matriz'!$59:$59)</f>
        <v>4.6605956997734923</v>
      </c>
      <c r="K7" s="402">
        <f>SUMIF('H2 matriz'!$3:$3,$B7,'H2 matriz'!$60:$60)</f>
        <v>4.6605956997734923</v>
      </c>
      <c r="L7" s="402">
        <f>SUMIF('H2 matriz'!$3:$3,$B7,'H2 matriz'!$61:$61)</f>
        <v>4.6605956997734923</v>
      </c>
      <c r="M7" s="402">
        <f>SUMIF('H2 matriz'!$3:$3,$B7,'H2 matriz'!$62:$62)</f>
        <v>0.11099122351682798</v>
      </c>
      <c r="N7" s="826"/>
      <c r="O7" s="826"/>
      <c r="P7" s="826"/>
      <c r="Q7" s="826"/>
      <c r="R7" s="826"/>
      <c r="S7" s="827">
        <v>50</v>
      </c>
      <c r="T7" s="827">
        <f>'INPUT-Data(HD)'!V163</f>
        <v>0</v>
      </c>
      <c r="U7" s="828">
        <v>1</v>
      </c>
    </row>
    <row r="8" spans="1:21" s="274" customFormat="1">
      <c r="B8" s="697"/>
      <c r="C8" s="697"/>
      <c r="D8" s="697" t="s">
        <v>339</v>
      </c>
      <c r="E8" s="697"/>
      <c r="F8" s="697"/>
      <c r="G8" s="825">
        <f>SUMIF('H2 matriz'!$3:$3,$B7,'H2 matriz'!$57:$57)</f>
        <v>3.3000000000000002E-2</v>
      </c>
      <c r="H8" s="823"/>
      <c r="I8" s="824"/>
      <c r="J8" s="826"/>
      <c r="K8" s="823"/>
      <c r="L8" s="823"/>
      <c r="M8" s="823"/>
      <c r="N8" s="826"/>
      <c r="O8" s="826"/>
      <c r="P8" s="826"/>
      <c r="Q8" s="826"/>
      <c r="R8" s="826"/>
      <c r="S8" s="827"/>
      <c r="T8" s="827"/>
      <c r="U8" s="822"/>
    </row>
    <row r="9" spans="1:21" s="274" customFormat="1">
      <c r="B9" s="697"/>
      <c r="C9" s="697"/>
      <c r="D9" s="697"/>
      <c r="E9" s="697"/>
      <c r="F9" s="697" t="s">
        <v>584</v>
      </c>
      <c r="G9" s="825"/>
      <c r="H9" s="823">
        <v>1</v>
      </c>
      <c r="I9" s="824"/>
      <c r="J9" s="826"/>
      <c r="K9" s="823"/>
      <c r="L9" s="823"/>
      <c r="M9" s="823"/>
      <c r="N9" s="826"/>
      <c r="O9" s="826"/>
      <c r="P9" s="826"/>
      <c r="Q9" s="826"/>
      <c r="R9" s="826"/>
      <c r="S9" s="827"/>
      <c r="T9" s="827"/>
      <c r="U9" s="822"/>
    </row>
    <row r="10" spans="1:21" s="836" customFormat="1">
      <c r="B10" s="836" t="str">
        <f>'H2 matriz'!$BK$3</f>
        <v>COMGH2C02</v>
      </c>
      <c r="C10" s="836" t="str">
        <f>'H2 matriz'!$BK$2</f>
        <v>Fuel Tech - H2 Delivery from centralized production (USTOR+T100+RTS)</v>
      </c>
      <c r="D10" s="888" t="s">
        <v>663</v>
      </c>
      <c r="E10" s="889"/>
      <c r="F10" s="887"/>
      <c r="G10" s="892">
        <v>1</v>
      </c>
      <c r="H10" s="839"/>
      <c r="I10" s="876">
        <f>IF(D10="SYNH2UG",1,0.98)</f>
        <v>1</v>
      </c>
      <c r="J10" s="846">
        <f>SUMIF('H2 matriz'!$3:$3,$B10,'H2 matriz'!$59:$59)</f>
        <v>7.270529291646648</v>
      </c>
      <c r="K10" s="846">
        <f>SUMIF('H2 matriz'!$3:$3,$B10,'H2 matriz'!$60:$60)</f>
        <v>7.270529291646648</v>
      </c>
      <c r="L10" s="846">
        <f>SUMIF('H2 matriz'!$3:$3,$B10,'H2 matriz'!$61:$61)</f>
        <v>7.270529291646648</v>
      </c>
      <c r="M10" s="846">
        <f>SUMIF('H2 matriz'!$3:$3,$B10,'H2 matriz'!$62:$62)</f>
        <v>0.14675698014620087</v>
      </c>
      <c r="S10" s="836">
        <v>50</v>
      </c>
      <c r="T10" s="836">
        <f>'INPUT-Data(HD)'!V166</f>
        <v>0</v>
      </c>
      <c r="U10" s="836">
        <v>1</v>
      </c>
    </row>
    <row r="11" spans="1:21" s="840" customFormat="1">
      <c r="D11" s="841" t="s">
        <v>339</v>
      </c>
      <c r="E11" s="841"/>
      <c r="F11" s="841"/>
      <c r="G11" s="882">
        <f>'H2 matriz'!DX$21</f>
        <v>3.3000000000000002E-2</v>
      </c>
      <c r="H11" s="842"/>
      <c r="I11" s="850"/>
      <c r="J11" s="847"/>
      <c r="K11" s="847"/>
      <c r="L11" s="847"/>
      <c r="M11" s="847"/>
    </row>
    <row r="12" spans="1:21" s="843" customFormat="1">
      <c r="D12" s="844"/>
      <c r="E12" s="844"/>
      <c r="F12" s="844" t="s">
        <v>584</v>
      </c>
      <c r="G12" s="883"/>
      <c r="H12" s="845">
        <v>1</v>
      </c>
      <c r="I12" s="851"/>
      <c r="J12" s="848"/>
      <c r="K12" s="848"/>
      <c r="L12" s="848"/>
      <c r="M12" s="848"/>
    </row>
    <row r="13" spans="1:21" s="274" customFormat="1">
      <c r="B13" s="697" t="str">
        <f>'H2 matriz'!$BL$3</f>
        <v>COMGH2C03</v>
      </c>
      <c r="C13" s="697" t="str">
        <f>'H2 matriz'!$BL$2</f>
        <v>Fuel Tech - H2 Delivery from centralized production (USTOR+T20+RTS)</v>
      </c>
      <c r="D13" s="16" t="s">
        <v>663</v>
      </c>
      <c r="E13" s="697"/>
      <c r="F13" s="822"/>
      <c r="G13" s="825">
        <f>'H2 matriz'!DV$20</f>
        <v>7.1637322688716226E-2</v>
      </c>
      <c r="H13" s="823"/>
      <c r="I13" s="876">
        <f>IF(D13="SYNH2UG",1,0.98)</f>
        <v>1</v>
      </c>
      <c r="J13" s="402">
        <f>SUMIF('H2 matriz'!$3:$3,$B13,'H2 matriz'!$59:$59)</f>
        <v>6.3833769947336485</v>
      </c>
      <c r="K13" s="402">
        <f>SUMIF('H2 matriz'!$3:$3,$B13,'H2 matriz'!$60:$60)</f>
        <v>6.3833769947336485</v>
      </c>
      <c r="L13" s="402">
        <f>SUMIF('H2 matriz'!$3:$3,$B13,'H2 matriz'!$61:$61)</f>
        <v>6.3833769947336485</v>
      </c>
      <c r="M13" s="402">
        <f>SUMIF('H2 matriz'!$3:$3,$B13,'H2 matriz'!$62:$62)</f>
        <v>0.11368499126010743</v>
      </c>
      <c r="N13" s="826"/>
      <c r="O13" s="826"/>
      <c r="P13" s="826"/>
      <c r="Q13" s="826"/>
      <c r="R13" s="826"/>
      <c r="S13" s="827">
        <v>50</v>
      </c>
      <c r="T13" s="827">
        <f>'INPUT-Data(HD)'!V169</f>
        <v>0</v>
      </c>
      <c r="U13" s="828">
        <v>1</v>
      </c>
    </row>
    <row r="14" spans="1:21" s="274" customFormat="1">
      <c r="B14" s="697"/>
      <c r="C14" s="697"/>
      <c r="D14" s="697" t="s">
        <v>621</v>
      </c>
      <c r="E14" s="697"/>
      <c r="F14" s="697"/>
      <c r="G14" s="825">
        <f>'H2 matriz'!DZ$20</f>
        <v>0.92836267731128375</v>
      </c>
      <c r="H14" s="823"/>
      <c r="I14" s="824"/>
      <c r="J14" s="826"/>
      <c r="K14" s="823"/>
      <c r="L14" s="823"/>
      <c r="M14" s="823"/>
      <c r="N14" s="826"/>
      <c r="O14" s="826"/>
      <c r="P14" s="826"/>
      <c r="Q14" s="826"/>
      <c r="R14" s="826"/>
      <c r="S14" s="827"/>
      <c r="T14" s="827"/>
      <c r="U14" s="822"/>
    </row>
    <row r="15" spans="1:21" s="274" customFormat="1">
      <c r="B15" s="697"/>
      <c r="C15" s="697"/>
      <c r="D15" s="697" t="s">
        <v>339</v>
      </c>
      <c r="E15" s="697"/>
      <c r="F15" s="697"/>
      <c r="G15" s="825">
        <f>'H2 matriz'!DX$20</f>
        <v>1.4274418604651165E-2</v>
      </c>
      <c r="H15" s="823"/>
      <c r="I15" s="824"/>
      <c r="J15" s="826"/>
      <c r="K15" s="823"/>
      <c r="L15" s="823"/>
      <c r="M15" s="823"/>
      <c r="N15" s="826"/>
      <c r="O15" s="826"/>
      <c r="P15" s="826"/>
      <c r="Q15" s="826"/>
      <c r="R15" s="826"/>
      <c r="S15" s="827"/>
      <c r="T15" s="827"/>
      <c r="U15" s="822"/>
    </row>
    <row r="16" spans="1:21" s="274" customFormat="1">
      <c r="B16" s="687"/>
      <c r="C16" s="687"/>
      <c r="D16" s="697"/>
      <c r="E16" s="687"/>
      <c r="F16" s="687" t="s">
        <v>620</v>
      </c>
      <c r="G16" s="825"/>
      <c r="H16" s="823">
        <v>1</v>
      </c>
      <c r="I16" s="829"/>
      <c r="J16" s="826"/>
      <c r="K16" s="823"/>
      <c r="L16" s="823"/>
      <c r="M16" s="823"/>
      <c r="N16" s="830"/>
      <c r="O16" s="830"/>
      <c r="P16" s="830"/>
      <c r="Q16" s="830"/>
      <c r="R16" s="830"/>
      <c r="S16" s="832"/>
      <c r="T16" s="832"/>
      <c r="U16" s="833"/>
    </row>
    <row r="17" spans="2:21" s="836" customFormat="1">
      <c r="B17" s="836" t="str">
        <f>'H2 matriz'!$BM$3</f>
        <v>COMGH2C04</v>
      </c>
      <c r="C17" s="836" t="str">
        <f>'H2 matriz'!$BM$2</f>
        <v>Fuel Tech - H2 Delivery from centralized production (USTOR+T10+RTS)</v>
      </c>
      <c r="D17" s="837" t="s">
        <v>663</v>
      </c>
      <c r="E17" s="838"/>
      <c r="G17" s="881">
        <f>'H2 matriz'!DV$19</f>
        <v>3.315846778184698E-2</v>
      </c>
      <c r="H17" s="839"/>
      <c r="I17" s="876">
        <f>IF(D17="SYNH2UG",1,0.98)</f>
        <v>1</v>
      </c>
      <c r="J17" s="846">
        <f>SUMIF('H2 matriz'!$3:$3,$B17,'H2 matriz'!$59:$59)</f>
        <v>6.3833769947336485</v>
      </c>
      <c r="K17" s="846">
        <f>SUMIF('H2 matriz'!$3:$3,$B17,'H2 matriz'!$60:$60)</f>
        <v>6.3833769947336485</v>
      </c>
      <c r="L17" s="846">
        <f>SUMIF('H2 matriz'!$3:$3,$B17,'H2 matriz'!$61:$61)</f>
        <v>6.3833769947336485</v>
      </c>
      <c r="M17" s="846">
        <f>SUMIF('H2 matriz'!$3:$3,$B17,'H2 matriz'!$62:$62)</f>
        <v>0.10617609055768176</v>
      </c>
      <c r="S17" s="836">
        <v>50</v>
      </c>
      <c r="T17" s="836">
        <f>'INPUT-Data(HD)'!V172</f>
        <v>0</v>
      </c>
      <c r="U17" s="836">
        <v>1</v>
      </c>
    </row>
    <row r="18" spans="2:21" s="840" customFormat="1">
      <c r="D18" s="841" t="s">
        <v>621</v>
      </c>
      <c r="E18" s="841"/>
      <c r="F18" s="841"/>
      <c r="G18" s="882">
        <f>'H2 matriz'!DZ$19</f>
        <v>0.96684153221815305</v>
      </c>
      <c r="H18" s="842"/>
      <c r="I18" s="850"/>
    </row>
    <row r="19" spans="2:21" s="840" customFormat="1">
      <c r="D19" s="841" t="s">
        <v>339</v>
      </c>
      <c r="E19" s="841"/>
      <c r="F19" s="841"/>
      <c r="G19" s="882">
        <f>'H2 matriz'!DX$19</f>
        <v>1.1933720930232559E-2</v>
      </c>
      <c r="H19" s="842"/>
      <c r="I19" s="850"/>
    </row>
    <row r="20" spans="2:21" s="843" customFormat="1">
      <c r="D20" s="844"/>
      <c r="E20" s="844"/>
      <c r="F20" s="844" t="s">
        <v>643</v>
      </c>
      <c r="G20" s="883"/>
      <c r="H20" s="845">
        <v>1</v>
      </c>
      <c r="I20" s="851"/>
    </row>
    <row r="21" spans="2:21" s="274" customFormat="1">
      <c r="B21" s="274" t="str">
        <f>'H2 matriz'!$BN$3</f>
        <v>COMGH2C05</v>
      </c>
      <c r="C21" s="274" t="str">
        <f>'H2 matriz'!$BN$2</f>
        <v>Fuel Tech - H2 Delivery from centralized production (USTOR+T6+RTS)</v>
      </c>
      <c r="D21" s="16" t="s">
        <v>663</v>
      </c>
      <c r="E21" s="697"/>
      <c r="F21" s="822"/>
      <c r="G21" s="825">
        <f>'H2 matriz'!DV$18</f>
        <v>1.9321101975686809E-2</v>
      </c>
      <c r="H21" s="823"/>
      <c r="I21" s="876">
        <f>IF(D21="SYNH2UG",1,0.98)</f>
        <v>1</v>
      </c>
      <c r="J21" s="402">
        <f>SUMIF('H2 matriz'!$3:$3,$B21,'H2 matriz'!$59:$59)</f>
        <v>3.4315793522776676</v>
      </c>
      <c r="K21" s="402">
        <f>SUMIF('H2 matriz'!$3:$3,$B21,'H2 matriz'!$60:$60)</f>
        <v>3.4315793522776676</v>
      </c>
      <c r="L21" s="402">
        <f>SUMIF('H2 matriz'!$3:$3,$B21,'H2 matriz'!$61:$61)</f>
        <v>3.4315793522776676</v>
      </c>
      <c r="M21" s="402">
        <f>SUMIF('H2 matriz'!$3:$3,$B21,'H2 matriz'!$62:$62)</f>
        <v>8.9640096114635054E-2</v>
      </c>
      <c r="S21" s="274">
        <v>50</v>
      </c>
      <c r="T21" s="274">
        <f>'INPUT-Data(HD)'!V178</f>
        <v>0</v>
      </c>
      <c r="U21" s="274">
        <v>1</v>
      </c>
    </row>
    <row r="22" spans="2:21" s="274" customFormat="1">
      <c r="D22" s="697" t="s">
        <v>621</v>
      </c>
      <c r="E22" s="697"/>
      <c r="F22" s="697"/>
      <c r="G22" s="825">
        <f>'H2 matriz'!DZ$18</f>
        <v>0.98067889802431318</v>
      </c>
      <c r="H22" s="823"/>
      <c r="I22" s="852"/>
      <c r="J22" s="826"/>
      <c r="K22" s="823"/>
      <c r="L22" s="823"/>
      <c r="M22" s="823"/>
    </row>
    <row r="23" spans="2:21" s="274" customFormat="1">
      <c r="D23" s="697" t="s">
        <v>339</v>
      </c>
      <c r="E23" s="697"/>
      <c r="F23" s="697"/>
      <c r="G23" s="825">
        <f>'H2 matriz'!DX$18</f>
        <v>1.0997441860465116E-2</v>
      </c>
      <c r="H23" s="823"/>
      <c r="I23" s="852"/>
      <c r="J23" s="826"/>
      <c r="K23" s="823"/>
      <c r="L23" s="823"/>
      <c r="M23" s="823"/>
    </row>
    <row r="24" spans="2:21" s="274" customFormat="1">
      <c r="D24" s="687"/>
      <c r="E24" s="687"/>
      <c r="F24" s="687" t="s">
        <v>638</v>
      </c>
      <c r="G24" s="825"/>
      <c r="H24" s="823">
        <v>1</v>
      </c>
      <c r="I24" s="852"/>
      <c r="J24" s="826"/>
      <c r="K24" s="823"/>
      <c r="L24" s="823"/>
      <c r="M24" s="823"/>
    </row>
    <row r="25" spans="2:21" s="836" customFormat="1">
      <c r="B25" s="836" t="str">
        <f>'H2 matriz'!$BO$3</f>
        <v>COMGH2C06</v>
      </c>
      <c r="C25" s="836" t="str">
        <f>'H2 matriz'!$BO$2</f>
        <v>Fuel Tech - H2 Delivery from centralized production (COMP+T100+RTS)</v>
      </c>
      <c r="D25" s="888" t="s">
        <v>233</v>
      </c>
      <c r="E25" s="889"/>
      <c r="F25" s="887"/>
      <c r="G25" s="890">
        <f>G10</f>
        <v>1</v>
      </c>
      <c r="H25" s="839"/>
      <c r="I25" s="876">
        <f>IF(D25="SYNH2UG",1,0.98)</f>
        <v>0.98</v>
      </c>
      <c r="J25" s="846">
        <f>SUMIF('H2 matriz'!$3:$3,$B25,'H2 matriz'!$59:$59)</f>
        <v>3.8389499393689808</v>
      </c>
      <c r="K25" s="846">
        <f>SUMIF('H2 matriz'!$3:$3,$B25,'H2 matriz'!$60:$60)</f>
        <v>3.8389499393689808</v>
      </c>
      <c r="L25" s="846">
        <f>SUMIF('H2 matriz'!$3:$3,$B25,'H2 matriz'!$61:$61)</f>
        <v>3.8389499393689808</v>
      </c>
      <c r="M25" s="846">
        <f>SUMIF('H2 matriz'!$3:$3,$B25,'H2 matriz'!$62:$62)</f>
        <v>7.8125393100647506E-2</v>
      </c>
      <c r="S25" s="836">
        <v>50</v>
      </c>
      <c r="T25" s="836">
        <f>'INPUT-Data(HD)'!V181</f>
        <v>0</v>
      </c>
      <c r="U25" s="836">
        <v>1</v>
      </c>
    </row>
    <row r="26" spans="2:21" s="840" customFormat="1">
      <c r="D26" s="841" t="s">
        <v>339</v>
      </c>
      <c r="E26" s="841"/>
      <c r="F26" s="841"/>
      <c r="G26" s="882">
        <f>G11</f>
        <v>3.3000000000000002E-2</v>
      </c>
      <c r="H26" s="842"/>
      <c r="I26" s="850"/>
      <c r="J26" s="847"/>
      <c r="K26" s="847"/>
      <c r="L26" s="847"/>
      <c r="M26" s="847"/>
    </row>
    <row r="27" spans="2:21" s="843" customFormat="1">
      <c r="D27" s="844"/>
      <c r="E27" s="844"/>
      <c r="F27" s="844" t="s">
        <v>584</v>
      </c>
      <c r="G27" s="883"/>
      <c r="H27" s="845">
        <v>1</v>
      </c>
      <c r="I27" s="851"/>
      <c r="J27" s="848"/>
      <c r="K27" s="848"/>
      <c r="L27" s="848"/>
      <c r="M27" s="848"/>
    </row>
    <row r="28" spans="2:21" s="274" customFormat="1">
      <c r="B28" s="697" t="str">
        <f>'H2 matriz'!$BP$3</f>
        <v>COMGH2C07</v>
      </c>
      <c r="C28" s="697" t="str">
        <f>'H2 matriz'!$BP$2</f>
        <v>Fuel Tech - H2 Delivery from centralized production (COMP+T20+RTS)</v>
      </c>
      <c r="D28" s="16" t="s">
        <v>233</v>
      </c>
      <c r="E28" s="697"/>
      <c r="F28" s="822"/>
      <c r="G28" s="825">
        <f>G13</f>
        <v>7.1637322688716226E-2</v>
      </c>
      <c r="H28" s="823"/>
      <c r="I28" s="876">
        <f>IF(D28="SYNH2UG",1,0.98)</f>
        <v>0.98</v>
      </c>
      <c r="J28" s="402">
        <f>SUMIF('H2 matriz'!$3:$3,$B28,'H2 matriz'!$59:$59)</f>
        <v>2.9517976424559813</v>
      </c>
      <c r="K28" s="402">
        <f>SUMIF('H2 matriz'!$3:$3,$B28,'H2 matriz'!$60:$60)</f>
        <v>2.9517976424559813</v>
      </c>
      <c r="L28" s="402">
        <f>SUMIF('H2 matriz'!$3:$3,$B28,'H2 matriz'!$61:$61)</f>
        <v>2.9517976424559813</v>
      </c>
      <c r="M28" s="457">
        <f>SUMIF('H2 matriz'!$3:$3,$B28,'H2 matriz'!$62:$62)</f>
        <v>4.5053404214554074E-2</v>
      </c>
      <c r="N28" s="826"/>
      <c r="O28" s="826"/>
      <c r="P28" s="826"/>
      <c r="Q28" s="826"/>
      <c r="R28" s="826"/>
      <c r="S28" s="827">
        <v>50</v>
      </c>
      <c r="T28" s="827">
        <f>'INPUT-Data(HD)'!V184</f>
        <v>0</v>
      </c>
      <c r="U28" s="828">
        <v>1</v>
      </c>
    </row>
    <row r="29" spans="2:21" s="274" customFormat="1">
      <c r="B29" s="697"/>
      <c r="C29" s="697"/>
      <c r="D29" s="697" t="s">
        <v>621</v>
      </c>
      <c r="E29" s="697"/>
      <c r="F29" s="697"/>
      <c r="G29" s="825">
        <f>G14</f>
        <v>0.92836267731128375</v>
      </c>
      <c r="H29" s="823"/>
      <c r="I29" s="824"/>
      <c r="J29" s="826"/>
      <c r="K29" s="823"/>
      <c r="L29" s="823"/>
      <c r="M29" s="823"/>
      <c r="N29" s="826"/>
      <c r="O29" s="826"/>
      <c r="P29" s="826"/>
      <c r="Q29" s="826"/>
      <c r="R29" s="826"/>
      <c r="S29" s="827"/>
      <c r="T29" s="827"/>
      <c r="U29" s="822"/>
    </row>
    <row r="30" spans="2:21" s="274" customFormat="1">
      <c r="B30" s="697"/>
      <c r="C30" s="697"/>
      <c r="D30" s="697" t="s">
        <v>339</v>
      </c>
      <c r="E30" s="697"/>
      <c r="F30" s="697"/>
      <c r="G30" s="825">
        <f>G15</f>
        <v>1.4274418604651165E-2</v>
      </c>
      <c r="H30" s="823"/>
      <c r="I30" s="824"/>
      <c r="J30" s="826"/>
      <c r="K30" s="823"/>
      <c r="L30" s="823"/>
      <c r="M30" s="823"/>
      <c r="N30" s="826"/>
      <c r="O30" s="826"/>
      <c r="P30" s="826"/>
      <c r="Q30" s="826"/>
      <c r="R30" s="826"/>
      <c r="S30" s="827"/>
      <c r="T30" s="827"/>
      <c r="U30" s="822"/>
    </row>
    <row r="31" spans="2:21" s="274" customFormat="1">
      <c r="B31" s="697"/>
      <c r="C31" s="697"/>
      <c r="D31" s="697"/>
      <c r="E31" s="697"/>
      <c r="F31" s="697" t="s">
        <v>620</v>
      </c>
      <c r="G31" s="825"/>
      <c r="H31" s="823">
        <v>1</v>
      </c>
      <c r="I31" s="824"/>
      <c r="J31" s="826"/>
      <c r="K31" s="823"/>
      <c r="L31" s="823"/>
      <c r="M31" s="823"/>
      <c r="N31" s="826"/>
      <c r="O31" s="826"/>
      <c r="P31" s="826"/>
      <c r="Q31" s="826"/>
      <c r="R31" s="826"/>
      <c r="S31" s="827"/>
      <c r="T31" s="827"/>
      <c r="U31" s="822"/>
    </row>
    <row r="32" spans="2:21" s="836" customFormat="1">
      <c r="B32" s="836" t="str">
        <f>'H2 matriz'!$BQ$3</f>
        <v>COMGH2C08</v>
      </c>
      <c r="C32" s="836" t="str">
        <f>'H2 matriz'!$BQ$2</f>
        <v>Fuel Tech - H2 Delivery from centralized production (COMP+T10+RTS)</v>
      </c>
      <c r="D32" s="837" t="s">
        <v>233</v>
      </c>
      <c r="E32" s="838"/>
      <c r="G32" s="881">
        <f>G17</f>
        <v>3.315846778184698E-2</v>
      </c>
      <c r="H32" s="839"/>
      <c r="I32" s="876">
        <f>IF(D32="SYNH2UG",1,0.98)</f>
        <v>0.98</v>
      </c>
      <c r="J32" s="846">
        <f>SUMIF('H2 matriz'!$3:$3,$B32,'H2 matriz'!$59:$59)</f>
        <v>2.9517976424559813</v>
      </c>
      <c r="K32" s="846">
        <f>SUMIF('H2 matriz'!$3:$3,$B32,'H2 matriz'!$60:$60)</f>
        <v>2.9517976424559813</v>
      </c>
      <c r="L32" s="846">
        <f>SUMIF('H2 matriz'!$3:$3,$B32,'H2 matriz'!$61:$61)</f>
        <v>2.9517976424559813</v>
      </c>
      <c r="M32" s="946">
        <f>SUMIF('H2 matriz'!$3:$3,$B32,'H2 matriz'!$62:$62)</f>
        <v>3.7544503512128402E-2</v>
      </c>
      <c r="S32" s="836">
        <v>50</v>
      </c>
      <c r="T32" s="836">
        <f>'INPUT-Data(HD)'!V187</f>
        <v>0</v>
      </c>
      <c r="U32" s="836">
        <v>1</v>
      </c>
    </row>
    <row r="33" spans="2:21" s="840" customFormat="1">
      <c r="D33" s="841" t="s">
        <v>621</v>
      </c>
      <c r="E33" s="841"/>
      <c r="F33" s="841"/>
      <c r="G33" s="882">
        <f>G18</f>
        <v>0.96684153221815305</v>
      </c>
      <c r="H33" s="842"/>
      <c r="I33" s="850"/>
    </row>
    <row r="34" spans="2:21" s="840" customFormat="1">
      <c r="D34" s="841" t="s">
        <v>339</v>
      </c>
      <c r="E34" s="841"/>
      <c r="F34" s="841"/>
      <c r="G34" s="882">
        <f>G19</f>
        <v>1.1933720930232559E-2</v>
      </c>
      <c r="H34" s="842"/>
      <c r="I34" s="850"/>
    </row>
    <row r="35" spans="2:21" s="843" customFormat="1">
      <c r="D35" s="844"/>
      <c r="E35" s="844"/>
      <c r="F35" s="844" t="s">
        <v>643</v>
      </c>
      <c r="G35" s="883"/>
      <c r="H35" s="845">
        <v>1</v>
      </c>
      <c r="I35" s="851"/>
    </row>
    <row r="36" spans="2:21" s="274" customFormat="1">
      <c r="B36" s="697" t="str">
        <f>'H2 matriz'!$BR$3</f>
        <v>COMGH2C09</v>
      </c>
      <c r="C36" s="697" t="str">
        <f>'H2 matriz'!$BR$2</f>
        <v>Fuel Tech - H2 Delivery from centralized production (COMP+T6+RTS)</v>
      </c>
      <c r="D36" s="16" t="s">
        <v>233</v>
      </c>
      <c r="E36" s="697"/>
      <c r="F36" s="822"/>
      <c r="G36" s="825">
        <f>G21</f>
        <v>1.9321101975686809E-2</v>
      </c>
      <c r="H36" s="823"/>
      <c r="I36" s="876">
        <f>IF(D36="SYNH2UG",1,0.98)</f>
        <v>0.98</v>
      </c>
      <c r="J36" s="402">
        <f>SUMIF('H2 matriz'!$3:$3,$B36,'H2 matriz'!$59:$59)</f>
        <v>0</v>
      </c>
      <c r="K36" s="402">
        <f>SUMIF('H2 matriz'!$3:$3,$B36,'H2 matriz'!$60:$60)</f>
        <v>0</v>
      </c>
      <c r="L36" s="402">
        <f>SUMIF('H2 matriz'!$3:$3,$B36,'H2 matriz'!$61:$61)</f>
        <v>0</v>
      </c>
      <c r="M36" s="402">
        <f>SUMIF('H2 matriz'!$3:$3,$B36,'H2 matriz'!$62:$62)</f>
        <v>2.1008509069081686E-2</v>
      </c>
      <c r="N36" s="826"/>
      <c r="O36" s="826"/>
      <c r="P36" s="826"/>
      <c r="Q36" s="826"/>
      <c r="R36" s="826"/>
      <c r="S36" s="827">
        <v>50</v>
      </c>
      <c r="T36" s="827">
        <f>'INPUT-Data(HD)'!V190</f>
        <v>0</v>
      </c>
      <c r="U36" s="828">
        <v>1</v>
      </c>
    </row>
    <row r="37" spans="2:21" s="274" customFormat="1">
      <c r="B37" s="697"/>
      <c r="C37" s="697"/>
      <c r="D37" s="697" t="s">
        <v>621</v>
      </c>
      <c r="E37" s="697"/>
      <c r="F37" s="697"/>
      <c r="G37" s="825">
        <f>G22</f>
        <v>0.98067889802431318</v>
      </c>
      <c r="H37" s="823"/>
      <c r="I37" s="824"/>
      <c r="J37" s="826"/>
      <c r="K37" s="823"/>
      <c r="L37" s="823"/>
      <c r="M37" s="823"/>
      <c r="N37" s="826"/>
      <c r="O37" s="826"/>
      <c r="P37" s="826"/>
      <c r="Q37" s="826"/>
      <c r="R37" s="826"/>
      <c r="S37" s="827"/>
      <c r="T37" s="827"/>
      <c r="U37" s="822"/>
    </row>
    <row r="38" spans="2:21" s="274" customFormat="1">
      <c r="B38" s="697"/>
      <c r="C38" s="697"/>
      <c r="D38" s="697" t="s">
        <v>339</v>
      </c>
      <c r="E38" s="697"/>
      <c r="F38" s="697"/>
      <c r="G38" s="825">
        <f>G23</f>
        <v>1.0997441860465116E-2</v>
      </c>
      <c r="H38" s="823"/>
      <c r="I38" s="824"/>
      <c r="J38" s="826"/>
      <c r="K38" s="823"/>
      <c r="L38" s="823"/>
      <c r="M38" s="823"/>
      <c r="N38" s="826"/>
      <c r="O38" s="826"/>
      <c r="P38" s="826"/>
      <c r="Q38" s="826"/>
      <c r="R38" s="826"/>
      <c r="S38" s="827"/>
      <c r="T38" s="827"/>
      <c r="U38" s="822"/>
    </row>
    <row r="39" spans="2:21" s="274" customFormat="1">
      <c r="B39" s="687"/>
      <c r="C39" s="687"/>
      <c r="D39" s="687"/>
      <c r="E39" s="687"/>
      <c r="F39" s="687" t="s">
        <v>638</v>
      </c>
      <c r="G39" s="825"/>
      <c r="H39" s="823">
        <v>1</v>
      </c>
      <c r="I39" s="829"/>
      <c r="J39" s="826"/>
      <c r="K39" s="823"/>
      <c r="L39" s="823"/>
      <c r="M39" s="823"/>
      <c r="N39" s="830"/>
      <c r="O39" s="830"/>
      <c r="P39" s="830"/>
      <c r="Q39" s="830"/>
      <c r="R39" s="830"/>
      <c r="S39" s="832"/>
      <c r="T39" s="832"/>
      <c r="U39" s="833"/>
    </row>
    <row r="40" spans="2:21" s="836" customFormat="1">
      <c r="B40" s="836" t="str">
        <f>'H2 matriz'!$BS$3</f>
        <v>COMGH2C10</v>
      </c>
      <c r="C40" s="836" t="str">
        <f>'H2 matriz'!$BS$2</f>
        <v>Fuel Tech - H2 Delivery from centralized production (CRY+T100+RTS)</v>
      </c>
      <c r="D40" s="944" t="s">
        <v>966</v>
      </c>
      <c r="E40" s="889"/>
      <c r="F40" s="887"/>
      <c r="G40" s="890">
        <f>G25</f>
        <v>1</v>
      </c>
      <c r="H40" s="839"/>
      <c r="I40" s="876">
        <f>IF(D40="SYNH2UG",1,0.98)</f>
        <v>0.98</v>
      </c>
      <c r="J40" s="846">
        <f>SUMIF('H2 matriz'!$3:$3,$B40,'H2 matriz'!$59:$59)</f>
        <v>5.1577259077493318</v>
      </c>
      <c r="K40" s="846">
        <f>SUMIF('H2 matriz'!$3:$3,$B40,'H2 matriz'!$60:$60)</f>
        <v>5.1577259077493318</v>
      </c>
      <c r="L40" s="846">
        <f>SUMIF('H2 matriz'!$3:$3,$B40,'H2 matriz'!$61:$61)</f>
        <v>5.1577259077493318</v>
      </c>
      <c r="M40" s="846">
        <f>SUMIF('H2 matriz'!$3:$3,$B40,'H2 matriz'!$62:$62)</f>
        <v>0.10947221454801292</v>
      </c>
      <c r="S40" s="836">
        <v>50</v>
      </c>
      <c r="T40" s="836">
        <f>'INPUT-Data(HD)'!V193</f>
        <v>0</v>
      </c>
      <c r="U40" s="836">
        <v>1</v>
      </c>
    </row>
    <row r="41" spans="2:21" s="840" customFormat="1">
      <c r="D41" s="841" t="s">
        <v>339</v>
      </c>
      <c r="E41" s="841"/>
      <c r="F41" s="841"/>
      <c r="G41" s="882">
        <f>G26</f>
        <v>3.3000000000000002E-2</v>
      </c>
      <c r="H41" s="842"/>
      <c r="I41" s="850"/>
      <c r="J41" s="847"/>
      <c r="K41" s="847"/>
      <c r="L41" s="847"/>
      <c r="M41" s="847"/>
    </row>
    <row r="42" spans="2:21" s="843" customFormat="1">
      <c r="D42" s="844"/>
      <c r="E42" s="844"/>
      <c r="F42" s="844" t="s">
        <v>584</v>
      </c>
      <c r="G42" s="883"/>
      <c r="H42" s="845">
        <v>1</v>
      </c>
      <c r="I42" s="851"/>
      <c r="J42" s="848"/>
      <c r="K42" s="848"/>
      <c r="L42" s="848"/>
      <c r="M42" s="848"/>
    </row>
    <row r="43" spans="2:21" s="274" customFormat="1">
      <c r="B43" s="274" t="str">
        <f>'H2 matriz'!$BT$3</f>
        <v>COMGH2C11</v>
      </c>
      <c r="C43" s="274" t="str">
        <f>'H2 matriz'!$BT$2</f>
        <v>Fuel Tech - H2 Delivery from centralized production (CRY+T20+RTS)</v>
      </c>
      <c r="D43" s="944" t="s">
        <v>966</v>
      </c>
      <c r="E43" s="697"/>
      <c r="F43" s="822"/>
      <c r="G43" s="825">
        <f>G28</f>
        <v>7.1637322688716226E-2</v>
      </c>
      <c r="H43" s="823"/>
      <c r="I43" s="876">
        <f>IF(D43="SYNH2UG",1,0.98)</f>
        <v>0.98</v>
      </c>
      <c r="J43" s="402">
        <f>SUMIF('H2 matriz'!$3:$3,$B43,'H2 matriz'!$59:$59)</f>
        <v>4.4604497319382155</v>
      </c>
      <c r="K43" s="402">
        <f>SUMIF('H2 matriz'!$3:$3,$B43,'H2 matriz'!$60:$60)</f>
        <v>4.4604497319382155</v>
      </c>
      <c r="L43" s="402">
        <f>SUMIF('H2 matriz'!$3:$3,$B43,'H2 matriz'!$61:$61)</f>
        <v>4.4604497319382155</v>
      </c>
      <c r="M43" s="402">
        <f>SUMIF('H2 matriz'!$3:$3,$B43,'H2 matriz'!$62:$62)</f>
        <v>9.0312966899021102E-2</v>
      </c>
      <c r="S43" s="274">
        <v>50</v>
      </c>
      <c r="T43" s="274">
        <f>'INPUT-Data(HD)'!V196</f>
        <v>0</v>
      </c>
      <c r="U43" s="274">
        <v>1</v>
      </c>
    </row>
    <row r="44" spans="2:21" s="274" customFormat="1">
      <c r="D44" s="697" t="s">
        <v>621</v>
      </c>
      <c r="E44" s="697"/>
      <c r="F44" s="697"/>
      <c r="G44" s="825">
        <f>G29</f>
        <v>0.92836267731128375</v>
      </c>
      <c r="H44" s="823"/>
      <c r="I44" s="852"/>
      <c r="J44" s="826"/>
      <c r="K44" s="823"/>
      <c r="L44" s="823"/>
      <c r="M44" s="823"/>
    </row>
    <row r="45" spans="2:21" s="274" customFormat="1">
      <c r="D45" s="697" t="s">
        <v>339</v>
      </c>
      <c r="E45" s="697"/>
      <c r="F45" s="697"/>
      <c r="G45" s="825">
        <f>G30</f>
        <v>1.4274418604651165E-2</v>
      </c>
      <c r="H45" s="823"/>
      <c r="I45" s="852"/>
      <c r="J45" s="826"/>
      <c r="K45" s="823"/>
      <c r="L45" s="823"/>
      <c r="M45" s="823"/>
    </row>
    <row r="46" spans="2:21" s="274" customFormat="1">
      <c r="D46" s="687"/>
      <c r="E46" s="687"/>
      <c r="F46" s="687" t="s">
        <v>620</v>
      </c>
      <c r="G46" s="825"/>
      <c r="H46" s="823">
        <v>1</v>
      </c>
      <c r="I46" s="852"/>
      <c r="J46" s="826"/>
      <c r="K46" s="823"/>
      <c r="L46" s="823"/>
      <c r="M46" s="823"/>
    </row>
    <row r="47" spans="2:21" s="836" customFormat="1">
      <c r="B47" s="836" t="str">
        <f>'H2 matriz'!$BU$3</f>
        <v>COMGH2C12</v>
      </c>
      <c r="C47" s="836" t="str">
        <f>'H2 matriz'!$BU$2</f>
        <v>Fuel Tech - H2 Delivery from centralized production (CRY+T10+RTS)</v>
      </c>
      <c r="D47" s="944" t="s">
        <v>966</v>
      </c>
      <c r="E47" s="838"/>
      <c r="G47" s="881">
        <f>G32</f>
        <v>3.315846778184698E-2</v>
      </c>
      <c r="H47" s="839"/>
      <c r="I47" s="876">
        <f>IF(D47="SYNH2UG",1,0.98)</f>
        <v>0.98</v>
      </c>
      <c r="J47" s="846">
        <f>SUMIF('H2 matriz'!$3:$3,$B47,'H2 matriz'!$59:$59)</f>
        <v>4.4604497319382155</v>
      </c>
      <c r="K47" s="846">
        <f>SUMIF('H2 matriz'!$3:$3,$B47,'H2 matriz'!$60:$60)</f>
        <v>4.4604497319382155</v>
      </c>
      <c r="L47" s="846">
        <f>SUMIF('H2 matriz'!$3:$3,$B47,'H2 matriz'!$61:$61)</f>
        <v>4.4604497319382155</v>
      </c>
      <c r="M47" s="846">
        <f>SUMIF('H2 matriz'!$3:$3,$B47,'H2 matriz'!$62:$62)</f>
        <v>8.5962914393108575E-2</v>
      </c>
      <c r="S47" s="836">
        <v>50</v>
      </c>
      <c r="T47" s="836">
        <f>'INPUT-Data(HD)'!V199</f>
        <v>0</v>
      </c>
      <c r="U47" s="836">
        <v>1</v>
      </c>
    </row>
    <row r="48" spans="2:21" s="840" customFormat="1">
      <c r="D48" s="841" t="s">
        <v>621</v>
      </c>
      <c r="E48" s="841"/>
      <c r="F48" s="841"/>
      <c r="G48" s="882">
        <f>G33</f>
        <v>0.96684153221815305</v>
      </c>
      <c r="H48" s="842"/>
      <c r="I48" s="850"/>
    </row>
    <row r="49" spans="2:21" s="840" customFormat="1">
      <c r="D49" s="841" t="s">
        <v>339</v>
      </c>
      <c r="E49" s="841"/>
      <c r="F49" s="841"/>
      <c r="G49" s="882">
        <f>G34</f>
        <v>1.1933720930232559E-2</v>
      </c>
      <c r="H49" s="842"/>
      <c r="I49" s="850"/>
    </row>
    <row r="50" spans="2:21" s="843" customFormat="1">
      <c r="D50" s="844"/>
      <c r="E50" s="844"/>
      <c r="F50" s="844" t="s">
        <v>643</v>
      </c>
      <c r="G50" s="883"/>
      <c r="H50" s="845">
        <v>1</v>
      </c>
      <c r="I50" s="851"/>
    </row>
    <row r="51" spans="2:21" s="274" customFormat="1">
      <c r="B51" s="697" t="str">
        <f>'H2 matriz'!$BV$3</f>
        <v>COMGH2C13</v>
      </c>
      <c r="C51" s="697" t="str">
        <f>'H2 matriz'!$BV$2</f>
        <v>Fuel Tech - H2 Delivery from centralized production (CRY+T6+RTS)</v>
      </c>
      <c r="D51" s="944" t="s">
        <v>966</v>
      </c>
      <c r="E51" s="697"/>
      <c r="F51" s="822"/>
      <c r="G51" s="825">
        <f>G36</f>
        <v>1.9321101975686809E-2</v>
      </c>
      <c r="H51" s="823"/>
      <c r="I51" s="876">
        <f>IF(D51="SYNH2UG",1,0.98)</f>
        <v>0.98</v>
      </c>
      <c r="J51" s="402">
        <f>SUMIF('H2 matriz'!$3:$3,$B51,'H2 matriz'!$59:$59)</f>
        <v>2.140421728784863</v>
      </c>
      <c r="K51" s="402">
        <f>SUMIF('H2 matriz'!$3:$3,$B51,'H2 matriz'!$60:$60)</f>
        <v>2.140421728784863</v>
      </c>
      <c r="L51" s="402">
        <f>SUMIF('H2 matriz'!$3:$3,$B51,'H2 matriz'!$61:$61)</f>
        <v>2.140421728784863</v>
      </c>
      <c r="M51" s="402">
        <f>SUMIF('H2 matriz'!$3:$3,$B51,'H2 matriz'!$62:$62)</f>
        <v>7.6383290568612663E-2</v>
      </c>
      <c r="N51" s="826"/>
      <c r="O51" s="826"/>
      <c r="P51" s="826"/>
      <c r="Q51" s="826"/>
      <c r="R51" s="826"/>
      <c r="S51" s="827">
        <v>50</v>
      </c>
      <c r="T51" s="827">
        <f>'INPUT-Data(HD)'!V202</f>
        <v>0</v>
      </c>
      <c r="U51" s="828">
        <v>1</v>
      </c>
    </row>
    <row r="52" spans="2:21" s="274" customFormat="1">
      <c r="B52" s="697"/>
      <c r="C52" s="697"/>
      <c r="D52" s="697" t="s">
        <v>621</v>
      </c>
      <c r="E52" s="697"/>
      <c r="F52" s="697"/>
      <c r="G52" s="825">
        <f>G37</f>
        <v>0.98067889802431318</v>
      </c>
      <c r="H52" s="823"/>
      <c r="I52" s="824"/>
      <c r="J52" s="826"/>
      <c r="K52" s="823"/>
      <c r="L52" s="823"/>
      <c r="M52" s="823"/>
      <c r="N52" s="826"/>
      <c r="O52" s="826"/>
      <c r="P52" s="826"/>
      <c r="Q52" s="826"/>
      <c r="R52" s="826"/>
      <c r="S52" s="827"/>
      <c r="T52" s="827"/>
      <c r="U52" s="822"/>
    </row>
    <row r="53" spans="2:21" s="274" customFormat="1">
      <c r="B53" s="697"/>
      <c r="C53" s="697"/>
      <c r="D53" s="697" t="s">
        <v>339</v>
      </c>
      <c r="E53" s="697"/>
      <c r="F53" s="697"/>
      <c r="G53" s="825">
        <f>G38</f>
        <v>1.0997441860465116E-2</v>
      </c>
      <c r="H53" s="823"/>
      <c r="I53" s="824"/>
      <c r="J53" s="826"/>
      <c r="K53" s="823"/>
      <c r="L53" s="823"/>
      <c r="M53" s="823"/>
      <c r="N53" s="826"/>
      <c r="O53" s="826"/>
      <c r="P53" s="826"/>
      <c r="Q53" s="826"/>
      <c r="R53" s="826"/>
      <c r="S53" s="827"/>
      <c r="T53" s="827"/>
      <c r="U53" s="822"/>
    </row>
    <row r="54" spans="2:21" s="274" customFormat="1">
      <c r="B54" s="697"/>
      <c r="C54" s="697"/>
      <c r="D54" s="697"/>
      <c r="E54" s="697"/>
      <c r="F54" s="697" t="s">
        <v>638</v>
      </c>
      <c r="G54" s="825"/>
      <c r="H54" s="823">
        <v>1</v>
      </c>
      <c r="I54" s="824"/>
      <c r="J54" s="826"/>
      <c r="K54" s="823"/>
      <c r="L54" s="823"/>
      <c r="M54" s="823"/>
      <c r="N54" s="826"/>
      <c r="O54" s="826"/>
      <c r="P54" s="826"/>
      <c r="Q54" s="826"/>
      <c r="R54" s="826"/>
      <c r="S54" s="827"/>
      <c r="T54" s="827"/>
      <c r="U54" s="822"/>
    </row>
    <row r="55" spans="2:21" s="836" customFormat="1">
      <c r="B55" s="836" t="str">
        <f>'H2 matriz'!$BW$3</f>
        <v>COMGH2C14</v>
      </c>
      <c r="C55" s="836" t="str">
        <f>'H2 matriz'!$BW$2</f>
        <v>Fuel Tech - H2 Delivery from centralized production (NH3+T100+RTS)</v>
      </c>
      <c r="D55" s="888" t="s">
        <v>233</v>
      </c>
      <c r="E55" s="889"/>
      <c r="F55" s="887"/>
      <c r="G55" s="890">
        <f>G40</f>
        <v>1</v>
      </c>
      <c r="H55" s="839"/>
      <c r="I55" s="876">
        <f>IF(D55="SYNH2UG",1,0.98)</f>
        <v>0.98</v>
      </c>
      <c r="J55" s="846">
        <f>SUMIF('H2 matriz'!$3:$3,$B55,'H2 matriz'!$59:$59)</f>
        <v>3.8389499393689808</v>
      </c>
      <c r="K55" s="846">
        <f>SUMIF('H2 matriz'!$3:$3,$B55,'H2 matriz'!$60:$60)</f>
        <v>3.8389499393689808</v>
      </c>
      <c r="L55" s="846">
        <f>SUMIF('H2 matriz'!$3:$3,$B55,'H2 matriz'!$61:$61)</f>
        <v>3.8389499393689808</v>
      </c>
      <c r="M55" s="846">
        <f>SUMIF('H2 matriz'!$3:$3,$B55,'H2 matriz'!$62:$62)</f>
        <v>7.8125393100647506E-2</v>
      </c>
      <c r="S55" s="836">
        <v>50</v>
      </c>
      <c r="T55" s="836">
        <f>'INPUT-Data(HD)'!V205</f>
        <v>0</v>
      </c>
      <c r="U55" s="836">
        <v>1</v>
      </c>
    </row>
    <row r="56" spans="2:21" s="840" customFormat="1">
      <c r="D56" s="841" t="s">
        <v>339</v>
      </c>
      <c r="E56" s="841"/>
      <c r="F56" s="841"/>
      <c r="G56" s="882">
        <f>G41</f>
        <v>3.3000000000000002E-2</v>
      </c>
      <c r="H56" s="842"/>
      <c r="I56" s="850"/>
      <c r="J56" s="847"/>
      <c r="K56" s="847"/>
      <c r="L56" s="847"/>
      <c r="M56" s="847"/>
    </row>
    <row r="57" spans="2:21" s="843" customFormat="1">
      <c r="D57" s="844"/>
      <c r="E57" s="844"/>
      <c r="F57" s="844" t="s">
        <v>584</v>
      </c>
      <c r="G57" s="883"/>
      <c r="H57" s="845">
        <v>1</v>
      </c>
      <c r="I57" s="851"/>
      <c r="J57" s="848"/>
      <c r="K57" s="848"/>
      <c r="L57" s="848"/>
      <c r="M57" s="848"/>
    </row>
    <row r="58" spans="2:21" s="274" customFormat="1">
      <c r="B58" s="697" t="str">
        <f>'H2 matriz'!$BX$3</f>
        <v>COMGH2C15</v>
      </c>
      <c r="C58" s="697" t="str">
        <f>'H2 matriz'!$BX$2</f>
        <v>Fuel Tech - H2 Delivery from centralized production (NH3+T20+RTS)</v>
      </c>
      <c r="D58" s="16" t="s">
        <v>233</v>
      </c>
      <c r="E58" s="697"/>
      <c r="F58" s="822"/>
      <c r="G58" s="825">
        <f>G43</f>
        <v>7.1637322688716226E-2</v>
      </c>
      <c r="H58" s="823"/>
      <c r="I58" s="876">
        <f>IF(D58="SYNH2UG",1,0.98)</f>
        <v>0.98</v>
      </c>
      <c r="J58" s="402">
        <f>SUMIF('H2 matriz'!$3:$3,$B58,'H2 matriz'!$59:$59)</f>
        <v>2.9517976424559813</v>
      </c>
      <c r="K58" s="402">
        <f>SUMIF('H2 matriz'!$3:$3,$B58,'H2 matriz'!$60:$60)</f>
        <v>2.9517976424559813</v>
      </c>
      <c r="L58" s="402">
        <f>SUMIF('H2 matriz'!$3:$3,$B58,'H2 matriz'!$61:$61)</f>
        <v>2.9517976424559813</v>
      </c>
      <c r="M58" s="402">
        <f>SUMIF('H2 matriz'!$3:$3,$B58,'H2 matriz'!$62:$62)</f>
        <v>4.5053404214554074E-2</v>
      </c>
      <c r="N58" s="826"/>
      <c r="O58" s="826"/>
      <c r="P58" s="826"/>
      <c r="Q58" s="826"/>
      <c r="R58" s="826"/>
      <c r="S58" s="827">
        <v>50</v>
      </c>
      <c r="T58" s="827">
        <f>'INPUT-Data(HD)'!V208</f>
        <v>0</v>
      </c>
      <c r="U58" s="828">
        <v>1</v>
      </c>
    </row>
    <row r="59" spans="2:21" s="274" customFormat="1">
      <c r="B59" s="697"/>
      <c r="C59" s="697"/>
      <c r="D59" s="697" t="s">
        <v>621</v>
      </c>
      <c r="E59" s="697"/>
      <c r="F59" s="697"/>
      <c r="G59" s="825">
        <f t="shared" ref="G59:G60" si="0">G44</f>
        <v>0.92836267731128375</v>
      </c>
      <c r="H59" s="823"/>
      <c r="I59" s="824"/>
      <c r="J59" s="826"/>
      <c r="K59" s="823"/>
      <c r="L59" s="823"/>
      <c r="M59" s="823"/>
      <c r="N59" s="826"/>
      <c r="O59" s="826"/>
      <c r="P59" s="826"/>
      <c r="Q59" s="826"/>
      <c r="R59" s="826"/>
      <c r="S59" s="827"/>
      <c r="T59" s="827"/>
      <c r="U59" s="822"/>
    </row>
    <row r="60" spans="2:21" s="274" customFormat="1">
      <c r="B60" s="697"/>
      <c r="C60" s="697"/>
      <c r="D60" s="697" t="s">
        <v>339</v>
      </c>
      <c r="E60" s="697"/>
      <c r="F60" s="697"/>
      <c r="G60" s="825">
        <f t="shared" si="0"/>
        <v>1.4274418604651165E-2</v>
      </c>
      <c r="H60" s="823"/>
      <c r="I60" s="824"/>
      <c r="J60" s="826"/>
      <c r="K60" s="823"/>
      <c r="L60" s="823"/>
      <c r="M60" s="823"/>
      <c r="N60" s="826"/>
      <c r="O60" s="826"/>
      <c r="P60" s="826"/>
      <c r="Q60" s="826"/>
      <c r="R60" s="826"/>
      <c r="S60" s="827"/>
      <c r="T60" s="827"/>
      <c r="U60" s="822"/>
    </row>
    <row r="61" spans="2:21" s="274" customFormat="1">
      <c r="B61" s="687"/>
      <c r="C61" s="687"/>
      <c r="D61" s="687"/>
      <c r="E61" s="687"/>
      <c r="F61" s="687" t="s">
        <v>620</v>
      </c>
      <c r="G61" s="825"/>
      <c r="H61" s="823">
        <v>1</v>
      </c>
      <c r="I61" s="829"/>
      <c r="J61" s="826"/>
      <c r="K61" s="823"/>
      <c r="L61" s="823"/>
      <c r="M61" s="823"/>
      <c r="N61" s="830"/>
      <c r="O61" s="830"/>
      <c r="P61" s="830"/>
      <c r="Q61" s="830"/>
      <c r="R61" s="830"/>
      <c r="S61" s="832"/>
      <c r="T61" s="832"/>
      <c r="U61" s="833"/>
    </row>
    <row r="62" spans="2:21" s="836" customFormat="1">
      <c r="B62" s="836" t="str">
        <f>'H2 matriz'!$BY$3</f>
        <v>COMGH2C16</v>
      </c>
      <c r="C62" s="836" t="str">
        <f>'H2 matriz'!$BY$2</f>
        <v>Fuel Tech - H2 Delivery from centralized production (NH3+T10+RTS)</v>
      </c>
      <c r="D62" s="837" t="s">
        <v>233</v>
      </c>
      <c r="E62" s="838"/>
      <c r="G62" s="881">
        <f>G47</f>
        <v>3.315846778184698E-2</v>
      </c>
      <c r="H62" s="839"/>
      <c r="I62" s="876">
        <f>IF(D62="SYNH2UG",1,0.98)</f>
        <v>0.98</v>
      </c>
      <c r="J62" s="846">
        <f>SUMIF('H2 matriz'!$3:$3,$B62,'H2 matriz'!$59:$59)</f>
        <v>2.9517976424559813</v>
      </c>
      <c r="K62" s="846">
        <f>SUMIF('H2 matriz'!$3:$3,$B62,'H2 matriz'!$60:$60)</f>
        <v>2.9517976424559813</v>
      </c>
      <c r="L62" s="846">
        <f>SUMIF('H2 matriz'!$3:$3,$B62,'H2 matriz'!$61:$61)</f>
        <v>2.9517976424559813</v>
      </c>
      <c r="M62" s="846">
        <f>SUMIF('H2 matriz'!$3:$3,$B62,'H2 matriz'!$62:$62)</f>
        <v>3.7544503512128402E-2</v>
      </c>
      <c r="S62" s="836">
        <v>50</v>
      </c>
      <c r="T62" s="836">
        <f>'INPUT-Data(HD)'!V211</f>
        <v>0</v>
      </c>
      <c r="U62" s="836">
        <v>1</v>
      </c>
    </row>
    <row r="63" spans="2:21" s="840" customFormat="1">
      <c r="D63" s="841" t="s">
        <v>621</v>
      </c>
      <c r="E63" s="841"/>
      <c r="F63" s="841"/>
      <c r="G63" s="882">
        <f t="shared" ref="G63:G64" si="1">G48</f>
        <v>0.96684153221815305</v>
      </c>
      <c r="H63" s="842"/>
      <c r="I63" s="850"/>
    </row>
    <row r="64" spans="2:21" s="840" customFormat="1">
      <c r="D64" s="841" t="s">
        <v>339</v>
      </c>
      <c r="E64" s="841"/>
      <c r="F64" s="841"/>
      <c r="G64" s="882">
        <f t="shared" si="1"/>
        <v>1.1933720930232559E-2</v>
      </c>
      <c r="H64" s="842"/>
      <c r="I64" s="850"/>
    </row>
    <row r="65" spans="2:21" s="843" customFormat="1">
      <c r="D65" s="844"/>
      <c r="E65" s="844"/>
      <c r="F65" s="844" t="s">
        <v>643</v>
      </c>
      <c r="G65" s="883"/>
      <c r="H65" s="845">
        <v>1</v>
      </c>
      <c r="I65" s="851"/>
    </row>
    <row r="66" spans="2:21" s="274" customFormat="1">
      <c r="B66" s="274" t="str">
        <f>'H2 matriz'!$BZ$3</f>
        <v>COMGH2C17</v>
      </c>
      <c r="C66" s="274" t="str">
        <f>'H2 matriz'!$BZ$2</f>
        <v>Fuel Tech - H2 Delivery from centralized production (NH3+T6+RTS)</v>
      </c>
      <c r="D66" s="16" t="s">
        <v>233</v>
      </c>
      <c r="E66" s="697"/>
      <c r="F66" s="822"/>
      <c r="G66" s="825">
        <f>G51</f>
        <v>1.9321101975686809E-2</v>
      </c>
      <c r="H66" s="823"/>
      <c r="I66" s="876">
        <f>IF(D66="SYNH2UG",1,0.98)</f>
        <v>0.98</v>
      </c>
      <c r="J66" s="402">
        <f>SUMIF('H2 matriz'!$3:$3,$B66,'H2 matriz'!$59:$59)</f>
        <v>0</v>
      </c>
      <c r="K66" s="402">
        <f>SUMIF('H2 matriz'!$3:$3,$B66,'H2 matriz'!$60:$60)</f>
        <v>0</v>
      </c>
      <c r="L66" s="402">
        <f>SUMIF('H2 matriz'!$3:$3,$B66,'H2 matriz'!$61:$61)</f>
        <v>0</v>
      </c>
      <c r="M66" s="402">
        <f>SUMIF('H2 matriz'!$3:$3,$B66,'H2 matriz'!$62:$62)</f>
        <v>1.2170638705066765E-2</v>
      </c>
      <c r="S66" s="274">
        <v>50</v>
      </c>
      <c r="T66" s="274">
        <f>'INPUT-Data(HD)'!V214</f>
        <v>0</v>
      </c>
      <c r="U66" s="274">
        <v>1</v>
      </c>
    </row>
    <row r="67" spans="2:21" s="274" customFormat="1">
      <c r="D67" s="697" t="s">
        <v>621</v>
      </c>
      <c r="E67" s="697"/>
      <c r="F67" s="697"/>
      <c r="G67" s="825">
        <f t="shared" ref="G67:G68" si="2">G52</f>
        <v>0.98067889802431318</v>
      </c>
      <c r="H67" s="823"/>
      <c r="I67" s="852"/>
      <c r="J67" s="826"/>
      <c r="K67" s="823"/>
      <c r="L67" s="823"/>
      <c r="M67" s="823"/>
    </row>
    <row r="68" spans="2:21" s="274" customFormat="1">
      <c r="D68" s="697" t="s">
        <v>339</v>
      </c>
      <c r="E68" s="697"/>
      <c r="F68" s="697"/>
      <c r="G68" s="825">
        <f t="shared" si="2"/>
        <v>1.0997441860465116E-2</v>
      </c>
      <c r="H68" s="823"/>
      <c r="I68" s="852"/>
      <c r="J68" s="826"/>
      <c r="K68" s="823"/>
      <c r="L68" s="823"/>
      <c r="M68" s="823"/>
    </row>
    <row r="69" spans="2:21" s="274" customFormat="1">
      <c r="D69" s="687"/>
      <c r="E69" s="687"/>
      <c r="F69" s="687" t="s">
        <v>638</v>
      </c>
      <c r="G69" s="825"/>
      <c r="H69" s="823">
        <v>1</v>
      </c>
      <c r="I69" s="852"/>
      <c r="J69" s="826"/>
      <c r="K69" s="823"/>
      <c r="L69" s="823"/>
      <c r="M69" s="823"/>
    </row>
    <row r="70" spans="2:21" s="836" customFormat="1">
      <c r="B70" s="836" t="str">
        <f>'H2 matriz'!$CA$3</f>
        <v>COMGH2D01</v>
      </c>
      <c r="C70" s="836" t="str">
        <f>'H2 matriz'!$CA$2</f>
        <v>Fuel Tech - H2 Delivery from decentralized production (ST+T100+RTS)</v>
      </c>
      <c r="D70" s="888" t="s">
        <v>536</v>
      </c>
      <c r="E70" s="889"/>
      <c r="F70" s="887"/>
      <c r="G70" s="890">
        <f>G55</f>
        <v>1</v>
      </c>
      <c r="H70" s="839"/>
      <c r="I70" s="876">
        <f>IF(D70="SYNH2UG",1,0.98)</f>
        <v>0.98</v>
      </c>
      <c r="J70" s="846">
        <f>SUMIF('H2 matriz'!$3:$3,$B70,'H2 matriz'!$59:$59)</f>
        <v>3.0173041789644688</v>
      </c>
      <c r="K70" s="846">
        <f>SUMIF('H2 matriz'!$3:$3,$B70,'H2 matriz'!$60:$60)</f>
        <v>3.0173041789644688</v>
      </c>
      <c r="L70" s="846">
        <f>SUMIF('H2 matriz'!$3:$3,$B70,'H2 matriz'!$61:$61)</f>
        <v>3.0173041789644688</v>
      </c>
      <c r="M70" s="846">
        <f>SUMIF('H2 matriz'!$3:$3,$B70,'H2 matriz'!$62:$62)</f>
        <v>4.5259562684467021E-2</v>
      </c>
      <c r="S70" s="836">
        <v>50</v>
      </c>
      <c r="T70" s="836">
        <f>'INPUT-Data(HD)'!V217</f>
        <v>0</v>
      </c>
      <c r="U70" s="836">
        <v>1</v>
      </c>
    </row>
    <row r="71" spans="2:21" s="840" customFormat="1">
      <c r="D71" s="841" t="s">
        <v>339</v>
      </c>
      <c r="E71" s="841"/>
      <c r="F71" s="841"/>
      <c r="G71" s="882"/>
      <c r="H71" s="842"/>
      <c r="I71" s="850"/>
      <c r="J71" s="847"/>
      <c r="K71" s="847"/>
      <c r="L71" s="847"/>
      <c r="M71" s="847"/>
    </row>
    <row r="72" spans="2:21" s="843" customFormat="1">
      <c r="D72" s="844"/>
      <c r="E72" s="844"/>
      <c r="F72" s="844" t="s">
        <v>584</v>
      </c>
      <c r="G72" s="883"/>
      <c r="H72" s="845">
        <v>1</v>
      </c>
      <c r="I72" s="851"/>
      <c r="J72" s="848"/>
      <c r="K72" s="848"/>
      <c r="L72" s="848"/>
      <c r="M72" s="848"/>
    </row>
    <row r="73" spans="2:21" s="274" customFormat="1">
      <c r="B73" s="697" t="str">
        <f>'H2 matriz'!$CB$3</f>
        <v>COMGH2D02</v>
      </c>
      <c r="C73" s="697" t="str">
        <f>'H2 matriz'!$CB$2</f>
        <v>Fuel Tech - H2 Delivery from decentralized production (ST+T20+RTS)</v>
      </c>
      <c r="D73" s="16" t="s">
        <v>536</v>
      </c>
      <c r="E73" s="697"/>
      <c r="F73" s="822"/>
      <c r="G73" s="825">
        <f>G58</f>
        <v>7.1637322688716226E-2</v>
      </c>
      <c r="H73" s="823"/>
      <c r="I73" s="876">
        <f>IF(D73="SYNH2UG",1,0.98)</f>
        <v>0.98</v>
      </c>
      <c r="J73" s="402">
        <f>SUMIF('H2 matriz'!$3:$3,$B73,'H2 matriz'!$59:$59)</f>
        <v>2.3200280031533524</v>
      </c>
      <c r="K73" s="402">
        <f>SUMIF('H2 matriz'!$3:$3,$B73,'H2 matriz'!$60:$60)</f>
        <v>2.3200280031533524</v>
      </c>
      <c r="L73" s="402">
        <f>SUMIF('H2 matriz'!$3:$3,$B73,'H2 matriz'!$61:$61)</f>
        <v>2.3200280031533524</v>
      </c>
      <c r="M73" s="402">
        <f>SUMIF('H2 matriz'!$3:$3,$B73,'H2 matriz'!$62:$62)</f>
        <v>2.6100315035475205E-2</v>
      </c>
      <c r="N73" s="826"/>
      <c r="O73" s="826"/>
      <c r="P73" s="826"/>
      <c r="Q73" s="826"/>
      <c r="R73" s="826"/>
      <c r="S73" s="827">
        <v>50</v>
      </c>
      <c r="T73" s="827">
        <f>'INPUT-Data(HD)'!V220</f>
        <v>0</v>
      </c>
      <c r="U73" s="828">
        <v>1</v>
      </c>
    </row>
    <row r="74" spans="2:21" s="274" customFormat="1">
      <c r="B74" s="697"/>
      <c r="C74" s="697"/>
      <c r="D74" s="697" t="s">
        <v>621</v>
      </c>
      <c r="E74" s="697"/>
      <c r="F74" s="697"/>
      <c r="G74" s="825">
        <f>G59</f>
        <v>0.92836267731128375</v>
      </c>
      <c r="H74" s="823"/>
      <c r="I74" s="824"/>
      <c r="J74" s="826"/>
      <c r="K74" s="823"/>
      <c r="L74" s="823"/>
      <c r="M74" s="823"/>
      <c r="N74" s="826"/>
      <c r="O74" s="826"/>
      <c r="P74" s="826"/>
      <c r="Q74" s="826"/>
      <c r="R74" s="826"/>
      <c r="S74" s="827"/>
      <c r="T74" s="827"/>
      <c r="U74" s="822"/>
    </row>
    <row r="75" spans="2:21" s="274" customFormat="1">
      <c r="B75" s="697"/>
      <c r="C75" s="697"/>
      <c r="D75" s="697" t="s">
        <v>339</v>
      </c>
      <c r="E75" s="697"/>
      <c r="F75" s="697"/>
      <c r="G75" s="825"/>
      <c r="H75" s="823"/>
      <c r="I75" s="824"/>
      <c r="J75" s="826"/>
      <c r="K75" s="823"/>
      <c r="L75" s="823"/>
      <c r="M75" s="823"/>
      <c r="N75" s="826"/>
      <c r="O75" s="826"/>
      <c r="P75" s="826"/>
      <c r="Q75" s="826"/>
      <c r="R75" s="826"/>
      <c r="S75" s="827"/>
      <c r="T75" s="827"/>
      <c r="U75" s="822"/>
    </row>
    <row r="76" spans="2:21" s="274" customFormat="1">
      <c r="B76" s="697"/>
      <c r="C76" s="697"/>
      <c r="D76" s="697"/>
      <c r="E76" s="697"/>
      <c r="F76" s="697" t="s">
        <v>620</v>
      </c>
      <c r="G76" s="825"/>
      <c r="H76" s="823">
        <v>1</v>
      </c>
      <c r="I76" s="824"/>
      <c r="J76" s="826"/>
      <c r="K76" s="823"/>
      <c r="L76" s="823"/>
      <c r="M76" s="823"/>
      <c r="N76" s="826"/>
      <c r="O76" s="826"/>
      <c r="P76" s="826"/>
      <c r="Q76" s="826"/>
      <c r="R76" s="826"/>
      <c r="S76" s="827"/>
      <c r="T76" s="827"/>
      <c r="U76" s="822"/>
    </row>
    <row r="77" spans="2:21" s="836" customFormat="1">
      <c r="B77" s="836" t="str">
        <f>'H2 matriz'!$CC$3</f>
        <v>COMGH2D03</v>
      </c>
      <c r="C77" s="836" t="str">
        <f>'H2 matriz'!$CC$2</f>
        <v>Fuel Tech - H2 Delivery from decentralized production (ST+T10+RTS)</v>
      </c>
      <c r="D77" s="837" t="s">
        <v>536</v>
      </c>
      <c r="E77" s="838"/>
      <c r="G77" s="881">
        <f>G62</f>
        <v>3.315846778184698E-2</v>
      </c>
      <c r="H77" s="839"/>
      <c r="I77" s="876">
        <f>IF(D77="SYNH2UG",1,0.98)</f>
        <v>0.98</v>
      </c>
      <c r="J77" s="846">
        <f>SUMIF('H2 matriz'!$3:$3,$B77,'H2 matriz'!$59:$59)</f>
        <v>2.3200280031533524</v>
      </c>
      <c r="K77" s="846">
        <f>SUMIF('H2 matriz'!$3:$3,$B77,'H2 matriz'!$60:$60)</f>
        <v>2.3200280031533524</v>
      </c>
      <c r="L77" s="846">
        <f>SUMIF('H2 matriz'!$3:$3,$B77,'H2 matriz'!$61:$61)</f>
        <v>2.3200280031533524</v>
      </c>
      <c r="M77" s="846">
        <f>SUMIF('H2 matriz'!$3:$3,$B77,'H2 matriz'!$62:$62)</f>
        <v>2.1750262529562674E-2</v>
      </c>
      <c r="S77" s="836">
        <v>50</v>
      </c>
      <c r="T77" s="836">
        <f>'INPUT-Data(HD)'!V223</f>
        <v>0</v>
      </c>
      <c r="U77" s="836">
        <v>1</v>
      </c>
    </row>
    <row r="78" spans="2:21" s="840" customFormat="1">
      <c r="D78" s="841" t="s">
        <v>621</v>
      </c>
      <c r="E78" s="841"/>
      <c r="F78" s="841"/>
      <c r="G78" s="882">
        <f>G63</f>
        <v>0.96684153221815305</v>
      </c>
      <c r="H78" s="842"/>
      <c r="I78" s="850"/>
    </row>
    <row r="79" spans="2:21" s="840" customFormat="1">
      <c r="D79" s="841" t="s">
        <v>339</v>
      </c>
      <c r="E79" s="841"/>
      <c r="F79" s="841"/>
      <c r="G79" s="882"/>
      <c r="H79" s="842"/>
      <c r="I79" s="850"/>
    </row>
    <row r="80" spans="2:21" s="843" customFormat="1">
      <c r="D80" s="844"/>
      <c r="E80" s="844"/>
      <c r="F80" s="844" t="s">
        <v>643</v>
      </c>
      <c r="G80" s="883"/>
      <c r="H80" s="845">
        <v>1</v>
      </c>
      <c r="I80" s="851"/>
    </row>
    <row r="81" spans="1:21" s="274" customFormat="1">
      <c r="B81" s="697" t="str">
        <f>'H2 matriz'!$CD$3</f>
        <v>COMGH2D04</v>
      </c>
      <c r="C81" s="697" t="str">
        <f>'H2 matriz'!$CD$2</f>
        <v>Fuel Tech - H2 Delivery from decentralized production (ST+T6+RTS)</v>
      </c>
      <c r="D81" s="16" t="s">
        <v>536</v>
      </c>
      <c r="E81" s="697"/>
      <c r="F81" s="822"/>
      <c r="G81" s="825">
        <f>G66</f>
        <v>1.9321101975686809E-2</v>
      </c>
      <c r="H81" s="823"/>
      <c r="I81" s="876">
        <f>IF(D81="SYNH2UG",1,0.98)</f>
        <v>0.98</v>
      </c>
      <c r="J81" s="402">
        <f>SUMIF('H2 matriz'!$3:$3,$B81,'H2 matriz'!$59:$59)</f>
        <v>0</v>
      </c>
      <c r="K81" s="402">
        <f>SUMIF('H2 matriz'!$3:$3,$B81,'H2 matriz'!$60:$60)</f>
        <v>0</v>
      </c>
      <c r="L81" s="402">
        <f>SUMIF('H2 matriz'!$3:$3,$B81,'H2 matriz'!$61:$61)</f>
        <v>0</v>
      </c>
      <c r="M81" s="402">
        <f>SUMIF('H2 matriz'!$3:$3,$B81,'H2 matriz'!$62:$62)</f>
        <v>1.2170638705066765E-2</v>
      </c>
      <c r="N81" s="826"/>
      <c r="O81" s="826"/>
      <c r="P81" s="826"/>
      <c r="Q81" s="826"/>
      <c r="R81" s="826"/>
      <c r="S81" s="827">
        <v>50</v>
      </c>
      <c r="T81" s="827">
        <f>'INPUT-Data(HD)'!V226</f>
        <v>0</v>
      </c>
      <c r="U81" s="828">
        <v>1</v>
      </c>
    </row>
    <row r="82" spans="1:21" s="274" customFormat="1">
      <c r="B82" s="697"/>
      <c r="C82" s="697"/>
      <c r="D82" s="697" t="s">
        <v>621</v>
      </c>
      <c r="E82" s="697"/>
      <c r="F82" s="697"/>
      <c r="G82" s="825">
        <f>G67</f>
        <v>0.98067889802431318</v>
      </c>
      <c r="H82" s="823"/>
      <c r="I82" s="824"/>
      <c r="J82" s="826"/>
      <c r="K82" s="823"/>
      <c r="L82" s="823"/>
      <c r="M82" s="823"/>
      <c r="N82" s="826"/>
      <c r="O82" s="826"/>
      <c r="P82" s="826"/>
      <c r="Q82" s="826"/>
      <c r="R82" s="826"/>
      <c r="S82" s="827"/>
      <c r="T82" s="827"/>
      <c r="U82" s="822"/>
    </row>
    <row r="83" spans="1:21" s="274" customFormat="1">
      <c r="B83" s="697"/>
      <c r="C83" s="697"/>
      <c r="D83" s="697" t="s">
        <v>339</v>
      </c>
      <c r="E83" s="697"/>
      <c r="F83" s="697"/>
      <c r="G83" s="825"/>
      <c r="H83" s="823"/>
      <c r="I83" s="824"/>
      <c r="J83" s="826"/>
      <c r="K83" s="823"/>
      <c r="L83" s="823"/>
      <c r="M83" s="823"/>
      <c r="N83" s="826"/>
      <c r="O83" s="826"/>
      <c r="P83" s="826"/>
      <c r="Q83" s="826"/>
      <c r="R83" s="826"/>
      <c r="S83" s="827"/>
      <c r="T83" s="827"/>
      <c r="U83" s="822"/>
    </row>
    <row r="84" spans="1:21" s="274" customFormat="1">
      <c r="B84" s="687"/>
      <c r="C84" s="687"/>
      <c r="D84" s="687"/>
      <c r="E84" s="687"/>
      <c r="F84" s="687" t="s">
        <v>638</v>
      </c>
      <c r="G84" s="825"/>
      <c r="H84" s="823">
        <v>1</v>
      </c>
      <c r="I84" s="829"/>
      <c r="J84" s="826"/>
      <c r="K84" s="823"/>
      <c r="L84" s="823"/>
      <c r="M84" s="823"/>
      <c r="N84" s="830"/>
      <c r="O84" s="830"/>
      <c r="P84" s="830"/>
      <c r="Q84" s="830"/>
      <c r="R84" s="830"/>
      <c r="S84" s="832"/>
      <c r="T84" s="832"/>
      <c r="U84" s="833"/>
    </row>
    <row r="85" spans="1:21" s="836" customFormat="1">
      <c r="B85" s="836" t="str">
        <f>'H2 matriz'!$CE$3</f>
        <v>COMGH2M01</v>
      </c>
      <c r="C85" s="836" t="str">
        <f>'H2 matriz'!$CE$2</f>
        <v>Fuel Tech - H2 Delivery from micrpdecentralized production</v>
      </c>
      <c r="D85" s="888" t="s">
        <v>536</v>
      </c>
      <c r="E85" s="889"/>
      <c r="F85" s="887"/>
      <c r="G85" s="890">
        <v>1</v>
      </c>
      <c r="H85" s="839"/>
      <c r="I85" s="876">
        <f>IF(D85="SYNH2UG",1,0.98)</f>
        <v>0.98</v>
      </c>
      <c r="J85" s="846">
        <f>SUMIF('H2 matriz'!$3:$3,$B85,'H2 matriz'!$59:$59)</f>
        <v>0</v>
      </c>
      <c r="K85" s="846">
        <f>SUMIF('H2 matriz'!$3:$3,$B85,'H2 matriz'!$60:$60)</f>
        <v>0</v>
      </c>
      <c r="L85" s="846">
        <f>SUMIF('H2 matriz'!$3:$3,$B85,'H2 matriz'!$61:$61)</f>
        <v>0</v>
      </c>
      <c r="M85" s="846">
        <f>SUMIF('H2 matriz'!$3:$3,$B85,'H2 matriz'!$62:$62)</f>
        <v>0</v>
      </c>
      <c r="S85" s="836">
        <v>50</v>
      </c>
      <c r="T85" s="836">
        <f>'INPUT-Data(HD)'!V229</f>
        <v>0</v>
      </c>
      <c r="U85" s="836">
        <v>1</v>
      </c>
    </row>
    <row r="86" spans="1:21" s="840" customFormat="1">
      <c r="D86" s="841" t="s">
        <v>339</v>
      </c>
      <c r="E86" s="841"/>
      <c r="F86" s="841"/>
      <c r="G86" s="882"/>
      <c r="H86" s="842"/>
      <c r="I86" s="850"/>
      <c r="J86" s="847"/>
      <c r="K86" s="847"/>
      <c r="L86" s="847"/>
      <c r="M86" s="847"/>
    </row>
    <row r="87" spans="1:21" s="843" customFormat="1">
      <c r="D87" s="844"/>
      <c r="E87" s="844"/>
      <c r="F87" s="844" t="s">
        <v>584</v>
      </c>
      <c r="G87" s="883"/>
      <c r="H87" s="845">
        <v>1</v>
      </c>
      <c r="I87" s="851"/>
      <c r="J87" s="848"/>
      <c r="K87" s="848"/>
      <c r="L87" s="848"/>
      <c r="M87" s="848"/>
    </row>
    <row r="88" spans="1:21" s="633" customFormat="1">
      <c r="B88" s="692"/>
      <c r="C88" s="697"/>
      <c r="D88" s="638"/>
      <c r="E88" s="692"/>
      <c r="G88" s="796"/>
      <c r="H88" s="402"/>
      <c r="I88" s="694"/>
      <c r="J88" s="694"/>
      <c r="K88" s="694"/>
      <c r="L88" s="694"/>
      <c r="M88" s="694"/>
      <c r="N88" s="694"/>
      <c r="O88" s="676"/>
      <c r="P88" s="676"/>
      <c r="Q88" s="676"/>
      <c r="R88" s="676"/>
      <c r="S88" s="677"/>
      <c r="T88" s="677"/>
      <c r="U88" s="695"/>
    </row>
    <row r="90" spans="1:21">
      <c r="A90" s="29"/>
      <c r="B90" s="29"/>
      <c r="C90" s="30"/>
      <c r="D90" s="30"/>
      <c r="E90" s="30"/>
      <c r="F90" s="30"/>
      <c r="G90" s="68"/>
      <c r="H90" s="30"/>
      <c r="I90" s="853"/>
      <c r="J90" s="113"/>
      <c r="K90" s="113"/>
      <c r="L90" s="113"/>
      <c r="M90" s="113"/>
      <c r="N90" s="113"/>
    </row>
    <row r="91" spans="1:21">
      <c r="A91" s="636" t="s">
        <v>7</v>
      </c>
      <c r="B91" s="636" t="s">
        <v>0</v>
      </c>
      <c r="C91" s="636" t="s">
        <v>1</v>
      </c>
      <c r="D91" s="636" t="s">
        <v>9</v>
      </c>
      <c r="E91" s="636" t="s">
        <v>10</v>
      </c>
      <c r="F91" s="636" t="s">
        <v>11</v>
      </c>
      <c r="G91" s="884" t="s">
        <v>12</v>
      </c>
    </row>
    <row r="92" spans="1:21" ht="117">
      <c r="A92" s="38" t="s">
        <v>39</v>
      </c>
      <c r="B92" s="38" t="s">
        <v>14</v>
      </c>
      <c r="C92" s="38" t="s">
        <v>15</v>
      </c>
      <c r="D92" s="38" t="s">
        <v>16</v>
      </c>
      <c r="E92" s="38" t="s">
        <v>17</v>
      </c>
      <c r="F92" s="38" t="s">
        <v>27</v>
      </c>
      <c r="G92" s="885" t="s">
        <v>26</v>
      </c>
    </row>
    <row r="93" spans="1:21">
      <c r="A93" s="641" t="s">
        <v>37</v>
      </c>
      <c r="B93" s="692" t="str">
        <f>B7</f>
        <v>COMGH2C01</v>
      </c>
      <c r="C93" s="692" t="str">
        <f>C7</f>
        <v>Fuel Tech - H2 Delivery from centralized production (USTOR+T100)</v>
      </c>
      <c r="D93" s="637" t="s">
        <v>23</v>
      </c>
      <c r="E93" s="638" t="s">
        <v>133</v>
      </c>
      <c r="F93" s="637" t="s">
        <v>230</v>
      </c>
      <c r="H93" s="642"/>
    </row>
    <row r="94" spans="1:21">
      <c r="A94" s="641" t="s">
        <v>37</v>
      </c>
      <c r="B94" s="692" t="str">
        <f>B10</f>
        <v>COMGH2C02</v>
      </c>
      <c r="C94" s="692" t="str">
        <f>C10</f>
        <v>Fuel Tech - H2 Delivery from centralized production (USTOR+T100+RTS)</v>
      </c>
      <c r="D94" s="637" t="s">
        <v>23</v>
      </c>
      <c r="E94" s="638" t="s">
        <v>133</v>
      </c>
      <c r="F94" s="637" t="s">
        <v>230</v>
      </c>
      <c r="H94" s="642"/>
    </row>
    <row r="95" spans="1:21">
      <c r="A95" s="641" t="s">
        <v>37</v>
      </c>
      <c r="B95" s="692" t="str">
        <f>B13</f>
        <v>COMGH2C03</v>
      </c>
      <c r="C95" s="692" t="str">
        <f>C13</f>
        <v>Fuel Tech - H2 Delivery from centralized production (USTOR+T20+RTS)</v>
      </c>
      <c r="D95" s="637" t="s">
        <v>23</v>
      </c>
      <c r="E95" s="638" t="s">
        <v>133</v>
      </c>
      <c r="F95" s="637" t="s">
        <v>230</v>
      </c>
      <c r="H95" s="642"/>
    </row>
    <row r="96" spans="1:21">
      <c r="A96" s="641" t="s">
        <v>37</v>
      </c>
      <c r="B96" s="692" t="str">
        <f>B17</f>
        <v>COMGH2C04</v>
      </c>
      <c r="C96" s="692" t="str">
        <f>C17</f>
        <v>Fuel Tech - H2 Delivery from centralized production (USTOR+T10+RTS)</v>
      </c>
      <c r="D96" s="637" t="s">
        <v>23</v>
      </c>
      <c r="E96" s="638" t="s">
        <v>133</v>
      </c>
      <c r="F96" s="637" t="s">
        <v>230</v>
      </c>
      <c r="H96" s="642"/>
    </row>
    <row r="97" spans="1:13">
      <c r="A97" s="641" t="s">
        <v>37</v>
      </c>
      <c r="B97" s="692" t="str">
        <f>B21</f>
        <v>COMGH2C05</v>
      </c>
      <c r="C97" s="692" t="str">
        <f>C21</f>
        <v>Fuel Tech - H2 Delivery from centralized production (USTOR+T6+RTS)</v>
      </c>
      <c r="D97" s="637" t="s">
        <v>23</v>
      </c>
      <c r="E97" s="638" t="s">
        <v>133</v>
      </c>
      <c r="F97" s="637" t="s">
        <v>230</v>
      </c>
    </row>
    <row r="98" spans="1:13">
      <c r="A98" s="641" t="s">
        <v>37</v>
      </c>
      <c r="B98" s="692" t="str">
        <f>B25</f>
        <v>COMGH2C06</v>
      </c>
      <c r="C98" s="692" t="str">
        <f>C25</f>
        <v>Fuel Tech - H2 Delivery from centralized production (COMP+T100+RTS)</v>
      </c>
      <c r="D98" s="637" t="s">
        <v>23</v>
      </c>
      <c r="E98" s="638" t="s">
        <v>133</v>
      </c>
      <c r="F98" s="637" t="s">
        <v>230</v>
      </c>
    </row>
    <row r="99" spans="1:13">
      <c r="A99" s="641" t="s">
        <v>37</v>
      </c>
      <c r="B99" s="692" t="str">
        <f>B28</f>
        <v>COMGH2C07</v>
      </c>
      <c r="C99" s="692" t="str">
        <f>C28</f>
        <v>Fuel Tech - H2 Delivery from centralized production (COMP+T20+RTS)</v>
      </c>
      <c r="D99" s="637" t="s">
        <v>23</v>
      </c>
      <c r="E99" s="638" t="s">
        <v>133</v>
      </c>
      <c r="F99" s="637" t="s">
        <v>230</v>
      </c>
    </row>
    <row r="100" spans="1:13">
      <c r="A100" s="641" t="s">
        <v>37</v>
      </c>
      <c r="B100" s="692" t="str">
        <f>B32</f>
        <v>COMGH2C08</v>
      </c>
      <c r="C100" s="692" t="str">
        <f>C32</f>
        <v>Fuel Tech - H2 Delivery from centralized production (COMP+T10+RTS)</v>
      </c>
      <c r="D100" s="637" t="s">
        <v>23</v>
      </c>
      <c r="E100" s="638" t="s">
        <v>133</v>
      </c>
      <c r="F100" s="637" t="s">
        <v>230</v>
      </c>
    </row>
    <row r="101" spans="1:13">
      <c r="A101" s="641" t="s">
        <v>37</v>
      </c>
      <c r="B101" s="692" t="str">
        <f>B36</f>
        <v>COMGH2C09</v>
      </c>
      <c r="C101" s="692" t="str">
        <f>C36</f>
        <v>Fuel Tech - H2 Delivery from centralized production (COMP+T6+RTS)</v>
      </c>
      <c r="D101" s="637" t="s">
        <v>23</v>
      </c>
      <c r="E101" s="638" t="s">
        <v>133</v>
      </c>
      <c r="F101" s="637" t="s">
        <v>230</v>
      </c>
    </row>
    <row r="102" spans="1:13">
      <c r="A102" s="641" t="s">
        <v>37</v>
      </c>
      <c r="B102" s="692" t="str">
        <f>B40</f>
        <v>COMGH2C10</v>
      </c>
      <c r="C102" s="692" t="str">
        <f>C40</f>
        <v>Fuel Tech - H2 Delivery from centralized production (CRY+T100+RTS)</v>
      </c>
      <c r="D102" s="637" t="s">
        <v>23</v>
      </c>
      <c r="E102" s="638" t="s">
        <v>133</v>
      </c>
      <c r="F102" s="637" t="s">
        <v>230</v>
      </c>
    </row>
    <row r="103" spans="1:13">
      <c r="A103" s="641" t="s">
        <v>37</v>
      </c>
      <c r="B103" s="697" t="str">
        <f>B43</f>
        <v>COMGH2C11</v>
      </c>
      <c r="C103" s="697" t="str">
        <f>C43</f>
        <v>Fuel Tech - H2 Delivery from centralized production (CRY+T20+RTS)</v>
      </c>
      <c r="D103" s="637" t="s">
        <v>23</v>
      </c>
      <c r="E103" s="638" t="s">
        <v>133</v>
      </c>
      <c r="F103" s="637" t="s">
        <v>230</v>
      </c>
    </row>
    <row r="104" spans="1:13">
      <c r="A104" s="641" t="s">
        <v>37</v>
      </c>
      <c r="B104" s="697" t="str">
        <f>B47</f>
        <v>COMGH2C12</v>
      </c>
      <c r="C104" s="697" t="str">
        <f>C47</f>
        <v>Fuel Tech - H2 Delivery from centralized production (CRY+T10+RTS)</v>
      </c>
      <c r="D104" s="637" t="s">
        <v>23</v>
      </c>
      <c r="E104" s="638" t="s">
        <v>133</v>
      </c>
      <c r="F104" s="637" t="s">
        <v>230</v>
      </c>
    </row>
    <row r="105" spans="1:13">
      <c r="A105" s="641" t="s">
        <v>37</v>
      </c>
      <c r="B105" s="697" t="str">
        <f>B51</f>
        <v>COMGH2C13</v>
      </c>
      <c r="C105" s="697" t="str">
        <f>C51</f>
        <v>Fuel Tech - H2 Delivery from centralized production (CRY+T6+RTS)</v>
      </c>
      <c r="D105" s="637" t="s">
        <v>23</v>
      </c>
      <c r="E105" s="638" t="s">
        <v>133</v>
      </c>
      <c r="F105" s="637" t="s">
        <v>230</v>
      </c>
    </row>
    <row r="106" spans="1:13">
      <c r="A106" s="641" t="s">
        <v>37</v>
      </c>
      <c r="B106" s="819" t="str">
        <f>B55</f>
        <v>COMGH2C14</v>
      </c>
      <c r="C106" s="819" t="str">
        <f>C55</f>
        <v>Fuel Tech - H2 Delivery from centralized production (NH3+T100+RTS)</v>
      </c>
      <c r="D106" s="637" t="s">
        <v>23</v>
      </c>
      <c r="E106" s="638" t="s">
        <v>133</v>
      </c>
      <c r="F106" s="637" t="s">
        <v>230</v>
      </c>
    </row>
    <row r="107" spans="1:13">
      <c r="A107" s="641" t="s">
        <v>37</v>
      </c>
      <c r="B107" s="697" t="str">
        <f>B58</f>
        <v>COMGH2C15</v>
      </c>
      <c r="C107" s="697" t="str">
        <f>C58</f>
        <v>Fuel Tech - H2 Delivery from centralized production (NH3+T20+RTS)</v>
      </c>
      <c r="D107" s="637" t="s">
        <v>23</v>
      </c>
      <c r="E107" s="638" t="s">
        <v>133</v>
      </c>
      <c r="F107" s="637" t="s">
        <v>230</v>
      </c>
    </row>
    <row r="108" spans="1:13">
      <c r="A108" s="641" t="s">
        <v>37</v>
      </c>
      <c r="B108" s="692" t="str">
        <f>B62</f>
        <v>COMGH2C16</v>
      </c>
      <c r="C108" s="692" t="str">
        <f>C62</f>
        <v>Fuel Tech - H2 Delivery from centralized production (NH3+T10+RTS)</v>
      </c>
      <c r="D108" s="637" t="s">
        <v>23</v>
      </c>
      <c r="E108" s="638" t="s">
        <v>133</v>
      </c>
      <c r="F108" s="637" t="s">
        <v>230</v>
      </c>
      <c r="J108" s="206"/>
    </row>
    <row r="109" spans="1:13">
      <c r="A109" s="641" t="s">
        <v>37</v>
      </c>
      <c r="B109" s="692" t="str">
        <f>B66</f>
        <v>COMGH2C17</v>
      </c>
      <c r="C109" s="692" t="str">
        <f>C66</f>
        <v>Fuel Tech - H2 Delivery from centralized production (NH3+T6+RTS)</v>
      </c>
      <c r="D109" s="637" t="s">
        <v>23</v>
      </c>
      <c r="E109" s="638" t="s">
        <v>133</v>
      </c>
      <c r="F109" s="637" t="s">
        <v>230</v>
      </c>
    </row>
    <row r="110" spans="1:13">
      <c r="A110" s="641" t="s">
        <v>37</v>
      </c>
      <c r="B110" s="692" t="str">
        <f>B70</f>
        <v>COMGH2D01</v>
      </c>
      <c r="C110" s="692" t="str">
        <f>C70</f>
        <v>Fuel Tech - H2 Delivery from decentralized production (ST+T100+RTS)</v>
      </c>
      <c r="D110" s="637" t="s">
        <v>23</v>
      </c>
      <c r="E110" s="638" t="s">
        <v>133</v>
      </c>
      <c r="F110" s="637" t="s">
        <v>230</v>
      </c>
    </row>
    <row r="111" spans="1:13">
      <c r="A111" s="641" t="s">
        <v>37</v>
      </c>
      <c r="B111" s="692" t="str">
        <f>B73</f>
        <v>COMGH2D02</v>
      </c>
      <c r="C111" s="692" t="str">
        <f>C73</f>
        <v>Fuel Tech - H2 Delivery from decentralized production (ST+T20+RTS)</v>
      </c>
      <c r="D111" s="637" t="s">
        <v>23</v>
      </c>
      <c r="E111" s="638" t="s">
        <v>133</v>
      </c>
      <c r="F111" s="637" t="s">
        <v>230</v>
      </c>
    </row>
    <row r="112" spans="1:13">
      <c r="A112" s="641" t="s">
        <v>37</v>
      </c>
      <c r="B112" s="697" t="str">
        <f>B77</f>
        <v>COMGH2D03</v>
      </c>
      <c r="C112" s="697" t="str">
        <f>C77</f>
        <v>Fuel Tech - H2 Delivery from decentralized production (ST+T10+RTS)</v>
      </c>
      <c r="D112" s="637" t="s">
        <v>23</v>
      </c>
      <c r="E112" s="638" t="s">
        <v>133</v>
      </c>
      <c r="F112" s="637" t="s">
        <v>230</v>
      </c>
    </row>
    <row r="113" spans="1:6">
      <c r="A113" s="641" t="s">
        <v>37</v>
      </c>
      <c r="B113" s="692" t="str">
        <f>B81</f>
        <v>COMGH2D04</v>
      </c>
      <c r="C113" s="692" t="str">
        <f>C81</f>
        <v>Fuel Tech - H2 Delivery from decentralized production (ST+T6+RTS)</v>
      </c>
      <c r="D113" s="637" t="s">
        <v>23</v>
      </c>
      <c r="E113" s="638" t="s">
        <v>133</v>
      </c>
      <c r="F113" s="637" t="s">
        <v>230</v>
      </c>
    </row>
    <row r="114" spans="1:6">
      <c r="A114" s="641" t="s">
        <v>37</v>
      </c>
      <c r="B114" s="692" t="str">
        <f>B85</f>
        <v>COMGH2M01</v>
      </c>
      <c r="C114" s="692" t="str">
        <f>C85</f>
        <v>Fuel Tech - H2 Delivery from micrpdecentralized production</v>
      </c>
      <c r="D114" s="637" t="s">
        <v>23</v>
      </c>
      <c r="E114" s="638" t="s">
        <v>133</v>
      </c>
      <c r="F114" s="637" t="s">
        <v>230</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A8D83-A9EB-4A48-AF86-8A76E1D8ABC3}">
  <sheetPr codeName="Sheet16">
    <tabColor rgb="FFFFFF00"/>
  </sheetPr>
  <dimension ref="A1:U129"/>
  <sheetViews>
    <sheetView workbookViewId="0"/>
  </sheetViews>
  <sheetFormatPr defaultColWidth="8.7265625" defaultRowHeight="13"/>
  <cols>
    <col min="1" max="1" width="8.7265625" style="622"/>
    <col min="2" max="2" width="12.7265625" style="622" customWidth="1"/>
    <col min="3" max="3" width="59.7265625" style="622" bestFit="1" customWidth="1"/>
    <col min="4" max="4" width="9.54296875" style="622" customWidth="1"/>
    <col min="5" max="5" width="2.7265625" style="622" customWidth="1"/>
    <col min="6" max="6" width="8.40625" style="622" customWidth="1"/>
    <col min="7" max="7" width="13.86328125" style="878" bestFit="1" customWidth="1"/>
    <col min="8" max="8" width="8.7265625" style="622"/>
    <col min="9" max="9" width="9.26953125" style="849" bestFit="1" customWidth="1"/>
    <col min="10" max="10" width="8.86328125" style="622" bestFit="1" customWidth="1"/>
    <col min="11" max="12" width="9.26953125" style="622" bestFit="1" customWidth="1"/>
    <col min="13" max="13" width="8.86328125" style="622" bestFit="1" customWidth="1"/>
    <col min="14" max="15" width="9.26953125" style="622" bestFit="1" customWidth="1"/>
    <col min="16" max="16" width="8.86328125" style="622" bestFit="1" customWidth="1"/>
    <col min="17" max="18" width="9.26953125" style="622" bestFit="1" customWidth="1"/>
    <col min="19" max="19" width="8.86328125" style="622" bestFit="1" customWidth="1"/>
    <col min="20" max="20" width="9.40625" style="622" bestFit="1" customWidth="1"/>
    <col min="21" max="21" width="8.86328125" style="622" bestFit="1" customWidth="1"/>
    <col min="22" max="16384" width="8.7265625" style="622"/>
  </cols>
  <sheetData>
    <row r="1" spans="1:21" ht="23">
      <c r="A1" s="481" t="s">
        <v>132</v>
      </c>
      <c r="D1" s="481" t="s">
        <v>398</v>
      </c>
      <c r="F1" s="622">
        <v>0.76885081447747605</v>
      </c>
      <c r="G1" s="878">
        <v>2000</v>
      </c>
    </row>
    <row r="4" spans="1:21">
      <c r="B4" s="624"/>
      <c r="C4" s="624"/>
      <c r="D4" s="624"/>
      <c r="E4" s="624"/>
      <c r="F4" s="626"/>
      <c r="G4" s="68"/>
      <c r="H4" s="625"/>
      <c r="I4" s="681"/>
      <c r="J4" s="624"/>
      <c r="K4" s="624"/>
      <c r="L4" s="624"/>
      <c r="S4" s="624"/>
      <c r="T4" s="624"/>
    </row>
    <row r="5" spans="1:21" ht="26">
      <c r="B5" s="623" t="s">
        <v>0</v>
      </c>
      <c r="C5" s="636" t="s">
        <v>103</v>
      </c>
      <c r="D5" s="623" t="s">
        <v>2</v>
      </c>
      <c r="E5" s="623" t="s">
        <v>223</v>
      </c>
      <c r="F5" s="623" t="s">
        <v>3</v>
      </c>
      <c r="G5" s="879" t="s">
        <v>28</v>
      </c>
      <c r="H5" s="40" t="s">
        <v>36</v>
      </c>
      <c r="I5" s="40" t="s">
        <v>38</v>
      </c>
      <c r="J5" s="40" t="s">
        <v>44</v>
      </c>
      <c r="K5" s="40" t="s">
        <v>94</v>
      </c>
      <c r="L5" s="40" t="s">
        <v>236</v>
      </c>
      <c r="M5" s="40" t="s">
        <v>96</v>
      </c>
      <c r="N5" s="40" t="s">
        <v>98</v>
      </c>
      <c r="O5" s="40" t="s">
        <v>237</v>
      </c>
      <c r="P5" s="40" t="s">
        <v>21</v>
      </c>
      <c r="Q5" s="40" t="s">
        <v>99</v>
      </c>
      <c r="R5" s="40" t="s">
        <v>100</v>
      </c>
      <c r="S5" s="40" t="s">
        <v>32</v>
      </c>
      <c r="T5" s="40" t="s">
        <v>102</v>
      </c>
      <c r="U5" s="40" t="s">
        <v>31</v>
      </c>
    </row>
    <row r="6" spans="1:21" ht="13.4" customHeight="1">
      <c r="B6" s="217" t="s">
        <v>25</v>
      </c>
      <c r="C6" s="217" t="s">
        <v>15</v>
      </c>
      <c r="D6" s="217" t="s">
        <v>882</v>
      </c>
      <c r="E6" s="217"/>
      <c r="F6" s="217" t="s">
        <v>883</v>
      </c>
      <c r="G6" s="880"/>
      <c r="H6" s="218"/>
      <c r="I6" s="218"/>
      <c r="J6" s="218" t="s">
        <v>397</v>
      </c>
      <c r="K6" s="218" t="s">
        <v>397</v>
      </c>
      <c r="L6" s="218" t="s">
        <v>397</v>
      </c>
      <c r="M6" s="218" t="s">
        <v>397</v>
      </c>
      <c r="N6" s="218" t="s">
        <v>397</v>
      </c>
      <c r="O6" s="218" t="s">
        <v>397</v>
      </c>
      <c r="P6" s="218" t="s">
        <v>35</v>
      </c>
      <c r="Q6" s="218" t="s">
        <v>35</v>
      </c>
      <c r="R6" s="218" t="s">
        <v>35</v>
      </c>
      <c r="S6" s="218" t="s">
        <v>34</v>
      </c>
      <c r="T6" s="218"/>
      <c r="U6" s="218"/>
    </row>
    <row r="7" spans="1:21" s="274" customFormat="1">
      <c r="B7" s="697" t="str">
        <f>'H2 matriz'!$CF$3</f>
        <v>INDGH2C01</v>
      </c>
      <c r="C7" s="697" t="str">
        <f>'H2 matriz'!$CF$2</f>
        <v>Fuel Tech - H2 Delivery from centralized production (USTOR+T100)</v>
      </c>
      <c r="D7" s="16" t="s">
        <v>663</v>
      </c>
      <c r="E7" s="697"/>
      <c r="F7" s="822"/>
      <c r="G7" s="886">
        <v>1</v>
      </c>
      <c r="H7" s="823"/>
      <c r="I7" s="876">
        <f>IF(D7="SYNH2UG",1,0.98)</f>
        <v>1</v>
      </c>
      <c r="J7" s="402">
        <f>SUMIF('H2 matriz'!$3:$3,$B7,'H2 matriz'!$59:$59)</f>
        <v>3.8389499393689808</v>
      </c>
      <c r="K7" s="402">
        <f>SUMIF('H2 matriz'!$3:$3,$B7,'H2 matriz'!$60:$60)</f>
        <v>3.8389499393689808</v>
      </c>
      <c r="L7" s="402">
        <f>SUMIF('H2 matriz'!$3:$3,$B7,'H2 matriz'!$61:$61)</f>
        <v>3.8389499393689808</v>
      </c>
      <c r="M7" s="402">
        <f>SUMIF('H2 matriz'!$3:$3,$B7,'H2 matriz'!$62:$62)</f>
        <v>7.8125393100647506E-2</v>
      </c>
      <c r="N7" s="826"/>
      <c r="O7" s="826"/>
      <c r="P7" s="826"/>
      <c r="Q7" s="826"/>
      <c r="R7" s="826"/>
      <c r="S7" s="827">
        <v>50</v>
      </c>
      <c r="T7" s="827">
        <f>'INPUT-Data(HD)'!V163</f>
        <v>0</v>
      </c>
      <c r="U7" s="828">
        <v>1</v>
      </c>
    </row>
    <row r="8" spans="1:21" s="274" customFormat="1">
      <c r="B8" s="697"/>
      <c r="C8" s="697"/>
      <c r="D8" s="697" t="s">
        <v>339</v>
      </c>
      <c r="E8" s="697"/>
      <c r="F8" s="697"/>
      <c r="G8" s="825">
        <f>SUMIF('H2 matriz'!$3:$3,$B7,'H2 matriz'!$57:$57)</f>
        <v>3.3000000000000002E-2</v>
      </c>
      <c r="H8" s="823"/>
      <c r="I8" s="824"/>
      <c r="J8" s="826"/>
      <c r="K8" s="823"/>
      <c r="L8" s="823"/>
      <c r="M8" s="823"/>
      <c r="N8" s="826"/>
      <c r="O8" s="826"/>
      <c r="P8" s="826"/>
      <c r="Q8" s="826"/>
      <c r="R8" s="826"/>
      <c r="S8" s="827"/>
      <c r="T8" s="827"/>
      <c r="U8" s="822"/>
    </row>
    <row r="9" spans="1:21" s="274" customFormat="1">
      <c r="B9" s="697"/>
      <c r="C9" s="697"/>
      <c r="D9" s="697"/>
      <c r="E9" s="697"/>
      <c r="F9" s="697" t="s">
        <v>367</v>
      </c>
      <c r="G9" s="825"/>
      <c r="H9" s="823">
        <v>1</v>
      </c>
      <c r="I9" s="824"/>
      <c r="J9" s="826"/>
      <c r="K9" s="823"/>
      <c r="L9" s="823"/>
      <c r="M9" s="823"/>
      <c r="N9" s="826"/>
      <c r="O9" s="826"/>
      <c r="P9" s="826"/>
      <c r="Q9" s="826"/>
      <c r="R9" s="826"/>
      <c r="S9" s="827"/>
      <c r="T9" s="827"/>
      <c r="U9" s="822"/>
    </row>
    <row r="10" spans="1:21" s="836" customFormat="1">
      <c r="B10" s="836" t="str">
        <f>'H2 matriz'!$CG$3</f>
        <v>INDGH2C02</v>
      </c>
      <c r="C10" s="836" t="str">
        <f>'H2 matriz'!$CG$2</f>
        <v>Fuel Tech - H2 Delivery from centralized production (USTOR+T100+RTS)</v>
      </c>
      <c r="D10" s="888" t="s">
        <v>663</v>
      </c>
      <c r="E10" s="889"/>
      <c r="F10" s="887"/>
      <c r="G10" s="892">
        <v>1</v>
      </c>
      <c r="H10" s="839"/>
      <c r="I10" s="876">
        <f>IF(D10="SYNH2UG",1,0.98)</f>
        <v>1</v>
      </c>
      <c r="J10" s="846">
        <f>SUMIF('H2 matriz'!$3:$3,$B10,'H2 matriz'!$59:$59)</f>
        <v>7.270529291646648</v>
      </c>
      <c r="K10" s="846">
        <f>SUMIF('H2 matriz'!$3:$3,$B10,'H2 matriz'!$60:$60)</f>
        <v>7.270529291646648</v>
      </c>
      <c r="L10" s="846">
        <f>SUMIF('H2 matriz'!$3:$3,$B10,'H2 matriz'!$61:$61)</f>
        <v>7.270529291646648</v>
      </c>
      <c r="M10" s="846">
        <f>SUMIF('H2 matriz'!$3:$3,$B10,'H2 matriz'!$62:$62)</f>
        <v>0.14675698014620087</v>
      </c>
      <c r="S10" s="836">
        <v>50</v>
      </c>
      <c r="T10" s="836">
        <f>'INPUT-Data(HD)'!V166</f>
        <v>0</v>
      </c>
      <c r="U10" s="836">
        <v>1</v>
      </c>
    </row>
    <row r="11" spans="1:21" s="840" customFormat="1">
      <c r="D11" s="841" t="s">
        <v>339</v>
      </c>
      <c r="E11" s="841"/>
      <c r="F11" s="841"/>
      <c r="G11" s="882">
        <f>'H2 matriz'!DX$21</f>
        <v>3.3000000000000002E-2</v>
      </c>
      <c r="H11" s="842"/>
      <c r="I11" s="850"/>
      <c r="J11" s="847"/>
      <c r="K11" s="847"/>
      <c r="L11" s="847"/>
      <c r="M11" s="847"/>
    </row>
    <row r="12" spans="1:21" s="843" customFormat="1">
      <c r="D12" s="844"/>
      <c r="E12" s="844"/>
      <c r="F12" s="844" t="s">
        <v>367</v>
      </c>
      <c r="G12" s="883"/>
      <c r="H12" s="845">
        <v>1</v>
      </c>
      <c r="I12" s="851"/>
      <c r="J12" s="848"/>
      <c r="K12" s="848"/>
      <c r="L12" s="848"/>
      <c r="M12" s="848"/>
    </row>
    <row r="13" spans="1:21" s="274" customFormat="1">
      <c r="B13" s="697" t="str">
        <f>'H2 matriz'!$CH$3</f>
        <v>INDGH2C03</v>
      </c>
      <c r="C13" s="697" t="str">
        <f>'H2 matriz'!$CH$2</f>
        <v>Fuel Tech - H2 Delivery from centralized production (USTOR+T20+RTS)</v>
      </c>
      <c r="D13" s="16" t="s">
        <v>663</v>
      </c>
      <c r="E13" s="697"/>
      <c r="F13" s="822"/>
      <c r="G13" s="825">
        <f>'H2 matriz'!DV$20</f>
        <v>7.1637322688716226E-2</v>
      </c>
      <c r="H13" s="823"/>
      <c r="I13" s="876">
        <f>IF(D13="SYNH2UG",1,0.98)</f>
        <v>1</v>
      </c>
      <c r="J13" s="402">
        <f>SUMIF('H2 matriz'!$3:$3,$B13,'H2 matriz'!$59:$59)</f>
        <v>6.3833769947336485</v>
      </c>
      <c r="K13" s="402">
        <f>SUMIF('H2 matriz'!$3:$3,$B13,'H2 matriz'!$60:$60)</f>
        <v>6.3833769947336485</v>
      </c>
      <c r="L13" s="402">
        <f>SUMIF('H2 matriz'!$3:$3,$B13,'H2 matriz'!$61:$61)</f>
        <v>6.3833769947336485</v>
      </c>
      <c r="M13" s="402">
        <f>SUMIF('H2 matriz'!$3:$3,$B13,'H2 matriz'!$62:$62)</f>
        <v>0.11368499126010743</v>
      </c>
      <c r="N13" s="826"/>
      <c r="O13" s="826"/>
      <c r="P13" s="826"/>
      <c r="Q13" s="826"/>
      <c r="R13" s="826"/>
      <c r="S13" s="827">
        <v>50</v>
      </c>
      <c r="T13" s="827">
        <f>'INPUT-Data(HD)'!V169</f>
        <v>0</v>
      </c>
      <c r="U13" s="828">
        <v>1</v>
      </c>
    </row>
    <row r="14" spans="1:21" s="274" customFormat="1">
      <c r="B14" s="697"/>
      <c r="C14" s="697"/>
      <c r="D14" s="697" t="s">
        <v>621</v>
      </c>
      <c r="E14" s="697"/>
      <c r="F14" s="697"/>
      <c r="G14" s="825">
        <f>'H2 matriz'!DZ$20</f>
        <v>0.92836267731128375</v>
      </c>
      <c r="H14" s="823"/>
      <c r="I14" s="824"/>
      <c r="J14" s="826"/>
      <c r="K14" s="823"/>
      <c r="L14" s="823"/>
      <c r="M14" s="823"/>
      <c r="N14" s="826"/>
      <c r="O14" s="826"/>
      <c r="P14" s="826"/>
      <c r="Q14" s="826"/>
      <c r="R14" s="826"/>
      <c r="S14" s="827"/>
      <c r="T14" s="827"/>
      <c r="U14" s="822"/>
    </row>
    <row r="15" spans="1:21" s="274" customFormat="1">
      <c r="B15" s="697"/>
      <c r="C15" s="697"/>
      <c r="D15" s="697" t="s">
        <v>339</v>
      </c>
      <c r="E15" s="697"/>
      <c r="F15" s="697"/>
      <c r="G15" s="825">
        <f>'H2 matriz'!DX$20</f>
        <v>1.4274418604651165E-2</v>
      </c>
      <c r="H15" s="823"/>
      <c r="I15" s="824"/>
      <c r="J15" s="826"/>
      <c r="K15" s="823"/>
      <c r="L15" s="823"/>
      <c r="M15" s="823"/>
      <c r="N15" s="826"/>
      <c r="O15" s="826"/>
      <c r="P15" s="826"/>
      <c r="Q15" s="826"/>
      <c r="R15" s="826"/>
      <c r="S15" s="827"/>
      <c r="T15" s="827"/>
      <c r="U15" s="822"/>
    </row>
    <row r="16" spans="1:21" s="274" customFormat="1">
      <c r="B16" s="687"/>
      <c r="C16" s="687"/>
      <c r="D16" s="697"/>
      <c r="E16" s="687"/>
      <c r="F16" s="687" t="s">
        <v>625</v>
      </c>
      <c r="G16" s="825"/>
      <c r="H16" s="823">
        <v>1</v>
      </c>
      <c r="I16" s="829"/>
      <c r="J16" s="826"/>
      <c r="K16" s="823"/>
      <c r="L16" s="823"/>
      <c r="M16" s="823"/>
      <c r="N16" s="830"/>
      <c r="O16" s="830"/>
      <c r="P16" s="830"/>
      <c r="Q16" s="830"/>
      <c r="R16" s="830"/>
      <c r="S16" s="832"/>
      <c r="T16" s="832"/>
      <c r="U16" s="833"/>
    </row>
    <row r="17" spans="2:21" s="836" customFormat="1">
      <c r="B17" s="836" t="str">
        <f>'H2 matriz'!$CI$3</f>
        <v>INDGH2C04</v>
      </c>
      <c r="C17" s="836" t="str">
        <f>'H2 matriz'!$CI$2</f>
        <v>Fuel Tech - H2 Delivery from centralized production (USTOR+T10+RTS)</v>
      </c>
      <c r="D17" s="837" t="s">
        <v>663</v>
      </c>
      <c r="E17" s="838"/>
      <c r="G17" s="881">
        <f>'H2 matriz'!DV$19</f>
        <v>3.315846778184698E-2</v>
      </c>
      <c r="H17" s="839"/>
      <c r="I17" s="876">
        <f>IF(D17="SYNH2UG",1,0.98)</f>
        <v>1</v>
      </c>
      <c r="J17" s="846">
        <f>SUMIF('H2 matriz'!$3:$3,$B17,'H2 matriz'!$59:$59)</f>
        <v>6.3833769947336485</v>
      </c>
      <c r="K17" s="846">
        <f>SUMIF('H2 matriz'!$3:$3,$B17,'H2 matriz'!$60:$60)</f>
        <v>6.3833769947336485</v>
      </c>
      <c r="L17" s="846">
        <f>SUMIF('H2 matriz'!$3:$3,$B17,'H2 matriz'!$61:$61)</f>
        <v>6.3833769947336485</v>
      </c>
      <c r="M17" s="846">
        <f>SUMIF('H2 matriz'!$3:$3,$B17,'H2 matriz'!$62:$62)</f>
        <v>0.10617609055768176</v>
      </c>
      <c r="S17" s="836">
        <v>50</v>
      </c>
      <c r="T17" s="836">
        <f>'INPUT-Data(HD)'!V172</f>
        <v>0</v>
      </c>
      <c r="U17" s="836">
        <v>1</v>
      </c>
    </row>
    <row r="18" spans="2:21" s="840" customFormat="1">
      <c r="D18" s="841" t="s">
        <v>621</v>
      </c>
      <c r="E18" s="841"/>
      <c r="F18" s="841"/>
      <c r="G18" s="882">
        <f>'H2 matriz'!DZ$19</f>
        <v>0.96684153221815305</v>
      </c>
      <c r="H18" s="842"/>
      <c r="I18" s="850"/>
    </row>
    <row r="19" spans="2:21" s="840" customFormat="1">
      <c r="D19" s="841" t="s">
        <v>339</v>
      </c>
      <c r="E19" s="841"/>
      <c r="F19" s="841"/>
      <c r="G19" s="882">
        <f>'H2 matriz'!DX$19</f>
        <v>1.1933720930232559E-2</v>
      </c>
      <c r="H19" s="842"/>
      <c r="I19" s="850"/>
    </row>
    <row r="20" spans="2:21" s="843" customFormat="1">
      <c r="D20" s="844"/>
      <c r="E20" s="844"/>
      <c r="F20" s="844" t="s">
        <v>645</v>
      </c>
      <c r="G20" s="883"/>
      <c r="H20" s="845">
        <v>1</v>
      </c>
      <c r="I20" s="851"/>
    </row>
    <row r="21" spans="2:21" s="274" customFormat="1">
      <c r="B21" s="274" t="str">
        <f>'H2 matriz'!$CJ$3</f>
        <v>INDGH2C05</v>
      </c>
      <c r="C21" s="274" t="str">
        <f>'H2 matriz'!$CJ$2</f>
        <v>Fuel Tech - H2 Delivery from centralized production (USTOR+T6+RTS)</v>
      </c>
      <c r="D21" s="16" t="s">
        <v>663</v>
      </c>
      <c r="E21" s="697"/>
      <c r="F21" s="822"/>
      <c r="G21" s="825">
        <f>'H2 matriz'!DV$18</f>
        <v>1.9321101975686809E-2</v>
      </c>
      <c r="H21" s="823"/>
      <c r="I21" s="876">
        <f>IF(D21="SYNH2UG",1,0.98)</f>
        <v>1</v>
      </c>
      <c r="J21" s="402">
        <f>SUMIF('H2 matriz'!$3:$3,$B21,'H2 matriz'!$59:$59)</f>
        <v>3.4315793522776676</v>
      </c>
      <c r="K21" s="402">
        <f>SUMIF('H2 matriz'!$3:$3,$B21,'H2 matriz'!$60:$60)</f>
        <v>3.4315793522776676</v>
      </c>
      <c r="L21" s="402">
        <f>SUMIF('H2 matriz'!$3:$3,$B21,'H2 matriz'!$61:$61)</f>
        <v>3.4315793522776676</v>
      </c>
      <c r="M21" s="402">
        <f>SUMIF('H2 matriz'!$3:$3,$B21,'H2 matriz'!$62:$62)</f>
        <v>8.9640096114635054E-2</v>
      </c>
      <c r="S21" s="274">
        <v>50</v>
      </c>
      <c r="T21" s="274">
        <f>'INPUT-Data(HD)'!V178</f>
        <v>0</v>
      </c>
      <c r="U21" s="274">
        <v>1</v>
      </c>
    </row>
    <row r="22" spans="2:21" s="274" customFormat="1">
      <c r="D22" s="697" t="s">
        <v>621</v>
      </c>
      <c r="E22" s="697"/>
      <c r="F22" s="697"/>
      <c r="G22" s="825">
        <f>'H2 matriz'!DZ$18</f>
        <v>0.98067889802431318</v>
      </c>
      <c r="H22" s="823"/>
      <c r="I22" s="852"/>
      <c r="J22" s="826"/>
      <c r="K22" s="823"/>
      <c r="L22" s="823"/>
      <c r="M22" s="823"/>
    </row>
    <row r="23" spans="2:21" s="274" customFormat="1">
      <c r="D23" s="697" t="s">
        <v>339</v>
      </c>
      <c r="E23" s="697"/>
      <c r="F23" s="697"/>
      <c r="G23" s="825">
        <f>'H2 matriz'!DX$18</f>
        <v>1.0997441860465116E-2</v>
      </c>
      <c r="H23" s="823"/>
      <c r="I23" s="852"/>
      <c r="J23" s="826"/>
      <c r="K23" s="823"/>
      <c r="L23" s="823"/>
      <c r="M23" s="823"/>
    </row>
    <row r="24" spans="2:21" s="274" customFormat="1">
      <c r="D24" s="687"/>
      <c r="E24" s="687"/>
      <c r="F24" s="687" t="s">
        <v>640</v>
      </c>
      <c r="G24" s="825"/>
      <c r="H24" s="823">
        <v>1</v>
      </c>
      <c r="I24" s="852"/>
      <c r="J24" s="826"/>
      <c r="K24" s="823"/>
      <c r="L24" s="823"/>
      <c r="M24" s="823"/>
    </row>
    <row r="25" spans="2:21" s="836" customFormat="1">
      <c r="B25" s="836" t="str">
        <f>'H2 matriz'!$CK$3</f>
        <v>INDGH2C06</v>
      </c>
      <c r="C25" s="836" t="str">
        <f>'H2 matriz'!$CK$2</f>
        <v>Fuel Tech - H2 Delivery from centralized production (COMP+T100+RTS)</v>
      </c>
      <c r="D25" s="888" t="s">
        <v>233</v>
      </c>
      <c r="E25" s="889"/>
      <c r="F25" s="887"/>
      <c r="G25" s="890">
        <f>G10</f>
        <v>1</v>
      </c>
      <c r="H25" s="839"/>
      <c r="I25" s="876">
        <f>IF(D25="SYNH2UG",1,0.98)</f>
        <v>0.98</v>
      </c>
      <c r="J25" s="846">
        <f>SUMIF('H2 matriz'!$3:$3,$B25,'H2 matriz'!$59:$59)</f>
        <v>3.8389499393689808</v>
      </c>
      <c r="K25" s="846">
        <f>SUMIF('H2 matriz'!$3:$3,$B25,'H2 matriz'!$60:$60)</f>
        <v>3.8389499393689808</v>
      </c>
      <c r="L25" s="846">
        <f>SUMIF('H2 matriz'!$3:$3,$B25,'H2 matriz'!$61:$61)</f>
        <v>3.8389499393689808</v>
      </c>
      <c r="M25" s="846">
        <f>SUMIF('H2 matriz'!$3:$3,$B25,'H2 matriz'!$62:$62)</f>
        <v>7.8125393100647506E-2</v>
      </c>
      <c r="S25" s="836">
        <v>50</v>
      </c>
      <c r="T25" s="836">
        <f>'INPUT-Data(HD)'!V181</f>
        <v>0</v>
      </c>
      <c r="U25" s="836">
        <v>1</v>
      </c>
    </row>
    <row r="26" spans="2:21" s="840" customFormat="1">
      <c r="D26" s="841" t="s">
        <v>339</v>
      </c>
      <c r="E26" s="841"/>
      <c r="F26" s="841"/>
      <c r="G26" s="882">
        <f>G11</f>
        <v>3.3000000000000002E-2</v>
      </c>
      <c r="H26" s="842"/>
      <c r="I26" s="850"/>
      <c r="J26" s="847"/>
      <c r="K26" s="847"/>
      <c r="L26" s="847"/>
      <c r="M26" s="847"/>
    </row>
    <row r="27" spans="2:21" s="843" customFormat="1">
      <c r="D27" s="844"/>
      <c r="E27" s="844"/>
      <c r="F27" s="844" t="s">
        <v>367</v>
      </c>
      <c r="G27" s="883"/>
      <c r="H27" s="845">
        <v>1</v>
      </c>
      <c r="I27" s="851"/>
      <c r="J27" s="848"/>
      <c r="K27" s="848"/>
      <c r="L27" s="848"/>
      <c r="M27" s="848"/>
    </row>
    <row r="28" spans="2:21" s="274" customFormat="1">
      <c r="B28" s="697" t="str">
        <f>'H2 matriz'!$CL$3</f>
        <v>INDGH2C07</v>
      </c>
      <c r="C28" s="697" t="str">
        <f>'H2 matriz'!$CL$2</f>
        <v>Fuel Tech - H2 Delivery from centralized production (COMP+T20+RTS)</v>
      </c>
      <c r="D28" s="16" t="s">
        <v>233</v>
      </c>
      <c r="E28" s="697"/>
      <c r="F28" s="822"/>
      <c r="G28" s="825">
        <f>G13</f>
        <v>7.1637322688716226E-2</v>
      </c>
      <c r="H28" s="823"/>
      <c r="I28" s="876">
        <f>IF(D28="SYNH2UG",1,0.98)</f>
        <v>0.98</v>
      </c>
      <c r="J28" s="402">
        <f>SUMIF('H2 matriz'!$3:$3,$B28,'H2 matriz'!$59:$59)</f>
        <v>2.9517976424559813</v>
      </c>
      <c r="K28" s="402">
        <f>SUMIF('H2 matriz'!$3:$3,$B28,'H2 matriz'!$60:$60)</f>
        <v>2.9517976424559813</v>
      </c>
      <c r="L28" s="402">
        <f>SUMIF('H2 matriz'!$3:$3,$B28,'H2 matriz'!$61:$61)</f>
        <v>2.9517976424559813</v>
      </c>
      <c r="M28" s="402">
        <f>SUMIF('H2 matriz'!$3:$3,$B28,'H2 matriz'!$62:$62)</f>
        <v>4.5053404214554074E-2</v>
      </c>
      <c r="N28" s="826"/>
      <c r="O28" s="826"/>
      <c r="P28" s="826"/>
      <c r="Q28" s="826"/>
      <c r="R28" s="826"/>
      <c r="S28" s="827">
        <v>50</v>
      </c>
      <c r="T28" s="827">
        <f>'INPUT-Data(HD)'!V184</f>
        <v>0</v>
      </c>
      <c r="U28" s="828">
        <v>1</v>
      </c>
    </row>
    <row r="29" spans="2:21" s="274" customFormat="1">
      <c r="B29" s="697"/>
      <c r="C29" s="697"/>
      <c r="D29" s="697" t="s">
        <v>621</v>
      </c>
      <c r="E29" s="697"/>
      <c r="F29" s="697"/>
      <c r="G29" s="825">
        <f>G14</f>
        <v>0.92836267731128375</v>
      </c>
      <c r="H29" s="823"/>
      <c r="I29" s="824"/>
      <c r="J29" s="826"/>
      <c r="K29" s="823"/>
      <c r="L29" s="823"/>
      <c r="M29" s="823"/>
      <c r="N29" s="826"/>
      <c r="O29" s="826"/>
      <c r="P29" s="826"/>
      <c r="Q29" s="826"/>
      <c r="R29" s="826"/>
      <c r="S29" s="827"/>
      <c r="T29" s="827"/>
      <c r="U29" s="822"/>
    </row>
    <row r="30" spans="2:21" s="274" customFormat="1">
      <c r="B30" s="697"/>
      <c r="C30" s="697"/>
      <c r="D30" s="697" t="s">
        <v>339</v>
      </c>
      <c r="E30" s="697"/>
      <c r="F30" s="697"/>
      <c r="G30" s="825">
        <f>G15</f>
        <v>1.4274418604651165E-2</v>
      </c>
      <c r="H30" s="823"/>
      <c r="I30" s="824"/>
      <c r="J30" s="826"/>
      <c r="K30" s="823"/>
      <c r="L30" s="823"/>
      <c r="M30" s="823"/>
      <c r="N30" s="826"/>
      <c r="O30" s="826"/>
      <c r="P30" s="826"/>
      <c r="Q30" s="826"/>
      <c r="R30" s="826"/>
      <c r="S30" s="827"/>
      <c r="T30" s="827"/>
      <c r="U30" s="822"/>
    </row>
    <row r="31" spans="2:21" s="274" customFormat="1">
      <c r="B31" s="697"/>
      <c r="C31" s="697"/>
      <c r="D31" s="697"/>
      <c r="E31" s="697"/>
      <c r="F31" s="697" t="s">
        <v>625</v>
      </c>
      <c r="G31" s="825"/>
      <c r="H31" s="823">
        <v>1</v>
      </c>
      <c r="I31" s="824"/>
      <c r="J31" s="826"/>
      <c r="K31" s="823"/>
      <c r="L31" s="823"/>
      <c r="M31" s="823"/>
      <c r="N31" s="826"/>
      <c r="O31" s="826"/>
      <c r="P31" s="826"/>
      <c r="Q31" s="826"/>
      <c r="R31" s="826"/>
      <c r="S31" s="827"/>
      <c r="T31" s="827"/>
      <c r="U31" s="822"/>
    </row>
    <row r="32" spans="2:21" s="836" customFormat="1">
      <c r="B32" s="836" t="str">
        <f>'H2 matriz'!$CM$3</f>
        <v>INDGH2C08</v>
      </c>
      <c r="C32" s="836" t="str">
        <f>'H2 matriz'!$CM$2</f>
        <v>Fuel Tech - H2 Delivery from centralized production (COMP+T10+RTS)</v>
      </c>
      <c r="D32" s="837" t="s">
        <v>233</v>
      </c>
      <c r="E32" s="838"/>
      <c r="G32" s="881">
        <f>G17</f>
        <v>3.315846778184698E-2</v>
      </c>
      <c r="H32" s="839"/>
      <c r="I32" s="876">
        <f>IF(D32="SYNH2UG",1,0.98)</f>
        <v>0.98</v>
      </c>
      <c r="J32" s="846">
        <f>SUMIF('H2 matriz'!$3:$3,$B32,'H2 matriz'!$59:$59)</f>
        <v>2.9517976424559813</v>
      </c>
      <c r="K32" s="846">
        <f>SUMIF('H2 matriz'!$3:$3,$B32,'H2 matriz'!$60:$60)</f>
        <v>2.9517976424559813</v>
      </c>
      <c r="L32" s="846">
        <f>SUMIF('H2 matriz'!$3:$3,$B32,'H2 matriz'!$61:$61)</f>
        <v>2.9517976424559813</v>
      </c>
      <c r="M32" s="846">
        <f>SUMIF('H2 matriz'!$3:$3,$B32,'H2 matriz'!$62:$62)</f>
        <v>3.7544503512128402E-2</v>
      </c>
      <c r="S32" s="836">
        <v>50</v>
      </c>
      <c r="T32" s="836">
        <f>'INPUT-Data(HD)'!V187</f>
        <v>0</v>
      </c>
      <c r="U32" s="836">
        <v>1</v>
      </c>
    </row>
    <row r="33" spans="2:21" s="840" customFormat="1">
      <c r="D33" s="841" t="s">
        <v>621</v>
      </c>
      <c r="E33" s="841"/>
      <c r="F33" s="841"/>
      <c r="G33" s="882">
        <f>G18</f>
        <v>0.96684153221815305</v>
      </c>
      <c r="H33" s="842"/>
      <c r="I33" s="850"/>
    </row>
    <row r="34" spans="2:21" s="840" customFormat="1">
      <c r="D34" s="841" t="s">
        <v>339</v>
      </c>
      <c r="E34" s="841"/>
      <c r="F34" s="841"/>
      <c r="G34" s="882">
        <f>G19</f>
        <v>1.1933720930232559E-2</v>
      </c>
      <c r="H34" s="842"/>
      <c r="I34" s="850"/>
    </row>
    <row r="35" spans="2:21" s="843" customFormat="1">
      <c r="D35" s="844"/>
      <c r="E35" s="844"/>
      <c r="F35" s="844" t="s">
        <v>645</v>
      </c>
      <c r="G35" s="883"/>
      <c r="H35" s="845">
        <v>1</v>
      </c>
      <c r="I35" s="851"/>
    </row>
    <row r="36" spans="2:21" s="274" customFormat="1">
      <c r="B36" s="697" t="str">
        <f>'H2 matriz'!$CN$3</f>
        <v>INDGH2C09</v>
      </c>
      <c r="C36" s="697" t="str">
        <f>'H2 matriz'!$CN$2</f>
        <v>Fuel Tech - H2 Delivery from centralized production (COMP+T6+RTS)</v>
      </c>
      <c r="D36" s="16" t="s">
        <v>233</v>
      </c>
      <c r="E36" s="697"/>
      <c r="F36" s="822"/>
      <c r="G36" s="825">
        <f>G21</f>
        <v>1.9321101975686809E-2</v>
      </c>
      <c r="H36" s="823"/>
      <c r="I36" s="876">
        <f>IF(D36="SYNH2UG",1,0.98)</f>
        <v>0.98</v>
      </c>
      <c r="J36" s="402">
        <f>SUMIF('H2 matriz'!$3:$3,$B36,'H2 matriz'!$59:$59)</f>
        <v>0</v>
      </c>
      <c r="K36" s="402">
        <f>SUMIF('H2 matriz'!$3:$3,$B36,'H2 matriz'!$60:$60)</f>
        <v>0</v>
      </c>
      <c r="L36" s="402">
        <f>SUMIF('H2 matriz'!$3:$3,$B36,'H2 matriz'!$61:$61)</f>
        <v>0</v>
      </c>
      <c r="M36" s="402">
        <f>SUMIF('H2 matriz'!$3:$3,$B36,'H2 matriz'!$62:$62)</f>
        <v>2.1008509069081686E-2</v>
      </c>
      <c r="N36" s="826"/>
      <c r="O36" s="826"/>
      <c r="P36" s="826"/>
      <c r="Q36" s="826"/>
      <c r="R36" s="826"/>
      <c r="S36" s="827">
        <v>50</v>
      </c>
      <c r="T36" s="827">
        <f>'INPUT-Data(HD)'!V190</f>
        <v>0</v>
      </c>
      <c r="U36" s="828">
        <v>1</v>
      </c>
    </row>
    <row r="37" spans="2:21" s="274" customFormat="1">
      <c r="B37" s="697"/>
      <c r="C37" s="697"/>
      <c r="D37" s="697" t="s">
        <v>621</v>
      </c>
      <c r="E37" s="697"/>
      <c r="F37" s="697"/>
      <c r="G37" s="825">
        <f>G22</f>
        <v>0.98067889802431318</v>
      </c>
      <c r="H37" s="823"/>
      <c r="I37" s="824"/>
      <c r="J37" s="826"/>
      <c r="K37" s="823"/>
      <c r="L37" s="823"/>
      <c r="M37" s="823"/>
      <c r="N37" s="826"/>
      <c r="O37" s="826"/>
      <c r="P37" s="826"/>
      <c r="Q37" s="826"/>
      <c r="R37" s="826"/>
      <c r="S37" s="827"/>
      <c r="T37" s="827"/>
      <c r="U37" s="822"/>
    </row>
    <row r="38" spans="2:21" s="274" customFormat="1">
      <c r="B38" s="697"/>
      <c r="C38" s="697"/>
      <c r="D38" s="697" t="s">
        <v>339</v>
      </c>
      <c r="E38" s="697"/>
      <c r="F38" s="697"/>
      <c r="G38" s="825">
        <f>G23</f>
        <v>1.0997441860465116E-2</v>
      </c>
      <c r="H38" s="823"/>
      <c r="I38" s="824"/>
      <c r="J38" s="826"/>
      <c r="K38" s="823"/>
      <c r="L38" s="823"/>
      <c r="M38" s="823"/>
      <c r="N38" s="826"/>
      <c r="O38" s="826"/>
      <c r="P38" s="826"/>
      <c r="Q38" s="826"/>
      <c r="R38" s="826"/>
      <c r="S38" s="827"/>
      <c r="T38" s="827"/>
      <c r="U38" s="822"/>
    </row>
    <row r="39" spans="2:21" s="274" customFormat="1">
      <c r="B39" s="687"/>
      <c r="C39" s="687"/>
      <c r="D39" s="687"/>
      <c r="E39" s="687"/>
      <c r="F39" s="687" t="s">
        <v>640</v>
      </c>
      <c r="G39" s="825"/>
      <c r="H39" s="823">
        <v>1</v>
      </c>
      <c r="I39" s="829"/>
      <c r="J39" s="826"/>
      <c r="K39" s="823"/>
      <c r="L39" s="823"/>
      <c r="M39" s="823"/>
      <c r="N39" s="830"/>
      <c r="O39" s="830"/>
      <c r="P39" s="830"/>
      <c r="Q39" s="830"/>
      <c r="R39" s="830"/>
      <c r="S39" s="832"/>
      <c r="T39" s="832"/>
      <c r="U39" s="833"/>
    </row>
    <row r="40" spans="2:21" s="836" customFormat="1">
      <c r="B40" s="836" t="str">
        <f>'H2 matriz'!$CO$3</f>
        <v>INDGH2C10</v>
      </c>
      <c r="C40" s="836" t="str">
        <f>'H2 matriz'!$CO$2</f>
        <v>Fuel Tech - H2 Delivery from centralized production (CRY+T100+RTS)</v>
      </c>
      <c r="D40" s="944" t="s">
        <v>966</v>
      </c>
      <c r="E40" s="889"/>
      <c r="F40" s="887"/>
      <c r="G40" s="890">
        <f>G25</f>
        <v>1</v>
      </c>
      <c r="H40" s="839"/>
      <c r="I40" s="876">
        <f>IF(D40="SYNH2UG",1,0.98)</f>
        <v>0.98</v>
      </c>
      <c r="J40" s="846">
        <f>SUMIF('H2 matriz'!$3:$3,$B40,'H2 matriz'!$59:$59)</f>
        <v>5.1577259077493318</v>
      </c>
      <c r="K40" s="846">
        <f>SUMIF('H2 matriz'!$3:$3,$B40,'H2 matriz'!$60:$60)</f>
        <v>5.1577259077493318</v>
      </c>
      <c r="L40" s="846">
        <f>SUMIF('H2 matriz'!$3:$3,$B40,'H2 matriz'!$61:$61)</f>
        <v>5.1577259077493318</v>
      </c>
      <c r="M40" s="846">
        <f>SUMIF('H2 matriz'!$3:$3,$B40,'H2 matriz'!$62:$62)</f>
        <v>0.10947221454801292</v>
      </c>
      <c r="S40" s="836">
        <v>50</v>
      </c>
      <c r="T40" s="836">
        <f>'INPUT-Data(HD)'!V193</f>
        <v>0</v>
      </c>
      <c r="U40" s="836">
        <v>1</v>
      </c>
    </row>
    <row r="41" spans="2:21" s="840" customFormat="1">
      <c r="D41" s="841" t="s">
        <v>339</v>
      </c>
      <c r="E41" s="841"/>
      <c r="F41" s="841"/>
      <c r="G41" s="882">
        <f>G26</f>
        <v>3.3000000000000002E-2</v>
      </c>
      <c r="H41" s="842"/>
      <c r="I41" s="850"/>
      <c r="J41" s="847"/>
      <c r="K41" s="847"/>
      <c r="L41" s="847"/>
      <c r="M41" s="847"/>
    </row>
    <row r="42" spans="2:21" s="843" customFormat="1">
      <c r="D42" s="844"/>
      <c r="E42" s="844"/>
      <c r="F42" s="844" t="s">
        <v>367</v>
      </c>
      <c r="G42" s="883"/>
      <c r="H42" s="845">
        <v>1</v>
      </c>
      <c r="I42" s="851"/>
      <c r="J42" s="848"/>
      <c r="K42" s="848"/>
      <c r="L42" s="848"/>
      <c r="M42" s="848"/>
    </row>
    <row r="43" spans="2:21" s="274" customFormat="1">
      <c r="B43" s="274" t="str">
        <f>'H2 matriz'!$CP$3</f>
        <v>INDGH2C11</v>
      </c>
      <c r="C43" s="274" t="str">
        <f>'H2 matriz'!$CP$2</f>
        <v>Fuel Tech - H2 Delivery from centralized production (CRY+T20+RTS)</v>
      </c>
      <c r="D43" s="944" t="s">
        <v>966</v>
      </c>
      <c r="E43" s="697"/>
      <c r="F43" s="822"/>
      <c r="G43" s="825">
        <f>G28</f>
        <v>7.1637322688716226E-2</v>
      </c>
      <c r="H43" s="823"/>
      <c r="I43" s="876">
        <f>IF(D43="SYNH2UG",1,0.98)</f>
        <v>0.98</v>
      </c>
      <c r="J43" s="402">
        <f>SUMIF('H2 matriz'!$3:$3,$B43,'H2 matriz'!$59:$59)</f>
        <v>4.4604497319382155</v>
      </c>
      <c r="K43" s="402">
        <f>SUMIF('H2 matriz'!$3:$3,$B43,'H2 matriz'!$60:$60)</f>
        <v>4.4604497319382155</v>
      </c>
      <c r="L43" s="402">
        <f>SUMIF('H2 matriz'!$3:$3,$B43,'H2 matriz'!$61:$61)</f>
        <v>4.4604497319382155</v>
      </c>
      <c r="M43" s="402">
        <f>SUMIF('H2 matriz'!$3:$3,$B43,'H2 matriz'!$62:$62)</f>
        <v>9.0312966899021102E-2</v>
      </c>
      <c r="S43" s="274">
        <v>50</v>
      </c>
      <c r="T43" s="274">
        <f>'INPUT-Data(HD)'!V196</f>
        <v>0</v>
      </c>
      <c r="U43" s="274">
        <v>1</v>
      </c>
    </row>
    <row r="44" spans="2:21" s="274" customFormat="1">
      <c r="D44" s="697" t="s">
        <v>621</v>
      </c>
      <c r="E44" s="697"/>
      <c r="F44" s="697"/>
      <c r="G44" s="825">
        <f>G29</f>
        <v>0.92836267731128375</v>
      </c>
      <c r="H44" s="823"/>
      <c r="I44" s="852"/>
      <c r="J44" s="826"/>
      <c r="K44" s="823"/>
      <c r="L44" s="823"/>
      <c r="M44" s="823"/>
    </row>
    <row r="45" spans="2:21" s="274" customFormat="1">
      <c r="D45" s="697" t="s">
        <v>339</v>
      </c>
      <c r="E45" s="697"/>
      <c r="F45" s="697"/>
      <c r="G45" s="825">
        <f>G30</f>
        <v>1.4274418604651165E-2</v>
      </c>
      <c r="H45" s="823"/>
      <c r="I45" s="852"/>
      <c r="J45" s="826"/>
      <c r="K45" s="823"/>
      <c r="L45" s="823"/>
      <c r="M45" s="823"/>
    </row>
    <row r="46" spans="2:21" s="274" customFormat="1">
      <c r="D46" s="687"/>
      <c r="E46" s="687"/>
      <c r="F46" s="687" t="s">
        <v>625</v>
      </c>
      <c r="G46" s="825"/>
      <c r="H46" s="823">
        <v>1</v>
      </c>
      <c r="I46" s="852"/>
      <c r="J46" s="826"/>
      <c r="K46" s="823"/>
      <c r="L46" s="823"/>
      <c r="M46" s="823"/>
    </row>
    <row r="47" spans="2:21" s="836" customFormat="1">
      <c r="B47" s="836" t="str">
        <f>'H2 matriz'!$CQ$3</f>
        <v>INDGH2C12</v>
      </c>
      <c r="C47" s="836" t="str">
        <f>'H2 matriz'!$CQ$2</f>
        <v>Fuel Tech - H2 Delivery from centralized production (CRY+T10+RTS)</v>
      </c>
      <c r="D47" s="944" t="s">
        <v>966</v>
      </c>
      <c r="E47" s="838"/>
      <c r="G47" s="881">
        <f>G32</f>
        <v>3.315846778184698E-2</v>
      </c>
      <c r="H47" s="839"/>
      <c r="I47" s="876">
        <f>IF(D47="SYNH2UG",1,0.98)</f>
        <v>0.98</v>
      </c>
      <c r="J47" s="846">
        <f>SUMIF('H2 matriz'!$3:$3,$B47,'H2 matriz'!$59:$59)</f>
        <v>4.4604497319382155</v>
      </c>
      <c r="K47" s="846">
        <f>SUMIF('H2 matriz'!$3:$3,$B47,'H2 matriz'!$60:$60)</f>
        <v>4.4604497319382155</v>
      </c>
      <c r="L47" s="846">
        <f>SUMIF('H2 matriz'!$3:$3,$B47,'H2 matriz'!$61:$61)</f>
        <v>4.4604497319382155</v>
      </c>
      <c r="M47" s="846">
        <f>SUMIF('H2 matriz'!$3:$3,$B47,'H2 matriz'!$62:$62)</f>
        <v>8.5962914393108575E-2</v>
      </c>
      <c r="S47" s="836">
        <v>50</v>
      </c>
      <c r="T47" s="836">
        <f>'INPUT-Data(HD)'!V199</f>
        <v>0</v>
      </c>
      <c r="U47" s="836">
        <v>1</v>
      </c>
    </row>
    <row r="48" spans="2:21" s="840" customFormat="1">
      <c r="D48" s="841" t="s">
        <v>621</v>
      </c>
      <c r="E48" s="841"/>
      <c r="F48" s="841"/>
      <c r="G48" s="882">
        <f>G33</f>
        <v>0.96684153221815305</v>
      </c>
      <c r="H48" s="842"/>
      <c r="I48" s="850"/>
    </row>
    <row r="49" spans="2:21" s="840" customFormat="1">
      <c r="D49" s="841" t="s">
        <v>339</v>
      </c>
      <c r="E49" s="841"/>
      <c r="F49" s="841"/>
      <c r="G49" s="882">
        <f>G34</f>
        <v>1.1933720930232559E-2</v>
      </c>
      <c r="H49" s="842"/>
      <c r="I49" s="850"/>
    </row>
    <row r="50" spans="2:21" s="843" customFormat="1">
      <c r="D50" s="844"/>
      <c r="E50" s="844"/>
      <c r="F50" s="844" t="s">
        <v>645</v>
      </c>
      <c r="G50" s="883"/>
      <c r="H50" s="845">
        <v>1</v>
      </c>
      <c r="I50" s="851"/>
    </row>
    <row r="51" spans="2:21" s="274" customFormat="1">
      <c r="B51" s="697" t="str">
        <f>'H2 matriz'!$CR$3</f>
        <v>INDGH2C13</v>
      </c>
      <c r="C51" s="697" t="str">
        <f>'H2 matriz'!$CR$2</f>
        <v>Fuel Tech - H2 Delivery from centralized production (CRY+T6+RTS)</v>
      </c>
      <c r="D51" s="944" t="s">
        <v>966</v>
      </c>
      <c r="E51" s="697"/>
      <c r="F51" s="822"/>
      <c r="G51" s="825">
        <f>G36</f>
        <v>1.9321101975686809E-2</v>
      </c>
      <c r="H51" s="823"/>
      <c r="I51" s="876">
        <f>IF(D51="SYNH2UG",1,0.98)</f>
        <v>0.98</v>
      </c>
      <c r="J51" s="402">
        <f>SUMIF('H2 matriz'!$3:$3,$B51,'H2 matriz'!$59:$59)</f>
        <v>2.140421728784863</v>
      </c>
      <c r="K51" s="402">
        <f>SUMIF('H2 matriz'!$3:$3,$B51,'H2 matriz'!$60:$60)</f>
        <v>2.140421728784863</v>
      </c>
      <c r="L51" s="402">
        <f>SUMIF('H2 matriz'!$3:$3,$B51,'H2 matriz'!$61:$61)</f>
        <v>2.140421728784863</v>
      </c>
      <c r="M51" s="402">
        <f>SUMIF('H2 matriz'!$3:$3,$B51,'H2 matriz'!$62:$62)</f>
        <v>7.6383290568612663E-2</v>
      </c>
      <c r="N51" s="826"/>
      <c r="O51" s="826"/>
      <c r="P51" s="826"/>
      <c r="Q51" s="826"/>
      <c r="R51" s="826"/>
      <c r="S51" s="827">
        <v>50</v>
      </c>
      <c r="T51" s="827">
        <f>'INPUT-Data(HD)'!V202</f>
        <v>0</v>
      </c>
      <c r="U51" s="828">
        <v>1</v>
      </c>
    </row>
    <row r="52" spans="2:21" s="274" customFormat="1">
      <c r="B52" s="697"/>
      <c r="C52" s="697"/>
      <c r="D52" s="697" t="s">
        <v>621</v>
      </c>
      <c r="E52" s="697"/>
      <c r="F52" s="697"/>
      <c r="G52" s="825">
        <f>G37</f>
        <v>0.98067889802431318</v>
      </c>
      <c r="H52" s="823"/>
      <c r="I52" s="824"/>
      <c r="J52" s="826"/>
      <c r="K52" s="823"/>
      <c r="L52" s="823"/>
      <c r="M52" s="823"/>
      <c r="N52" s="826"/>
      <c r="O52" s="826"/>
      <c r="P52" s="826"/>
      <c r="Q52" s="826"/>
      <c r="R52" s="826"/>
      <c r="S52" s="827"/>
      <c r="T52" s="827"/>
      <c r="U52" s="822"/>
    </row>
    <row r="53" spans="2:21" s="274" customFormat="1">
      <c r="B53" s="697"/>
      <c r="C53" s="697"/>
      <c r="D53" s="697" t="s">
        <v>339</v>
      </c>
      <c r="E53" s="697"/>
      <c r="F53" s="697"/>
      <c r="G53" s="825">
        <f>G38</f>
        <v>1.0997441860465116E-2</v>
      </c>
      <c r="H53" s="823"/>
      <c r="I53" s="824"/>
      <c r="J53" s="826"/>
      <c r="K53" s="823"/>
      <c r="L53" s="823"/>
      <c r="M53" s="823"/>
      <c r="N53" s="826"/>
      <c r="O53" s="826"/>
      <c r="P53" s="826"/>
      <c r="Q53" s="826"/>
      <c r="R53" s="826"/>
      <c r="S53" s="827"/>
      <c r="T53" s="827"/>
      <c r="U53" s="822"/>
    </row>
    <row r="54" spans="2:21" s="274" customFormat="1">
      <c r="B54" s="697"/>
      <c r="C54" s="697"/>
      <c r="D54" s="697"/>
      <c r="E54" s="697"/>
      <c r="F54" s="697" t="s">
        <v>640</v>
      </c>
      <c r="G54" s="825"/>
      <c r="H54" s="823">
        <v>1</v>
      </c>
      <c r="I54" s="824"/>
      <c r="J54" s="826"/>
      <c r="K54" s="823"/>
      <c r="L54" s="823"/>
      <c r="M54" s="823"/>
      <c r="N54" s="826"/>
      <c r="O54" s="826"/>
      <c r="P54" s="826"/>
      <c r="Q54" s="826"/>
      <c r="R54" s="826"/>
      <c r="S54" s="827"/>
      <c r="T54" s="827"/>
      <c r="U54" s="822"/>
    </row>
    <row r="55" spans="2:21" s="836" customFormat="1">
      <c r="B55" s="836" t="str">
        <f>'H2 matriz'!$CS$3</f>
        <v>INDGH2C14</v>
      </c>
      <c r="C55" s="836" t="str">
        <f>'H2 matriz'!$CS$2</f>
        <v>Fuel Tech - H2 Delivery from centralized production (NH3+T100+RTS)</v>
      </c>
      <c r="D55" s="888" t="s">
        <v>233</v>
      </c>
      <c r="E55" s="889"/>
      <c r="F55" s="887"/>
      <c r="G55" s="890">
        <f>G40</f>
        <v>1</v>
      </c>
      <c r="H55" s="839"/>
      <c r="I55" s="876">
        <f>IF(D55="SYNH2UG",1,0.98)</f>
        <v>0.98</v>
      </c>
      <c r="J55" s="846">
        <f>SUMIF('H2 matriz'!$3:$3,$B55,'H2 matriz'!$59:$59)</f>
        <v>3.8389499393689808</v>
      </c>
      <c r="K55" s="846">
        <f>SUMIF('H2 matriz'!$3:$3,$B55,'H2 matriz'!$60:$60)</f>
        <v>3.8389499393689808</v>
      </c>
      <c r="L55" s="846">
        <f>SUMIF('H2 matriz'!$3:$3,$B55,'H2 matriz'!$61:$61)</f>
        <v>3.8389499393689808</v>
      </c>
      <c r="M55" s="846">
        <f>SUMIF('H2 matriz'!$3:$3,$B55,'H2 matriz'!$62:$62)</f>
        <v>7.8125393100647506E-2</v>
      </c>
      <c r="S55" s="836">
        <v>50</v>
      </c>
      <c r="T55" s="836">
        <f>'INPUT-Data(HD)'!V205</f>
        <v>0</v>
      </c>
      <c r="U55" s="836">
        <v>1</v>
      </c>
    </row>
    <row r="56" spans="2:21" s="840" customFormat="1">
      <c r="D56" s="841" t="s">
        <v>339</v>
      </c>
      <c r="E56" s="841"/>
      <c r="F56" s="841"/>
      <c r="G56" s="882">
        <f t="shared" ref="G56" si="0">G41</f>
        <v>3.3000000000000002E-2</v>
      </c>
      <c r="H56" s="842"/>
      <c r="I56" s="850"/>
      <c r="J56" s="847"/>
      <c r="K56" s="847"/>
      <c r="L56" s="847"/>
      <c r="M56" s="847"/>
    </row>
    <row r="57" spans="2:21" s="843" customFormat="1">
      <c r="D57" s="844"/>
      <c r="E57" s="844"/>
      <c r="F57" s="844" t="s">
        <v>367</v>
      </c>
      <c r="G57" s="883"/>
      <c r="H57" s="845">
        <v>1</v>
      </c>
      <c r="I57" s="851"/>
      <c r="J57" s="848"/>
      <c r="K57" s="848"/>
      <c r="L57" s="848"/>
      <c r="M57" s="848"/>
    </row>
    <row r="58" spans="2:21" s="274" customFormat="1">
      <c r="B58" s="697" t="str">
        <f>'H2 matriz'!$CT$3</f>
        <v>INDGH2C15</v>
      </c>
      <c r="C58" s="697" t="str">
        <f>'H2 matriz'!$CT$2</f>
        <v>Fuel Tech - H2 Delivery from centralized production (NH3+T20+RTS)</v>
      </c>
      <c r="D58" s="16" t="s">
        <v>233</v>
      </c>
      <c r="E58" s="697"/>
      <c r="F58" s="822"/>
      <c r="G58" s="825">
        <f>G43</f>
        <v>7.1637322688716226E-2</v>
      </c>
      <c r="H58" s="823"/>
      <c r="I58" s="876">
        <f>IF(D58="SYNH2UG",1,0.98)</f>
        <v>0.98</v>
      </c>
      <c r="J58" s="402">
        <f>SUMIF('H2 matriz'!$3:$3,$B58,'H2 matriz'!$59:$59)</f>
        <v>2.9517976424559813</v>
      </c>
      <c r="K58" s="402">
        <f>SUMIF('H2 matriz'!$3:$3,$B58,'H2 matriz'!$60:$60)</f>
        <v>2.9517976424559813</v>
      </c>
      <c r="L58" s="402">
        <f>SUMIF('H2 matriz'!$3:$3,$B58,'H2 matriz'!$61:$61)</f>
        <v>2.9517976424559813</v>
      </c>
      <c r="M58" s="402">
        <f>SUMIF('H2 matriz'!$3:$3,$B58,'H2 matriz'!$62:$62)</f>
        <v>4.5053404214554074E-2</v>
      </c>
      <c r="N58" s="826"/>
      <c r="O58" s="826"/>
      <c r="P58" s="826"/>
      <c r="Q58" s="826"/>
      <c r="R58" s="826"/>
      <c r="S58" s="827">
        <v>50</v>
      </c>
      <c r="T58" s="827">
        <f>'INPUT-Data(HD)'!V208</f>
        <v>0</v>
      </c>
      <c r="U58" s="828">
        <v>1</v>
      </c>
    </row>
    <row r="59" spans="2:21" s="274" customFormat="1">
      <c r="B59" s="697"/>
      <c r="C59" s="697"/>
      <c r="D59" s="697" t="s">
        <v>621</v>
      </c>
      <c r="E59" s="697"/>
      <c r="F59" s="697"/>
      <c r="G59" s="825">
        <f t="shared" ref="G59:G60" si="1">G44</f>
        <v>0.92836267731128375</v>
      </c>
      <c r="H59" s="823"/>
      <c r="I59" s="824"/>
      <c r="J59" s="826"/>
      <c r="K59" s="823"/>
      <c r="L59" s="823"/>
      <c r="M59" s="823"/>
      <c r="N59" s="826"/>
      <c r="O59" s="826"/>
      <c r="P59" s="826"/>
      <c r="Q59" s="826"/>
      <c r="R59" s="826"/>
      <c r="S59" s="827"/>
      <c r="T59" s="827"/>
      <c r="U59" s="822"/>
    </row>
    <row r="60" spans="2:21" s="274" customFormat="1">
      <c r="B60" s="697"/>
      <c r="C60" s="697"/>
      <c r="D60" s="697" t="s">
        <v>339</v>
      </c>
      <c r="E60" s="697"/>
      <c r="F60" s="697"/>
      <c r="G60" s="825">
        <f t="shared" si="1"/>
        <v>1.4274418604651165E-2</v>
      </c>
      <c r="H60" s="823"/>
      <c r="I60" s="824"/>
      <c r="J60" s="826"/>
      <c r="K60" s="823"/>
      <c r="L60" s="823"/>
      <c r="M60" s="823"/>
      <c r="N60" s="826"/>
      <c r="O60" s="826"/>
      <c r="P60" s="826"/>
      <c r="Q60" s="826"/>
      <c r="R60" s="826"/>
      <c r="S60" s="827"/>
      <c r="T60" s="827"/>
      <c r="U60" s="822"/>
    </row>
    <row r="61" spans="2:21" s="274" customFormat="1">
      <c r="B61" s="687"/>
      <c r="C61" s="687"/>
      <c r="D61" s="687"/>
      <c r="E61" s="687"/>
      <c r="F61" s="687" t="s">
        <v>625</v>
      </c>
      <c r="G61" s="825"/>
      <c r="H61" s="823">
        <v>1</v>
      </c>
      <c r="I61" s="829"/>
      <c r="J61" s="826"/>
      <c r="K61" s="823"/>
      <c r="L61" s="823"/>
      <c r="M61" s="823"/>
      <c r="N61" s="830"/>
      <c r="O61" s="830"/>
      <c r="P61" s="830"/>
      <c r="Q61" s="830"/>
      <c r="R61" s="830"/>
      <c r="S61" s="832"/>
      <c r="T61" s="832"/>
      <c r="U61" s="833"/>
    </row>
    <row r="62" spans="2:21" s="836" customFormat="1">
      <c r="B62" s="836" t="str">
        <f>'H2 matriz'!$CU$3</f>
        <v>INDGH2C16</v>
      </c>
      <c r="C62" s="836" t="str">
        <f>'H2 matriz'!$CU$2</f>
        <v>Fuel Tech - H2 Delivery from centralized production (NH3+T10+RTS)</v>
      </c>
      <c r="D62" s="837" t="s">
        <v>233</v>
      </c>
      <c r="E62" s="838"/>
      <c r="G62" s="881">
        <f>G47</f>
        <v>3.315846778184698E-2</v>
      </c>
      <c r="H62" s="839"/>
      <c r="I62" s="876">
        <f>IF(D62="SYNH2UG",1,0.98)</f>
        <v>0.98</v>
      </c>
      <c r="J62" s="846">
        <f>SUMIF('H2 matriz'!$3:$3,$B62,'H2 matriz'!$59:$59)</f>
        <v>2.9517976424559813</v>
      </c>
      <c r="K62" s="846">
        <f>SUMIF('H2 matriz'!$3:$3,$B62,'H2 matriz'!$60:$60)</f>
        <v>2.9517976424559813</v>
      </c>
      <c r="L62" s="846">
        <f>SUMIF('H2 matriz'!$3:$3,$B62,'H2 matriz'!$61:$61)</f>
        <v>2.9517976424559813</v>
      </c>
      <c r="M62" s="846">
        <f>SUMIF('H2 matriz'!$3:$3,$B62,'H2 matriz'!$62:$62)</f>
        <v>3.7544503512128402E-2</v>
      </c>
      <c r="S62" s="836">
        <v>50</v>
      </c>
      <c r="T62" s="836">
        <f>'INPUT-Data(HD)'!V211</f>
        <v>0</v>
      </c>
      <c r="U62" s="836">
        <v>1</v>
      </c>
    </row>
    <row r="63" spans="2:21" s="840" customFormat="1">
      <c r="D63" s="841" t="s">
        <v>621</v>
      </c>
      <c r="E63" s="841"/>
      <c r="F63" s="841"/>
      <c r="G63" s="882">
        <f t="shared" ref="G63:G64" si="2">G48</f>
        <v>0.96684153221815305</v>
      </c>
      <c r="H63" s="842"/>
      <c r="I63" s="850"/>
    </row>
    <row r="64" spans="2:21" s="840" customFormat="1">
      <c r="D64" s="841" t="s">
        <v>339</v>
      </c>
      <c r="E64" s="841"/>
      <c r="F64" s="841"/>
      <c r="G64" s="882">
        <f t="shared" si="2"/>
        <v>1.1933720930232559E-2</v>
      </c>
      <c r="H64" s="842"/>
      <c r="I64" s="850"/>
    </row>
    <row r="65" spans="2:21" s="843" customFormat="1">
      <c r="D65" s="844"/>
      <c r="E65" s="844"/>
      <c r="F65" s="844" t="s">
        <v>645</v>
      </c>
      <c r="G65" s="883"/>
      <c r="H65" s="845">
        <v>1</v>
      </c>
      <c r="I65" s="851"/>
    </row>
    <row r="66" spans="2:21" s="274" customFormat="1">
      <c r="B66" s="274" t="str">
        <f>'H2 matriz'!$CV$3</f>
        <v>INDGH2C17</v>
      </c>
      <c r="C66" s="274" t="str">
        <f>'H2 matriz'!$CV$2</f>
        <v>Fuel Tech - H2 Delivery from centralized production (NH3+T6+RTS)</v>
      </c>
      <c r="D66" s="16" t="s">
        <v>233</v>
      </c>
      <c r="E66" s="697"/>
      <c r="F66" s="822"/>
      <c r="G66" s="825">
        <f>G51</f>
        <v>1.9321101975686809E-2</v>
      </c>
      <c r="H66" s="823"/>
      <c r="I66" s="876">
        <f>IF(D66="SYNH2UG",1,0.98)</f>
        <v>0.98</v>
      </c>
      <c r="J66" s="402">
        <f>SUMIF('H2 matriz'!$3:$3,$B66,'H2 matriz'!$59:$59)</f>
        <v>0</v>
      </c>
      <c r="K66" s="402">
        <f>SUMIF('H2 matriz'!$3:$3,$B66,'H2 matriz'!$60:$60)</f>
        <v>0</v>
      </c>
      <c r="L66" s="402">
        <f>SUMIF('H2 matriz'!$3:$3,$B66,'H2 matriz'!$61:$61)</f>
        <v>0</v>
      </c>
      <c r="M66" s="402">
        <f>SUMIF('H2 matriz'!$3:$3,$B66,'H2 matriz'!$62:$62)</f>
        <v>1.2170638705066765E-2</v>
      </c>
      <c r="S66" s="274">
        <v>50</v>
      </c>
      <c r="T66" s="274">
        <f>'INPUT-Data(HD)'!V214</f>
        <v>0</v>
      </c>
      <c r="U66" s="274">
        <v>1</v>
      </c>
    </row>
    <row r="67" spans="2:21" s="274" customFormat="1">
      <c r="D67" s="697" t="s">
        <v>621</v>
      </c>
      <c r="E67" s="697"/>
      <c r="F67" s="697"/>
      <c r="G67" s="825">
        <f t="shared" ref="G67:G68" si="3">G52</f>
        <v>0.98067889802431318</v>
      </c>
      <c r="H67" s="823"/>
      <c r="I67" s="852"/>
      <c r="J67" s="826"/>
      <c r="K67" s="823"/>
      <c r="L67" s="823"/>
      <c r="M67" s="823"/>
    </row>
    <row r="68" spans="2:21" s="274" customFormat="1">
      <c r="D68" s="697" t="s">
        <v>339</v>
      </c>
      <c r="E68" s="697"/>
      <c r="F68" s="697"/>
      <c r="G68" s="825">
        <f t="shared" si="3"/>
        <v>1.0997441860465116E-2</v>
      </c>
      <c r="H68" s="823"/>
      <c r="I68" s="852"/>
      <c r="J68" s="826"/>
      <c r="K68" s="823"/>
      <c r="L68" s="823"/>
      <c r="M68" s="823"/>
    </row>
    <row r="69" spans="2:21" s="274" customFormat="1">
      <c r="D69" s="687"/>
      <c r="E69" s="687"/>
      <c r="F69" s="687" t="s">
        <v>640</v>
      </c>
      <c r="G69" s="825"/>
      <c r="H69" s="823">
        <v>1</v>
      </c>
      <c r="I69" s="852"/>
      <c r="J69" s="826"/>
      <c r="K69" s="823"/>
      <c r="L69" s="823"/>
      <c r="M69" s="823"/>
    </row>
    <row r="70" spans="2:21" s="836" customFormat="1">
      <c r="B70" s="836" t="str">
        <f>'H2 matriz'!$CW$3</f>
        <v>INDGH2D01</v>
      </c>
      <c r="C70" s="836" t="str">
        <f>'H2 matriz'!$CW$2</f>
        <v>Fuel Tech - H2 Delivery from decentralized production (ST+T100+RTS)</v>
      </c>
      <c r="D70" s="888" t="s">
        <v>527</v>
      </c>
      <c r="E70" s="889"/>
      <c r="F70" s="887"/>
      <c r="G70" s="890">
        <f>G55</f>
        <v>1</v>
      </c>
      <c r="H70" s="839"/>
      <c r="I70" s="876">
        <f>IF(D70="SYNH2UG",1,0.98)</f>
        <v>0.98</v>
      </c>
      <c r="J70" s="846">
        <f>SUMIF('H2 matriz'!$3:$3,$B70,'H2 matriz'!$59:$59)</f>
        <v>3.0173041789644688</v>
      </c>
      <c r="K70" s="846">
        <f>SUMIF('H2 matriz'!$3:$3,$B70,'H2 matriz'!$60:$60)</f>
        <v>3.0173041789644688</v>
      </c>
      <c r="L70" s="846">
        <f>SUMIF('H2 matriz'!$3:$3,$B70,'H2 matriz'!$61:$61)</f>
        <v>3.0173041789644688</v>
      </c>
      <c r="M70" s="846">
        <f>SUMIF('H2 matriz'!$3:$3,$B70,'H2 matriz'!$62:$62)</f>
        <v>4.5259562684467021E-2</v>
      </c>
      <c r="S70" s="836">
        <v>50</v>
      </c>
      <c r="T70" s="836">
        <f>'INPUT-Data(HD)'!V217</f>
        <v>0</v>
      </c>
      <c r="U70" s="836">
        <v>1</v>
      </c>
    </row>
    <row r="71" spans="2:21" s="840" customFormat="1">
      <c r="D71" s="841" t="s">
        <v>339</v>
      </c>
      <c r="E71" s="841"/>
      <c r="F71" s="841"/>
      <c r="G71" s="882"/>
      <c r="H71" s="842"/>
      <c r="I71" s="850"/>
      <c r="J71" s="847"/>
      <c r="K71" s="847"/>
      <c r="L71" s="847"/>
      <c r="M71" s="847"/>
    </row>
    <row r="72" spans="2:21" s="843" customFormat="1">
      <c r="D72" s="844"/>
      <c r="E72" s="844"/>
      <c r="F72" s="844" t="s">
        <v>367</v>
      </c>
      <c r="G72" s="883"/>
      <c r="H72" s="845">
        <v>1</v>
      </c>
      <c r="I72" s="851"/>
      <c r="J72" s="848"/>
      <c r="K72" s="848"/>
      <c r="L72" s="848"/>
      <c r="M72" s="848"/>
    </row>
    <row r="73" spans="2:21" s="274" customFormat="1">
      <c r="B73" s="697" t="str">
        <f>'H2 matriz'!$CX$3</f>
        <v>INDGH2D02</v>
      </c>
      <c r="C73" s="697" t="str">
        <f>'H2 matriz'!$CX$2</f>
        <v>Fuel Tech - H2 Delivery from decentralized production (ST+T20+RTS)</v>
      </c>
      <c r="D73" s="16" t="s">
        <v>527</v>
      </c>
      <c r="E73" s="697"/>
      <c r="F73" s="822"/>
      <c r="G73" s="825">
        <f>G58</f>
        <v>7.1637322688716226E-2</v>
      </c>
      <c r="H73" s="823"/>
      <c r="I73" s="876">
        <f>IF(D73="SYNH2UG",1,0.98)</f>
        <v>0.98</v>
      </c>
      <c r="J73" s="402">
        <f>SUMIF('H2 matriz'!$3:$3,$B73,'H2 matriz'!$59:$59)</f>
        <v>2.3200280031533524</v>
      </c>
      <c r="K73" s="402">
        <f>SUMIF('H2 matriz'!$3:$3,$B73,'H2 matriz'!$60:$60)</f>
        <v>2.3200280031533524</v>
      </c>
      <c r="L73" s="402">
        <f>SUMIF('H2 matriz'!$3:$3,$B73,'H2 matriz'!$61:$61)</f>
        <v>2.3200280031533524</v>
      </c>
      <c r="M73" s="402">
        <f>SUMIF('H2 matriz'!$3:$3,$B73,'H2 matriz'!$62:$62)</f>
        <v>2.6100315035475205E-2</v>
      </c>
      <c r="N73" s="826"/>
      <c r="O73" s="826"/>
      <c r="P73" s="826"/>
      <c r="Q73" s="826"/>
      <c r="R73" s="826"/>
      <c r="S73" s="827">
        <v>50</v>
      </c>
      <c r="T73" s="827">
        <f>'INPUT-Data(HD)'!V220</f>
        <v>0</v>
      </c>
      <c r="U73" s="828">
        <v>1</v>
      </c>
    </row>
    <row r="74" spans="2:21" s="274" customFormat="1">
      <c r="B74" s="697"/>
      <c r="C74" s="697"/>
      <c r="D74" s="697" t="s">
        <v>621</v>
      </c>
      <c r="E74" s="697"/>
      <c r="F74" s="697"/>
      <c r="G74" s="825">
        <f>G59</f>
        <v>0.92836267731128375</v>
      </c>
      <c r="H74" s="823"/>
      <c r="I74" s="824"/>
      <c r="J74" s="826"/>
      <c r="K74" s="823"/>
      <c r="L74" s="823"/>
      <c r="M74" s="823"/>
      <c r="N74" s="826"/>
      <c r="O74" s="826"/>
      <c r="P74" s="826"/>
      <c r="Q74" s="826"/>
      <c r="R74" s="826"/>
      <c r="S74" s="827"/>
      <c r="T74" s="827"/>
      <c r="U74" s="822"/>
    </row>
    <row r="75" spans="2:21" s="274" customFormat="1">
      <c r="B75" s="697"/>
      <c r="C75" s="697"/>
      <c r="D75" s="697" t="s">
        <v>339</v>
      </c>
      <c r="E75" s="697"/>
      <c r="F75" s="697"/>
      <c r="G75" s="825"/>
      <c r="H75" s="823"/>
      <c r="I75" s="824"/>
      <c r="J75" s="826"/>
      <c r="K75" s="823"/>
      <c r="L75" s="823"/>
      <c r="M75" s="823"/>
      <c r="N75" s="826"/>
      <c r="O75" s="826"/>
      <c r="P75" s="826"/>
      <c r="Q75" s="826"/>
      <c r="R75" s="826"/>
      <c r="S75" s="827"/>
      <c r="T75" s="827"/>
      <c r="U75" s="822"/>
    </row>
    <row r="76" spans="2:21" s="274" customFormat="1">
      <c r="B76" s="697"/>
      <c r="C76" s="697"/>
      <c r="D76" s="697"/>
      <c r="E76" s="697"/>
      <c r="F76" s="697" t="s">
        <v>625</v>
      </c>
      <c r="G76" s="825"/>
      <c r="H76" s="823">
        <v>1</v>
      </c>
      <c r="I76" s="824"/>
      <c r="J76" s="826"/>
      <c r="K76" s="823"/>
      <c r="L76" s="823"/>
      <c r="M76" s="823"/>
      <c r="N76" s="826"/>
      <c r="O76" s="826"/>
      <c r="P76" s="826"/>
      <c r="Q76" s="826"/>
      <c r="R76" s="826"/>
      <c r="S76" s="827"/>
      <c r="T76" s="827"/>
      <c r="U76" s="822"/>
    </row>
    <row r="77" spans="2:21" s="836" customFormat="1">
      <c r="B77" s="836" t="str">
        <f>'H2 matriz'!$CY$3</f>
        <v>INDGH2D03</v>
      </c>
      <c r="C77" s="836" t="str">
        <f>'H2 matriz'!$CY$2</f>
        <v>Fuel Tech - H2 Delivery from decentralized production (ST+T10+RTS)</v>
      </c>
      <c r="D77" s="837" t="s">
        <v>527</v>
      </c>
      <c r="E77" s="838"/>
      <c r="G77" s="881">
        <f>G62</f>
        <v>3.315846778184698E-2</v>
      </c>
      <c r="H77" s="839"/>
      <c r="I77" s="876">
        <f>IF(D77="SYNH2UG",1,0.98)</f>
        <v>0.98</v>
      </c>
      <c r="J77" s="846">
        <f>SUMIF('H2 matriz'!$3:$3,$B77,'H2 matriz'!$59:$59)</f>
        <v>2.3200280031533524</v>
      </c>
      <c r="K77" s="846">
        <f>SUMIF('H2 matriz'!$3:$3,$B77,'H2 matriz'!$60:$60)</f>
        <v>2.3200280031533524</v>
      </c>
      <c r="L77" s="846">
        <f>SUMIF('H2 matriz'!$3:$3,$B77,'H2 matriz'!$61:$61)</f>
        <v>2.3200280031533524</v>
      </c>
      <c r="M77" s="846">
        <f>SUMIF('H2 matriz'!$3:$3,$B77,'H2 matriz'!$62:$62)</f>
        <v>2.1750262529562674E-2</v>
      </c>
      <c r="S77" s="836">
        <v>50</v>
      </c>
      <c r="T77" s="836">
        <f>'INPUT-Data(HD)'!V223</f>
        <v>0</v>
      </c>
      <c r="U77" s="836">
        <v>1</v>
      </c>
    </row>
    <row r="78" spans="2:21" s="840" customFormat="1">
      <c r="D78" s="841" t="s">
        <v>621</v>
      </c>
      <c r="E78" s="841"/>
      <c r="F78" s="841"/>
      <c r="G78" s="882">
        <f>G63</f>
        <v>0.96684153221815305</v>
      </c>
      <c r="H78" s="842"/>
      <c r="I78" s="850"/>
    </row>
    <row r="79" spans="2:21" s="840" customFormat="1">
      <c r="D79" s="841" t="s">
        <v>339</v>
      </c>
      <c r="E79" s="841"/>
      <c r="F79" s="841"/>
      <c r="G79" s="882"/>
      <c r="H79" s="842"/>
      <c r="I79" s="850"/>
    </row>
    <row r="80" spans="2:21" s="843" customFormat="1">
      <c r="D80" s="844"/>
      <c r="E80" s="844"/>
      <c r="F80" s="844" t="s">
        <v>645</v>
      </c>
      <c r="G80" s="883"/>
      <c r="H80" s="845">
        <v>1</v>
      </c>
      <c r="I80" s="851"/>
    </row>
    <row r="81" spans="2:21" s="274" customFormat="1">
      <c r="B81" s="697" t="str">
        <f>'H2 matriz'!$CZ$3</f>
        <v>INDGH2D04</v>
      </c>
      <c r="C81" s="697" t="str">
        <f>'H2 matriz'!$CZ$2</f>
        <v>Fuel Tech - H2 Delivery from decentralized production (ST+T6+RTS)</v>
      </c>
      <c r="D81" s="16" t="s">
        <v>527</v>
      </c>
      <c r="E81" s="697"/>
      <c r="F81" s="822"/>
      <c r="G81" s="825">
        <f>G66</f>
        <v>1.9321101975686809E-2</v>
      </c>
      <c r="H81" s="823"/>
      <c r="I81" s="876">
        <f>IF(D81="SYNH2UG",1,0.98)</f>
        <v>0.98</v>
      </c>
      <c r="J81" s="402">
        <f>SUMIF('H2 matriz'!$3:$3,$B81,'H2 matriz'!$59:$59)</f>
        <v>0</v>
      </c>
      <c r="K81" s="402">
        <f>SUMIF('H2 matriz'!$3:$3,$B81,'H2 matriz'!$60:$60)</f>
        <v>0</v>
      </c>
      <c r="L81" s="402">
        <f>SUMIF('H2 matriz'!$3:$3,$B81,'H2 matriz'!$61:$61)</f>
        <v>0</v>
      </c>
      <c r="M81" s="402">
        <f>SUMIF('H2 matriz'!$3:$3,$B81,'H2 matriz'!$62:$62)</f>
        <v>1.2170638705066765E-2</v>
      </c>
      <c r="N81" s="826"/>
      <c r="O81" s="826"/>
      <c r="P81" s="826"/>
      <c r="Q81" s="826"/>
      <c r="R81" s="826"/>
      <c r="S81" s="827">
        <v>50</v>
      </c>
      <c r="T81" s="827">
        <f>'INPUT-Data(HD)'!V226</f>
        <v>0</v>
      </c>
      <c r="U81" s="828">
        <v>1</v>
      </c>
    </row>
    <row r="82" spans="2:21" s="274" customFormat="1">
      <c r="B82" s="697"/>
      <c r="C82" s="697"/>
      <c r="D82" s="697" t="s">
        <v>621</v>
      </c>
      <c r="E82" s="697"/>
      <c r="F82" s="697"/>
      <c r="G82" s="825">
        <f>G67</f>
        <v>0.98067889802431318</v>
      </c>
      <c r="H82" s="823"/>
      <c r="I82" s="824"/>
      <c r="J82" s="826"/>
      <c r="K82" s="823"/>
      <c r="L82" s="823"/>
      <c r="M82" s="823"/>
      <c r="N82" s="826"/>
      <c r="O82" s="826"/>
      <c r="P82" s="826"/>
      <c r="Q82" s="826"/>
      <c r="R82" s="826"/>
      <c r="S82" s="827"/>
      <c r="T82" s="827"/>
      <c r="U82" s="822"/>
    </row>
    <row r="83" spans="2:21" s="274" customFormat="1">
      <c r="B83" s="697"/>
      <c r="C83" s="697"/>
      <c r="D83" s="697" t="s">
        <v>339</v>
      </c>
      <c r="E83" s="697"/>
      <c r="F83" s="697"/>
      <c r="G83" s="825"/>
      <c r="H83" s="823"/>
      <c r="I83" s="824"/>
      <c r="J83" s="826"/>
      <c r="K83" s="823"/>
      <c r="L83" s="823"/>
      <c r="M83" s="823"/>
      <c r="N83" s="826"/>
      <c r="O83" s="826"/>
      <c r="P83" s="826"/>
      <c r="Q83" s="826"/>
      <c r="R83" s="826"/>
      <c r="S83" s="827"/>
      <c r="T83" s="827"/>
      <c r="U83" s="822"/>
    </row>
    <row r="84" spans="2:21" s="274" customFormat="1">
      <c r="B84" s="687"/>
      <c r="C84" s="687"/>
      <c r="D84" s="687"/>
      <c r="E84" s="687"/>
      <c r="F84" s="687" t="s">
        <v>640</v>
      </c>
      <c r="G84" s="825"/>
      <c r="H84" s="823">
        <v>1</v>
      </c>
      <c r="I84" s="829"/>
      <c r="J84" s="826"/>
      <c r="K84" s="823"/>
      <c r="L84" s="823"/>
      <c r="M84" s="823"/>
      <c r="N84" s="830"/>
      <c r="O84" s="830"/>
      <c r="P84" s="830"/>
      <c r="Q84" s="830"/>
      <c r="R84" s="830"/>
      <c r="S84" s="832"/>
      <c r="T84" s="832"/>
      <c r="U84" s="833"/>
    </row>
    <row r="85" spans="2:21" s="836" customFormat="1">
      <c r="B85" s="836" t="str">
        <f>'H2 matriz'!$DA$3</f>
        <v>INDGH2M01</v>
      </c>
      <c r="C85" s="836" t="str">
        <f>'H2 matriz'!$DA$2</f>
        <v>Fuel Tech - H2 Delivery from microdecentralized production T100</v>
      </c>
      <c r="D85" s="888" t="s">
        <v>527</v>
      </c>
      <c r="E85" s="889"/>
      <c r="F85" s="887"/>
      <c r="G85" s="890">
        <v>1</v>
      </c>
      <c r="H85" s="839"/>
      <c r="I85" s="876">
        <f>IF(D85="SYNH2UG",1,0.98)</f>
        <v>0.98</v>
      </c>
      <c r="J85" s="846">
        <f>SUMIF('H2 matriz'!$3:$3,$B85,'H2 matriz'!$59:$59)</f>
        <v>0</v>
      </c>
      <c r="K85" s="846">
        <f>SUMIF('H2 matriz'!$3:$3,$B85,'H2 matriz'!$60:$60)</f>
        <v>0</v>
      </c>
      <c r="L85" s="846">
        <f>SUMIF('H2 matriz'!$3:$3,$B85,'H2 matriz'!$61:$61)</f>
        <v>0</v>
      </c>
      <c r="M85" s="846">
        <f>SUMIF('H2 matriz'!$3:$3,$B85,'H2 matriz'!$62:$62)</f>
        <v>0</v>
      </c>
      <c r="S85" s="836">
        <v>50</v>
      </c>
      <c r="T85" s="836">
        <f>'INPUT-Data(HD)'!V229</f>
        <v>0</v>
      </c>
      <c r="U85" s="836">
        <v>1</v>
      </c>
    </row>
    <row r="86" spans="2:21" s="840" customFormat="1">
      <c r="D86" s="841" t="s">
        <v>339</v>
      </c>
      <c r="E86" s="841"/>
      <c r="F86" s="841"/>
      <c r="G86" s="882"/>
      <c r="H86" s="842"/>
      <c r="I86" s="850"/>
      <c r="J86" s="847"/>
      <c r="K86" s="847"/>
      <c r="L86" s="847"/>
      <c r="M86" s="847"/>
    </row>
    <row r="87" spans="2:21" s="843" customFormat="1">
      <c r="D87" s="844"/>
      <c r="E87" s="844"/>
      <c r="F87" s="844" t="s">
        <v>367</v>
      </c>
      <c r="G87" s="883"/>
      <c r="H87" s="845">
        <v>1</v>
      </c>
      <c r="I87" s="851"/>
      <c r="J87" s="848"/>
      <c r="K87" s="848"/>
      <c r="L87" s="848"/>
      <c r="M87" s="848"/>
    </row>
    <row r="88" spans="2:21" s="834" customFormat="1">
      <c r="B88" s="834" t="str">
        <f>'H2 matriz'!$DB$3</f>
        <v>INDGH2M02</v>
      </c>
      <c r="C88" s="834" t="str">
        <f>'H2 matriz'!$DB$2</f>
        <v>Fuel Tech - H2 Delivery from micrpdecentralized production T20</v>
      </c>
      <c r="D88" s="919" t="s">
        <v>527</v>
      </c>
      <c r="E88" s="920"/>
      <c r="F88" s="918"/>
      <c r="G88" s="825">
        <f>G73</f>
        <v>7.1637322688716226E-2</v>
      </c>
      <c r="H88" s="835"/>
      <c r="I88" s="876">
        <f>IF(D88="SYNH2UG",1,0.98)</f>
        <v>0.98</v>
      </c>
      <c r="J88" s="921">
        <f>SUMIF('H2 matriz'!$3:$3,$B88,'H2 matriz'!$59:$59)</f>
        <v>0</v>
      </c>
      <c r="K88" s="921">
        <f>SUMIF('H2 matriz'!$3:$3,$B88,'H2 matriz'!$60:$60)</f>
        <v>0</v>
      </c>
      <c r="L88" s="921">
        <f>SUMIF('H2 matriz'!$3:$3,$B88,'H2 matriz'!$61:$61)</f>
        <v>0</v>
      </c>
      <c r="M88" s="921">
        <f>SUMIF('H2 matriz'!$3:$3,$B88,'H2 matriz'!$62:$62)</f>
        <v>0</v>
      </c>
      <c r="S88" s="834">
        <v>50</v>
      </c>
      <c r="T88" s="834">
        <f>'INPUT-Data(HD)'!V233</f>
        <v>0</v>
      </c>
      <c r="U88" s="834">
        <v>1</v>
      </c>
    </row>
    <row r="89" spans="2:21" s="822" customFormat="1">
      <c r="D89" s="697" t="s">
        <v>621</v>
      </c>
      <c r="E89" s="697"/>
      <c r="F89" s="697"/>
      <c r="G89" s="825"/>
      <c r="H89" s="823"/>
      <c r="I89" s="828"/>
      <c r="J89" s="826"/>
      <c r="K89" s="826"/>
      <c r="L89" s="826"/>
      <c r="M89" s="826"/>
    </row>
    <row r="90" spans="2:21" s="822" customFormat="1">
      <c r="D90" s="697" t="s">
        <v>339</v>
      </c>
      <c r="E90" s="697"/>
      <c r="F90" s="697"/>
      <c r="G90" s="825"/>
      <c r="H90" s="823"/>
      <c r="I90" s="828"/>
      <c r="J90" s="826"/>
      <c r="K90" s="826"/>
      <c r="L90" s="826"/>
      <c r="M90" s="826"/>
    </row>
    <row r="91" spans="2:21" s="833" customFormat="1">
      <c r="D91" s="687"/>
      <c r="E91" s="687"/>
      <c r="F91" s="697" t="s">
        <v>625</v>
      </c>
      <c r="G91" s="922"/>
      <c r="H91" s="831">
        <v>1</v>
      </c>
      <c r="I91" s="923"/>
      <c r="J91" s="830"/>
      <c r="K91" s="830"/>
      <c r="L91" s="830"/>
      <c r="M91" s="830"/>
    </row>
    <row r="92" spans="2:21" s="836" customFormat="1">
      <c r="B92" s="836" t="str">
        <f>'H2 matriz'!$DC$3</f>
        <v>INDGH2M03</v>
      </c>
      <c r="C92" s="836" t="str">
        <f>'H2 matriz'!$DC$2</f>
        <v>Fuel Tech - H2 Delivery from micrpdecentralized production T10</v>
      </c>
      <c r="D92" s="888" t="s">
        <v>527</v>
      </c>
      <c r="E92" s="889"/>
      <c r="G92" s="825">
        <f>G77</f>
        <v>3.315846778184698E-2</v>
      </c>
      <c r="H92" s="839"/>
      <c r="I92" s="876">
        <f>IF(D92="SYNH2UG",1,0.98)</f>
        <v>0.98</v>
      </c>
      <c r="J92" s="846">
        <f>SUMIF('H2 matriz'!$3:$3,$B92,'H2 matriz'!$59:$59)</f>
        <v>0</v>
      </c>
      <c r="K92" s="846">
        <f>SUMIF('H2 matriz'!$3:$3,$B92,'H2 matriz'!$60:$60)</f>
        <v>0</v>
      </c>
      <c r="L92" s="846">
        <f>SUMIF('H2 matriz'!$3:$3,$B92,'H2 matriz'!$61:$61)</f>
        <v>0</v>
      </c>
      <c r="M92" s="846">
        <f>SUMIF('H2 matriz'!$3:$3,$B92,'H2 matriz'!$62:$62)</f>
        <v>0</v>
      </c>
      <c r="S92" s="836">
        <v>50</v>
      </c>
      <c r="T92" s="836">
        <f>'INPUT-Data(HD)'!V237</f>
        <v>0</v>
      </c>
      <c r="U92" s="836">
        <v>1</v>
      </c>
    </row>
    <row r="93" spans="2:21" s="840" customFormat="1">
      <c r="D93" s="841" t="s">
        <v>621</v>
      </c>
      <c r="E93" s="841"/>
      <c r="F93" s="841"/>
      <c r="G93" s="882"/>
      <c r="H93" s="842"/>
      <c r="I93" s="850"/>
      <c r="J93" s="847"/>
      <c r="K93" s="847"/>
      <c r="L93" s="847"/>
      <c r="M93" s="847"/>
    </row>
    <row r="94" spans="2:21" s="840" customFormat="1">
      <c r="D94" s="841" t="s">
        <v>339</v>
      </c>
      <c r="E94" s="841"/>
      <c r="F94" s="841"/>
      <c r="G94" s="882"/>
      <c r="H94" s="842"/>
      <c r="I94" s="850"/>
      <c r="J94" s="847"/>
      <c r="K94" s="847"/>
      <c r="L94" s="847"/>
      <c r="M94" s="847"/>
    </row>
    <row r="95" spans="2:21" s="843" customFormat="1">
      <c r="D95" s="844"/>
      <c r="E95" s="844"/>
      <c r="F95" s="844" t="s">
        <v>645</v>
      </c>
      <c r="G95" s="883"/>
      <c r="H95" s="845">
        <v>1</v>
      </c>
      <c r="I95" s="851"/>
      <c r="J95" s="848"/>
      <c r="K95" s="848"/>
      <c r="L95" s="848"/>
      <c r="M95" s="848"/>
    </row>
    <row r="96" spans="2:21" s="834" customFormat="1">
      <c r="B96" s="834" t="str">
        <f>'H2 matriz'!$DD$3</f>
        <v>INDGH2M04</v>
      </c>
      <c r="C96" s="834" t="str">
        <f>'H2 matriz'!$DD$2</f>
        <v>Fuel Tech - H2 Delivery from micrpdecentralized production T6</v>
      </c>
      <c r="D96" s="919" t="s">
        <v>527</v>
      </c>
      <c r="E96" s="920"/>
      <c r="F96" s="822"/>
      <c r="G96" s="825">
        <f>G81</f>
        <v>1.9321101975686809E-2</v>
      </c>
      <c r="H96" s="835"/>
      <c r="I96" s="876">
        <f>IF(D96="SYNH2UG",1,0.98)</f>
        <v>0.98</v>
      </c>
      <c r="J96" s="921">
        <f>SUMIF('H2 matriz'!$3:$3,$B96,'H2 matriz'!$59:$59)</f>
        <v>0</v>
      </c>
      <c r="K96" s="921">
        <f>SUMIF('H2 matriz'!$3:$3,$B96,'H2 matriz'!$60:$60)</f>
        <v>0</v>
      </c>
      <c r="L96" s="921">
        <f>SUMIF('H2 matriz'!$3:$3,$B96,'H2 matriz'!$61:$61)</f>
        <v>0</v>
      </c>
      <c r="M96" s="921">
        <f>SUMIF('H2 matriz'!$3:$3,$B96,'H2 matriz'!$62:$62)</f>
        <v>0</v>
      </c>
      <c r="S96" s="834">
        <v>50</v>
      </c>
      <c r="T96" s="834">
        <f>'INPUT-Data(HD)'!V241</f>
        <v>0</v>
      </c>
      <c r="U96" s="834">
        <v>1</v>
      </c>
    </row>
    <row r="97" spans="1:21" s="822" customFormat="1">
      <c r="D97" s="697" t="s">
        <v>621</v>
      </c>
      <c r="E97" s="697"/>
      <c r="F97" s="697"/>
      <c r="G97" s="825"/>
      <c r="H97" s="823"/>
      <c r="I97" s="828"/>
      <c r="J97" s="826"/>
      <c r="K97" s="826"/>
      <c r="L97" s="826"/>
      <c r="M97" s="826"/>
    </row>
    <row r="98" spans="1:21" s="822" customFormat="1">
      <c r="D98" s="697" t="s">
        <v>339</v>
      </c>
      <c r="E98" s="697"/>
      <c r="F98" s="697"/>
      <c r="G98" s="825"/>
      <c r="H98" s="823"/>
      <c r="I98" s="828"/>
      <c r="J98" s="826"/>
      <c r="K98" s="826"/>
      <c r="L98" s="826"/>
      <c r="M98" s="826"/>
    </row>
    <row r="99" spans="1:21" s="833" customFormat="1">
      <c r="D99" s="687"/>
      <c r="E99" s="687"/>
      <c r="F99" s="687" t="s">
        <v>640</v>
      </c>
      <c r="G99" s="922"/>
      <c r="H99" s="831">
        <v>1</v>
      </c>
      <c r="I99" s="923"/>
      <c r="J99" s="830"/>
      <c r="K99" s="830"/>
      <c r="L99" s="830"/>
      <c r="M99" s="830"/>
    </row>
    <row r="100" spans="1:21" s="633" customFormat="1">
      <c r="B100" s="692"/>
      <c r="C100" s="697"/>
      <c r="D100" s="638"/>
      <c r="E100" s="692"/>
      <c r="G100" s="796"/>
      <c r="H100" s="402"/>
      <c r="I100" s="694"/>
      <c r="J100" s="694"/>
      <c r="K100" s="694"/>
      <c r="L100" s="694"/>
      <c r="M100" s="694"/>
      <c r="N100" s="694"/>
      <c r="O100" s="676"/>
      <c r="P100" s="676"/>
      <c r="Q100" s="676"/>
      <c r="R100" s="676"/>
      <c r="S100" s="677"/>
      <c r="T100" s="677"/>
      <c r="U100" s="695"/>
    </row>
    <row r="102" spans="1:21">
      <c r="A102" s="29"/>
      <c r="B102" s="29"/>
      <c r="C102" s="30"/>
      <c r="D102" s="30"/>
      <c r="E102" s="30"/>
      <c r="F102" s="30"/>
      <c r="G102" s="68"/>
      <c r="H102" s="30"/>
      <c r="I102" s="853"/>
      <c r="J102" s="113"/>
      <c r="K102" s="113"/>
      <c r="L102" s="113"/>
      <c r="M102" s="113"/>
      <c r="N102" s="113"/>
    </row>
    <row r="103" spans="1:21">
      <c r="A103" s="636" t="s">
        <v>7</v>
      </c>
      <c r="B103" s="636" t="s">
        <v>0</v>
      </c>
      <c r="C103" s="636" t="s">
        <v>1</v>
      </c>
      <c r="D103" s="636" t="s">
        <v>9</v>
      </c>
      <c r="E103" s="636" t="s">
        <v>10</v>
      </c>
      <c r="F103" s="636" t="s">
        <v>11</v>
      </c>
      <c r="G103" s="884" t="s">
        <v>12</v>
      </c>
    </row>
    <row r="104" spans="1:21" ht="117">
      <c r="A104" s="38" t="s">
        <v>39</v>
      </c>
      <c r="B104" s="38" t="s">
        <v>14</v>
      </c>
      <c r="C104" s="38" t="s">
        <v>15</v>
      </c>
      <c r="D104" s="38" t="s">
        <v>16</v>
      </c>
      <c r="E104" s="38" t="s">
        <v>17</v>
      </c>
      <c r="F104" s="38" t="s">
        <v>27</v>
      </c>
      <c r="G104" s="885" t="s">
        <v>884</v>
      </c>
    </row>
    <row r="105" spans="1:21">
      <c r="A105" s="641" t="s">
        <v>37</v>
      </c>
      <c r="B105" s="692" t="str">
        <f>B7</f>
        <v>INDGH2C01</v>
      </c>
      <c r="C105" s="692" t="str">
        <f>C7</f>
        <v>Fuel Tech - H2 Delivery from centralized production (USTOR+T100)</v>
      </c>
      <c r="D105" s="637" t="s">
        <v>23</v>
      </c>
      <c r="E105" s="638" t="s">
        <v>133</v>
      </c>
      <c r="F105" s="637" t="s">
        <v>230</v>
      </c>
      <c r="H105" s="642"/>
    </row>
    <row r="106" spans="1:21">
      <c r="A106" s="641" t="s">
        <v>37</v>
      </c>
      <c r="B106" s="692" t="str">
        <f>B10</f>
        <v>INDGH2C02</v>
      </c>
      <c r="C106" s="692" t="str">
        <f>C10</f>
        <v>Fuel Tech - H2 Delivery from centralized production (USTOR+T100+RTS)</v>
      </c>
      <c r="D106" s="637" t="s">
        <v>23</v>
      </c>
      <c r="E106" s="638" t="s">
        <v>133</v>
      </c>
      <c r="F106" s="637" t="s">
        <v>230</v>
      </c>
      <c r="H106" s="642"/>
    </row>
    <row r="107" spans="1:21">
      <c r="A107" s="641" t="s">
        <v>37</v>
      </c>
      <c r="B107" s="692" t="str">
        <f>B13</f>
        <v>INDGH2C03</v>
      </c>
      <c r="C107" s="692" t="str">
        <f>C13</f>
        <v>Fuel Tech - H2 Delivery from centralized production (USTOR+T20+RTS)</v>
      </c>
      <c r="D107" s="637" t="s">
        <v>23</v>
      </c>
      <c r="E107" s="638" t="s">
        <v>133</v>
      </c>
      <c r="F107" s="637" t="s">
        <v>230</v>
      </c>
      <c r="H107" s="642"/>
    </row>
    <row r="108" spans="1:21">
      <c r="A108" s="641" t="s">
        <v>37</v>
      </c>
      <c r="B108" s="692" t="str">
        <f>B17</f>
        <v>INDGH2C04</v>
      </c>
      <c r="C108" s="692" t="str">
        <f>C17</f>
        <v>Fuel Tech - H2 Delivery from centralized production (USTOR+T10+RTS)</v>
      </c>
      <c r="D108" s="637" t="s">
        <v>23</v>
      </c>
      <c r="E108" s="638" t="s">
        <v>133</v>
      </c>
      <c r="F108" s="637" t="s">
        <v>230</v>
      </c>
      <c r="H108" s="642"/>
    </row>
    <row r="109" spans="1:21">
      <c r="A109" s="641" t="s">
        <v>37</v>
      </c>
      <c r="B109" s="692" t="str">
        <f>B21</f>
        <v>INDGH2C05</v>
      </c>
      <c r="C109" s="692" t="str">
        <f>C21</f>
        <v>Fuel Tech - H2 Delivery from centralized production (USTOR+T6+RTS)</v>
      </c>
      <c r="D109" s="637" t="s">
        <v>23</v>
      </c>
      <c r="E109" s="638" t="s">
        <v>133</v>
      </c>
      <c r="F109" s="637" t="s">
        <v>230</v>
      </c>
    </row>
    <row r="110" spans="1:21">
      <c r="A110" s="641" t="s">
        <v>37</v>
      </c>
      <c r="B110" s="692" t="str">
        <f>B25</f>
        <v>INDGH2C06</v>
      </c>
      <c r="C110" s="692" t="str">
        <f>C25</f>
        <v>Fuel Tech - H2 Delivery from centralized production (COMP+T100+RTS)</v>
      </c>
      <c r="D110" s="637" t="s">
        <v>23</v>
      </c>
      <c r="E110" s="638" t="s">
        <v>133</v>
      </c>
      <c r="F110" s="637" t="s">
        <v>230</v>
      </c>
    </row>
    <row r="111" spans="1:21">
      <c r="A111" s="641" t="s">
        <v>37</v>
      </c>
      <c r="B111" s="692" t="str">
        <f>B28</f>
        <v>INDGH2C07</v>
      </c>
      <c r="C111" s="692" t="str">
        <f>C28</f>
        <v>Fuel Tech - H2 Delivery from centralized production (COMP+T20+RTS)</v>
      </c>
      <c r="D111" s="637" t="s">
        <v>23</v>
      </c>
      <c r="E111" s="638" t="s">
        <v>133</v>
      </c>
      <c r="F111" s="637" t="s">
        <v>230</v>
      </c>
    </row>
    <row r="112" spans="1:21">
      <c r="A112" s="641" t="s">
        <v>37</v>
      </c>
      <c r="B112" s="692" t="str">
        <f>B32</f>
        <v>INDGH2C08</v>
      </c>
      <c r="C112" s="692" t="str">
        <f>C32</f>
        <v>Fuel Tech - H2 Delivery from centralized production (COMP+T10+RTS)</v>
      </c>
      <c r="D112" s="637" t="s">
        <v>23</v>
      </c>
      <c r="E112" s="638" t="s">
        <v>133</v>
      </c>
      <c r="F112" s="637" t="s">
        <v>230</v>
      </c>
    </row>
    <row r="113" spans="1:13">
      <c r="A113" s="641" t="s">
        <v>37</v>
      </c>
      <c r="B113" s="692" t="str">
        <f>B36</f>
        <v>INDGH2C09</v>
      </c>
      <c r="C113" s="692" t="str">
        <f>C36</f>
        <v>Fuel Tech - H2 Delivery from centralized production (COMP+T6+RTS)</v>
      </c>
      <c r="D113" s="637" t="s">
        <v>23</v>
      </c>
      <c r="E113" s="638" t="s">
        <v>133</v>
      </c>
      <c r="F113" s="637" t="s">
        <v>230</v>
      </c>
    </row>
    <row r="114" spans="1:13">
      <c r="A114" s="641" t="s">
        <v>37</v>
      </c>
      <c r="B114" s="692" t="str">
        <f>B40</f>
        <v>INDGH2C10</v>
      </c>
      <c r="C114" s="692" t="str">
        <f>C40</f>
        <v>Fuel Tech - H2 Delivery from centralized production (CRY+T100+RTS)</v>
      </c>
      <c r="D114" s="637" t="s">
        <v>23</v>
      </c>
      <c r="E114" s="638" t="s">
        <v>133</v>
      </c>
      <c r="F114" s="637" t="s">
        <v>230</v>
      </c>
    </row>
    <row r="115" spans="1:13">
      <c r="A115" s="641" t="s">
        <v>37</v>
      </c>
      <c r="B115" s="697" t="str">
        <f>B43</f>
        <v>INDGH2C11</v>
      </c>
      <c r="C115" s="697" t="str">
        <f>C43</f>
        <v>Fuel Tech - H2 Delivery from centralized production (CRY+T20+RTS)</v>
      </c>
      <c r="D115" s="637" t="s">
        <v>23</v>
      </c>
      <c r="E115" s="638" t="s">
        <v>133</v>
      </c>
      <c r="F115" s="637" t="s">
        <v>230</v>
      </c>
    </row>
    <row r="116" spans="1:13">
      <c r="A116" s="641" t="s">
        <v>37</v>
      </c>
      <c r="B116" s="697" t="str">
        <f>B47</f>
        <v>INDGH2C12</v>
      </c>
      <c r="C116" s="697" t="str">
        <f>C47</f>
        <v>Fuel Tech - H2 Delivery from centralized production (CRY+T10+RTS)</v>
      </c>
      <c r="D116" s="637" t="s">
        <v>23</v>
      </c>
      <c r="E116" s="638" t="s">
        <v>133</v>
      </c>
      <c r="F116" s="637" t="s">
        <v>230</v>
      </c>
    </row>
    <row r="117" spans="1:13">
      <c r="A117" s="641" t="s">
        <v>37</v>
      </c>
      <c r="B117" s="697" t="str">
        <f>B51</f>
        <v>INDGH2C13</v>
      </c>
      <c r="C117" s="697" t="str">
        <f>C51</f>
        <v>Fuel Tech - H2 Delivery from centralized production (CRY+T6+RTS)</v>
      </c>
      <c r="D117" s="637" t="s">
        <v>23</v>
      </c>
      <c r="E117" s="638" t="s">
        <v>133</v>
      </c>
      <c r="F117" s="637" t="s">
        <v>230</v>
      </c>
    </row>
    <row r="118" spans="1:13">
      <c r="A118" s="641" t="s">
        <v>37</v>
      </c>
      <c r="B118" s="819" t="str">
        <f>B55</f>
        <v>INDGH2C14</v>
      </c>
      <c r="C118" s="819" t="str">
        <f>C55</f>
        <v>Fuel Tech - H2 Delivery from centralized production (NH3+T100+RTS)</v>
      </c>
      <c r="D118" s="637" t="s">
        <v>23</v>
      </c>
      <c r="E118" s="638" t="s">
        <v>133</v>
      </c>
      <c r="F118" s="637" t="s">
        <v>230</v>
      </c>
    </row>
    <row r="119" spans="1:13">
      <c r="A119" s="641" t="s">
        <v>37</v>
      </c>
      <c r="B119" s="697" t="str">
        <f>B58</f>
        <v>INDGH2C15</v>
      </c>
      <c r="C119" s="697" t="str">
        <f>C58</f>
        <v>Fuel Tech - H2 Delivery from centralized production (NH3+T20+RTS)</v>
      </c>
      <c r="D119" s="637" t="s">
        <v>23</v>
      </c>
      <c r="E119" s="638" t="s">
        <v>133</v>
      </c>
      <c r="F119" s="637" t="s">
        <v>230</v>
      </c>
    </row>
    <row r="120" spans="1:13">
      <c r="A120" s="641" t="s">
        <v>37</v>
      </c>
      <c r="B120" s="692" t="str">
        <f>B62</f>
        <v>INDGH2C16</v>
      </c>
      <c r="C120" s="692" t="str">
        <f>C62</f>
        <v>Fuel Tech - H2 Delivery from centralized production (NH3+T10+RTS)</v>
      </c>
      <c r="D120" s="637" t="s">
        <v>23</v>
      </c>
      <c r="E120" s="638" t="s">
        <v>133</v>
      </c>
      <c r="F120" s="637" t="s">
        <v>230</v>
      </c>
      <c r="J120" s="206"/>
    </row>
    <row r="121" spans="1:13">
      <c r="A121" s="641" t="s">
        <v>37</v>
      </c>
      <c r="B121" s="692" t="str">
        <f>B66</f>
        <v>INDGH2C17</v>
      </c>
      <c r="C121" s="692" t="str">
        <f>C66</f>
        <v>Fuel Tech - H2 Delivery from centralized production (NH3+T6+RTS)</v>
      </c>
      <c r="D121" s="637" t="s">
        <v>23</v>
      </c>
      <c r="E121" s="638" t="s">
        <v>133</v>
      </c>
      <c r="F121" s="637" t="s">
        <v>230</v>
      </c>
    </row>
    <row r="122" spans="1:13">
      <c r="A122" s="641" t="s">
        <v>37</v>
      </c>
      <c r="B122" s="692" t="str">
        <f>B70</f>
        <v>INDGH2D01</v>
      </c>
      <c r="C122" s="692" t="str">
        <f>C70</f>
        <v>Fuel Tech - H2 Delivery from decentralized production (ST+T100+RTS)</v>
      </c>
      <c r="D122" s="637" t="s">
        <v>23</v>
      </c>
      <c r="E122" s="638" t="s">
        <v>133</v>
      </c>
      <c r="F122" s="637" t="s">
        <v>230</v>
      </c>
    </row>
    <row r="123" spans="1:13">
      <c r="A123" s="641" t="s">
        <v>37</v>
      </c>
      <c r="B123" s="692" t="str">
        <f>B73</f>
        <v>INDGH2D02</v>
      </c>
      <c r="C123" s="692" t="str">
        <f>C73</f>
        <v>Fuel Tech - H2 Delivery from decentralized production (ST+T20+RTS)</v>
      </c>
      <c r="D123" s="637" t="s">
        <v>23</v>
      </c>
      <c r="E123" s="638" t="s">
        <v>133</v>
      </c>
      <c r="F123" s="637" t="s">
        <v>230</v>
      </c>
    </row>
    <row r="124" spans="1:13">
      <c r="A124" s="641" t="s">
        <v>37</v>
      </c>
      <c r="B124" s="697" t="str">
        <f>B77</f>
        <v>INDGH2D03</v>
      </c>
      <c r="C124" s="697" t="str">
        <f>C77</f>
        <v>Fuel Tech - H2 Delivery from decentralized production (ST+T10+RTS)</v>
      </c>
      <c r="D124" s="637" t="s">
        <v>23</v>
      </c>
      <c r="E124" s="638" t="s">
        <v>133</v>
      </c>
      <c r="F124" s="637" t="s">
        <v>230</v>
      </c>
    </row>
    <row r="125" spans="1:13">
      <c r="A125" s="641" t="s">
        <v>37</v>
      </c>
      <c r="B125" s="692" t="str">
        <f>B81</f>
        <v>INDGH2D04</v>
      </c>
      <c r="C125" s="692" t="str">
        <f>C81</f>
        <v>Fuel Tech - H2 Delivery from decentralized production (ST+T6+RTS)</v>
      </c>
      <c r="D125" s="637" t="s">
        <v>23</v>
      </c>
      <c r="E125" s="638" t="s">
        <v>133</v>
      </c>
      <c r="F125" s="637" t="s">
        <v>230</v>
      </c>
    </row>
    <row r="126" spans="1:13">
      <c r="A126" s="641" t="s">
        <v>37</v>
      </c>
      <c r="B126" s="692" t="str">
        <f>B85</f>
        <v>INDGH2M01</v>
      </c>
      <c r="C126" s="692" t="str">
        <f>C85</f>
        <v>Fuel Tech - H2 Delivery from microdecentralized production T100</v>
      </c>
      <c r="D126" s="637" t="s">
        <v>23</v>
      </c>
      <c r="E126" s="638" t="s">
        <v>133</v>
      </c>
      <c r="F126" s="637" t="s">
        <v>230</v>
      </c>
    </row>
    <row r="127" spans="1:13">
      <c r="A127" s="641" t="s">
        <v>37</v>
      </c>
      <c r="B127" s="692" t="str">
        <f>B88</f>
        <v>INDGH2M02</v>
      </c>
      <c r="C127" s="692" t="str">
        <f>C88</f>
        <v>Fuel Tech - H2 Delivery from micrpdecentralized production T20</v>
      </c>
      <c r="D127" s="637" t="s">
        <v>23</v>
      </c>
      <c r="E127" s="638" t="s">
        <v>133</v>
      </c>
      <c r="F127" s="637" t="s">
        <v>230</v>
      </c>
      <c r="K127" s="206"/>
    </row>
    <row r="128" spans="1:13">
      <c r="A128" s="641" t="s">
        <v>37</v>
      </c>
      <c r="B128" s="692" t="str">
        <f>B92</f>
        <v>INDGH2M03</v>
      </c>
      <c r="C128" s="692" t="str">
        <f>C92</f>
        <v>Fuel Tech - H2 Delivery from micrpdecentralized production T10</v>
      </c>
      <c r="D128" s="637" t="s">
        <v>23</v>
      </c>
      <c r="E128" s="638" t="s">
        <v>133</v>
      </c>
      <c r="F128" s="637" t="s">
        <v>230</v>
      </c>
    </row>
    <row r="129" spans="1:6">
      <c r="A129" s="641" t="s">
        <v>37</v>
      </c>
      <c r="B129" s="692" t="str">
        <f>B96</f>
        <v>INDGH2M04</v>
      </c>
      <c r="C129" s="692" t="str">
        <f>C96</f>
        <v>Fuel Tech - H2 Delivery from micrpdecentralized production T6</v>
      </c>
      <c r="D129" s="637" t="s">
        <v>23</v>
      </c>
      <c r="E129" s="638" t="s">
        <v>133</v>
      </c>
      <c r="F129" s="637" t="s">
        <v>230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A5B90-244D-4755-BAC3-D3E38EA80559}">
  <sheetPr codeName="Sheet13">
    <tabColor rgb="FF92D050"/>
  </sheetPr>
  <dimension ref="A1:HC68"/>
  <sheetViews>
    <sheetView topLeftCell="C20" workbookViewId="0">
      <pane xSplit="6165" ySplit="2850" topLeftCell="DD46" activePane="bottomRight"/>
      <selection activeCell="C23" sqref="C23"/>
      <selection pane="topRight" activeCell="DF22" sqref="DF22"/>
      <selection pane="bottomLeft" activeCell="ES46" sqref="ES46"/>
      <selection pane="bottomRight" activeCell="DJ53" sqref="DJ53"/>
    </sheetView>
  </sheetViews>
  <sheetFormatPr defaultColWidth="8.7265625" defaultRowHeight="12.25"/>
  <cols>
    <col min="1" max="1" width="8.7265625" style="708"/>
    <col min="2" max="2" width="11.86328125" style="708" bestFit="1" customWidth="1"/>
    <col min="3" max="3" width="24.40625" style="1233" customWidth="1"/>
    <col min="4" max="4" width="23" style="708" customWidth="1"/>
    <col min="5" max="7" width="9.1328125" style="708" customWidth="1"/>
    <col min="8" max="9" width="9.1328125" style="935" customWidth="1"/>
    <col min="10" max="15" width="9.1328125" style="708" customWidth="1"/>
    <col min="16" max="17" width="9.1328125" style="935" customWidth="1"/>
    <col min="18" max="20" width="9.1328125" style="708" customWidth="1"/>
    <col min="21" max="23" width="8.7265625" style="708" customWidth="1"/>
    <col min="24" max="25" width="9.1328125" style="708" customWidth="1"/>
    <col min="26" max="27" width="9.1328125" style="935" customWidth="1"/>
    <col min="28" max="28" width="9.1328125" style="708" customWidth="1"/>
    <col min="29" max="29" width="12.26953125" style="708" customWidth="1"/>
    <col min="30" max="33" width="9.1328125" style="935" customWidth="1"/>
    <col min="34" max="34" width="9.1328125" style="708" customWidth="1"/>
    <col min="35" max="37" width="8.7265625" style="708" customWidth="1"/>
    <col min="38" max="39" width="9.7265625" style="708" customWidth="1"/>
    <col min="40" max="40" width="8.7265625" style="720"/>
    <col min="41" max="61" width="8.7265625" style="708"/>
    <col min="62" max="62" width="8.7265625" style="720"/>
    <col min="63" max="83" width="8.7265625" style="708"/>
    <col min="84" max="84" width="8.7265625" style="908"/>
    <col min="85" max="108" width="8.7265625" style="708"/>
    <col min="109" max="109" width="9.40625" style="708" customWidth="1"/>
    <col min="110" max="114" width="8.7265625" style="708"/>
    <col min="115" max="115" width="9.58984375" style="708" bestFit="1" customWidth="1"/>
    <col min="116" max="116" width="5.26953125" style="1595" customWidth="1"/>
    <col min="117" max="119" width="5.26953125" style="708" customWidth="1"/>
    <col min="120" max="120" width="5.90625" style="810" bestFit="1" customWidth="1"/>
    <col min="121" max="122" width="8.40625" style="708" customWidth="1"/>
    <col min="123" max="123" width="8.7265625" style="722"/>
    <col min="124" max="124" width="8.7265625" style="708"/>
    <col min="125" max="125" width="8.7265625" style="712"/>
    <col min="126" max="126" width="8.7265625" style="708"/>
    <col min="127" max="127" width="8.7265625" style="712"/>
    <col min="128" max="128" width="8.7265625" style="708"/>
    <col min="129" max="129" width="8.7265625" style="712"/>
    <col min="130" max="150" width="8.7265625" style="708"/>
    <col min="151" max="151" width="11.1328125" style="708" bestFit="1" customWidth="1"/>
    <col min="152" max="16384" width="8.7265625" style="708"/>
  </cols>
  <sheetData>
    <row r="1" spans="1:154" ht="14.75">
      <c r="D1" s="709" t="s">
        <v>772</v>
      </c>
      <c r="E1" s="710"/>
      <c r="F1" s="710"/>
      <c r="G1" s="710"/>
      <c r="H1" s="930"/>
      <c r="I1" s="930"/>
      <c r="J1" s="710"/>
      <c r="K1" s="710"/>
      <c r="L1" s="710"/>
      <c r="M1" s="710"/>
      <c r="N1" s="710"/>
      <c r="O1" s="710"/>
      <c r="P1" s="930"/>
      <c r="Q1" s="930"/>
      <c r="R1" s="710"/>
      <c r="S1" s="710"/>
      <c r="T1" s="710"/>
      <c r="U1" s="710"/>
      <c r="V1" s="710"/>
      <c r="W1" s="710"/>
      <c r="X1" s="709" t="s">
        <v>772</v>
      </c>
      <c r="Y1" s="710"/>
      <c r="Z1" s="930"/>
      <c r="AA1" s="930"/>
      <c r="AB1" s="710"/>
      <c r="AC1" s="710"/>
      <c r="AD1" s="930"/>
      <c r="AE1" s="930"/>
      <c r="AF1" s="930"/>
      <c r="AG1" s="930"/>
      <c r="AH1" s="710"/>
      <c r="AI1" s="710"/>
      <c r="AJ1" s="710"/>
      <c r="AK1" s="710"/>
      <c r="AL1" s="710"/>
      <c r="AM1" s="710"/>
      <c r="AN1" s="711" t="s">
        <v>773</v>
      </c>
      <c r="AO1" s="27"/>
      <c r="BJ1" s="711" t="s">
        <v>774</v>
      </c>
      <c r="BK1" s="27"/>
      <c r="CF1" s="903" t="s">
        <v>775</v>
      </c>
      <c r="CG1" s="27"/>
      <c r="DF1" s="1604" t="s">
        <v>869</v>
      </c>
      <c r="DG1" s="1604"/>
      <c r="DH1" s="1604"/>
      <c r="DI1" s="1604"/>
      <c r="DJ1" s="782"/>
      <c r="DK1" s="782"/>
      <c r="DL1" s="1604" t="s">
        <v>868</v>
      </c>
      <c r="DM1" s="1604"/>
      <c r="DN1" s="1604"/>
      <c r="DO1" s="1604"/>
      <c r="DP1" s="1353"/>
      <c r="DQ1" s="782"/>
      <c r="DR1" s="782"/>
      <c r="DT1" s="792">
        <v>1.0489679999999999</v>
      </c>
      <c r="DU1" s="793">
        <v>2019</v>
      </c>
      <c r="DV1" s="792">
        <v>0.98312299999999997</v>
      </c>
      <c r="DW1" s="793">
        <v>2015</v>
      </c>
      <c r="EG1" s="1604" t="s">
        <v>869</v>
      </c>
      <c r="EH1" s="1604"/>
      <c r="EI1" s="1604"/>
      <c r="EJ1" s="1604"/>
      <c r="EK1" s="1604" t="s">
        <v>868</v>
      </c>
      <c r="EL1" s="1604"/>
      <c r="EM1" s="1604"/>
      <c r="EN1" s="1604"/>
      <c r="EO1" s="722"/>
      <c r="EP1" s="792">
        <v>1.0489679999999999</v>
      </c>
      <c r="EQ1" s="793">
        <v>2019</v>
      </c>
      <c r="ER1" s="792">
        <v>0.98312299999999997</v>
      </c>
      <c r="ES1" s="793">
        <v>2015</v>
      </c>
      <c r="EU1" s="712"/>
      <c r="EW1" s="708">
        <f>1*EP2/EP1</f>
        <v>0.69045862218866549</v>
      </c>
      <c r="EX1" s="708">
        <v>0.69045862218866549</v>
      </c>
    </row>
    <row r="2" spans="1:154" s="713" customFormat="1" ht="13.25">
      <c r="C2" s="1234"/>
      <c r="D2" s="283" t="s">
        <v>895</v>
      </c>
      <c r="E2" s="283" t="s">
        <v>896</v>
      </c>
      <c r="F2" s="283" t="s">
        <v>897</v>
      </c>
      <c r="G2" s="283" t="s">
        <v>898</v>
      </c>
      <c r="H2" s="931" t="s">
        <v>900</v>
      </c>
      <c r="I2" s="931" t="s">
        <v>899</v>
      </c>
      <c r="J2" s="283" t="s">
        <v>901</v>
      </c>
      <c r="K2" s="283" t="s">
        <v>902</v>
      </c>
      <c r="L2" s="283" t="s">
        <v>903</v>
      </c>
      <c r="M2" s="283" t="s">
        <v>904</v>
      </c>
      <c r="N2" s="283" t="s">
        <v>905</v>
      </c>
      <c r="O2" s="283" t="s">
        <v>906</v>
      </c>
      <c r="P2" s="931" t="s">
        <v>907</v>
      </c>
      <c r="Q2" s="931" t="s">
        <v>908</v>
      </c>
      <c r="R2" s="283" t="s">
        <v>909</v>
      </c>
      <c r="S2" s="283" t="s">
        <v>910</v>
      </c>
      <c r="T2" s="283" t="s">
        <v>911</v>
      </c>
      <c r="U2" s="283" t="s">
        <v>912</v>
      </c>
      <c r="V2" s="283" t="s">
        <v>913</v>
      </c>
      <c r="W2" s="283" t="s">
        <v>914</v>
      </c>
      <c r="X2" s="283" t="s">
        <v>915</v>
      </c>
      <c r="Y2" s="283" t="s">
        <v>916</v>
      </c>
      <c r="Z2" s="931" t="s">
        <v>917</v>
      </c>
      <c r="AA2" s="931" t="s">
        <v>918</v>
      </c>
      <c r="AB2" s="713" t="s">
        <v>919</v>
      </c>
      <c r="AC2" s="713" t="s">
        <v>920</v>
      </c>
      <c r="AD2" s="939" t="s">
        <v>921</v>
      </c>
      <c r="AE2" s="939" t="s">
        <v>922</v>
      </c>
      <c r="AF2" s="939" t="s">
        <v>923</v>
      </c>
      <c r="AG2" s="939" t="s">
        <v>924</v>
      </c>
      <c r="AH2" s="713" t="s">
        <v>926</v>
      </c>
      <c r="AI2" s="713" t="s">
        <v>925</v>
      </c>
      <c r="AJ2" s="713" t="s">
        <v>927</v>
      </c>
      <c r="AK2" s="713" t="s">
        <v>928</v>
      </c>
      <c r="AL2" s="713" t="s">
        <v>929</v>
      </c>
      <c r="AM2" s="713" t="s">
        <v>930</v>
      </c>
      <c r="AN2" s="713" t="s">
        <v>943</v>
      </c>
      <c r="AO2" s="713" t="s">
        <v>944</v>
      </c>
      <c r="AP2" s="713" t="s">
        <v>945</v>
      </c>
      <c r="AQ2" s="713" t="s">
        <v>946</v>
      </c>
      <c r="AR2" s="713" t="s">
        <v>947</v>
      </c>
      <c r="AS2" s="713" t="s">
        <v>939</v>
      </c>
      <c r="AT2" s="713" t="s">
        <v>940</v>
      </c>
      <c r="AU2" s="713" t="s">
        <v>941</v>
      </c>
      <c r="AV2" s="713" t="s">
        <v>942</v>
      </c>
      <c r="AW2" s="713" t="s">
        <v>959</v>
      </c>
      <c r="AX2" s="713" t="s">
        <v>960</v>
      </c>
      <c r="AY2" s="713" t="s">
        <v>958</v>
      </c>
      <c r="AZ2" s="713" t="s">
        <v>948</v>
      </c>
      <c r="BA2" s="713" t="s">
        <v>961</v>
      </c>
      <c r="BB2" s="713" t="s">
        <v>962</v>
      </c>
      <c r="BC2" s="713" t="s">
        <v>963</v>
      </c>
      <c r="BD2" s="713" t="s">
        <v>949</v>
      </c>
      <c r="BE2" s="713" t="s">
        <v>950</v>
      </c>
      <c r="BF2" s="713" t="s">
        <v>951</v>
      </c>
      <c r="BG2" s="713" t="s">
        <v>952</v>
      </c>
      <c r="BH2" s="713" t="s">
        <v>953</v>
      </c>
      <c r="BI2" s="713" t="s">
        <v>954</v>
      </c>
      <c r="BJ2" s="713" t="s">
        <v>943</v>
      </c>
      <c r="BK2" s="713" t="s">
        <v>944</v>
      </c>
      <c r="BL2" s="713" t="s">
        <v>945</v>
      </c>
      <c r="BM2" s="713" t="s">
        <v>946</v>
      </c>
      <c r="BN2" s="713" t="s">
        <v>947</v>
      </c>
      <c r="BO2" s="713" t="s">
        <v>939</v>
      </c>
      <c r="BP2" s="713" t="s">
        <v>940</v>
      </c>
      <c r="BQ2" s="713" t="s">
        <v>941</v>
      </c>
      <c r="BR2" s="713" t="s">
        <v>942</v>
      </c>
      <c r="BS2" s="713" t="s">
        <v>959</v>
      </c>
      <c r="BT2" s="713" t="s">
        <v>960</v>
      </c>
      <c r="BU2" s="713" t="s">
        <v>958</v>
      </c>
      <c r="BV2" s="713" t="s">
        <v>948</v>
      </c>
      <c r="BW2" s="713" t="s">
        <v>961</v>
      </c>
      <c r="BX2" s="713" t="s">
        <v>962</v>
      </c>
      <c r="BY2" s="713" t="s">
        <v>963</v>
      </c>
      <c r="BZ2" s="713" t="s">
        <v>949</v>
      </c>
      <c r="CA2" s="713" t="s">
        <v>950</v>
      </c>
      <c r="CB2" s="713" t="s">
        <v>951</v>
      </c>
      <c r="CC2" s="713" t="s">
        <v>952</v>
      </c>
      <c r="CD2" s="713" t="s">
        <v>953</v>
      </c>
      <c r="CE2" s="713" t="s">
        <v>954</v>
      </c>
      <c r="CF2" s="713" t="s">
        <v>943</v>
      </c>
      <c r="CG2" s="713" t="s">
        <v>944</v>
      </c>
      <c r="CH2" s="713" t="s">
        <v>945</v>
      </c>
      <c r="CI2" s="713" t="s">
        <v>946</v>
      </c>
      <c r="CJ2" s="713" t="s">
        <v>947</v>
      </c>
      <c r="CK2" s="713" t="s">
        <v>939</v>
      </c>
      <c r="CL2" s="713" t="s">
        <v>940</v>
      </c>
      <c r="CM2" s="713" t="s">
        <v>941</v>
      </c>
      <c r="CN2" s="713" t="s">
        <v>942</v>
      </c>
      <c r="CO2" s="713" t="s">
        <v>959</v>
      </c>
      <c r="CP2" s="713" t="s">
        <v>960</v>
      </c>
      <c r="CQ2" s="713" t="s">
        <v>958</v>
      </c>
      <c r="CR2" s="713" t="s">
        <v>948</v>
      </c>
      <c r="CS2" s="713" t="s">
        <v>961</v>
      </c>
      <c r="CT2" s="713" t="s">
        <v>962</v>
      </c>
      <c r="CU2" s="713" t="s">
        <v>963</v>
      </c>
      <c r="CV2" s="713" t="s">
        <v>949</v>
      </c>
      <c r="CW2" s="713" t="s">
        <v>950</v>
      </c>
      <c r="CX2" s="713" t="s">
        <v>951</v>
      </c>
      <c r="CY2" s="713" t="s">
        <v>952</v>
      </c>
      <c r="CZ2" s="713" t="s">
        <v>953</v>
      </c>
      <c r="DA2" s="713" t="s">
        <v>964</v>
      </c>
      <c r="DB2" s="713" t="s">
        <v>955</v>
      </c>
      <c r="DC2" s="713" t="s">
        <v>956</v>
      </c>
      <c r="DD2" s="713" t="s">
        <v>957</v>
      </c>
      <c r="DF2" s="712">
        <v>2020</v>
      </c>
      <c r="DG2" s="712">
        <v>2030</v>
      </c>
      <c r="DH2" s="712">
        <v>2050</v>
      </c>
      <c r="DI2" s="712">
        <v>2020</v>
      </c>
      <c r="DJ2" s="712">
        <v>2030</v>
      </c>
      <c r="DK2" s="712">
        <v>2050</v>
      </c>
      <c r="DL2" s="1582">
        <v>2020</v>
      </c>
      <c r="DM2" s="712">
        <v>2030</v>
      </c>
      <c r="DN2" s="712">
        <v>2050</v>
      </c>
      <c r="DO2" s="712">
        <v>2020</v>
      </c>
      <c r="DP2" s="1353"/>
      <c r="DQ2" s="712">
        <v>2030</v>
      </c>
      <c r="DR2" s="712">
        <v>2050</v>
      </c>
      <c r="DS2" s="794"/>
      <c r="DT2" s="792">
        <v>0.72426900000000005</v>
      </c>
      <c r="DU2" s="793">
        <v>2000</v>
      </c>
      <c r="DW2" s="712"/>
      <c r="DY2" s="712"/>
      <c r="EG2" s="712">
        <v>2020</v>
      </c>
      <c r="EH2" s="712">
        <v>2030</v>
      </c>
      <c r="EI2" s="712">
        <v>2050</v>
      </c>
      <c r="EJ2" s="712"/>
      <c r="EK2" s="783">
        <v>2020</v>
      </c>
      <c r="EL2" s="712">
        <v>2030</v>
      </c>
      <c r="EM2" s="712">
        <v>2050</v>
      </c>
      <c r="EN2" s="712"/>
      <c r="EO2" s="794"/>
      <c r="EP2" s="792">
        <v>0.72426900000000005</v>
      </c>
      <c r="EQ2" s="793">
        <v>2000</v>
      </c>
      <c r="ES2" s="712"/>
      <c r="EU2" s="712"/>
    </row>
    <row r="3" spans="1:154" s="714" customFormat="1" ht="36.75">
      <c r="C3" s="1235"/>
      <c r="D3" s="704" t="s">
        <v>159</v>
      </c>
      <c r="E3" s="704" t="s">
        <v>162</v>
      </c>
      <c r="F3" s="704" t="s">
        <v>165</v>
      </c>
      <c r="G3" s="704" t="s">
        <v>167</v>
      </c>
      <c r="H3" s="932" t="s">
        <v>776</v>
      </c>
      <c r="I3" s="932" t="s">
        <v>172</v>
      </c>
      <c r="J3" s="704" t="s">
        <v>777</v>
      </c>
      <c r="K3" s="704" t="s">
        <v>174</v>
      </c>
      <c r="L3" s="704" t="s">
        <v>175</v>
      </c>
      <c r="M3" s="704" t="s">
        <v>571</v>
      </c>
      <c r="N3" s="704" t="s">
        <v>779</v>
      </c>
      <c r="O3" s="704" t="s">
        <v>780</v>
      </c>
      <c r="P3" s="932" t="s">
        <v>931</v>
      </c>
      <c r="Q3" s="932" t="s">
        <v>781</v>
      </c>
      <c r="R3" s="704" t="s">
        <v>782</v>
      </c>
      <c r="S3" s="704" t="s">
        <v>783</v>
      </c>
      <c r="T3" s="704" t="s">
        <v>784</v>
      </c>
      <c r="U3" s="704" t="s">
        <v>785</v>
      </c>
      <c r="V3" s="704" t="s">
        <v>186</v>
      </c>
      <c r="W3" s="704" t="s">
        <v>593</v>
      </c>
      <c r="X3" s="927" t="s">
        <v>778</v>
      </c>
      <c r="Y3" s="927" t="s">
        <v>932</v>
      </c>
      <c r="Z3" s="940" t="s">
        <v>891</v>
      </c>
      <c r="AA3" s="940" t="s">
        <v>933</v>
      </c>
      <c r="AB3" s="927" t="s">
        <v>892</v>
      </c>
      <c r="AC3" s="927" t="s">
        <v>934</v>
      </c>
      <c r="AD3" s="940" t="s">
        <v>893</v>
      </c>
      <c r="AE3" s="940" t="s">
        <v>935</v>
      </c>
      <c r="AF3" s="940" t="s">
        <v>936</v>
      </c>
      <c r="AG3" s="940" t="s">
        <v>937</v>
      </c>
      <c r="AH3" s="927" t="s">
        <v>894</v>
      </c>
      <c r="AI3" s="927" t="s">
        <v>938</v>
      </c>
      <c r="AJ3" s="704" t="s">
        <v>786</v>
      </c>
      <c r="AK3" s="704" t="s">
        <v>787</v>
      </c>
      <c r="AL3" s="704" t="s">
        <v>788</v>
      </c>
      <c r="AM3" s="704" t="s">
        <v>789</v>
      </c>
      <c r="AN3" s="705" t="s">
        <v>169</v>
      </c>
      <c r="AO3" s="705" t="s">
        <v>667</v>
      </c>
      <c r="AP3" s="705" t="s">
        <v>668</v>
      </c>
      <c r="AQ3" s="705" t="s">
        <v>669</v>
      </c>
      <c r="AR3" s="705" t="s">
        <v>680</v>
      </c>
      <c r="AS3" s="705" t="s">
        <v>681</v>
      </c>
      <c r="AT3" s="705" t="s">
        <v>682</v>
      </c>
      <c r="AU3" s="705" t="s">
        <v>683</v>
      </c>
      <c r="AV3" s="705" t="s">
        <v>790</v>
      </c>
      <c r="AW3" s="705" t="s">
        <v>791</v>
      </c>
      <c r="AX3" s="705" t="s">
        <v>792</v>
      </c>
      <c r="AY3" s="705" t="s">
        <v>793</v>
      </c>
      <c r="AZ3" s="705" t="s">
        <v>794</v>
      </c>
      <c r="BA3" s="705" t="s">
        <v>795</v>
      </c>
      <c r="BB3" s="705" t="s">
        <v>796</v>
      </c>
      <c r="BC3" s="705" t="s">
        <v>797</v>
      </c>
      <c r="BD3" s="705" t="s">
        <v>798</v>
      </c>
      <c r="BE3" s="705" t="s">
        <v>184</v>
      </c>
      <c r="BF3" s="705" t="s">
        <v>562</v>
      </c>
      <c r="BG3" s="705" t="s">
        <v>684</v>
      </c>
      <c r="BH3" s="705" t="s">
        <v>685</v>
      </c>
      <c r="BI3" s="705" t="s">
        <v>799</v>
      </c>
      <c r="BJ3" s="706" t="s">
        <v>585</v>
      </c>
      <c r="BK3" s="704" t="s">
        <v>664</v>
      </c>
      <c r="BL3" s="704" t="s">
        <v>665</v>
      </c>
      <c r="BM3" s="704" t="s">
        <v>666</v>
      </c>
      <c r="BN3" s="704" t="s">
        <v>673</v>
      </c>
      <c r="BO3" s="704" t="s">
        <v>674</v>
      </c>
      <c r="BP3" s="704" t="s">
        <v>675</v>
      </c>
      <c r="BQ3" s="704" t="s">
        <v>676</v>
      </c>
      <c r="BR3" s="704" t="s">
        <v>800</v>
      </c>
      <c r="BS3" s="704" t="s">
        <v>801</v>
      </c>
      <c r="BT3" s="704" t="s">
        <v>802</v>
      </c>
      <c r="BU3" s="704" t="s">
        <v>803</v>
      </c>
      <c r="BV3" s="704" t="s">
        <v>804</v>
      </c>
      <c r="BW3" s="704" t="s">
        <v>805</v>
      </c>
      <c r="BX3" s="704" t="s">
        <v>806</v>
      </c>
      <c r="BY3" s="704" t="s">
        <v>807</v>
      </c>
      <c r="BZ3" s="704" t="s">
        <v>808</v>
      </c>
      <c r="CA3" s="704" t="s">
        <v>677</v>
      </c>
      <c r="CB3" s="704" t="s">
        <v>563</v>
      </c>
      <c r="CC3" s="704" t="s">
        <v>678</v>
      </c>
      <c r="CD3" s="704" t="s">
        <v>679</v>
      </c>
      <c r="CE3" s="704" t="s">
        <v>809</v>
      </c>
      <c r="CF3" s="904" t="s">
        <v>364</v>
      </c>
      <c r="CG3" s="704" t="s">
        <v>670</v>
      </c>
      <c r="CH3" s="704" t="s">
        <v>671</v>
      </c>
      <c r="CI3" s="704" t="s">
        <v>672</v>
      </c>
      <c r="CJ3" s="704" t="s">
        <v>686</v>
      </c>
      <c r="CK3" s="704" t="s">
        <v>687</v>
      </c>
      <c r="CL3" s="704" t="s">
        <v>688</v>
      </c>
      <c r="CM3" s="704" t="s">
        <v>689</v>
      </c>
      <c r="CN3" s="704" t="s">
        <v>810</v>
      </c>
      <c r="CO3" s="704" t="s">
        <v>811</v>
      </c>
      <c r="CP3" s="704" t="s">
        <v>812</v>
      </c>
      <c r="CQ3" s="704" t="s">
        <v>813</v>
      </c>
      <c r="CR3" s="704" t="s">
        <v>814</v>
      </c>
      <c r="CS3" s="704" t="s">
        <v>815</v>
      </c>
      <c r="CT3" s="704" t="s">
        <v>816</v>
      </c>
      <c r="CU3" s="704" t="s">
        <v>817</v>
      </c>
      <c r="CV3" s="704" t="s">
        <v>818</v>
      </c>
      <c r="CW3" s="704" t="s">
        <v>690</v>
      </c>
      <c r="CX3" s="704" t="s">
        <v>567</v>
      </c>
      <c r="CY3" s="704" t="s">
        <v>691</v>
      </c>
      <c r="CZ3" s="704" t="s">
        <v>692</v>
      </c>
      <c r="DA3" s="704" t="s">
        <v>819</v>
      </c>
      <c r="DB3" s="704" t="s">
        <v>820</v>
      </c>
      <c r="DC3" s="704" t="s">
        <v>821</v>
      </c>
      <c r="DD3" s="704" t="s">
        <v>822</v>
      </c>
      <c r="DF3" s="894" t="s">
        <v>736</v>
      </c>
      <c r="DG3" s="714" t="s">
        <v>736</v>
      </c>
      <c r="DH3" s="714" t="s">
        <v>736</v>
      </c>
      <c r="DI3" s="714" t="s">
        <v>823</v>
      </c>
      <c r="DJ3" s="714" t="s">
        <v>823</v>
      </c>
      <c r="DK3" s="714" t="s">
        <v>823</v>
      </c>
      <c r="DL3" s="1583" t="s">
        <v>736</v>
      </c>
      <c r="DM3" s="714" t="s">
        <v>736</v>
      </c>
      <c r="DN3" s="714" t="s">
        <v>736</v>
      </c>
      <c r="DO3" s="714" t="s">
        <v>823</v>
      </c>
      <c r="DP3" s="1354"/>
      <c r="DQ3" s="714" t="s">
        <v>823</v>
      </c>
      <c r="DR3" s="714" t="s">
        <v>823</v>
      </c>
      <c r="DS3" s="784" t="s">
        <v>824</v>
      </c>
      <c r="DT3" s="714" t="s">
        <v>740</v>
      </c>
      <c r="DU3" s="715" t="s">
        <v>825</v>
      </c>
      <c r="DV3" s="714" t="s">
        <v>826</v>
      </c>
      <c r="DW3" s="715" t="s">
        <v>825</v>
      </c>
      <c r="DX3" s="714" t="s">
        <v>826</v>
      </c>
      <c r="DY3" s="715" t="s">
        <v>825</v>
      </c>
      <c r="DZ3" s="714" t="s">
        <v>826</v>
      </c>
      <c r="EA3" s="714" t="s">
        <v>38</v>
      </c>
      <c r="EB3" s="714" t="s">
        <v>102</v>
      </c>
      <c r="EG3" s="714" t="s">
        <v>736</v>
      </c>
      <c r="EJ3" s="714" t="s">
        <v>823</v>
      </c>
      <c r="EK3" s="784" t="s">
        <v>736</v>
      </c>
      <c r="EN3" s="714" t="s">
        <v>823</v>
      </c>
      <c r="EO3" s="784" t="s">
        <v>824</v>
      </c>
      <c r="EP3" s="714" t="s">
        <v>740</v>
      </c>
      <c r="EQ3" s="715" t="s">
        <v>825</v>
      </c>
      <c r="ER3" s="714" t="s">
        <v>826</v>
      </c>
      <c r="ES3" s="715" t="s">
        <v>825</v>
      </c>
      <c r="ET3" s="714" t="s">
        <v>826</v>
      </c>
      <c r="EU3" s="715" t="s">
        <v>825</v>
      </c>
      <c r="EV3" s="714" t="s">
        <v>826</v>
      </c>
      <c r="EW3" s="714" t="s">
        <v>38</v>
      </c>
      <c r="EX3" s="714" t="s">
        <v>102</v>
      </c>
    </row>
    <row r="4" spans="1:154">
      <c r="A4" s="708" t="s">
        <v>827</v>
      </c>
      <c r="C4" s="1233" t="s">
        <v>828</v>
      </c>
      <c r="D4" s="717">
        <v>1</v>
      </c>
      <c r="E4" s="717">
        <v>1</v>
      </c>
      <c r="F4" s="717">
        <v>1</v>
      </c>
      <c r="G4" s="717">
        <v>1</v>
      </c>
      <c r="H4" s="933">
        <v>1</v>
      </c>
      <c r="I4" s="933">
        <v>1</v>
      </c>
      <c r="J4" s="717">
        <v>1</v>
      </c>
      <c r="K4" s="717">
        <v>1</v>
      </c>
      <c r="L4" s="717">
        <v>1</v>
      </c>
      <c r="M4" s="717">
        <v>1</v>
      </c>
      <c r="N4" s="717">
        <v>1</v>
      </c>
      <c r="O4" s="717">
        <v>1</v>
      </c>
      <c r="P4" s="933">
        <v>1</v>
      </c>
      <c r="Q4" s="933">
        <v>1</v>
      </c>
      <c r="R4" s="717">
        <v>1</v>
      </c>
      <c r="S4" s="717">
        <v>1</v>
      </c>
      <c r="X4" s="717">
        <v>1</v>
      </c>
      <c r="Y4" s="717">
        <v>1</v>
      </c>
      <c r="Z4" s="933">
        <v>1</v>
      </c>
      <c r="AA4" s="933">
        <v>1</v>
      </c>
      <c r="AB4" s="717">
        <v>1</v>
      </c>
      <c r="AC4" s="717">
        <v>1</v>
      </c>
      <c r="AD4" s="933">
        <v>1</v>
      </c>
      <c r="AE4" s="933">
        <v>1</v>
      </c>
      <c r="AF4" s="933">
        <v>1</v>
      </c>
      <c r="AG4" s="933">
        <v>1</v>
      </c>
      <c r="AN4" s="718">
        <v>1</v>
      </c>
      <c r="AO4" s="717">
        <v>1</v>
      </c>
      <c r="AP4" s="717">
        <v>1</v>
      </c>
      <c r="AQ4" s="717">
        <v>1</v>
      </c>
      <c r="AR4" s="717">
        <v>1</v>
      </c>
      <c r="AS4" s="717">
        <v>1</v>
      </c>
      <c r="AT4" s="717">
        <v>1</v>
      </c>
      <c r="AU4" s="717">
        <v>1</v>
      </c>
      <c r="AV4" s="717">
        <v>1</v>
      </c>
      <c r="AW4" s="717">
        <v>1</v>
      </c>
      <c r="AX4" s="717">
        <v>1</v>
      </c>
      <c r="AY4" s="717">
        <v>1</v>
      </c>
      <c r="AZ4" s="717">
        <v>1</v>
      </c>
      <c r="BA4" s="717">
        <v>1</v>
      </c>
      <c r="BB4" s="717">
        <v>1</v>
      </c>
      <c r="BC4" s="717">
        <v>1</v>
      </c>
      <c r="BD4" s="717">
        <v>1</v>
      </c>
      <c r="BJ4" s="718">
        <v>1</v>
      </c>
      <c r="BK4" s="717">
        <v>1</v>
      </c>
      <c r="BL4" s="717">
        <v>1</v>
      </c>
      <c r="BM4" s="717">
        <v>1</v>
      </c>
      <c r="BN4" s="717">
        <v>1</v>
      </c>
      <c r="BO4" s="717">
        <v>1</v>
      </c>
      <c r="BP4" s="717">
        <v>1</v>
      </c>
      <c r="BQ4" s="717">
        <v>1</v>
      </c>
      <c r="BR4" s="717">
        <v>1</v>
      </c>
      <c r="BS4" s="717">
        <v>1</v>
      </c>
      <c r="BT4" s="717">
        <v>1</v>
      </c>
      <c r="BU4" s="717">
        <v>1</v>
      </c>
      <c r="BV4" s="717">
        <v>1</v>
      </c>
      <c r="BW4" s="717">
        <v>1</v>
      </c>
      <c r="BX4" s="717">
        <v>1</v>
      </c>
      <c r="BY4" s="717">
        <v>1</v>
      </c>
      <c r="BZ4" s="717">
        <v>1</v>
      </c>
      <c r="CF4" s="905">
        <v>1</v>
      </c>
      <c r="CG4" s="717">
        <v>1</v>
      </c>
      <c r="CH4" s="717">
        <v>1</v>
      </c>
      <c r="CI4" s="717">
        <v>1</v>
      </c>
      <c r="CJ4" s="717">
        <v>1</v>
      </c>
      <c r="CK4" s="717">
        <v>1</v>
      </c>
      <c r="CL4" s="717">
        <v>1</v>
      </c>
      <c r="CM4" s="717">
        <v>1</v>
      </c>
      <c r="CN4" s="717">
        <v>1</v>
      </c>
      <c r="CO4" s="717">
        <v>1</v>
      </c>
      <c r="CP4" s="717">
        <v>1</v>
      </c>
      <c r="CQ4" s="717">
        <v>1</v>
      </c>
      <c r="CR4" s="717">
        <v>1</v>
      </c>
      <c r="CS4" s="717">
        <v>1</v>
      </c>
      <c r="CT4" s="717">
        <v>1</v>
      </c>
      <c r="CU4" s="717">
        <v>1</v>
      </c>
      <c r="CV4" s="717">
        <v>1</v>
      </c>
      <c r="DF4" s="708">
        <f t="shared" ref="DF4:DO4" si="0">EG4</f>
        <v>0</v>
      </c>
      <c r="DG4" s="708">
        <f t="shared" si="0"/>
        <v>0</v>
      </c>
      <c r="DH4" s="708">
        <f t="shared" si="0"/>
        <v>0</v>
      </c>
      <c r="DI4" s="708">
        <f t="shared" si="0"/>
        <v>0</v>
      </c>
      <c r="DJ4" s="708">
        <f t="shared" si="0"/>
        <v>0</v>
      </c>
      <c r="DK4" s="708">
        <f t="shared" si="0"/>
        <v>0</v>
      </c>
      <c r="DL4" s="1584">
        <f t="shared" si="0"/>
        <v>0</v>
      </c>
      <c r="DM4" s="708">
        <f t="shared" si="0"/>
        <v>0</v>
      </c>
      <c r="DN4" s="708">
        <f t="shared" si="0"/>
        <v>0</v>
      </c>
      <c r="DO4" s="708">
        <f t="shared" si="0"/>
        <v>0</v>
      </c>
      <c r="DQ4" s="708">
        <f t="shared" ref="DQ4:DR7" si="1">EQ4</f>
        <v>0</v>
      </c>
      <c r="DR4" s="708">
        <f t="shared" si="1"/>
        <v>0</v>
      </c>
    </row>
    <row r="5" spans="1:154">
      <c r="C5" s="1233" t="s">
        <v>829</v>
      </c>
      <c r="D5" s="719"/>
      <c r="E5" s="719"/>
      <c r="F5" s="719"/>
      <c r="G5" s="719"/>
      <c r="H5" s="934"/>
      <c r="I5" s="934"/>
      <c r="J5" s="719"/>
      <c r="K5" s="719"/>
      <c r="L5" s="719"/>
      <c r="M5" s="719"/>
      <c r="N5" s="719"/>
      <c r="O5" s="719"/>
      <c r="P5" s="934"/>
      <c r="Q5" s="934"/>
      <c r="R5" s="719"/>
      <c r="S5" s="719"/>
      <c r="T5" s="717">
        <v>1</v>
      </c>
      <c r="U5" s="717">
        <v>1</v>
      </c>
      <c r="V5" s="717">
        <v>1</v>
      </c>
      <c r="W5" s="717">
        <v>1</v>
      </c>
      <c r="X5" s="719"/>
      <c r="Y5" s="719"/>
      <c r="Z5" s="934"/>
      <c r="AA5" s="934"/>
      <c r="AB5" s="719"/>
      <c r="AC5" s="719"/>
      <c r="AD5" s="934"/>
      <c r="AE5" s="934"/>
      <c r="AF5" s="934"/>
      <c r="AG5" s="934"/>
      <c r="AH5" s="717">
        <v>1</v>
      </c>
      <c r="AI5" s="717">
        <v>1</v>
      </c>
      <c r="BE5" s="717">
        <v>1</v>
      </c>
      <c r="BF5" s="717">
        <v>1</v>
      </c>
      <c r="BG5" s="717">
        <v>1</v>
      </c>
      <c r="BH5" s="717">
        <v>1</v>
      </c>
      <c r="BJ5" s="721"/>
      <c r="CA5" s="717">
        <v>1</v>
      </c>
      <c r="CB5" s="717">
        <v>1</v>
      </c>
      <c r="CC5" s="717">
        <v>1</v>
      </c>
      <c r="CD5" s="717">
        <v>1</v>
      </c>
      <c r="CF5" s="906"/>
      <c r="CW5" s="717">
        <v>1</v>
      </c>
      <c r="CX5" s="717">
        <v>1</v>
      </c>
      <c r="CY5" s="717">
        <v>1</v>
      </c>
      <c r="CZ5" s="717">
        <v>1</v>
      </c>
      <c r="DF5" s="708">
        <f t="shared" ref="DF5:DF30" si="2">EG5</f>
        <v>0</v>
      </c>
      <c r="DG5" s="708">
        <f t="shared" ref="DG5:DO7" si="3">EH5</f>
        <v>0</v>
      </c>
      <c r="DH5" s="708">
        <f t="shared" si="3"/>
        <v>0</v>
      </c>
      <c r="DI5" s="708">
        <f t="shared" si="3"/>
        <v>0</v>
      </c>
      <c r="DJ5" s="708">
        <f t="shared" si="3"/>
        <v>0</v>
      </c>
      <c r="DK5" s="708">
        <f t="shared" si="3"/>
        <v>0</v>
      </c>
      <c r="DL5" s="1584">
        <f t="shared" si="3"/>
        <v>0</v>
      </c>
      <c r="DM5" s="708">
        <f t="shared" si="3"/>
        <v>0</v>
      </c>
      <c r="DN5" s="708">
        <f t="shared" si="3"/>
        <v>0</v>
      </c>
      <c r="DO5" s="708">
        <f t="shared" si="3"/>
        <v>0</v>
      </c>
      <c r="DQ5" s="708">
        <f t="shared" si="1"/>
        <v>0</v>
      </c>
      <c r="DR5" s="708">
        <f t="shared" si="1"/>
        <v>0</v>
      </c>
    </row>
    <row r="6" spans="1:154">
      <c r="C6" s="1233" t="s">
        <v>830</v>
      </c>
      <c r="D6" s="719"/>
      <c r="E6" s="719"/>
      <c r="F6" s="719"/>
      <c r="G6" s="719"/>
      <c r="H6" s="934"/>
      <c r="I6" s="934"/>
      <c r="J6" s="719"/>
      <c r="K6" s="719"/>
      <c r="L6" s="719"/>
      <c r="M6" s="719"/>
      <c r="N6" s="719"/>
      <c r="O6" s="719"/>
      <c r="P6" s="934"/>
      <c r="Q6" s="934"/>
      <c r="R6" s="719"/>
      <c r="S6" s="719"/>
      <c r="T6" s="719"/>
      <c r="U6" s="719"/>
      <c r="V6" s="719"/>
      <c r="W6" s="719"/>
      <c r="X6" s="719"/>
      <c r="Y6" s="719"/>
      <c r="Z6" s="934"/>
      <c r="AA6" s="934"/>
      <c r="AB6" s="719"/>
      <c r="AC6" s="719"/>
      <c r="AD6" s="934"/>
      <c r="AE6" s="934"/>
      <c r="AF6" s="934"/>
      <c r="AG6" s="934"/>
      <c r="AH6" s="719"/>
      <c r="AI6" s="719"/>
      <c r="AJ6" s="717">
        <v>1</v>
      </c>
      <c r="AK6" s="717">
        <v>1</v>
      </c>
      <c r="AL6" s="717">
        <v>1</v>
      </c>
      <c r="AM6" s="717">
        <v>1</v>
      </c>
      <c r="AN6" s="707"/>
      <c r="AO6" s="719"/>
      <c r="AP6" s="719"/>
      <c r="AQ6" s="719"/>
      <c r="AR6" s="719"/>
      <c r="AS6" s="719"/>
      <c r="AT6" s="719"/>
      <c r="AU6" s="719"/>
      <c r="AV6" s="719"/>
      <c r="AW6" s="719"/>
      <c r="AX6" s="719"/>
      <c r="AY6" s="719"/>
      <c r="AZ6" s="719"/>
      <c r="BA6" s="719"/>
      <c r="BB6" s="719"/>
      <c r="BC6" s="719"/>
      <c r="BD6" s="719"/>
      <c r="BE6" s="719"/>
      <c r="BF6" s="719"/>
      <c r="BG6" s="719"/>
      <c r="BH6" s="719"/>
      <c r="BI6" s="717">
        <v>1</v>
      </c>
      <c r="BJ6" s="707"/>
      <c r="BK6" s="719"/>
      <c r="BL6" s="719"/>
      <c r="BM6" s="719"/>
      <c r="BN6" s="719"/>
      <c r="BO6" s="719"/>
      <c r="BP6" s="719"/>
      <c r="BQ6" s="719"/>
      <c r="BR6" s="719"/>
      <c r="BS6" s="719"/>
      <c r="BT6" s="719"/>
      <c r="BU6" s="719"/>
      <c r="BV6" s="719"/>
      <c r="BW6" s="719"/>
      <c r="BX6" s="719"/>
      <c r="BY6" s="719"/>
      <c r="BZ6" s="719"/>
      <c r="CA6" s="719"/>
      <c r="CB6" s="719"/>
      <c r="CC6" s="719"/>
      <c r="CD6" s="719"/>
      <c r="CE6" s="717">
        <v>1</v>
      </c>
      <c r="CF6" s="907"/>
      <c r="CG6" s="719"/>
      <c r="CH6" s="719"/>
      <c r="CI6" s="719"/>
      <c r="CJ6" s="719"/>
      <c r="CK6" s="719"/>
      <c r="CL6" s="719"/>
      <c r="CM6" s="719"/>
      <c r="CN6" s="719"/>
      <c r="CO6" s="719"/>
      <c r="CP6" s="719"/>
      <c r="CQ6" s="719"/>
      <c r="CR6" s="719"/>
      <c r="CS6" s="719"/>
      <c r="CT6" s="719"/>
      <c r="CU6" s="719"/>
      <c r="CV6" s="719"/>
      <c r="CW6" s="719"/>
      <c r="CX6" s="719"/>
      <c r="CY6" s="719"/>
      <c r="CZ6" s="719"/>
      <c r="DA6" s="717">
        <v>1</v>
      </c>
      <c r="DB6" s="717">
        <v>1</v>
      </c>
      <c r="DC6" s="717">
        <v>1</v>
      </c>
      <c r="DD6" s="717">
        <v>1</v>
      </c>
      <c r="DF6" s="708">
        <f t="shared" si="2"/>
        <v>0</v>
      </c>
      <c r="DG6" s="708">
        <f t="shared" si="3"/>
        <v>0</v>
      </c>
      <c r="DH6" s="708">
        <f t="shared" si="3"/>
        <v>0</v>
      </c>
      <c r="DI6" s="708">
        <f t="shared" si="3"/>
        <v>0</v>
      </c>
      <c r="DJ6" s="708">
        <f t="shared" si="3"/>
        <v>0</v>
      </c>
      <c r="DK6" s="708">
        <f t="shared" si="3"/>
        <v>0</v>
      </c>
      <c r="DL6" s="1584">
        <f t="shared" si="3"/>
        <v>0</v>
      </c>
      <c r="DM6" s="708">
        <f t="shared" si="3"/>
        <v>0</v>
      </c>
      <c r="DN6" s="708">
        <f t="shared" si="3"/>
        <v>0</v>
      </c>
      <c r="DO6" s="708">
        <f t="shared" si="3"/>
        <v>0</v>
      </c>
      <c r="DQ6" s="708">
        <f t="shared" si="1"/>
        <v>0</v>
      </c>
      <c r="DR6" s="708">
        <f t="shared" si="1"/>
        <v>0</v>
      </c>
    </row>
    <row r="7" spans="1:154">
      <c r="D7" s="719"/>
      <c r="E7" s="719"/>
      <c r="F7" s="719"/>
      <c r="G7" s="719"/>
      <c r="H7" s="934"/>
      <c r="I7" s="934"/>
      <c r="J7" s="719"/>
      <c r="K7" s="719"/>
      <c r="L7" s="719"/>
      <c r="M7" s="719"/>
      <c r="N7" s="719"/>
      <c r="O7" s="719"/>
      <c r="P7" s="934"/>
      <c r="Q7" s="934"/>
      <c r="R7" s="719"/>
      <c r="S7" s="719"/>
      <c r="T7" s="719"/>
      <c r="U7" s="719"/>
      <c r="V7" s="719"/>
      <c r="W7" s="719"/>
      <c r="X7" s="719"/>
      <c r="Y7" s="719"/>
      <c r="Z7" s="934"/>
      <c r="AA7" s="934"/>
      <c r="AB7" s="719"/>
      <c r="AC7" s="719"/>
      <c r="AD7" s="934"/>
      <c r="AE7" s="934"/>
      <c r="AF7" s="934"/>
      <c r="AG7" s="934"/>
      <c r="AH7" s="719"/>
      <c r="AI7" s="719"/>
      <c r="DF7" s="708">
        <f t="shared" si="2"/>
        <v>0</v>
      </c>
      <c r="DG7" s="708">
        <f t="shared" si="3"/>
        <v>0</v>
      </c>
      <c r="DH7" s="708">
        <f t="shared" si="3"/>
        <v>0</v>
      </c>
      <c r="DI7" s="708">
        <f t="shared" si="3"/>
        <v>0</v>
      </c>
      <c r="DJ7" s="708">
        <f t="shared" si="3"/>
        <v>0</v>
      </c>
      <c r="DK7" s="708">
        <f t="shared" si="3"/>
        <v>0</v>
      </c>
      <c r="DL7" s="1584">
        <f t="shared" si="3"/>
        <v>0</v>
      </c>
      <c r="DM7" s="708">
        <f t="shared" si="3"/>
        <v>0</v>
      </c>
      <c r="DN7" s="708">
        <f t="shared" si="3"/>
        <v>0</v>
      </c>
      <c r="DO7" s="708">
        <f t="shared" si="3"/>
        <v>0</v>
      </c>
      <c r="DQ7" s="708">
        <f t="shared" si="1"/>
        <v>0</v>
      </c>
      <c r="DR7" s="708">
        <f t="shared" si="1"/>
        <v>0</v>
      </c>
    </row>
    <row r="8" spans="1:154" s="723" customFormat="1">
      <c r="A8" s="723" t="s">
        <v>831</v>
      </c>
      <c r="B8" s="724" t="s">
        <v>832</v>
      </c>
      <c r="C8" s="1236" t="s">
        <v>647</v>
      </c>
      <c r="D8" s="725">
        <v>3</v>
      </c>
      <c r="E8" s="725">
        <v>3</v>
      </c>
      <c r="F8" s="726" t="s">
        <v>833</v>
      </c>
      <c r="H8" s="935"/>
      <c r="I8" s="935"/>
      <c r="L8" s="725">
        <v>3</v>
      </c>
      <c r="M8" s="725">
        <v>3</v>
      </c>
      <c r="N8" s="726" t="s">
        <v>833</v>
      </c>
      <c r="P8" s="935"/>
      <c r="Q8" s="935"/>
      <c r="X8" s="725">
        <v>3</v>
      </c>
      <c r="Y8" s="725">
        <v>3</v>
      </c>
      <c r="Z8" s="941" t="s">
        <v>833</v>
      </c>
      <c r="AA8" s="935"/>
      <c r="AD8" s="935"/>
      <c r="AE8" s="935"/>
      <c r="AF8" s="935"/>
      <c r="AG8" s="935"/>
      <c r="AN8" s="727">
        <v>3</v>
      </c>
      <c r="AO8" s="725">
        <v>3</v>
      </c>
      <c r="AP8" s="725">
        <v>3</v>
      </c>
      <c r="AQ8" s="725">
        <v>3</v>
      </c>
      <c r="AR8" s="725">
        <v>3</v>
      </c>
      <c r="BJ8" s="727">
        <v>3</v>
      </c>
      <c r="BK8" s="725">
        <v>3</v>
      </c>
      <c r="BL8" s="725">
        <v>3</v>
      </c>
      <c r="BM8" s="725">
        <v>3</v>
      </c>
      <c r="BN8" s="725">
        <v>3</v>
      </c>
      <c r="CF8" s="909">
        <v>3</v>
      </c>
      <c r="CG8" s="725">
        <v>3</v>
      </c>
      <c r="CH8" s="725">
        <v>3</v>
      </c>
      <c r="CI8" s="725">
        <v>3</v>
      </c>
      <c r="CJ8" s="725">
        <v>3</v>
      </c>
      <c r="DF8" s="808"/>
      <c r="DG8" s="808"/>
      <c r="DH8" s="808"/>
      <c r="DI8" s="808"/>
      <c r="DL8" s="1585"/>
      <c r="DM8" s="895"/>
      <c r="DN8" s="895"/>
      <c r="DO8" s="895"/>
      <c r="DP8" s="1355"/>
      <c r="DS8" s="797"/>
      <c r="DT8" s="805"/>
      <c r="DU8" s="797" t="s">
        <v>459</v>
      </c>
      <c r="DV8" s="797">
        <f>(1-DT8)</f>
        <v>1</v>
      </c>
      <c r="DW8" s="797"/>
      <c r="DX8" s="797"/>
      <c r="DY8" s="797"/>
      <c r="DZ8" s="797"/>
      <c r="EA8" s="806">
        <v>1</v>
      </c>
      <c r="EB8" s="797"/>
      <c r="EC8" s="723" t="s">
        <v>834</v>
      </c>
      <c r="EG8" s="728">
        <v>60</v>
      </c>
      <c r="EH8" s="728"/>
      <c r="EI8" s="728"/>
      <c r="EJ8" s="728">
        <f>EG8*2%</f>
        <v>1.2</v>
      </c>
      <c r="EK8" s="728">
        <f>EG8*$DT$2/$DT$1</f>
        <v>41.427517331319933</v>
      </c>
      <c r="EL8" s="728"/>
      <c r="EM8" s="728"/>
      <c r="EN8" s="728">
        <f>EK8*2%</f>
        <v>0.8285503466263987</v>
      </c>
      <c r="EO8" s="785">
        <v>30</v>
      </c>
      <c r="EP8" s="728">
        <v>0.98</v>
      </c>
      <c r="EQ8" s="729" t="s">
        <v>459</v>
      </c>
      <c r="ER8" s="730">
        <f>1+(1-EP8)</f>
        <v>1.02</v>
      </c>
      <c r="EW8" s="731">
        <v>1</v>
      </c>
    </row>
    <row r="9" spans="1:154" s="723" customFormat="1" ht="13.25">
      <c r="A9" s="723" t="s">
        <v>835</v>
      </c>
      <c r="B9" s="724"/>
      <c r="C9" s="1236" t="s">
        <v>648</v>
      </c>
      <c r="F9" s="725">
        <v>2</v>
      </c>
      <c r="G9" s="725">
        <v>2</v>
      </c>
      <c r="H9" s="935"/>
      <c r="I9" s="935"/>
      <c r="N9" s="725">
        <v>2</v>
      </c>
      <c r="O9" s="725">
        <v>2</v>
      </c>
      <c r="P9" s="935"/>
      <c r="Q9" s="935"/>
      <c r="Z9" s="933">
        <v>2</v>
      </c>
      <c r="AA9" s="933">
        <v>2</v>
      </c>
      <c r="AD9" s="935"/>
      <c r="AE9" s="935"/>
      <c r="AF9" s="935"/>
      <c r="AG9" s="935"/>
      <c r="AN9" s="732"/>
      <c r="AS9" s="725">
        <v>2</v>
      </c>
      <c r="AT9" s="725">
        <v>2</v>
      </c>
      <c r="AU9" s="725">
        <v>2</v>
      </c>
      <c r="AV9" s="725">
        <v>2</v>
      </c>
      <c r="BJ9" s="732"/>
      <c r="BO9" s="725">
        <v>2</v>
      </c>
      <c r="BP9" s="725">
        <v>2</v>
      </c>
      <c r="BQ9" s="725">
        <v>2</v>
      </c>
      <c r="BR9" s="725">
        <v>2</v>
      </c>
      <c r="CF9" s="910"/>
      <c r="CK9" s="725">
        <v>2</v>
      </c>
      <c r="CL9" s="725">
        <v>2</v>
      </c>
      <c r="CM9" s="725">
        <v>2</v>
      </c>
      <c r="CN9" s="725">
        <v>2</v>
      </c>
      <c r="DF9" s="808"/>
      <c r="DG9" s="808"/>
      <c r="DH9" s="808"/>
      <c r="DI9" s="808"/>
      <c r="DL9" s="1585"/>
      <c r="DM9" s="895"/>
      <c r="DN9" s="895"/>
      <c r="DO9" s="895"/>
      <c r="DP9" s="1355"/>
      <c r="DS9" s="797"/>
      <c r="DT9" s="805"/>
      <c r="DU9" s="797" t="s">
        <v>459</v>
      </c>
      <c r="DV9" s="797">
        <f t="shared" ref="DV9:DV12" si="4">(1-DT9)</f>
        <v>1</v>
      </c>
      <c r="DW9" s="797"/>
      <c r="DX9" s="797"/>
      <c r="DY9" s="797"/>
      <c r="DZ9" s="797"/>
      <c r="EA9" s="806">
        <v>0.98</v>
      </c>
      <c r="EB9" s="797"/>
      <c r="EG9" s="728">
        <v>5320</v>
      </c>
      <c r="EH9" s="728"/>
      <c r="EI9" s="728"/>
      <c r="EJ9" s="728">
        <f>EG9*1%</f>
        <v>53.2</v>
      </c>
      <c r="EK9" s="728">
        <f t="shared" ref="EK9:EK12" si="5">EG9*$DT$2/$DT$1</f>
        <v>3673.2398700437006</v>
      </c>
      <c r="EL9" s="728"/>
      <c r="EM9" s="728"/>
      <c r="EN9" s="728">
        <f>EK9*1%</f>
        <v>36.73239870043701</v>
      </c>
      <c r="EO9" s="785">
        <v>30</v>
      </c>
      <c r="EP9" s="728">
        <v>0.97</v>
      </c>
      <c r="EQ9" s="729" t="s">
        <v>459</v>
      </c>
      <c r="ER9" s="730">
        <f t="shared" ref="ER9:ER12" si="6">1+(1-EP9)</f>
        <v>1.03</v>
      </c>
      <c r="EW9" s="731">
        <v>0.98</v>
      </c>
    </row>
    <row r="10" spans="1:154" s="723" customFormat="1" ht="13.25">
      <c r="B10" s="724"/>
      <c r="C10" s="1236" t="s">
        <v>649</v>
      </c>
      <c r="H10" s="933">
        <v>2</v>
      </c>
      <c r="I10" s="933">
        <v>2</v>
      </c>
      <c r="P10" s="933">
        <v>2</v>
      </c>
      <c r="Q10" s="933">
        <v>2</v>
      </c>
      <c r="Z10" s="935"/>
      <c r="AA10" s="935"/>
      <c r="AB10" s="725">
        <v>2</v>
      </c>
      <c r="AC10" s="725">
        <v>2</v>
      </c>
      <c r="AD10" s="935"/>
      <c r="AE10" s="935"/>
      <c r="AF10" s="935"/>
      <c r="AG10" s="935"/>
      <c r="AN10" s="732"/>
      <c r="AW10" s="725">
        <v>2</v>
      </c>
      <c r="AX10" s="725">
        <v>2</v>
      </c>
      <c r="AY10" s="725">
        <v>2</v>
      </c>
      <c r="AZ10" s="725">
        <v>2</v>
      </c>
      <c r="BJ10" s="732"/>
      <c r="BS10" s="725">
        <v>2</v>
      </c>
      <c r="BT10" s="725">
        <v>2</v>
      </c>
      <c r="BU10" s="725">
        <v>2</v>
      </c>
      <c r="BV10" s="725">
        <v>2</v>
      </c>
      <c r="CF10" s="910"/>
      <c r="CO10" s="725">
        <v>2</v>
      </c>
      <c r="CP10" s="725">
        <v>2</v>
      </c>
      <c r="CQ10" s="725">
        <v>2</v>
      </c>
      <c r="CR10" s="725">
        <v>2</v>
      </c>
      <c r="DF10" s="808"/>
      <c r="DG10" s="808"/>
      <c r="DH10" s="808"/>
      <c r="DI10" s="808"/>
      <c r="DL10" s="1585"/>
      <c r="DM10" s="895"/>
      <c r="DN10" s="895"/>
      <c r="DO10" s="895"/>
      <c r="DP10" s="1355"/>
      <c r="DS10" s="797"/>
      <c r="DT10" s="805"/>
      <c r="DU10" s="797" t="s">
        <v>459</v>
      </c>
      <c r="DV10" s="797">
        <f t="shared" si="4"/>
        <v>1</v>
      </c>
      <c r="DW10" s="797"/>
      <c r="DX10" s="797"/>
      <c r="DY10" s="797"/>
      <c r="DZ10" s="797"/>
      <c r="EA10" s="806">
        <v>0.98</v>
      </c>
      <c r="EB10" s="797"/>
      <c r="EG10" s="728">
        <v>1550</v>
      </c>
      <c r="EH10" s="728"/>
      <c r="EI10" s="728"/>
      <c r="EJ10" s="728">
        <f>EG10*4.3%</f>
        <v>66.649999999999991</v>
      </c>
      <c r="EK10" s="728">
        <f t="shared" si="5"/>
        <v>1070.2108643924316</v>
      </c>
      <c r="EL10" s="728"/>
      <c r="EM10" s="728"/>
      <c r="EN10" s="728">
        <f>EK10*4.3%</f>
        <v>46.019067168874557</v>
      </c>
      <c r="EO10" s="785">
        <v>25</v>
      </c>
      <c r="EP10" s="728">
        <v>0.95</v>
      </c>
      <c r="EQ10" s="729" t="s">
        <v>459</v>
      </c>
      <c r="ER10" s="730">
        <f t="shared" si="6"/>
        <v>1.05</v>
      </c>
      <c r="EW10" s="733">
        <v>0.98</v>
      </c>
    </row>
    <row r="11" spans="1:154" s="723" customFormat="1" ht="13.25">
      <c r="B11" s="724"/>
      <c r="C11" s="1236" t="s">
        <v>650</v>
      </c>
      <c r="H11" s="935"/>
      <c r="I11" s="935"/>
      <c r="J11" s="725">
        <v>2</v>
      </c>
      <c r="K11" s="725">
        <v>2</v>
      </c>
      <c r="P11" s="935"/>
      <c r="Q11" s="935"/>
      <c r="R11" s="725">
        <v>2</v>
      </c>
      <c r="S11" s="725">
        <v>2</v>
      </c>
      <c r="Z11" s="935"/>
      <c r="AA11" s="935"/>
      <c r="AD11" s="933">
        <v>2</v>
      </c>
      <c r="AE11" s="933">
        <v>2</v>
      </c>
      <c r="AF11" s="935"/>
      <c r="AG11" s="935"/>
      <c r="AN11" s="732"/>
      <c r="BA11" s="725">
        <v>2</v>
      </c>
      <c r="BB11" s="725">
        <v>2</v>
      </c>
      <c r="BC11" s="725">
        <v>2</v>
      </c>
      <c r="BD11" s="725">
        <v>2</v>
      </c>
      <c r="BJ11" s="732"/>
      <c r="BW11" s="725">
        <v>2</v>
      </c>
      <c r="BX11" s="725">
        <v>2</v>
      </c>
      <c r="BY11" s="725">
        <v>2</v>
      </c>
      <c r="BZ11" s="725">
        <v>2</v>
      </c>
      <c r="CF11" s="910"/>
      <c r="CS11" s="725">
        <v>2</v>
      </c>
      <c r="CT11" s="725">
        <v>2</v>
      </c>
      <c r="CU11" s="725">
        <v>2</v>
      </c>
      <c r="CV11" s="725">
        <v>2</v>
      </c>
      <c r="DF11" s="807"/>
      <c r="DG11" s="807"/>
      <c r="DH11" s="807"/>
      <c r="DI11" s="807"/>
      <c r="DL11" s="1586"/>
      <c r="DM11" s="896"/>
      <c r="DN11" s="896"/>
      <c r="DO11" s="896"/>
      <c r="DP11" s="1356"/>
      <c r="DS11" s="797"/>
      <c r="DT11" s="805"/>
      <c r="DU11" s="797" t="s">
        <v>459</v>
      </c>
      <c r="DV11" s="797">
        <f t="shared" si="4"/>
        <v>1</v>
      </c>
      <c r="DW11" s="797"/>
      <c r="DX11" s="797"/>
      <c r="DY11" s="797"/>
      <c r="DZ11" s="797"/>
      <c r="EA11" s="806">
        <v>0.98</v>
      </c>
      <c r="EB11" s="797"/>
      <c r="EG11" s="734">
        <f>EG10</f>
        <v>1550</v>
      </c>
      <c r="EH11" s="734"/>
      <c r="EI11" s="734"/>
      <c r="EJ11" s="734">
        <f>EJ10</f>
        <v>66.649999999999991</v>
      </c>
      <c r="EK11" s="734">
        <f t="shared" si="5"/>
        <v>1070.2108643924316</v>
      </c>
      <c r="EL11" s="734"/>
      <c r="EM11" s="734"/>
      <c r="EN11" s="734">
        <f>EN10</f>
        <v>46.019067168874557</v>
      </c>
      <c r="EO11" s="785">
        <v>25</v>
      </c>
      <c r="EP11" s="728">
        <v>0.85599999999999998</v>
      </c>
      <c r="EQ11" s="729" t="s">
        <v>459</v>
      </c>
      <c r="ER11" s="730">
        <f t="shared" si="6"/>
        <v>1.1440000000000001</v>
      </c>
      <c r="EW11" s="733">
        <v>0.98</v>
      </c>
    </row>
    <row r="12" spans="1:154" s="723" customFormat="1">
      <c r="B12" s="724"/>
      <c r="C12" s="1236" t="s">
        <v>651</v>
      </c>
      <c r="H12" s="935"/>
      <c r="I12" s="935"/>
      <c r="P12" s="935"/>
      <c r="Q12" s="935"/>
      <c r="T12" s="725">
        <v>2</v>
      </c>
      <c r="U12" s="725">
        <v>2</v>
      </c>
      <c r="V12" s="725">
        <v>2</v>
      </c>
      <c r="W12" s="725">
        <v>2</v>
      </c>
      <c r="Z12" s="935"/>
      <c r="AA12" s="935"/>
      <c r="AD12" s="935"/>
      <c r="AE12" s="935"/>
      <c r="AF12" s="933">
        <v>2</v>
      </c>
      <c r="AG12" s="933">
        <v>2</v>
      </c>
      <c r="AN12" s="732"/>
      <c r="BE12" s="725">
        <v>2</v>
      </c>
      <c r="BF12" s="725">
        <v>2</v>
      </c>
      <c r="BG12" s="725">
        <v>2</v>
      </c>
      <c r="BH12" s="725">
        <v>2</v>
      </c>
      <c r="BI12" s="725">
        <v>2</v>
      </c>
      <c r="BJ12" s="732"/>
      <c r="CA12" s="725">
        <v>2</v>
      </c>
      <c r="CB12" s="725">
        <v>2</v>
      </c>
      <c r="CC12" s="725">
        <v>2</v>
      </c>
      <c r="CD12" s="725">
        <v>2</v>
      </c>
      <c r="CE12" s="725">
        <v>2</v>
      </c>
      <c r="CF12" s="910"/>
      <c r="CW12" s="725">
        <v>2</v>
      </c>
      <c r="CX12" s="725">
        <v>2</v>
      </c>
      <c r="CY12" s="725">
        <v>2</v>
      </c>
      <c r="CZ12" s="725">
        <v>2</v>
      </c>
      <c r="DA12" s="725">
        <v>2</v>
      </c>
      <c r="DB12" s="725">
        <v>2</v>
      </c>
      <c r="DC12" s="725">
        <v>2</v>
      </c>
      <c r="DD12" s="725">
        <v>2</v>
      </c>
      <c r="DF12" s="808"/>
      <c r="DG12" s="808"/>
      <c r="DH12" s="808"/>
      <c r="DI12" s="808"/>
      <c r="DL12" s="1585"/>
      <c r="DM12" s="895"/>
      <c r="DN12" s="895"/>
      <c r="DO12" s="895"/>
      <c r="DP12" s="1355"/>
      <c r="DS12" s="797"/>
      <c r="DT12" s="805"/>
      <c r="DU12" s="797" t="s">
        <v>459</v>
      </c>
      <c r="DV12" s="797">
        <f t="shared" si="4"/>
        <v>1</v>
      </c>
      <c r="DW12" s="797"/>
      <c r="DX12" s="797"/>
      <c r="DY12" s="797"/>
      <c r="DZ12" s="797"/>
      <c r="EA12" s="806">
        <v>0.98</v>
      </c>
      <c r="EB12" s="797"/>
      <c r="EG12" s="728">
        <v>5320</v>
      </c>
      <c r="EH12" s="728"/>
      <c r="EI12" s="728"/>
      <c r="EJ12" s="728">
        <f>EG12*1%</f>
        <v>53.2</v>
      </c>
      <c r="EK12" s="728">
        <f t="shared" si="5"/>
        <v>3673.2398700437006</v>
      </c>
      <c r="EL12" s="728"/>
      <c r="EM12" s="728"/>
      <c r="EN12" s="728">
        <f>EK12*1%</f>
        <v>36.73239870043701</v>
      </c>
      <c r="EO12" s="785">
        <v>30</v>
      </c>
      <c r="EP12" s="728">
        <v>0.97</v>
      </c>
      <c r="EQ12" s="729" t="s">
        <v>459</v>
      </c>
      <c r="ER12" s="730">
        <f t="shared" si="6"/>
        <v>1.03</v>
      </c>
      <c r="EW12" s="731">
        <v>0.98</v>
      </c>
    </row>
    <row r="13" spans="1:154" s="723" customFormat="1">
      <c r="B13" s="724"/>
      <c r="C13" s="1236"/>
      <c r="H13" s="935"/>
      <c r="I13" s="935"/>
      <c r="P13" s="935"/>
      <c r="Q13" s="935"/>
      <c r="Z13" s="935"/>
      <c r="AA13" s="935"/>
      <c r="AD13" s="935"/>
      <c r="AE13" s="935"/>
      <c r="AF13" s="935"/>
      <c r="AG13" s="935"/>
      <c r="AN13" s="732"/>
      <c r="BJ13" s="732"/>
      <c r="CF13" s="910"/>
      <c r="DF13" s="723">
        <f t="shared" si="2"/>
        <v>0</v>
      </c>
      <c r="DG13" s="723">
        <f t="shared" ref="DG13:DI18" si="7">EH13</f>
        <v>0</v>
      </c>
      <c r="DH13" s="723">
        <f t="shared" si="7"/>
        <v>0</v>
      </c>
      <c r="DI13" s="723">
        <f t="shared" si="7"/>
        <v>0</v>
      </c>
      <c r="DL13" s="1587"/>
      <c r="DP13" s="810"/>
      <c r="DS13" s="797"/>
      <c r="DT13" s="797"/>
      <c r="DU13" s="797"/>
      <c r="DV13" s="797"/>
      <c r="DW13" s="797"/>
      <c r="DX13" s="797"/>
      <c r="DY13" s="797"/>
      <c r="DZ13" s="797"/>
      <c r="EA13" s="797"/>
      <c r="EB13" s="797"/>
    </row>
    <row r="14" spans="1:154" s="723" customFormat="1">
      <c r="C14" s="1236"/>
      <c r="H14" s="935"/>
      <c r="I14" s="935"/>
      <c r="P14" s="935"/>
      <c r="Q14" s="935"/>
      <c r="Z14" s="935"/>
      <c r="AA14" s="935"/>
      <c r="AD14" s="935"/>
      <c r="AE14" s="935"/>
      <c r="AF14" s="935"/>
      <c r="AG14" s="935"/>
      <c r="AN14" s="732"/>
      <c r="BJ14" s="732"/>
      <c r="CF14" s="910"/>
      <c r="DF14" s="723">
        <f t="shared" si="2"/>
        <v>0</v>
      </c>
      <c r="DG14" s="723">
        <f t="shared" si="7"/>
        <v>0</v>
      </c>
      <c r="DH14" s="723">
        <f t="shared" si="7"/>
        <v>0</v>
      </c>
      <c r="DI14" s="723">
        <f t="shared" si="7"/>
        <v>0</v>
      </c>
      <c r="DL14" s="1587"/>
      <c r="DP14" s="810"/>
      <c r="DS14" s="797"/>
      <c r="DT14" s="797"/>
      <c r="DU14" s="797"/>
      <c r="DV14" s="797"/>
      <c r="DW14" s="797"/>
      <c r="DX14" s="797"/>
      <c r="DY14" s="797"/>
      <c r="DZ14" s="797"/>
      <c r="EA14" s="797"/>
      <c r="EB14" s="797"/>
    </row>
    <row r="15" spans="1:154" s="723" customFormat="1">
      <c r="C15" s="1236"/>
      <c r="H15" s="935"/>
      <c r="I15" s="935"/>
      <c r="P15" s="935"/>
      <c r="Q15" s="935"/>
      <c r="Z15" s="935"/>
      <c r="AA15" s="935"/>
      <c r="AD15" s="935"/>
      <c r="AE15" s="935"/>
      <c r="AF15" s="935"/>
      <c r="AG15" s="935"/>
      <c r="AN15" s="732"/>
      <c r="BJ15" s="732"/>
      <c r="CF15" s="910"/>
      <c r="DF15" s="723">
        <f t="shared" si="2"/>
        <v>0</v>
      </c>
      <c r="DG15" s="723">
        <f t="shared" si="7"/>
        <v>0</v>
      </c>
      <c r="DH15" s="723">
        <f t="shared" si="7"/>
        <v>0</v>
      </c>
      <c r="DI15" s="723">
        <f t="shared" si="7"/>
        <v>0</v>
      </c>
      <c r="DL15" s="1587"/>
      <c r="DP15" s="810"/>
      <c r="DS15" s="797"/>
      <c r="DT15" s="797"/>
      <c r="DU15" s="797"/>
      <c r="DV15" s="797"/>
      <c r="DW15" s="797"/>
      <c r="DX15" s="797"/>
      <c r="DY15" s="797"/>
      <c r="DZ15" s="797"/>
      <c r="EA15" s="797"/>
      <c r="EB15" s="797"/>
    </row>
    <row r="16" spans="1:154" ht="4.5" customHeight="1">
      <c r="C16" s="1237"/>
      <c r="D16" s="719"/>
      <c r="E16" s="719"/>
      <c r="F16" s="719"/>
      <c r="G16" s="719"/>
      <c r="H16" s="934"/>
      <c r="I16" s="934"/>
      <c r="J16" s="719"/>
      <c r="K16" s="719"/>
      <c r="L16" s="719"/>
      <c r="M16" s="719"/>
      <c r="N16" s="719"/>
      <c r="O16" s="719"/>
      <c r="P16" s="934"/>
      <c r="Q16" s="934"/>
      <c r="R16" s="719"/>
      <c r="S16" s="719"/>
      <c r="T16" s="719"/>
      <c r="U16" s="719"/>
      <c r="V16" s="719"/>
      <c r="W16" s="719"/>
      <c r="X16" s="719"/>
      <c r="Y16" s="719"/>
      <c r="Z16" s="934"/>
      <c r="AA16" s="934"/>
      <c r="AB16" s="719"/>
      <c r="AC16" s="719"/>
      <c r="AD16" s="934"/>
      <c r="AE16" s="934"/>
      <c r="AF16" s="934"/>
      <c r="AG16" s="934"/>
      <c r="AH16" s="719"/>
      <c r="AI16" s="719"/>
      <c r="DF16" s="708">
        <f t="shared" si="2"/>
        <v>0</v>
      </c>
      <c r="DG16" s="708">
        <f t="shared" si="7"/>
        <v>0</v>
      </c>
      <c r="DH16" s="708">
        <f t="shared" si="7"/>
        <v>0</v>
      </c>
      <c r="DI16" s="708">
        <f t="shared" si="7"/>
        <v>0</v>
      </c>
      <c r="DL16" s="1584"/>
      <c r="DS16" s="758"/>
      <c r="DT16" s="758"/>
      <c r="DU16" s="758"/>
      <c r="DV16" s="758"/>
      <c r="DW16" s="758"/>
      <c r="DX16" s="758"/>
      <c r="DY16" s="758"/>
      <c r="DZ16" s="758"/>
      <c r="EA16" s="758"/>
      <c r="EB16" s="758"/>
    </row>
    <row r="17" spans="1:211">
      <c r="A17" s="735"/>
      <c r="B17" s="735"/>
      <c r="C17" s="1238" t="s">
        <v>836</v>
      </c>
      <c r="D17" s="735"/>
      <c r="E17" s="735"/>
      <c r="F17" s="735"/>
      <c r="G17" s="735"/>
      <c r="H17" s="936"/>
      <c r="I17" s="936"/>
      <c r="J17" s="735"/>
      <c r="K17" s="735"/>
      <c r="L17" s="735"/>
      <c r="M17" s="735"/>
      <c r="N17" s="735"/>
      <c r="O17" s="735"/>
      <c r="P17" s="936"/>
      <c r="Q17" s="936"/>
      <c r="R17" s="735"/>
      <c r="S17" s="735"/>
      <c r="T17" s="735"/>
      <c r="U17" s="735"/>
      <c r="V17" s="735"/>
      <c r="W17" s="735"/>
      <c r="X17" s="735"/>
      <c r="Y17" s="735"/>
      <c r="Z17" s="936"/>
      <c r="AA17" s="936"/>
      <c r="AB17" s="735"/>
      <c r="AC17" s="735"/>
      <c r="AD17" s="936"/>
      <c r="AE17" s="936"/>
      <c r="AF17" s="936"/>
      <c r="AG17" s="936"/>
      <c r="AH17" s="735"/>
      <c r="AI17" s="735"/>
      <c r="AJ17" s="735"/>
      <c r="AK17" s="735"/>
      <c r="AL17" s="735"/>
      <c r="AM17" s="735"/>
      <c r="AN17" s="736"/>
      <c r="AO17" s="735"/>
      <c r="AP17" s="735"/>
      <c r="AQ17" s="735"/>
      <c r="AR17" s="735"/>
      <c r="AS17" s="735"/>
      <c r="AT17" s="735"/>
      <c r="AU17" s="735"/>
      <c r="AV17" s="735"/>
      <c r="AW17" s="735"/>
      <c r="AX17" s="735"/>
      <c r="AY17" s="735"/>
      <c r="AZ17" s="735"/>
      <c r="BA17" s="735"/>
      <c r="BB17" s="735"/>
      <c r="BC17" s="735"/>
      <c r="BD17" s="735"/>
      <c r="BE17" s="735"/>
      <c r="BF17" s="735"/>
      <c r="BG17" s="735"/>
      <c r="BH17" s="735"/>
      <c r="BI17" s="735"/>
      <c r="BJ17" s="736"/>
      <c r="BK17" s="735"/>
      <c r="BL17" s="735"/>
      <c r="BM17" s="735"/>
      <c r="BN17" s="735"/>
      <c r="BO17" s="735"/>
      <c r="BP17" s="735"/>
      <c r="BQ17" s="735"/>
      <c r="BR17" s="735"/>
      <c r="BS17" s="735"/>
      <c r="BT17" s="735"/>
      <c r="BU17" s="735"/>
      <c r="BV17" s="735"/>
      <c r="BW17" s="735"/>
      <c r="BX17" s="735"/>
      <c r="BY17" s="735"/>
      <c r="BZ17" s="735"/>
      <c r="CA17" s="735"/>
      <c r="CB17" s="735"/>
      <c r="CC17" s="735"/>
      <c r="CD17" s="735"/>
      <c r="CE17" s="735"/>
      <c r="CF17" s="911"/>
      <c r="CG17" s="735"/>
      <c r="CH17" s="735"/>
      <c r="CI17" s="735"/>
      <c r="CJ17" s="735"/>
      <c r="CK17" s="735"/>
      <c r="CL17" s="735"/>
      <c r="CM17" s="735"/>
      <c r="CN17" s="735"/>
      <c r="CO17" s="735"/>
      <c r="CP17" s="735"/>
      <c r="CQ17" s="735"/>
      <c r="CR17" s="735"/>
      <c r="CS17" s="735"/>
      <c r="CT17" s="735"/>
      <c r="CU17" s="735"/>
      <c r="CV17" s="735"/>
      <c r="CW17" s="735"/>
      <c r="CX17" s="735"/>
      <c r="CY17" s="735"/>
      <c r="CZ17" s="735"/>
      <c r="DA17" s="735"/>
      <c r="DB17" s="735"/>
      <c r="DC17" s="735"/>
      <c r="DD17" s="735"/>
      <c r="DE17" s="735"/>
      <c r="DF17" s="805">
        <f t="shared" si="2"/>
        <v>0.64</v>
      </c>
      <c r="DG17" s="737">
        <f t="shared" si="7"/>
        <v>0</v>
      </c>
      <c r="DH17" s="737">
        <f t="shared" si="7"/>
        <v>0</v>
      </c>
      <c r="DI17" s="805">
        <f t="shared" si="7"/>
        <v>1.1200000000000002E-2</v>
      </c>
      <c r="DJ17" s="735"/>
      <c r="DK17" s="735"/>
      <c r="DL17" s="1588"/>
      <c r="DM17" s="737"/>
      <c r="DN17" s="737"/>
      <c r="DO17" s="805">
        <f t="shared" ref="DO17:DO23" si="8">DI17*$DT$2/$DT$1</f>
        <v>7.733136568513055E-3</v>
      </c>
      <c r="DP17" s="809"/>
      <c r="DQ17" s="737">
        <f t="shared" ref="DQ17:DQ23" si="9">DO17</f>
        <v>7.733136568513055E-3</v>
      </c>
      <c r="DR17" s="737">
        <f>DQ17</f>
        <v>7.733136568513055E-3</v>
      </c>
      <c r="DS17" s="812">
        <f t="shared" ref="DS17:EB32" si="10">EO17</f>
        <v>30</v>
      </c>
      <c r="DT17" s="812">
        <f t="shared" si="10"/>
        <v>0</v>
      </c>
      <c r="DU17" s="812">
        <f t="shared" si="10"/>
        <v>0</v>
      </c>
      <c r="DV17" s="812">
        <f t="shared" si="10"/>
        <v>0</v>
      </c>
      <c r="DW17" s="812" t="str">
        <f t="shared" si="10"/>
        <v>Electricity</v>
      </c>
      <c r="DX17" s="812">
        <f t="shared" si="10"/>
        <v>9.5930232558139542E-3</v>
      </c>
      <c r="DY17" s="812" t="str">
        <f t="shared" si="10"/>
        <v>GN</v>
      </c>
      <c r="DZ17" s="812">
        <f t="shared" si="10"/>
        <v>1</v>
      </c>
      <c r="EA17" s="812">
        <f t="shared" si="10"/>
        <v>0</v>
      </c>
      <c r="EB17" s="737">
        <f t="shared" si="10"/>
        <v>0</v>
      </c>
      <c r="EC17" s="735"/>
      <c r="ED17" s="735"/>
      <c r="EE17" s="735"/>
      <c r="EF17" s="735"/>
      <c r="EG17" s="738">
        <v>0.64</v>
      </c>
      <c r="EH17" s="737"/>
      <c r="EI17" s="737"/>
      <c r="EJ17" s="738">
        <f>1.75%*EG17</f>
        <v>1.1200000000000002E-2</v>
      </c>
      <c r="EK17" s="786">
        <f>EG17*EP2/EP1</f>
        <v>0.44189351820074596</v>
      </c>
      <c r="EL17" s="737"/>
      <c r="EM17" s="737"/>
      <c r="EN17" s="789">
        <f>EJ17*EP2/EP1</f>
        <v>7.733136568513055E-3</v>
      </c>
      <c r="EO17" s="789">
        <v>30</v>
      </c>
      <c r="EP17" s="735"/>
      <c r="EQ17" s="739"/>
      <c r="ER17" s="740"/>
      <c r="ES17" s="741" t="s">
        <v>317</v>
      </c>
      <c r="ET17" s="742">
        <f>ET21/3.44</f>
        <v>9.5930232558139542E-3</v>
      </c>
      <c r="EU17" s="741" t="s">
        <v>837</v>
      </c>
      <c r="EV17" s="743">
        <v>1</v>
      </c>
      <c r="EW17" s="735"/>
      <c r="EX17" s="735"/>
      <c r="EY17" s="735"/>
      <c r="EZ17" s="735"/>
      <c r="FA17" s="735"/>
      <c r="FB17" s="735"/>
      <c r="FC17" s="735"/>
      <c r="FD17" s="735"/>
      <c r="FE17" s="735"/>
      <c r="FF17" s="735"/>
      <c r="FG17" s="735"/>
      <c r="FH17" s="735"/>
      <c r="FI17" s="735"/>
      <c r="FJ17" s="735"/>
      <c r="FK17" s="735"/>
      <c r="FL17" s="735"/>
      <c r="FM17" s="735"/>
      <c r="FN17" s="735"/>
      <c r="FO17" s="735"/>
      <c r="FP17" s="735"/>
      <c r="FQ17" s="735"/>
      <c r="FR17" s="735"/>
      <c r="FS17" s="735"/>
      <c r="FT17" s="735"/>
      <c r="FU17" s="735"/>
      <c r="FV17" s="735"/>
      <c r="FW17" s="735"/>
      <c r="FX17" s="735"/>
      <c r="FY17" s="735"/>
      <c r="FZ17" s="735"/>
      <c r="GA17" s="735"/>
      <c r="GB17" s="735"/>
      <c r="GC17" s="735"/>
      <c r="GD17" s="735"/>
      <c r="GE17" s="735"/>
      <c r="GF17" s="735"/>
      <c r="GG17" s="735"/>
      <c r="GH17" s="735"/>
      <c r="GI17" s="735"/>
      <c r="GJ17" s="735"/>
      <c r="GK17" s="735"/>
      <c r="GL17" s="735"/>
      <c r="GM17" s="735"/>
      <c r="GN17" s="735"/>
      <c r="GO17" s="735"/>
      <c r="GP17" s="735"/>
      <c r="GQ17" s="735"/>
      <c r="GR17" s="735"/>
      <c r="GS17" s="735"/>
      <c r="GT17" s="735"/>
      <c r="GU17" s="735"/>
      <c r="GV17" s="735"/>
      <c r="GW17" s="735"/>
      <c r="GX17" s="735"/>
      <c r="GY17" s="735"/>
      <c r="GZ17" s="735"/>
      <c r="HA17" s="735"/>
      <c r="HB17" s="735"/>
      <c r="HC17" s="735"/>
    </row>
    <row r="18" spans="1:211" s="744" customFormat="1">
      <c r="A18" s="744" t="s">
        <v>838</v>
      </c>
      <c r="B18" s="735" t="s">
        <v>191</v>
      </c>
      <c r="C18" s="1239" t="s">
        <v>839</v>
      </c>
      <c r="H18" s="935"/>
      <c r="I18" s="935"/>
      <c r="P18" s="935"/>
      <c r="Q18" s="935"/>
      <c r="Z18" s="935"/>
      <c r="AA18" s="935"/>
      <c r="AD18" s="935"/>
      <c r="AE18" s="935"/>
      <c r="AF18" s="935"/>
      <c r="AG18" s="935"/>
      <c r="AN18" s="745"/>
      <c r="AR18" s="746">
        <v>4</v>
      </c>
      <c r="AV18" s="746">
        <v>3</v>
      </c>
      <c r="AW18" s="735"/>
      <c r="AX18" s="735"/>
      <c r="AY18" s="735"/>
      <c r="AZ18" s="735"/>
      <c r="BJ18" s="745"/>
      <c r="BN18" s="746">
        <v>4</v>
      </c>
      <c r="BR18" s="746">
        <v>3</v>
      </c>
      <c r="BS18" s="735"/>
      <c r="BT18" s="735"/>
      <c r="BU18" s="735"/>
      <c r="BV18" s="735"/>
      <c r="CF18" s="912"/>
      <c r="CJ18" s="746">
        <v>4</v>
      </c>
      <c r="CN18" s="746">
        <v>3</v>
      </c>
      <c r="CO18" s="735"/>
      <c r="CP18" s="735"/>
      <c r="CQ18" s="735"/>
      <c r="CR18" s="735"/>
      <c r="CV18" s="746"/>
      <c r="DF18" s="748">
        <f t="shared" si="2"/>
        <v>0</v>
      </c>
      <c r="DG18" s="748">
        <f t="shared" si="7"/>
        <v>0</v>
      </c>
      <c r="DH18" s="748">
        <f t="shared" si="7"/>
        <v>0</v>
      </c>
      <c r="DI18" s="805">
        <f t="shared" si="7"/>
        <v>1.2800000000000001E-2</v>
      </c>
      <c r="DL18" s="1589">
        <f t="shared" ref="DL18:DL23" si="11">DF18*$DT$2/$DT$1</f>
        <v>0</v>
      </c>
      <c r="DM18" s="748">
        <f>DG18*$DT$2/$DT$1</f>
        <v>0</v>
      </c>
      <c r="DN18" s="748">
        <f>DH18*$DT$2/$DT$1</f>
        <v>0</v>
      </c>
      <c r="DO18" s="805">
        <f t="shared" si="8"/>
        <v>8.83787036401492E-3</v>
      </c>
      <c r="DP18" s="809">
        <f>DO18/DO$17</f>
        <v>1.1428571428571428</v>
      </c>
      <c r="DQ18" s="737">
        <f t="shared" si="9"/>
        <v>8.83787036401492E-3</v>
      </c>
      <c r="DR18" s="737">
        <f t="shared" ref="DR18" si="12">DQ18</f>
        <v>8.83787036401492E-3</v>
      </c>
      <c r="DS18" s="813">
        <f t="shared" si="10"/>
        <v>30</v>
      </c>
      <c r="DT18" s="813">
        <f t="shared" si="10"/>
        <v>0</v>
      </c>
      <c r="DU18" s="813" t="str">
        <f t="shared" si="10"/>
        <v>H2</v>
      </c>
      <c r="DV18" s="813">
        <f t="shared" si="10"/>
        <v>1.9321101975686809E-2</v>
      </c>
      <c r="DW18" s="813" t="str">
        <f t="shared" si="10"/>
        <v>Electricity</v>
      </c>
      <c r="DX18" s="813">
        <f t="shared" si="10"/>
        <v>1.0997441860465116E-2</v>
      </c>
      <c r="DY18" s="813" t="str">
        <f t="shared" si="10"/>
        <v>GN</v>
      </c>
      <c r="DZ18" s="813">
        <f t="shared" si="10"/>
        <v>0.98067889802431318</v>
      </c>
      <c r="EA18" s="813">
        <f t="shared" si="10"/>
        <v>0.7</v>
      </c>
      <c r="EB18" s="748">
        <f t="shared" si="10"/>
        <v>0</v>
      </c>
      <c r="EG18" s="748"/>
      <c r="EH18" s="748"/>
      <c r="EI18" s="748"/>
      <c r="EJ18" s="738">
        <f>2%*EG17</f>
        <v>1.2800000000000001E-2</v>
      </c>
      <c r="EK18" s="787"/>
      <c r="EL18" s="748"/>
      <c r="EM18" s="748"/>
      <c r="EN18" s="738">
        <f>2%*EK17</f>
        <v>8.83787036401492E-3</v>
      </c>
      <c r="EO18" s="788">
        <f>EO17</f>
        <v>30</v>
      </c>
      <c r="EQ18" s="739" t="s">
        <v>459</v>
      </c>
      <c r="ER18" s="738">
        <f>(10.05*0.06)/((32.56*0.94)+(10.05*0.06))</f>
        <v>1.9321101975686809E-2</v>
      </c>
      <c r="ES18" s="741" t="s">
        <v>317</v>
      </c>
      <c r="ET18" s="750">
        <f>ET21*0.06+ET17*0.94</f>
        <v>1.0997441860465116E-2</v>
      </c>
      <c r="EU18" s="751" t="s">
        <v>837</v>
      </c>
      <c r="EV18" s="738">
        <f>1-ER18</f>
        <v>0.98067889802431318</v>
      </c>
      <c r="EW18" s="752">
        <v>0.7</v>
      </c>
    </row>
    <row r="19" spans="1:211" s="744" customFormat="1">
      <c r="B19" s="735" t="s">
        <v>191</v>
      </c>
      <c r="C19" s="1239" t="s">
        <v>840</v>
      </c>
      <c r="H19" s="935"/>
      <c r="I19" s="935"/>
      <c r="P19" s="935"/>
      <c r="Q19" s="935"/>
      <c r="Z19" s="935"/>
      <c r="AA19" s="935"/>
      <c r="AD19" s="935"/>
      <c r="AE19" s="935"/>
      <c r="AF19" s="935"/>
      <c r="AG19" s="935"/>
      <c r="AN19" s="745"/>
      <c r="AQ19" s="746">
        <v>4</v>
      </c>
      <c r="AU19" s="746">
        <v>3</v>
      </c>
      <c r="AW19" s="735"/>
      <c r="AX19" s="735"/>
      <c r="AY19" s="735"/>
      <c r="AZ19" s="735"/>
      <c r="BC19" s="746">
        <v>3</v>
      </c>
      <c r="BJ19" s="745"/>
      <c r="BM19" s="746">
        <v>4</v>
      </c>
      <c r="BQ19" s="746">
        <v>3</v>
      </c>
      <c r="BS19" s="735"/>
      <c r="BT19" s="735"/>
      <c r="BU19" s="735"/>
      <c r="BV19" s="735"/>
      <c r="BY19" s="746">
        <v>3</v>
      </c>
      <c r="CF19" s="912"/>
      <c r="CI19" s="746">
        <v>4</v>
      </c>
      <c r="CM19" s="746">
        <v>3</v>
      </c>
      <c r="CO19" s="735"/>
      <c r="CP19" s="735"/>
      <c r="CQ19" s="735"/>
      <c r="CR19" s="735"/>
      <c r="CU19" s="746">
        <v>3</v>
      </c>
      <c r="DF19" s="806">
        <f t="shared" si="2"/>
        <v>0.91500000000000004</v>
      </c>
      <c r="DG19" s="806">
        <f t="shared" ref="DG19:DG20" si="13">IF(EH19&gt;0,EH19,$EG19)</f>
        <v>0.91500000000000004</v>
      </c>
      <c r="DH19" s="806">
        <f t="shared" ref="DH19:DH20" si="14">IF(EI19&gt;0,EI19,$EG19)</f>
        <v>0.91500000000000004</v>
      </c>
      <c r="DI19" s="806">
        <f>EJ19</f>
        <v>2.2875000000000003E-2</v>
      </c>
      <c r="DL19" s="1590">
        <f t="shared" si="11"/>
        <v>0.63176963930262897</v>
      </c>
      <c r="DM19" s="809">
        <f>DL19</f>
        <v>0.63176963930262897</v>
      </c>
      <c r="DN19" s="809">
        <f>DM19</f>
        <v>0.63176963930262897</v>
      </c>
      <c r="DO19" s="806">
        <f t="shared" si="8"/>
        <v>1.5794240982565728E-2</v>
      </c>
      <c r="DP19" s="809">
        <f t="shared" ref="DP19:DP23" si="15">DO19/DO$17</f>
        <v>2.0424107142857144</v>
      </c>
      <c r="DQ19" s="737">
        <f t="shared" si="9"/>
        <v>1.5794240982565728E-2</v>
      </c>
      <c r="DR19" s="737">
        <f t="shared" ref="DR19" si="16">DQ19</f>
        <v>1.5794240982565728E-2</v>
      </c>
      <c r="DS19" s="813">
        <f t="shared" si="10"/>
        <v>30</v>
      </c>
      <c r="DT19" s="813">
        <f t="shared" si="10"/>
        <v>0</v>
      </c>
      <c r="DU19" s="813" t="str">
        <f t="shared" si="10"/>
        <v>H2</v>
      </c>
      <c r="DV19" s="813">
        <f t="shared" si="10"/>
        <v>3.315846778184698E-2</v>
      </c>
      <c r="DW19" s="813" t="str">
        <f t="shared" si="10"/>
        <v>Electricity</v>
      </c>
      <c r="DX19" s="813">
        <f t="shared" si="10"/>
        <v>1.1933720930232559E-2</v>
      </c>
      <c r="DY19" s="813" t="str">
        <f t="shared" si="10"/>
        <v>GN</v>
      </c>
      <c r="DZ19" s="813">
        <f t="shared" si="10"/>
        <v>0.96684153221815305</v>
      </c>
      <c r="EA19" s="813">
        <f t="shared" si="10"/>
        <v>0.7</v>
      </c>
      <c r="EB19" s="748">
        <f t="shared" si="10"/>
        <v>0</v>
      </c>
      <c r="EG19" s="749">
        <f>(EG17+EG21)/2</f>
        <v>0.91500000000000004</v>
      </c>
      <c r="EH19" s="749"/>
      <c r="EI19" s="749"/>
      <c r="EJ19" s="749">
        <f>EG19*2.5%</f>
        <v>2.2875000000000003E-2</v>
      </c>
      <c r="EK19" s="788">
        <f>(EK17+EK21)/2</f>
        <v>1.0826928230627957</v>
      </c>
      <c r="EL19" s="749"/>
      <c r="EM19" s="749"/>
      <c r="EN19" s="749">
        <f>EK19*2.5%</f>
        <v>2.7067320576569895E-2</v>
      </c>
      <c r="EO19" s="788">
        <v>30</v>
      </c>
      <c r="EQ19" s="739" t="s">
        <v>459</v>
      </c>
      <c r="ER19" s="738">
        <f>(10.05*0.1)/((32.56*0.9)+(10.05*0.1))</f>
        <v>3.315846778184698E-2</v>
      </c>
      <c r="ES19" s="741" t="s">
        <v>317</v>
      </c>
      <c r="ET19" s="750">
        <f>ET21*0.1+ET17*0.9</f>
        <v>1.1933720930232559E-2</v>
      </c>
      <c r="EU19" s="751" t="s">
        <v>837</v>
      </c>
      <c r="EV19" s="738">
        <f t="shared" ref="EV19:EV20" si="17">1-ER19</f>
        <v>0.96684153221815305</v>
      </c>
      <c r="EW19" s="752">
        <v>0.7</v>
      </c>
    </row>
    <row r="20" spans="1:211" s="744" customFormat="1">
      <c r="A20" s="744" t="s">
        <v>841</v>
      </c>
      <c r="B20" s="735" t="s">
        <v>191</v>
      </c>
      <c r="C20" s="1239" t="s">
        <v>842</v>
      </c>
      <c r="H20" s="935"/>
      <c r="I20" s="935"/>
      <c r="P20" s="935"/>
      <c r="Q20" s="935"/>
      <c r="Z20" s="935"/>
      <c r="AA20" s="935"/>
      <c r="AD20" s="935"/>
      <c r="AE20" s="935"/>
      <c r="AF20" s="935"/>
      <c r="AG20" s="935"/>
      <c r="AN20" s="745"/>
      <c r="AP20" s="746">
        <v>4</v>
      </c>
      <c r="AT20" s="746">
        <v>3</v>
      </c>
      <c r="AW20" s="735"/>
      <c r="AX20" s="735"/>
      <c r="AY20" s="735"/>
      <c r="AZ20" s="735"/>
      <c r="BB20" s="746">
        <v>3</v>
      </c>
      <c r="BJ20" s="745"/>
      <c r="BL20" s="746">
        <v>4</v>
      </c>
      <c r="BP20" s="746">
        <v>3</v>
      </c>
      <c r="BS20" s="735"/>
      <c r="BT20" s="735"/>
      <c r="BU20" s="735"/>
      <c r="BV20" s="735"/>
      <c r="BX20" s="746">
        <v>3</v>
      </c>
      <c r="CF20" s="912"/>
      <c r="CH20" s="746">
        <v>4</v>
      </c>
      <c r="CL20" s="746">
        <v>3</v>
      </c>
      <c r="CO20" s="735"/>
      <c r="CP20" s="735"/>
      <c r="CQ20" s="735"/>
      <c r="CR20" s="735"/>
      <c r="CT20" s="746">
        <v>3</v>
      </c>
      <c r="DE20" s="1368">
        <f>DF20/DI20</f>
        <v>33.333333333333336</v>
      </c>
      <c r="DF20" s="806">
        <f t="shared" si="2"/>
        <v>0.91500000000000004</v>
      </c>
      <c r="DG20" s="806">
        <f t="shared" si="13"/>
        <v>0.91500000000000004</v>
      </c>
      <c r="DH20" s="806">
        <f t="shared" si="14"/>
        <v>0.91500000000000004</v>
      </c>
      <c r="DI20" s="806">
        <f t="shared" ref="DI20:DI30" si="18">EJ20</f>
        <v>2.7449999999999999E-2</v>
      </c>
      <c r="DL20" s="1590">
        <f t="shared" si="11"/>
        <v>0.63176963930262897</v>
      </c>
      <c r="DM20" s="809">
        <f t="shared" ref="DM20:DN22" si="19">DL20</f>
        <v>0.63176963930262897</v>
      </c>
      <c r="DN20" s="809">
        <f t="shared" si="19"/>
        <v>0.63176963930262897</v>
      </c>
      <c r="DO20" s="806">
        <f t="shared" si="8"/>
        <v>1.8953089179078869E-2</v>
      </c>
      <c r="DP20" s="809">
        <f t="shared" si="15"/>
        <v>2.4508928571428568</v>
      </c>
      <c r="DQ20" s="737">
        <f t="shared" si="9"/>
        <v>1.8953089179078869E-2</v>
      </c>
      <c r="DR20" s="737">
        <f t="shared" ref="DR20" si="20">DQ20</f>
        <v>1.8953089179078869E-2</v>
      </c>
      <c r="DS20" s="813">
        <f t="shared" si="10"/>
        <v>30</v>
      </c>
      <c r="DT20" s="813">
        <f t="shared" si="10"/>
        <v>0</v>
      </c>
      <c r="DU20" s="813" t="str">
        <f t="shared" si="10"/>
        <v>H2</v>
      </c>
      <c r="DV20" s="813">
        <f t="shared" si="10"/>
        <v>7.1637322688716226E-2</v>
      </c>
      <c r="DW20" s="813" t="str">
        <f t="shared" si="10"/>
        <v>Electricity</v>
      </c>
      <c r="DX20" s="813">
        <f t="shared" si="10"/>
        <v>1.4274418604651165E-2</v>
      </c>
      <c r="DY20" s="813" t="str">
        <f t="shared" si="10"/>
        <v>GN</v>
      </c>
      <c r="DZ20" s="813">
        <f t="shared" si="10"/>
        <v>0.92836267731128375</v>
      </c>
      <c r="EA20" s="813">
        <f t="shared" si="10"/>
        <v>0.7</v>
      </c>
      <c r="EB20" s="748">
        <f t="shared" si="10"/>
        <v>0</v>
      </c>
      <c r="EG20" s="749">
        <f>EG19</f>
        <v>0.91500000000000004</v>
      </c>
      <c r="EH20" s="749"/>
      <c r="EI20" s="749"/>
      <c r="EJ20" s="749">
        <f>EG20*3%</f>
        <v>2.7449999999999999E-2</v>
      </c>
      <c r="EK20" s="788">
        <f>EK19</f>
        <v>1.0826928230627957</v>
      </c>
      <c r="EL20" s="749"/>
      <c r="EM20" s="749"/>
      <c r="EN20" s="749">
        <f>EK20*3%</f>
        <v>3.2480784691883868E-2</v>
      </c>
      <c r="EO20" s="788">
        <v>30</v>
      </c>
      <c r="EQ20" s="739" t="s">
        <v>459</v>
      </c>
      <c r="ER20" s="738">
        <f>(10.05*0.2)/((32.56*0.8)+(10.05*0.2))</f>
        <v>7.1637322688716226E-2</v>
      </c>
      <c r="ES20" s="741" t="s">
        <v>317</v>
      </c>
      <c r="ET20" s="750">
        <f>ET21*0.2+ET17*0.8</f>
        <v>1.4274418604651165E-2</v>
      </c>
      <c r="EU20" s="751" t="s">
        <v>837</v>
      </c>
      <c r="EV20" s="738">
        <f t="shared" si="17"/>
        <v>0.92836267731128375</v>
      </c>
      <c r="EW20" s="752">
        <v>0.7</v>
      </c>
    </row>
    <row r="21" spans="1:211" s="744" customFormat="1">
      <c r="A21" s="744" t="s">
        <v>838</v>
      </c>
      <c r="B21" s="735" t="s">
        <v>191</v>
      </c>
      <c r="C21" s="1239" t="s">
        <v>843</v>
      </c>
      <c r="D21" s="746">
        <v>2</v>
      </c>
      <c r="E21" s="746">
        <v>2</v>
      </c>
      <c r="H21" s="935"/>
      <c r="I21" s="935"/>
      <c r="L21" s="746">
        <v>2</v>
      </c>
      <c r="M21" s="746">
        <v>2</v>
      </c>
      <c r="P21" s="935"/>
      <c r="Q21" s="935"/>
      <c r="X21" s="746">
        <v>2</v>
      </c>
      <c r="Y21" s="746">
        <v>2</v>
      </c>
      <c r="Z21" s="935"/>
      <c r="AA21" s="935"/>
      <c r="AD21" s="935"/>
      <c r="AE21" s="935"/>
      <c r="AF21" s="935"/>
      <c r="AG21" s="935"/>
      <c r="AN21" s="753" t="s">
        <v>846</v>
      </c>
      <c r="AO21" s="754" t="s">
        <v>844</v>
      </c>
      <c r="AS21" s="746">
        <v>3</v>
      </c>
      <c r="AW21" s="735"/>
      <c r="AX21" s="735"/>
      <c r="AY21" s="735"/>
      <c r="AZ21" s="735"/>
      <c r="BA21" s="746">
        <v>3</v>
      </c>
      <c r="BJ21" s="753" t="s">
        <v>881</v>
      </c>
      <c r="BK21" s="754" t="s">
        <v>844</v>
      </c>
      <c r="BO21" s="746">
        <v>3</v>
      </c>
      <c r="BS21" s="735"/>
      <c r="BT21" s="735"/>
      <c r="BU21" s="735"/>
      <c r="BV21" s="735"/>
      <c r="BW21" s="746">
        <v>3</v>
      </c>
      <c r="CF21" s="913" t="s">
        <v>881</v>
      </c>
      <c r="CG21" s="754" t="s">
        <v>844</v>
      </c>
      <c r="CK21" s="746">
        <v>3</v>
      </c>
      <c r="CO21" s="735"/>
      <c r="CP21" s="735"/>
      <c r="CQ21" s="735"/>
      <c r="CR21" s="735"/>
      <c r="CS21" s="746">
        <v>3</v>
      </c>
      <c r="DE21" s="744">
        <f>DF21/DI21</f>
        <v>25</v>
      </c>
      <c r="DF21" s="805">
        <f t="shared" si="2"/>
        <v>1.19</v>
      </c>
      <c r="DG21" s="808">
        <f t="shared" ref="DG21:DH22" si="21">IF(EH21&gt;0,EH21,$EG21)</f>
        <v>1.19</v>
      </c>
      <c r="DH21" s="808">
        <f t="shared" si="21"/>
        <v>1.19</v>
      </c>
      <c r="DI21" s="805">
        <f t="shared" si="18"/>
        <v>4.7599999999999996E-2</v>
      </c>
      <c r="DK21" s="748">
        <f>DL21-DL$20</f>
        <v>0.1898761211018829</v>
      </c>
      <c r="DL21" s="1590">
        <f t="shared" si="11"/>
        <v>0.82164576040451187</v>
      </c>
      <c r="DM21" s="809">
        <f t="shared" si="19"/>
        <v>0.82164576040451187</v>
      </c>
      <c r="DN21" s="809">
        <f t="shared" si="19"/>
        <v>0.82164576040451187</v>
      </c>
      <c r="DO21" s="805">
        <f t="shared" si="8"/>
        <v>3.2865830416180478E-2</v>
      </c>
      <c r="DP21" s="809">
        <f t="shared" si="15"/>
        <v>4.2499999999999991</v>
      </c>
      <c r="DQ21" s="737">
        <f t="shared" si="9"/>
        <v>3.2865830416180478E-2</v>
      </c>
      <c r="DR21" s="737">
        <f t="shared" ref="DR21" si="22">DQ21</f>
        <v>3.2865830416180478E-2</v>
      </c>
      <c r="DS21" s="813">
        <f t="shared" si="10"/>
        <v>35</v>
      </c>
      <c r="DT21" s="813">
        <f t="shared" si="10"/>
        <v>0</v>
      </c>
      <c r="DU21" s="813" t="str">
        <f t="shared" si="10"/>
        <v>H2</v>
      </c>
      <c r="DV21" s="813">
        <f t="shared" si="10"/>
        <v>0</v>
      </c>
      <c r="DW21" s="813" t="str">
        <f t="shared" si="10"/>
        <v>Electricity</v>
      </c>
      <c r="DX21" s="813">
        <f t="shared" si="10"/>
        <v>3.3000000000000002E-2</v>
      </c>
      <c r="DY21" s="813" t="str">
        <f t="shared" si="10"/>
        <v>GN</v>
      </c>
      <c r="DZ21" s="813">
        <f t="shared" si="10"/>
        <v>0</v>
      </c>
      <c r="EA21" s="813">
        <f t="shared" si="10"/>
        <v>0.7</v>
      </c>
      <c r="EB21" s="748">
        <f t="shared" si="10"/>
        <v>0</v>
      </c>
      <c r="EG21" s="738">
        <v>1.19</v>
      </c>
      <c r="EH21" s="738"/>
      <c r="EI21" s="738"/>
      <c r="EJ21" s="738">
        <f>EG21*4%</f>
        <v>4.7599999999999996E-2</v>
      </c>
      <c r="EK21" s="789">
        <f>EG21*EP1/EP2</f>
        <v>1.7234921279248454</v>
      </c>
      <c r="EL21" s="738"/>
      <c r="EM21" s="738"/>
      <c r="EN21" s="738">
        <f>EK21*4%</f>
        <v>6.8939685116993818E-2</v>
      </c>
      <c r="EO21" s="789">
        <v>35</v>
      </c>
      <c r="EQ21" s="739" t="s">
        <v>459</v>
      </c>
      <c r="ER21" s="738">
        <v>0</v>
      </c>
      <c r="ES21" s="741" t="s">
        <v>317</v>
      </c>
      <c r="ET21" s="755">
        <f>0.066/2</f>
        <v>3.3000000000000002E-2</v>
      </c>
      <c r="EU21" s="751" t="s">
        <v>837</v>
      </c>
      <c r="EV21" s="756"/>
      <c r="EW21" s="752">
        <v>0.7</v>
      </c>
    </row>
    <row r="22" spans="1:211" s="744" customFormat="1" ht="15.5">
      <c r="B22" s="735" t="s">
        <v>209</v>
      </c>
      <c r="C22" s="1239" t="s">
        <v>845</v>
      </c>
      <c r="D22" s="746">
        <v>4</v>
      </c>
      <c r="E22" s="746">
        <v>4</v>
      </c>
      <c r="F22" s="746">
        <v>3</v>
      </c>
      <c r="G22" s="746">
        <v>3</v>
      </c>
      <c r="H22" s="933">
        <v>3</v>
      </c>
      <c r="I22" s="933">
        <v>3</v>
      </c>
      <c r="J22" s="746">
        <v>3</v>
      </c>
      <c r="K22" s="746">
        <v>3</v>
      </c>
      <c r="L22" s="746">
        <v>4</v>
      </c>
      <c r="M22" s="746">
        <v>4</v>
      </c>
      <c r="N22" s="746">
        <v>3</v>
      </c>
      <c r="O22" s="746">
        <v>3</v>
      </c>
      <c r="P22" s="933">
        <v>3</v>
      </c>
      <c r="Q22" s="933">
        <v>3</v>
      </c>
      <c r="R22" s="746">
        <v>3</v>
      </c>
      <c r="S22" s="746">
        <v>3</v>
      </c>
      <c r="T22" s="746">
        <v>3</v>
      </c>
      <c r="U22" s="746">
        <v>3</v>
      </c>
      <c r="V22" s="746">
        <v>3</v>
      </c>
      <c r="W22" s="746">
        <v>3</v>
      </c>
      <c r="Z22" s="935"/>
      <c r="AA22" s="935"/>
      <c r="AD22" s="935"/>
      <c r="AE22" s="935"/>
      <c r="AF22" s="935"/>
      <c r="AG22" s="935"/>
      <c r="AN22" s="745"/>
      <c r="AO22" s="754" t="s">
        <v>846</v>
      </c>
      <c r="AP22" s="754" t="s">
        <v>846</v>
      </c>
      <c r="AQ22" s="754" t="s">
        <v>846</v>
      </c>
      <c r="AR22" s="754" t="s">
        <v>846</v>
      </c>
      <c r="AS22" s="747"/>
      <c r="AT22" s="747"/>
      <c r="BJ22" s="745"/>
      <c r="BK22" s="754" t="s">
        <v>846</v>
      </c>
      <c r="BL22" s="754" t="s">
        <v>846</v>
      </c>
      <c r="BM22" s="754" t="s">
        <v>846</v>
      </c>
      <c r="BN22" s="754" t="s">
        <v>846</v>
      </c>
      <c r="BO22" s="747"/>
      <c r="BP22" s="747"/>
      <c r="BQ22" s="747"/>
      <c r="BR22" s="747"/>
      <c r="BS22" s="747"/>
      <c r="BT22" s="747"/>
      <c r="BU22" s="747"/>
      <c r="BV22" s="747"/>
      <c r="BW22" s="747"/>
      <c r="BX22" s="747"/>
      <c r="BY22" s="747"/>
      <c r="CF22" s="912"/>
      <c r="CG22" s="754" t="s">
        <v>846</v>
      </c>
      <c r="CH22" s="754" t="s">
        <v>846</v>
      </c>
      <c r="CI22" s="754" t="s">
        <v>846</v>
      </c>
      <c r="CJ22" s="754" t="s">
        <v>846</v>
      </c>
      <c r="CK22" s="747"/>
      <c r="CL22" s="747"/>
      <c r="CM22" s="747"/>
      <c r="CN22" s="747"/>
      <c r="CO22" s="747"/>
      <c r="CP22" s="747"/>
      <c r="CQ22" s="747"/>
      <c r="CR22" s="747"/>
      <c r="CS22" s="747"/>
      <c r="CT22" s="747"/>
      <c r="CU22" s="747"/>
      <c r="DF22" s="805">
        <f t="shared" si="2"/>
        <v>4.97</v>
      </c>
      <c r="DG22" s="808">
        <f t="shared" si="21"/>
        <v>4.97</v>
      </c>
      <c r="DH22" s="808">
        <f t="shared" si="21"/>
        <v>4.97</v>
      </c>
      <c r="DI22" s="805">
        <f t="shared" si="18"/>
        <v>9.9400000000000002E-2</v>
      </c>
      <c r="DK22" s="748">
        <f t="shared" ref="DK22:DK23" si="23">DL22-DL$20</f>
        <v>2.7998097129750388</v>
      </c>
      <c r="DL22" s="1590">
        <f t="shared" si="11"/>
        <v>3.4315793522776676</v>
      </c>
      <c r="DM22" s="809">
        <f t="shared" si="19"/>
        <v>3.4315793522776676</v>
      </c>
      <c r="DN22" s="809">
        <f t="shared" si="19"/>
        <v>3.4315793522776676</v>
      </c>
      <c r="DO22" s="805">
        <f t="shared" si="8"/>
        <v>6.8631587045553361E-2</v>
      </c>
      <c r="DP22" s="809">
        <f t="shared" si="15"/>
        <v>8.875</v>
      </c>
      <c r="DQ22" s="737">
        <f t="shared" si="9"/>
        <v>6.8631587045553361E-2</v>
      </c>
      <c r="DR22" s="737">
        <f t="shared" ref="DR22:DR23" si="24">DQ22</f>
        <v>6.8631587045553361E-2</v>
      </c>
      <c r="DS22" s="813">
        <f t="shared" si="10"/>
        <v>12</v>
      </c>
      <c r="DT22" s="813">
        <f t="shared" si="10"/>
        <v>0</v>
      </c>
      <c r="DU22" s="813" t="str">
        <f t="shared" si="10"/>
        <v>H2</v>
      </c>
      <c r="DV22" s="817">
        <v>0</v>
      </c>
      <c r="DW22" s="813" t="str">
        <f t="shared" si="10"/>
        <v>Electricity</v>
      </c>
      <c r="DX22" s="813">
        <f t="shared" si="10"/>
        <v>0</v>
      </c>
      <c r="DY22" s="813">
        <f t="shared" si="10"/>
        <v>0</v>
      </c>
      <c r="DZ22" s="813">
        <f t="shared" si="10"/>
        <v>0</v>
      </c>
      <c r="EA22" s="813">
        <f t="shared" si="10"/>
        <v>0</v>
      </c>
      <c r="EB22" s="748">
        <f t="shared" si="10"/>
        <v>0</v>
      </c>
      <c r="EG22" s="738">
        <v>4.97</v>
      </c>
      <c r="EH22" s="738"/>
      <c r="EI22" s="738"/>
      <c r="EJ22" s="738">
        <f>EG22*2%</f>
        <v>9.9400000000000002E-2</v>
      </c>
      <c r="EK22" s="789">
        <f>EG22*EP2/EP1</f>
        <v>3.4315793522776676</v>
      </c>
      <c r="EL22" s="738"/>
      <c r="EM22" s="738"/>
      <c r="EN22" s="738">
        <f>EK22*2%</f>
        <v>6.8631587045553361E-2</v>
      </c>
      <c r="EO22" s="789">
        <v>12</v>
      </c>
      <c r="EQ22" s="739" t="s">
        <v>459</v>
      </c>
      <c r="ER22" s="1476">
        <v>1.6E-2</v>
      </c>
      <c r="ES22" s="741" t="s">
        <v>317</v>
      </c>
      <c r="EU22" s="751"/>
    </row>
    <row r="23" spans="1:211" s="744" customFormat="1">
      <c r="B23" s="735"/>
      <c r="C23" s="1239" t="s">
        <v>965</v>
      </c>
      <c r="H23" s="935"/>
      <c r="I23" s="935"/>
      <c r="P23" s="935"/>
      <c r="Q23" s="935"/>
      <c r="X23" s="746">
        <v>4</v>
      </c>
      <c r="Y23" s="746">
        <v>4</v>
      </c>
      <c r="Z23" s="933">
        <v>3</v>
      </c>
      <c r="AA23" s="933">
        <v>3</v>
      </c>
      <c r="AB23" s="746">
        <v>3</v>
      </c>
      <c r="AC23" s="746">
        <v>3</v>
      </c>
      <c r="AD23" s="933">
        <v>3</v>
      </c>
      <c r="AE23" s="933">
        <v>3</v>
      </c>
      <c r="AF23" s="933">
        <v>3</v>
      </c>
      <c r="AG23" s="933">
        <v>3</v>
      </c>
      <c r="AH23" s="746">
        <v>2</v>
      </c>
      <c r="AI23" s="746">
        <v>2</v>
      </c>
      <c r="AN23" s="745"/>
      <c r="AO23" s="754"/>
      <c r="AP23" s="754"/>
      <c r="AQ23" s="754"/>
      <c r="AR23" s="754"/>
      <c r="AS23" s="746"/>
      <c r="AT23" s="746"/>
      <c r="AU23" s="746"/>
      <c r="AV23" s="746"/>
      <c r="AW23" s="746">
        <v>3</v>
      </c>
      <c r="AX23" s="746">
        <v>3</v>
      </c>
      <c r="AY23" s="746">
        <v>3</v>
      </c>
      <c r="AZ23" s="746">
        <v>3</v>
      </c>
      <c r="BJ23" s="925"/>
      <c r="BK23" s="754"/>
      <c r="BL23" s="754"/>
      <c r="BM23" s="754"/>
      <c r="BN23" s="754"/>
      <c r="BO23" s="924"/>
      <c r="BP23" s="924"/>
      <c r="BQ23" s="924"/>
      <c r="BR23" s="924"/>
      <c r="BS23" s="746">
        <v>3</v>
      </c>
      <c r="BT23" s="746">
        <v>3</v>
      </c>
      <c r="BU23" s="746">
        <v>3</v>
      </c>
      <c r="BV23" s="746">
        <v>3</v>
      </c>
      <c r="BW23" s="924"/>
      <c r="BX23" s="924"/>
      <c r="BY23" s="924"/>
      <c r="CF23" s="926"/>
      <c r="CG23" s="754"/>
      <c r="CH23" s="754"/>
      <c r="CI23" s="754"/>
      <c r="CJ23" s="754"/>
      <c r="CK23" s="924"/>
      <c r="CL23" s="924"/>
      <c r="CM23" s="924"/>
      <c r="CN23" s="924"/>
      <c r="CO23" s="746">
        <v>3</v>
      </c>
      <c r="CP23" s="746">
        <v>3</v>
      </c>
      <c r="CQ23" s="746">
        <v>3</v>
      </c>
      <c r="CR23" s="746">
        <v>3</v>
      </c>
      <c r="CS23" s="924"/>
      <c r="CT23" s="924"/>
      <c r="CU23" s="924"/>
      <c r="DF23" s="945">
        <v>3.1</v>
      </c>
      <c r="DG23" s="805">
        <f>DF23</f>
        <v>3.1</v>
      </c>
      <c r="DH23" s="805">
        <f>DG23</f>
        <v>3.1</v>
      </c>
      <c r="DI23" s="805">
        <f>DF23*3%</f>
        <v>9.2999999999999999E-2</v>
      </c>
      <c r="DK23" s="748">
        <f t="shared" si="23"/>
        <v>1.5086520894822342</v>
      </c>
      <c r="DL23" s="1590">
        <f t="shared" si="11"/>
        <v>2.140421728784863</v>
      </c>
      <c r="DM23" s="809">
        <f t="shared" ref="DM23" si="25">DL23</f>
        <v>2.140421728784863</v>
      </c>
      <c r="DN23" s="809">
        <f t="shared" ref="DN23" si="26">DM23</f>
        <v>2.140421728784863</v>
      </c>
      <c r="DO23" s="805">
        <f t="shared" si="8"/>
        <v>6.4212651863545897E-2</v>
      </c>
      <c r="DP23" s="809">
        <f t="shared" si="15"/>
        <v>8.303571428571427</v>
      </c>
      <c r="DQ23" s="737">
        <f t="shared" si="9"/>
        <v>6.4212651863545897E-2</v>
      </c>
      <c r="DR23" s="737">
        <f t="shared" si="24"/>
        <v>6.4212651863545897E-2</v>
      </c>
      <c r="DS23" s="813"/>
      <c r="DT23" s="813"/>
      <c r="DU23" s="813"/>
      <c r="DV23" s="817"/>
      <c r="DW23" s="813"/>
      <c r="DX23" s="813"/>
      <c r="DY23" s="813"/>
      <c r="DZ23" s="813"/>
      <c r="EA23" s="813"/>
      <c r="EB23" s="748"/>
      <c r="EG23" s="738">
        <v>1300</v>
      </c>
      <c r="EH23" s="738"/>
      <c r="EI23" s="738"/>
      <c r="EJ23" s="738">
        <f>EG23*3%</f>
        <v>39</v>
      </c>
      <c r="EK23" s="789">
        <f>EG23*EP2/EP1</f>
        <v>897.59620884526521</v>
      </c>
      <c r="EL23" s="738"/>
      <c r="EM23" s="738"/>
      <c r="EN23" s="738">
        <f>EK23*3%</f>
        <v>26.927886265357955</v>
      </c>
      <c r="EO23" s="789"/>
      <c r="EQ23" s="739"/>
      <c r="ER23" s="757"/>
      <c r="ES23" s="741"/>
      <c r="EU23" s="751"/>
    </row>
    <row r="24" spans="1:211" ht="4.5" customHeight="1">
      <c r="BJ24" s="721"/>
      <c r="CF24" s="906"/>
      <c r="DF24" s="758">
        <f t="shared" si="2"/>
        <v>0</v>
      </c>
      <c r="DG24" s="758">
        <f t="shared" ref="DG24:DG30" si="27">EH24</f>
        <v>0</v>
      </c>
      <c r="DH24" s="758">
        <f t="shared" ref="DH24:DH30" si="28">EI24</f>
        <v>0</v>
      </c>
      <c r="DI24" s="758">
        <f t="shared" si="18"/>
        <v>0</v>
      </c>
      <c r="DL24" s="1584"/>
      <c r="DM24" s="810"/>
      <c r="DN24" s="810"/>
      <c r="DS24" s="814"/>
      <c r="DT24" s="814"/>
      <c r="DU24" s="814"/>
      <c r="DV24" s="814"/>
      <c r="DW24" s="814"/>
      <c r="DX24" s="814"/>
      <c r="DY24" s="814"/>
      <c r="DZ24" s="814"/>
      <c r="EA24" s="814"/>
      <c r="EB24" s="758">
        <f t="shared" si="10"/>
        <v>0</v>
      </c>
      <c r="EG24" s="758"/>
      <c r="EH24" s="758"/>
      <c r="EI24" s="758"/>
      <c r="EJ24" s="758"/>
      <c r="EK24" s="790"/>
      <c r="EL24" s="758"/>
      <c r="EM24" s="758"/>
      <c r="EN24" s="758"/>
      <c r="EO24" s="722"/>
      <c r="EQ24" s="712"/>
      <c r="ES24" s="712"/>
      <c r="EU24" s="712"/>
    </row>
    <row r="25" spans="1:211" ht="13.9" customHeight="1">
      <c r="A25" s="759"/>
      <c r="B25" s="759"/>
      <c r="C25" s="1240" t="s">
        <v>836</v>
      </c>
      <c r="D25" s="759"/>
      <c r="E25" s="759"/>
      <c r="F25" s="759"/>
      <c r="G25" s="759"/>
      <c r="J25" s="759"/>
      <c r="K25" s="759"/>
      <c r="L25" s="759"/>
      <c r="M25" s="759"/>
      <c r="N25" s="759"/>
      <c r="O25" s="759"/>
      <c r="R25" s="759"/>
      <c r="S25" s="759"/>
      <c r="T25" s="759"/>
      <c r="U25" s="759"/>
      <c r="V25" s="759"/>
      <c r="W25" s="759"/>
      <c r="X25" s="759"/>
      <c r="Y25" s="759"/>
      <c r="AB25" s="759"/>
      <c r="AC25" s="759"/>
      <c r="AH25" s="759"/>
      <c r="AI25" s="759"/>
      <c r="AJ25" s="759"/>
      <c r="AK25" s="759"/>
      <c r="AL25" s="759"/>
      <c r="AM25" s="759"/>
      <c r="AN25" s="760"/>
      <c r="AO25" s="759"/>
      <c r="AP25" s="759"/>
      <c r="AQ25" s="759"/>
      <c r="AR25" s="759"/>
      <c r="AS25" s="759"/>
      <c r="AT25" s="759"/>
      <c r="AU25" s="759"/>
      <c r="AV25" s="759"/>
      <c r="AW25" s="759"/>
      <c r="AX25" s="759"/>
      <c r="AY25" s="759"/>
      <c r="AZ25" s="759"/>
      <c r="BA25" s="759"/>
      <c r="BB25" s="759"/>
      <c r="BC25" s="759"/>
      <c r="BD25" s="759"/>
      <c r="BE25" s="759"/>
      <c r="BF25" s="759"/>
      <c r="BG25" s="759"/>
      <c r="BH25" s="759"/>
      <c r="BI25" s="759"/>
      <c r="BJ25" s="760"/>
      <c r="BK25" s="759"/>
      <c r="BL25" s="759"/>
      <c r="BM25" s="759"/>
      <c r="BN25" s="759"/>
      <c r="BO25" s="759"/>
      <c r="BP25" s="759"/>
      <c r="BQ25" s="759"/>
      <c r="BR25" s="759"/>
      <c r="BS25" s="759"/>
      <c r="BT25" s="759"/>
      <c r="BU25" s="759"/>
      <c r="BV25" s="759"/>
      <c r="BW25" s="759"/>
      <c r="BX25" s="759"/>
      <c r="BY25" s="759"/>
      <c r="BZ25" s="759"/>
      <c r="CA25" s="759"/>
      <c r="CB25" s="759"/>
      <c r="CC25" s="759"/>
      <c r="CD25" s="759"/>
      <c r="CE25" s="759"/>
      <c r="CF25" s="914"/>
      <c r="CG25" s="759"/>
      <c r="CH25" s="759"/>
      <c r="CI25" s="759"/>
      <c r="CJ25" s="759"/>
      <c r="CK25" s="759"/>
      <c r="CL25" s="759"/>
      <c r="CM25" s="759"/>
      <c r="CN25" s="759"/>
      <c r="CO25" s="759"/>
      <c r="CP25" s="759"/>
      <c r="CQ25" s="759"/>
      <c r="CR25" s="759"/>
      <c r="CS25" s="759"/>
      <c r="CT25" s="759"/>
      <c r="CU25" s="759"/>
      <c r="CV25" s="759"/>
      <c r="CW25" s="759"/>
      <c r="CX25" s="759"/>
      <c r="CY25" s="759"/>
      <c r="CZ25" s="759"/>
      <c r="DA25" s="759"/>
      <c r="DB25" s="759"/>
      <c r="DC25" s="759"/>
      <c r="DD25" s="759"/>
      <c r="DE25" s="759"/>
      <c r="DF25" s="761">
        <f t="shared" si="2"/>
        <v>0</v>
      </c>
      <c r="DG25" s="761">
        <f t="shared" si="27"/>
        <v>0</v>
      </c>
      <c r="DH25" s="761">
        <f t="shared" si="28"/>
        <v>0</v>
      </c>
      <c r="DI25" s="761">
        <f t="shared" si="18"/>
        <v>0</v>
      </c>
      <c r="DJ25" s="759"/>
      <c r="DK25" s="759"/>
      <c r="DL25" s="1591"/>
      <c r="DM25" s="811"/>
      <c r="DN25" s="811"/>
      <c r="DO25" s="761">
        <f>DO26/DP18</f>
        <v>1.0649308866933419E-2</v>
      </c>
      <c r="DP25" s="811"/>
      <c r="DQ25" s="759"/>
      <c r="DR25" s="759"/>
      <c r="DS25" s="761">
        <f t="shared" si="10"/>
        <v>0</v>
      </c>
      <c r="DT25" s="761">
        <f t="shared" si="10"/>
        <v>0</v>
      </c>
      <c r="DU25" s="818" t="str">
        <f>DU18</f>
        <v>H2</v>
      </c>
      <c r="DV25" s="818">
        <f t="shared" ref="DV25:DZ25" si="29">DV18</f>
        <v>1.9321101975686809E-2</v>
      </c>
      <c r="DW25" s="818" t="str">
        <f t="shared" si="29"/>
        <v>Electricity</v>
      </c>
      <c r="DX25" s="818">
        <f t="shared" si="29"/>
        <v>1.0997441860465116E-2</v>
      </c>
      <c r="DY25" s="818" t="str">
        <f t="shared" si="29"/>
        <v>GN</v>
      </c>
      <c r="DZ25" s="818">
        <f t="shared" si="29"/>
        <v>0.98067889802431318</v>
      </c>
      <c r="EA25" s="761">
        <f t="shared" si="10"/>
        <v>0</v>
      </c>
      <c r="EB25" s="761">
        <f t="shared" si="10"/>
        <v>0</v>
      </c>
      <c r="EC25" s="761"/>
      <c r="ED25" s="761"/>
      <c r="EE25" s="761"/>
      <c r="EF25" s="761"/>
      <c r="EG25" s="761"/>
      <c r="EH25" s="761"/>
      <c r="EI25" s="761"/>
      <c r="EJ25" s="761"/>
      <c r="EK25" s="791"/>
      <c r="EL25" s="761"/>
      <c r="EM25" s="761"/>
      <c r="EN25" s="761"/>
      <c r="EO25" s="791"/>
      <c r="EP25" s="761"/>
      <c r="EQ25" s="762"/>
      <c r="ER25" s="761"/>
      <c r="ES25" s="762"/>
      <c r="ET25" s="761"/>
      <c r="EU25" s="762"/>
      <c r="EV25" s="761"/>
      <c r="EW25" s="761"/>
      <c r="EX25" s="761"/>
      <c r="EY25" s="761"/>
      <c r="EZ25" s="761"/>
      <c r="FA25" s="761"/>
      <c r="FB25" s="761"/>
      <c r="FC25" s="761"/>
      <c r="FD25" s="761"/>
      <c r="FE25" s="761"/>
      <c r="FF25" s="761"/>
      <c r="FG25" s="761"/>
      <c r="FH25" s="761"/>
      <c r="FI25" s="761"/>
      <c r="FJ25" s="761"/>
      <c r="FK25" s="761"/>
      <c r="FL25" s="761"/>
      <c r="FM25" s="761"/>
      <c r="FN25" s="761"/>
      <c r="FO25" s="761"/>
      <c r="FP25" s="761"/>
      <c r="FQ25" s="761"/>
      <c r="FR25" s="761"/>
      <c r="FS25" s="761"/>
      <c r="FT25" s="761"/>
      <c r="FU25" s="761"/>
      <c r="FV25" s="761"/>
      <c r="FW25" s="761"/>
      <c r="FX25" s="761"/>
      <c r="FY25" s="761"/>
      <c r="FZ25" s="761"/>
      <c r="GA25" s="761"/>
      <c r="GB25" s="761"/>
      <c r="GC25" s="761"/>
      <c r="GD25" s="761"/>
      <c r="GE25" s="761"/>
      <c r="GF25" s="761"/>
      <c r="GG25" s="761"/>
      <c r="GH25" s="761"/>
      <c r="GI25" s="761"/>
      <c r="GJ25" s="761"/>
      <c r="GK25" s="761"/>
      <c r="GL25" s="761"/>
      <c r="GM25" s="761"/>
      <c r="GN25" s="761"/>
      <c r="GO25" s="761"/>
      <c r="GP25" s="761"/>
      <c r="GQ25" s="761"/>
      <c r="GR25" s="761"/>
      <c r="GS25" s="761"/>
      <c r="GT25" s="761"/>
      <c r="GU25" s="761"/>
      <c r="GV25" s="761"/>
      <c r="GW25" s="761"/>
      <c r="GX25" s="761"/>
      <c r="GY25" s="761"/>
      <c r="GZ25" s="761"/>
      <c r="HA25" s="761"/>
      <c r="HB25" s="761"/>
    </row>
    <row r="26" spans="1:211" s="759" customFormat="1">
      <c r="B26" s="763" t="s">
        <v>847</v>
      </c>
      <c r="C26" s="1241" t="s">
        <v>848</v>
      </c>
      <c r="H26" s="935"/>
      <c r="I26" s="935"/>
      <c r="P26" s="935"/>
      <c r="Q26" s="935"/>
      <c r="Z26" s="935"/>
      <c r="AA26" s="935"/>
      <c r="AD26" s="935"/>
      <c r="AE26" s="935"/>
      <c r="AF26" s="935"/>
      <c r="AG26" s="935"/>
      <c r="AN26" s="764"/>
      <c r="AR26" s="765">
        <v>5</v>
      </c>
      <c r="AV26" s="765">
        <v>4</v>
      </c>
      <c r="AZ26" s="765">
        <v>4</v>
      </c>
      <c r="BD26" s="765">
        <v>4</v>
      </c>
      <c r="BH26" s="765">
        <v>3</v>
      </c>
      <c r="BJ26" s="764"/>
      <c r="BN26" s="765">
        <v>5</v>
      </c>
      <c r="BR26" s="765">
        <v>4</v>
      </c>
      <c r="BV26" s="765">
        <v>4</v>
      </c>
      <c r="BZ26" s="765">
        <v>4</v>
      </c>
      <c r="CD26" s="765">
        <v>3</v>
      </c>
      <c r="CF26" s="915"/>
      <c r="CJ26" s="765">
        <v>5</v>
      </c>
      <c r="CN26" s="765">
        <v>4</v>
      </c>
      <c r="CR26" s="765">
        <v>4</v>
      </c>
      <c r="CV26" s="765">
        <v>4</v>
      </c>
      <c r="CZ26" s="765">
        <v>3</v>
      </c>
      <c r="DF26" s="761">
        <f t="shared" si="2"/>
        <v>0</v>
      </c>
      <c r="DG26" s="761">
        <f t="shared" si="27"/>
        <v>0</v>
      </c>
      <c r="DH26" s="761">
        <f t="shared" si="28"/>
        <v>0</v>
      </c>
      <c r="DI26" s="805">
        <f t="shared" si="18"/>
        <v>1.7626890756302523E-2</v>
      </c>
      <c r="DL26" s="1591">
        <f t="shared" ref="DL26:DL29" si="30">DF26*$DT$2/$DT$1</f>
        <v>0</v>
      </c>
      <c r="DM26" s="811">
        <f t="shared" ref="DM26" si="31">DG26*$DT$2/$DT$1</f>
        <v>0</v>
      </c>
      <c r="DN26" s="811">
        <f t="shared" ref="DN26" si="32">DH26*$DT$2/$DT$1</f>
        <v>0</v>
      </c>
      <c r="DO26" s="805">
        <f t="shared" ref="DO26:DO29" si="33">DI26*$DT$2/$DT$1</f>
        <v>1.2170638705066765E-2</v>
      </c>
      <c r="DP26" s="809">
        <f>DO26/DO$25</f>
        <v>1.1428571428571428</v>
      </c>
      <c r="DQ26" s="737">
        <f>DO26</f>
        <v>1.2170638705066765E-2</v>
      </c>
      <c r="DR26" s="737">
        <f t="shared" ref="DR26" si="34">DQ26</f>
        <v>1.2170638705066765E-2</v>
      </c>
      <c r="DS26" s="761">
        <f t="shared" si="10"/>
        <v>0</v>
      </c>
      <c r="DT26" s="761">
        <f t="shared" si="10"/>
        <v>0</v>
      </c>
      <c r="DU26" s="818" t="str">
        <f>DU19</f>
        <v>H2</v>
      </c>
      <c r="DV26" s="818">
        <f t="shared" ref="DV26:DZ29" si="35">DV19</f>
        <v>3.315846778184698E-2</v>
      </c>
      <c r="DW26" s="818" t="str">
        <f t="shared" si="35"/>
        <v>Electricity</v>
      </c>
      <c r="DX26" s="818">
        <f t="shared" si="35"/>
        <v>1.1933720930232559E-2</v>
      </c>
      <c r="DY26" s="818" t="str">
        <f t="shared" si="35"/>
        <v>GN</v>
      </c>
      <c r="DZ26" s="818">
        <f t="shared" si="35"/>
        <v>0.96684153221815305</v>
      </c>
      <c r="EA26" s="761">
        <f t="shared" si="10"/>
        <v>0.7</v>
      </c>
      <c r="EB26" s="761">
        <f t="shared" si="10"/>
        <v>0</v>
      </c>
      <c r="EG26" s="761"/>
      <c r="EH26" s="761"/>
      <c r="EI26" s="761"/>
      <c r="EJ26" s="749">
        <f>EJ29/EJ21*EJ18</f>
        <v>1.7626890756302523E-2</v>
      </c>
      <c r="EK26" s="791"/>
      <c r="EL26" s="761"/>
      <c r="EM26" s="761"/>
      <c r="EN26" s="749">
        <f>EN29/EN21*EN18</f>
        <v>5.802146427830523E-3</v>
      </c>
      <c r="EO26" s="766"/>
      <c r="EQ26" s="767"/>
      <c r="ES26" s="767"/>
      <c r="EU26" s="767"/>
      <c r="EW26" s="752">
        <v>0.7</v>
      </c>
    </row>
    <row r="27" spans="1:211" s="759" customFormat="1">
      <c r="B27" s="763" t="s">
        <v>849</v>
      </c>
      <c r="C27" s="1241" t="s">
        <v>850</v>
      </c>
      <c r="H27" s="935"/>
      <c r="I27" s="935"/>
      <c r="P27" s="935"/>
      <c r="Q27" s="935"/>
      <c r="Z27" s="935"/>
      <c r="AA27" s="935"/>
      <c r="AD27" s="935"/>
      <c r="AE27" s="935"/>
      <c r="AF27" s="935"/>
      <c r="AG27" s="935"/>
      <c r="AN27" s="764"/>
      <c r="AQ27" s="765">
        <v>5</v>
      </c>
      <c r="AU27" s="765">
        <v>4</v>
      </c>
      <c r="AY27" s="765">
        <v>4</v>
      </c>
      <c r="BC27" s="765">
        <v>4</v>
      </c>
      <c r="BG27" s="765">
        <v>3</v>
      </c>
      <c r="BJ27" s="764"/>
      <c r="BM27" s="765">
        <v>5</v>
      </c>
      <c r="BQ27" s="765">
        <v>4</v>
      </c>
      <c r="BU27" s="765">
        <v>4</v>
      </c>
      <c r="BY27" s="765">
        <v>4</v>
      </c>
      <c r="CC27" s="765">
        <v>3</v>
      </c>
      <c r="CF27" s="915"/>
      <c r="CI27" s="765">
        <v>5</v>
      </c>
      <c r="CM27" s="765">
        <v>4</v>
      </c>
      <c r="CQ27" s="765">
        <v>4</v>
      </c>
      <c r="CU27" s="765">
        <v>4</v>
      </c>
      <c r="CY27" s="765">
        <v>3</v>
      </c>
      <c r="DE27" s="1368">
        <f>DF27/DI27</f>
        <v>106.66666666666667</v>
      </c>
      <c r="DF27" s="806">
        <f t="shared" si="2"/>
        <v>3.3601260504201687</v>
      </c>
      <c r="DG27" s="806">
        <f t="shared" ref="DG27:DG28" si="36">IF(EH27&gt;0,EH27,$EG27)</f>
        <v>3.3601260504201687</v>
      </c>
      <c r="DH27" s="806">
        <f t="shared" ref="DH27:DH28" si="37">IF(EI27&gt;0,EI27,$EG27)</f>
        <v>3.3601260504201687</v>
      </c>
      <c r="DI27" s="806">
        <f t="shared" si="18"/>
        <v>3.1501181722689078E-2</v>
      </c>
      <c r="DL27" s="1590">
        <f t="shared" si="30"/>
        <v>2.3200280031533524</v>
      </c>
      <c r="DM27" s="809">
        <f>DL27</f>
        <v>2.3200280031533524</v>
      </c>
      <c r="DN27" s="809">
        <f>DM27</f>
        <v>2.3200280031533524</v>
      </c>
      <c r="DO27" s="806">
        <f t="shared" si="33"/>
        <v>2.1750262529562674E-2</v>
      </c>
      <c r="DP27" s="809">
        <f t="shared" ref="DP27:DP29" si="38">DO27/DO$25</f>
        <v>2.0424107142857144</v>
      </c>
      <c r="DQ27" s="737">
        <f>DO27</f>
        <v>2.1750262529562674E-2</v>
      </c>
      <c r="DR27" s="737">
        <f t="shared" ref="DR27" si="39">DQ27</f>
        <v>2.1750262529562674E-2</v>
      </c>
      <c r="DS27" s="761">
        <f t="shared" si="10"/>
        <v>0</v>
      </c>
      <c r="DT27" s="761">
        <f t="shared" si="10"/>
        <v>0</v>
      </c>
      <c r="DU27" s="818" t="str">
        <f>DU20</f>
        <v>H2</v>
      </c>
      <c r="DV27" s="818">
        <f t="shared" si="35"/>
        <v>7.1637322688716226E-2</v>
      </c>
      <c r="DW27" s="818" t="str">
        <f t="shared" si="35"/>
        <v>Electricity</v>
      </c>
      <c r="DX27" s="818">
        <f t="shared" si="35"/>
        <v>1.4274418604651165E-2</v>
      </c>
      <c r="DY27" s="818" t="str">
        <f t="shared" si="35"/>
        <v>GN</v>
      </c>
      <c r="DZ27" s="818">
        <f t="shared" si="35"/>
        <v>0.92836267731128375</v>
      </c>
      <c r="EA27" s="761">
        <f t="shared" si="10"/>
        <v>0.7</v>
      </c>
      <c r="EB27" s="761">
        <f t="shared" si="10"/>
        <v>0</v>
      </c>
      <c r="EG27" s="749">
        <f>EG29/EG21*EG19</f>
        <v>3.3601260504201687</v>
      </c>
      <c r="EH27" s="749"/>
      <c r="EI27" s="749"/>
      <c r="EJ27" s="749">
        <f>EJ29/EJ21*EJ19</f>
        <v>3.1501181722689078E-2</v>
      </c>
      <c r="EK27" s="734">
        <f t="shared" ref="EK27:EK29" si="40">EG27*$DT$2/$DT$1</f>
        <v>2.3200280031533524</v>
      </c>
      <c r="EL27" s="749"/>
      <c r="EM27" s="749"/>
      <c r="EN27" s="749">
        <f>EN29/EN21*EN19</f>
        <v>1.7769954856290026E-2</v>
      </c>
      <c r="EO27" s="766"/>
      <c r="EQ27" s="767"/>
      <c r="ES27" s="767"/>
      <c r="EU27" s="767"/>
      <c r="EW27" s="752">
        <v>0.7</v>
      </c>
    </row>
    <row r="28" spans="1:211" s="759" customFormat="1">
      <c r="B28" s="763" t="s">
        <v>851</v>
      </c>
      <c r="C28" s="1241" t="s">
        <v>852</v>
      </c>
      <c r="H28" s="935"/>
      <c r="I28" s="935"/>
      <c r="P28" s="935"/>
      <c r="Q28" s="935"/>
      <c r="Z28" s="935"/>
      <c r="AA28" s="935"/>
      <c r="AD28" s="935"/>
      <c r="AE28" s="935"/>
      <c r="AF28" s="935"/>
      <c r="AG28" s="935"/>
      <c r="AN28" s="764"/>
      <c r="AP28" s="765">
        <v>5</v>
      </c>
      <c r="AT28" s="765">
        <v>4</v>
      </c>
      <c r="AX28" s="765">
        <v>4</v>
      </c>
      <c r="BB28" s="765">
        <v>4</v>
      </c>
      <c r="BF28" s="765">
        <v>3</v>
      </c>
      <c r="BJ28" s="764"/>
      <c r="BL28" s="765">
        <v>5</v>
      </c>
      <c r="BP28" s="765">
        <v>4</v>
      </c>
      <c r="BT28" s="765">
        <v>4</v>
      </c>
      <c r="BX28" s="765">
        <v>4</v>
      </c>
      <c r="CB28" s="765">
        <v>3</v>
      </c>
      <c r="CF28" s="915"/>
      <c r="CH28" s="765">
        <v>5</v>
      </c>
      <c r="CL28" s="765">
        <v>4</v>
      </c>
      <c r="CP28" s="765">
        <v>4</v>
      </c>
      <c r="CT28" s="765">
        <v>4</v>
      </c>
      <c r="CX28" s="765">
        <v>3</v>
      </c>
      <c r="DE28" s="744">
        <f>DF28/DI28</f>
        <v>88.888888888888914</v>
      </c>
      <c r="DF28" s="806">
        <f t="shared" si="2"/>
        <v>3.3601260504201687</v>
      </c>
      <c r="DG28" s="806">
        <f t="shared" si="36"/>
        <v>3.3601260504201687</v>
      </c>
      <c r="DH28" s="806">
        <f t="shared" si="37"/>
        <v>3.3601260504201687</v>
      </c>
      <c r="DI28" s="806">
        <f t="shared" si="18"/>
        <v>3.7801418067226887E-2</v>
      </c>
      <c r="DL28" s="1590">
        <f t="shared" si="30"/>
        <v>2.3200280031533524</v>
      </c>
      <c r="DM28" s="809">
        <f t="shared" ref="DM28:DN28" si="41">DL28</f>
        <v>2.3200280031533524</v>
      </c>
      <c r="DN28" s="809">
        <f t="shared" si="41"/>
        <v>2.3200280031533524</v>
      </c>
      <c r="DO28" s="806">
        <f t="shared" si="33"/>
        <v>2.6100315035475205E-2</v>
      </c>
      <c r="DP28" s="809">
        <f t="shared" si="38"/>
        <v>2.4508928571428568</v>
      </c>
      <c r="DQ28" s="737">
        <f>DO28</f>
        <v>2.6100315035475205E-2</v>
      </c>
      <c r="DR28" s="737">
        <f t="shared" ref="DR28" si="42">DQ28</f>
        <v>2.6100315035475205E-2</v>
      </c>
      <c r="DS28" s="761">
        <f t="shared" si="10"/>
        <v>0</v>
      </c>
      <c r="DT28" s="761">
        <f t="shared" si="10"/>
        <v>0</v>
      </c>
      <c r="DU28" s="818" t="str">
        <f>DU21</f>
        <v>H2</v>
      </c>
      <c r="DV28" s="818">
        <f t="shared" si="35"/>
        <v>0</v>
      </c>
      <c r="DW28" s="818" t="str">
        <f t="shared" si="35"/>
        <v>Electricity</v>
      </c>
      <c r="DX28" s="818">
        <f t="shared" si="35"/>
        <v>3.3000000000000002E-2</v>
      </c>
      <c r="DY28" s="818" t="str">
        <f t="shared" si="35"/>
        <v>GN</v>
      </c>
      <c r="DZ28" s="818">
        <f t="shared" si="35"/>
        <v>0</v>
      </c>
      <c r="EA28" s="761">
        <f t="shared" si="10"/>
        <v>0.7</v>
      </c>
      <c r="EB28" s="761">
        <f t="shared" si="10"/>
        <v>0</v>
      </c>
      <c r="EG28" s="749">
        <f>EG29/EG21*EG20</f>
        <v>3.3601260504201687</v>
      </c>
      <c r="EH28" s="749"/>
      <c r="EI28" s="749"/>
      <c r="EJ28" s="749">
        <f>EJ29/EJ21*EJ20</f>
        <v>3.7801418067226887E-2</v>
      </c>
      <c r="EK28" s="734">
        <f t="shared" si="40"/>
        <v>2.3200280031533524</v>
      </c>
      <c r="EL28" s="749"/>
      <c r="EM28" s="749"/>
      <c r="EN28" s="749">
        <f>EN29/EN21*EN20</f>
        <v>2.1323945827548027E-2</v>
      </c>
      <c r="EO28" s="766"/>
      <c r="EQ28" s="767"/>
      <c r="ES28" s="767"/>
      <c r="EU28" s="767"/>
      <c r="EW28" s="752">
        <v>0.7</v>
      </c>
    </row>
    <row r="29" spans="1:211" s="759" customFormat="1">
      <c r="A29" s="759" t="s">
        <v>853</v>
      </c>
      <c r="B29" s="763" t="s">
        <v>854</v>
      </c>
      <c r="C29" s="1241" t="s">
        <v>855</v>
      </c>
      <c r="H29" s="935"/>
      <c r="I29" s="935"/>
      <c r="P29" s="935"/>
      <c r="Q29" s="935"/>
      <c r="Z29" s="935"/>
      <c r="AA29" s="935"/>
      <c r="AD29" s="935"/>
      <c r="AE29" s="935"/>
      <c r="AF29" s="935"/>
      <c r="AG29" s="935"/>
      <c r="AN29" s="768">
        <v>5</v>
      </c>
      <c r="AO29" s="765">
        <v>5</v>
      </c>
      <c r="AS29" s="765">
        <v>4</v>
      </c>
      <c r="AW29" s="765">
        <v>4</v>
      </c>
      <c r="BA29" s="765">
        <v>4</v>
      </c>
      <c r="BE29" s="765">
        <v>3</v>
      </c>
      <c r="BJ29" s="768">
        <v>5</v>
      </c>
      <c r="BK29" s="765">
        <v>5</v>
      </c>
      <c r="BO29" s="765">
        <v>4</v>
      </c>
      <c r="BS29" s="765">
        <v>4</v>
      </c>
      <c r="BW29" s="765">
        <v>4</v>
      </c>
      <c r="CA29" s="765">
        <v>3</v>
      </c>
      <c r="CF29" s="916">
        <v>5</v>
      </c>
      <c r="CG29" s="765">
        <v>5</v>
      </c>
      <c r="CK29" s="765">
        <v>4</v>
      </c>
      <c r="CO29" s="765">
        <v>4</v>
      </c>
      <c r="CS29" s="765">
        <v>4</v>
      </c>
      <c r="CW29" s="765">
        <v>3</v>
      </c>
      <c r="DF29" s="805">
        <f t="shared" si="2"/>
        <v>4.37</v>
      </c>
      <c r="DG29" s="808">
        <f t="shared" ref="DG29" si="43">IF(EH29&gt;0,EH29,$EG29)</f>
        <v>4.37</v>
      </c>
      <c r="DH29" s="808">
        <f t="shared" ref="DH29" si="44">IF(EI29&gt;0,EI29,$EG29)</f>
        <v>4.37</v>
      </c>
      <c r="DI29" s="805">
        <f t="shared" si="18"/>
        <v>6.5549999999999997E-2</v>
      </c>
      <c r="DL29" s="1590">
        <f t="shared" si="30"/>
        <v>3.0173041789644688</v>
      </c>
      <c r="DM29" s="809">
        <f t="shared" ref="DM29:DN29" si="45">DL29</f>
        <v>3.0173041789644688</v>
      </c>
      <c r="DN29" s="809">
        <f t="shared" si="45"/>
        <v>3.0173041789644688</v>
      </c>
      <c r="DO29" s="805">
        <f t="shared" si="33"/>
        <v>4.5259562684467021E-2</v>
      </c>
      <c r="DP29" s="809">
        <f t="shared" si="38"/>
        <v>4.2499999999999991</v>
      </c>
      <c r="DQ29" s="737">
        <f>DO29</f>
        <v>4.5259562684467021E-2</v>
      </c>
      <c r="DR29" s="737">
        <f t="shared" ref="DR29" si="46">DQ29</f>
        <v>4.5259562684467021E-2</v>
      </c>
      <c r="DS29" s="761">
        <f t="shared" si="10"/>
        <v>0</v>
      </c>
      <c r="DT29" s="761">
        <f t="shared" si="10"/>
        <v>0</v>
      </c>
      <c r="DU29" s="818" t="str">
        <f>DU22</f>
        <v>H2</v>
      </c>
      <c r="DV29" s="818">
        <f t="shared" si="35"/>
        <v>0</v>
      </c>
      <c r="DW29" s="818" t="str">
        <f t="shared" si="35"/>
        <v>Electricity</v>
      </c>
      <c r="DX29" s="818">
        <f t="shared" si="35"/>
        <v>0</v>
      </c>
      <c r="DY29" s="818">
        <f t="shared" si="35"/>
        <v>0</v>
      </c>
      <c r="DZ29" s="818">
        <f t="shared" si="35"/>
        <v>0</v>
      </c>
      <c r="EA29" s="761">
        <f t="shared" si="10"/>
        <v>0.7</v>
      </c>
      <c r="EB29" s="761">
        <f t="shared" si="10"/>
        <v>0</v>
      </c>
      <c r="EG29" s="738">
        <v>4.37</v>
      </c>
      <c r="EH29" s="738"/>
      <c r="EI29" s="738"/>
      <c r="EJ29" s="738">
        <f>EG29*1.5%</f>
        <v>6.5549999999999997E-2</v>
      </c>
      <c r="EK29" s="738">
        <f t="shared" si="40"/>
        <v>3.0173041789644688</v>
      </c>
      <c r="EL29" s="738"/>
      <c r="EM29" s="738"/>
      <c r="EN29" s="738">
        <f>EK29*1.5%</f>
        <v>4.5259562684467028E-2</v>
      </c>
      <c r="EO29" s="766"/>
      <c r="EQ29" s="767"/>
      <c r="ES29" s="767"/>
      <c r="EU29" s="767"/>
      <c r="EW29" s="752">
        <v>0.7</v>
      </c>
    </row>
    <row r="30" spans="1:211" ht="4.5" customHeight="1">
      <c r="DF30" s="708">
        <f t="shared" si="2"/>
        <v>0</v>
      </c>
      <c r="DG30" s="708">
        <f t="shared" si="27"/>
        <v>0</v>
      </c>
      <c r="DH30" s="708">
        <f t="shared" si="28"/>
        <v>0</v>
      </c>
      <c r="DI30" s="708">
        <f t="shared" si="18"/>
        <v>0</v>
      </c>
      <c r="DJ30" s="708">
        <f t="shared" ref="DJ30" si="47">EK30</f>
        <v>0</v>
      </c>
      <c r="DK30" s="708">
        <f t="shared" ref="DK30" si="48">EL30</f>
        <v>0</v>
      </c>
      <c r="DL30" s="1584">
        <f t="shared" ref="DL30" si="49">EM30</f>
        <v>0</v>
      </c>
      <c r="DM30" s="708">
        <f t="shared" ref="DM30" si="50">EN30</f>
        <v>0</v>
      </c>
      <c r="DN30" s="708">
        <f t="shared" ref="DN30" si="51">EO30</f>
        <v>0</v>
      </c>
      <c r="DO30" s="708">
        <f t="shared" ref="DO30" si="52">EP30</f>
        <v>0</v>
      </c>
      <c r="DS30" s="758"/>
      <c r="DT30" s="758"/>
      <c r="DU30" s="758"/>
      <c r="DV30" s="758"/>
      <c r="DW30" s="758"/>
      <c r="DX30" s="758"/>
      <c r="DY30" s="813"/>
      <c r="DZ30" s="813"/>
      <c r="EA30" s="758"/>
      <c r="EB30" s="758"/>
      <c r="EK30" s="722"/>
      <c r="EO30" s="722"/>
      <c r="EQ30" s="712"/>
      <c r="ES30" s="712"/>
      <c r="EU30" s="712"/>
    </row>
    <row r="31" spans="1:211" s="759" customFormat="1">
      <c r="A31" s="759" t="s">
        <v>856</v>
      </c>
      <c r="B31" s="763" t="s">
        <v>854</v>
      </c>
      <c r="C31" s="1241" t="s">
        <v>855</v>
      </c>
      <c r="H31" s="935"/>
      <c r="I31" s="935"/>
      <c r="P31" s="935"/>
      <c r="Q31" s="935"/>
      <c r="Z31" s="935"/>
      <c r="AA31" s="935"/>
      <c r="AD31" s="935"/>
      <c r="AE31" s="935"/>
      <c r="AF31" s="935"/>
      <c r="AG31" s="935"/>
      <c r="AN31" s="764"/>
      <c r="BI31" s="765">
        <v>3</v>
      </c>
      <c r="BJ31" s="760"/>
      <c r="CE31" s="765">
        <v>3</v>
      </c>
      <c r="CF31" s="914"/>
      <c r="DA31" s="765">
        <v>3</v>
      </c>
      <c r="DF31" s="761">
        <f t="shared" ref="DF31:DI35" si="53">EG31</f>
        <v>0</v>
      </c>
      <c r="DG31" s="761">
        <f t="shared" si="53"/>
        <v>0</v>
      </c>
      <c r="DH31" s="761">
        <f t="shared" si="53"/>
        <v>0</v>
      </c>
      <c r="DI31" s="761">
        <f t="shared" si="53"/>
        <v>0</v>
      </c>
      <c r="DJ31" s="761"/>
      <c r="DK31" s="761"/>
      <c r="DL31" s="1591">
        <f t="shared" ref="DL31:DO35" si="54">EK31</f>
        <v>0</v>
      </c>
      <c r="DM31" s="761">
        <f t="shared" si="54"/>
        <v>0</v>
      </c>
      <c r="DN31" s="761">
        <f t="shared" si="54"/>
        <v>0</v>
      </c>
      <c r="DO31" s="761">
        <f t="shared" si="54"/>
        <v>0</v>
      </c>
      <c r="DP31" s="811"/>
      <c r="DQ31" s="761"/>
      <c r="DR31" s="761"/>
      <c r="DS31" s="761">
        <f t="shared" si="10"/>
        <v>0</v>
      </c>
      <c r="DT31" s="761">
        <f t="shared" si="10"/>
        <v>0</v>
      </c>
      <c r="DU31" s="761">
        <f t="shared" si="10"/>
        <v>0</v>
      </c>
      <c r="DV31" s="761">
        <f t="shared" si="10"/>
        <v>0</v>
      </c>
      <c r="DW31" s="761">
        <f t="shared" si="10"/>
        <v>0</v>
      </c>
      <c r="DX31" s="761">
        <f t="shared" si="10"/>
        <v>0</v>
      </c>
      <c r="DY31" s="761">
        <f t="shared" si="10"/>
        <v>0</v>
      </c>
      <c r="DZ31" s="761">
        <f t="shared" si="10"/>
        <v>0</v>
      </c>
      <c r="EA31" s="761">
        <f t="shared" si="10"/>
        <v>0</v>
      </c>
      <c r="EB31" s="761">
        <f t="shared" si="10"/>
        <v>0</v>
      </c>
      <c r="EK31" s="766"/>
      <c r="EO31" s="766"/>
      <c r="EQ31" s="767"/>
      <c r="ES31" s="767"/>
      <c r="EU31" s="767"/>
    </row>
    <row r="32" spans="1:211" s="759" customFormat="1">
      <c r="B32" s="763" t="s">
        <v>851</v>
      </c>
      <c r="C32" s="1241" t="s">
        <v>852</v>
      </c>
      <c r="H32" s="935"/>
      <c r="I32" s="935"/>
      <c r="P32" s="935"/>
      <c r="Q32" s="935"/>
      <c r="Z32" s="935"/>
      <c r="AA32" s="935"/>
      <c r="AD32" s="935"/>
      <c r="AE32" s="935"/>
      <c r="AF32" s="935"/>
      <c r="AG32" s="935"/>
      <c r="AN32" s="764"/>
      <c r="BJ32" s="760"/>
      <c r="CF32" s="914"/>
      <c r="DB32" s="765">
        <v>3</v>
      </c>
      <c r="DF32" s="761">
        <f t="shared" si="53"/>
        <v>0</v>
      </c>
      <c r="DG32" s="761">
        <f t="shared" si="53"/>
        <v>0</v>
      </c>
      <c r="DH32" s="761">
        <f t="shared" si="53"/>
        <v>0</v>
      </c>
      <c r="DI32" s="761">
        <f t="shared" si="53"/>
        <v>0</v>
      </c>
      <c r="DJ32" s="761"/>
      <c r="DK32" s="761"/>
      <c r="DL32" s="1591">
        <f t="shared" si="54"/>
        <v>0</v>
      </c>
      <c r="DM32" s="761">
        <f t="shared" si="54"/>
        <v>0</v>
      </c>
      <c r="DN32" s="761">
        <f t="shared" si="54"/>
        <v>0</v>
      </c>
      <c r="DO32" s="761">
        <f t="shared" si="54"/>
        <v>0</v>
      </c>
      <c r="DP32" s="811"/>
      <c r="DQ32" s="761"/>
      <c r="DR32" s="761"/>
      <c r="DS32" s="761">
        <f t="shared" si="10"/>
        <v>0</v>
      </c>
      <c r="DT32" s="761">
        <f t="shared" si="10"/>
        <v>0</v>
      </c>
      <c r="DU32" s="761">
        <f t="shared" si="10"/>
        <v>0</v>
      </c>
      <c r="DV32" s="761">
        <f t="shared" si="10"/>
        <v>0</v>
      </c>
      <c r="DW32" s="761"/>
      <c r="DX32" s="761"/>
      <c r="DY32" s="761"/>
      <c r="DZ32" s="761">
        <f t="shared" si="10"/>
        <v>0</v>
      </c>
      <c r="EA32" s="761">
        <f t="shared" si="10"/>
        <v>0</v>
      </c>
      <c r="EB32" s="761">
        <f t="shared" si="10"/>
        <v>0</v>
      </c>
      <c r="EK32" s="766"/>
      <c r="EO32" s="766"/>
      <c r="EQ32" s="767"/>
      <c r="ES32" s="767"/>
      <c r="EU32" s="767"/>
    </row>
    <row r="33" spans="1:154" s="759" customFormat="1">
      <c r="B33" s="763" t="s">
        <v>849</v>
      </c>
      <c r="C33" s="1241" t="s">
        <v>850</v>
      </c>
      <c r="H33" s="935"/>
      <c r="I33" s="935"/>
      <c r="P33" s="935"/>
      <c r="Q33" s="935"/>
      <c r="Z33" s="935"/>
      <c r="AA33" s="935"/>
      <c r="AD33" s="935"/>
      <c r="AE33" s="935"/>
      <c r="AF33" s="935"/>
      <c r="AG33" s="935"/>
      <c r="AN33" s="764"/>
      <c r="BJ33" s="760"/>
      <c r="CF33" s="914"/>
      <c r="DC33" s="765">
        <v>3</v>
      </c>
      <c r="DF33" s="761">
        <f t="shared" si="53"/>
        <v>0</v>
      </c>
      <c r="DG33" s="761">
        <f t="shared" si="53"/>
        <v>0</v>
      </c>
      <c r="DH33" s="761">
        <f t="shared" si="53"/>
        <v>0</v>
      </c>
      <c r="DI33" s="761">
        <f t="shared" si="53"/>
        <v>0</v>
      </c>
      <c r="DJ33" s="761"/>
      <c r="DK33" s="761"/>
      <c r="DL33" s="1591">
        <f t="shared" si="54"/>
        <v>0</v>
      </c>
      <c r="DM33" s="761">
        <f t="shared" si="54"/>
        <v>0</v>
      </c>
      <c r="DN33" s="761">
        <f t="shared" si="54"/>
        <v>0</v>
      </c>
      <c r="DO33" s="761">
        <f t="shared" si="54"/>
        <v>0</v>
      </c>
      <c r="DP33" s="811"/>
      <c r="DQ33" s="761"/>
      <c r="DR33" s="761"/>
      <c r="DS33" s="761">
        <f t="shared" ref="DS33:DS43" si="55">EO33</f>
        <v>0</v>
      </c>
      <c r="DT33" s="761">
        <f t="shared" ref="DT33:DT43" si="56">EP33</f>
        <v>0</v>
      </c>
      <c r="DU33" s="761">
        <f t="shared" ref="DU33:DU43" si="57">EQ33</f>
        <v>0</v>
      </c>
      <c r="DV33" s="761">
        <f t="shared" ref="DV33:DV35" si="58">ER33</f>
        <v>0</v>
      </c>
      <c r="DW33" s="761"/>
      <c r="DX33" s="761"/>
      <c r="DY33" s="761"/>
      <c r="DZ33" s="761">
        <f t="shared" ref="DZ33:DZ44" si="59">EV33</f>
        <v>0</v>
      </c>
      <c r="EA33" s="761">
        <f t="shared" ref="EA33:EA43" si="60">EW33</f>
        <v>0</v>
      </c>
      <c r="EB33" s="761">
        <f t="shared" ref="EB33:EB43" si="61">EX33</f>
        <v>0</v>
      </c>
      <c r="EK33" s="766"/>
      <c r="EO33" s="766"/>
      <c r="EQ33" s="767"/>
      <c r="ES33" s="767"/>
      <c r="EU33" s="767"/>
    </row>
    <row r="34" spans="1:154" s="759" customFormat="1">
      <c r="B34" s="763" t="s">
        <v>847</v>
      </c>
      <c r="C34" s="1241" t="s">
        <v>848</v>
      </c>
      <c r="H34" s="935"/>
      <c r="I34" s="935"/>
      <c r="P34" s="935"/>
      <c r="Q34" s="935"/>
      <c r="Z34" s="935"/>
      <c r="AA34" s="935"/>
      <c r="AD34" s="935"/>
      <c r="AE34" s="935"/>
      <c r="AF34" s="935"/>
      <c r="AG34" s="935"/>
      <c r="AN34" s="764"/>
      <c r="BJ34" s="760"/>
      <c r="CF34" s="914"/>
      <c r="DD34" s="765">
        <v>3</v>
      </c>
      <c r="DF34" s="761">
        <f t="shared" si="53"/>
        <v>0</v>
      </c>
      <c r="DG34" s="761">
        <f t="shared" si="53"/>
        <v>0</v>
      </c>
      <c r="DH34" s="761">
        <f t="shared" si="53"/>
        <v>0</v>
      </c>
      <c r="DI34" s="761">
        <f t="shared" si="53"/>
        <v>0</v>
      </c>
      <c r="DJ34" s="761"/>
      <c r="DK34" s="761"/>
      <c r="DL34" s="1591">
        <f t="shared" si="54"/>
        <v>0</v>
      </c>
      <c r="DM34" s="761">
        <f t="shared" si="54"/>
        <v>0</v>
      </c>
      <c r="DN34" s="761">
        <f t="shared" si="54"/>
        <v>0</v>
      </c>
      <c r="DO34" s="761">
        <f t="shared" si="54"/>
        <v>0</v>
      </c>
      <c r="DP34" s="811"/>
      <c r="DQ34" s="761"/>
      <c r="DR34" s="761"/>
      <c r="DS34" s="761">
        <f t="shared" si="55"/>
        <v>0</v>
      </c>
      <c r="DT34" s="761">
        <f t="shared" si="56"/>
        <v>0</v>
      </c>
      <c r="DU34" s="761">
        <f t="shared" si="57"/>
        <v>0</v>
      </c>
      <c r="DV34" s="761">
        <f t="shared" si="58"/>
        <v>0</v>
      </c>
      <c r="DW34" s="761">
        <f t="shared" ref="DW34:DW43" si="62">ES34</f>
        <v>0</v>
      </c>
      <c r="DX34" s="761">
        <f t="shared" ref="DX34:DX43" si="63">ET34</f>
        <v>0</v>
      </c>
      <c r="DY34" s="761"/>
      <c r="DZ34" s="761">
        <f t="shared" si="59"/>
        <v>0</v>
      </c>
      <c r="EA34" s="761">
        <f t="shared" si="60"/>
        <v>0</v>
      </c>
      <c r="EB34" s="761">
        <f t="shared" si="61"/>
        <v>0</v>
      </c>
      <c r="EK34" s="766"/>
      <c r="EO34" s="766"/>
      <c r="EQ34" s="767"/>
      <c r="ES34" s="767"/>
      <c r="EU34" s="767"/>
    </row>
    <row r="35" spans="1:154" ht="2.4500000000000002" customHeight="1">
      <c r="B35" s="702"/>
      <c r="C35" s="1242"/>
      <c r="AR35" s="769"/>
      <c r="AV35" s="769"/>
      <c r="AZ35" s="769"/>
      <c r="BD35" s="769"/>
      <c r="BN35" s="769"/>
      <c r="BR35" s="769"/>
      <c r="BV35" s="769"/>
      <c r="BZ35" s="769"/>
      <c r="CJ35" s="769"/>
      <c r="CN35" s="769"/>
      <c r="CR35" s="769"/>
      <c r="CV35" s="769"/>
      <c r="DF35" s="758">
        <f t="shared" si="53"/>
        <v>0</v>
      </c>
      <c r="DG35" s="758">
        <f t="shared" si="53"/>
        <v>0</v>
      </c>
      <c r="DH35" s="758">
        <f t="shared" si="53"/>
        <v>0</v>
      </c>
      <c r="DI35" s="758">
        <f t="shared" si="53"/>
        <v>0</v>
      </c>
      <c r="DJ35" s="758"/>
      <c r="DK35" s="758"/>
      <c r="DL35" s="1592">
        <f t="shared" si="54"/>
        <v>0</v>
      </c>
      <c r="DM35" s="758">
        <f t="shared" si="54"/>
        <v>0</v>
      </c>
      <c r="DN35" s="758">
        <f t="shared" si="54"/>
        <v>0</v>
      </c>
      <c r="DO35" s="758">
        <f t="shared" si="54"/>
        <v>0</v>
      </c>
      <c r="DP35" s="811"/>
      <c r="DQ35" s="758"/>
      <c r="DR35" s="758"/>
      <c r="DS35" s="758">
        <f t="shared" si="55"/>
        <v>0</v>
      </c>
      <c r="DT35" s="758">
        <f t="shared" si="56"/>
        <v>0</v>
      </c>
      <c r="DU35" s="758">
        <f t="shared" si="57"/>
        <v>0</v>
      </c>
      <c r="DV35" s="758">
        <f t="shared" si="58"/>
        <v>0</v>
      </c>
      <c r="DW35" s="758">
        <f t="shared" si="62"/>
        <v>0</v>
      </c>
      <c r="DX35" s="758">
        <f t="shared" si="63"/>
        <v>0</v>
      </c>
      <c r="DY35" s="758">
        <f t="shared" ref="DY35:DY43" si="64">EU35</f>
        <v>0</v>
      </c>
      <c r="DZ35" s="758">
        <f t="shared" si="59"/>
        <v>0</v>
      </c>
      <c r="EA35" s="758">
        <f t="shared" si="60"/>
        <v>0</v>
      </c>
      <c r="EB35" s="758">
        <f t="shared" si="61"/>
        <v>0</v>
      </c>
      <c r="EK35" s="722"/>
      <c r="EO35" s="722"/>
      <c r="EQ35" s="712"/>
      <c r="ES35" s="712"/>
      <c r="EU35" s="712"/>
    </row>
    <row r="36" spans="1:154" s="770" customFormat="1">
      <c r="B36" s="772" t="s">
        <v>193</v>
      </c>
      <c r="C36" s="1243" t="s">
        <v>194</v>
      </c>
      <c r="D36" s="773">
        <v>5</v>
      </c>
      <c r="E36" s="773">
        <v>5</v>
      </c>
      <c r="F36" s="773">
        <v>4</v>
      </c>
      <c r="G36" s="773">
        <v>4</v>
      </c>
      <c r="H36" s="933">
        <v>4</v>
      </c>
      <c r="I36" s="933">
        <v>4</v>
      </c>
      <c r="J36" s="773">
        <v>4</v>
      </c>
      <c r="K36" s="773">
        <v>4</v>
      </c>
      <c r="P36" s="935"/>
      <c r="Q36" s="935"/>
      <c r="T36" s="773">
        <v>4</v>
      </c>
      <c r="U36" s="773">
        <v>4</v>
      </c>
      <c r="X36" s="773">
        <v>5</v>
      </c>
      <c r="Y36" s="773">
        <v>5</v>
      </c>
      <c r="Z36" s="933">
        <v>4</v>
      </c>
      <c r="AA36" s="933">
        <v>4</v>
      </c>
      <c r="AB36" s="773"/>
      <c r="AC36" s="773"/>
      <c r="AD36" s="933">
        <v>4</v>
      </c>
      <c r="AE36" s="933">
        <v>4</v>
      </c>
      <c r="AF36" s="933">
        <v>4</v>
      </c>
      <c r="AG36" s="933">
        <v>4</v>
      </c>
      <c r="AH36" s="773">
        <v>3</v>
      </c>
      <c r="AI36" s="773">
        <v>3</v>
      </c>
      <c r="AN36" s="774"/>
      <c r="BJ36" s="774"/>
      <c r="CF36" s="917"/>
      <c r="DF36" s="815">
        <f>'INPUT-Data(HD)'!P38*1.048968/0.942015</f>
        <v>11.060187648429107</v>
      </c>
      <c r="DG36" s="798">
        <f>EH35</f>
        <v>0</v>
      </c>
      <c r="DH36" s="798">
        <f>EI35</f>
        <v>0</v>
      </c>
      <c r="DI36" s="815">
        <f>'INPUT-Data(HD)'!R38*1.048968/0.942015</f>
        <v>0.77421313539003755</v>
      </c>
      <c r="DJ36" s="798"/>
      <c r="DK36" s="798"/>
      <c r="DL36" s="1593">
        <f t="shared" ref="DL36:DL44" si="65">DF36*$DT$2/$DV$1</f>
        <v>8.148065957098046</v>
      </c>
      <c r="DM36" s="809">
        <f t="shared" ref="DM36:DN38" si="66">DL36</f>
        <v>8.148065957098046</v>
      </c>
      <c r="DN36" s="809">
        <f t="shared" si="66"/>
        <v>8.148065957098046</v>
      </c>
      <c r="DO36" s="815">
        <f>DI36*$DT$2/$DV$1</f>
        <v>0.57036461699686325</v>
      </c>
      <c r="DP36" s="811"/>
      <c r="DQ36" s="798">
        <f>DO36</f>
        <v>0.57036461699686325</v>
      </c>
      <c r="DR36" s="798">
        <f t="shared" ref="DR36:DR38" si="67">DQ36</f>
        <v>0.57036461699686325</v>
      </c>
      <c r="DS36" s="798">
        <f t="shared" si="55"/>
        <v>0</v>
      </c>
      <c r="DT36" s="798">
        <f t="shared" si="56"/>
        <v>0</v>
      </c>
      <c r="DU36" s="798" t="s">
        <v>459</v>
      </c>
      <c r="DV36" s="798">
        <f t="shared" ref="DV36:DV43" si="68">ER36-1</f>
        <v>0</v>
      </c>
      <c r="DW36" s="798" t="str">
        <f t="shared" si="62"/>
        <v>Electricity</v>
      </c>
      <c r="DX36" s="799">
        <v>0.45</v>
      </c>
      <c r="DY36" s="798">
        <f t="shared" si="64"/>
        <v>0</v>
      </c>
      <c r="DZ36" s="798">
        <f t="shared" si="59"/>
        <v>0</v>
      </c>
      <c r="EA36" s="798">
        <f t="shared" si="60"/>
        <v>0</v>
      </c>
      <c r="EB36" s="798">
        <f t="shared" si="61"/>
        <v>0</v>
      </c>
      <c r="EK36" s="775"/>
      <c r="EO36" s="775"/>
      <c r="EQ36" s="771" t="s">
        <v>459</v>
      </c>
      <c r="ER36" s="770">
        <v>1</v>
      </c>
      <c r="ES36" s="771" t="s">
        <v>317</v>
      </c>
      <c r="EU36" s="771"/>
    </row>
    <row r="37" spans="1:154" s="770" customFormat="1">
      <c r="B37" s="772"/>
      <c r="C37" s="1243" t="s">
        <v>879</v>
      </c>
      <c r="H37" s="935"/>
      <c r="I37" s="935"/>
      <c r="P37" s="935"/>
      <c r="Q37" s="935"/>
      <c r="Z37" s="935"/>
      <c r="AA37" s="935"/>
      <c r="AD37" s="935"/>
      <c r="AE37" s="935"/>
      <c r="AF37" s="935"/>
      <c r="AG37" s="935"/>
      <c r="AJ37" s="773">
        <v>2</v>
      </c>
      <c r="AK37" s="773">
        <v>2</v>
      </c>
      <c r="AN37" s="774"/>
      <c r="BJ37" s="774"/>
      <c r="CF37" s="917"/>
      <c r="DF37" s="815">
        <f>'INPUT-Data(HD)'!P39*1.048968/0.942015</f>
        <v>78.896005225460968</v>
      </c>
      <c r="DG37" s="798">
        <f>EH36</f>
        <v>0</v>
      </c>
      <c r="DH37" s="798">
        <f>EI36</f>
        <v>0</v>
      </c>
      <c r="DI37" s="815">
        <f>'INPUT-Data(HD)'!R39*1.048968/0.942015</f>
        <v>5.5227203657822681</v>
      </c>
      <c r="DJ37" s="798"/>
      <c r="DK37" s="798"/>
      <c r="DL37" s="1593">
        <f t="shared" si="65"/>
        <v>58.122870493966062</v>
      </c>
      <c r="DM37" s="809">
        <f t="shared" si="66"/>
        <v>58.122870493966062</v>
      </c>
      <c r="DN37" s="809">
        <f t="shared" si="66"/>
        <v>58.122870493966062</v>
      </c>
      <c r="DO37" s="815">
        <f>DI37*$DT$2/$DV$1</f>
        <v>4.0686009345776242</v>
      </c>
      <c r="DP37" s="811"/>
      <c r="DQ37" s="798">
        <f>DO37</f>
        <v>4.0686009345776242</v>
      </c>
      <c r="DR37" s="798">
        <f t="shared" si="67"/>
        <v>4.0686009345776242</v>
      </c>
      <c r="DS37" s="798"/>
      <c r="DT37" s="798"/>
      <c r="DU37" s="798"/>
      <c r="DV37" s="798"/>
      <c r="DW37" s="798">
        <f t="shared" si="62"/>
        <v>0</v>
      </c>
      <c r="DX37" s="799">
        <v>0.45</v>
      </c>
      <c r="DY37" s="798"/>
      <c r="DZ37" s="798"/>
      <c r="EA37" s="798"/>
      <c r="EB37" s="798"/>
      <c r="EK37" s="816"/>
      <c r="EO37" s="816"/>
      <c r="EQ37" s="771"/>
      <c r="ES37" s="771"/>
      <c r="EU37" s="771"/>
    </row>
    <row r="38" spans="1:154" s="1245" customFormat="1" ht="14.75">
      <c r="A38" s="1245" t="s">
        <v>857</v>
      </c>
      <c r="B38" s="1246" t="s">
        <v>379</v>
      </c>
      <c r="C38" s="1247" t="s">
        <v>652</v>
      </c>
      <c r="H38" s="1248"/>
      <c r="I38" s="1248"/>
      <c r="L38" s="1249">
        <v>5</v>
      </c>
      <c r="N38" s="1249">
        <v>4</v>
      </c>
      <c r="P38" s="1250">
        <v>4</v>
      </c>
      <c r="Q38" s="1248"/>
      <c r="R38" s="1249">
        <v>4</v>
      </c>
      <c r="V38" s="1249">
        <v>3</v>
      </c>
      <c r="Z38" s="1248"/>
      <c r="AA38" s="1248"/>
      <c r="AD38" s="1248"/>
      <c r="AE38" s="1248"/>
      <c r="AF38" s="1248"/>
      <c r="AG38" s="1248"/>
      <c r="AL38" s="1249">
        <v>2</v>
      </c>
      <c r="AN38" s="1251"/>
      <c r="BJ38" s="1251"/>
      <c r="CF38" s="1251"/>
      <c r="DF38" s="1252">
        <f>EG38</f>
        <v>17.600766973343784</v>
      </c>
      <c r="DG38" s="1252">
        <f t="shared" ref="DG38" si="69">IF(EH38&gt;0,EH38,$EG38)</f>
        <v>17.600766973343784</v>
      </c>
      <c r="DH38" s="1252">
        <f t="shared" ref="DH38" si="70">IF(EI38&gt;0,EI38,$EG38)</f>
        <v>17.600766973343784</v>
      </c>
      <c r="DI38" s="1252">
        <f>EJ38</f>
        <v>0.39253897793198034</v>
      </c>
      <c r="DJ38" s="1253"/>
      <c r="DK38" s="1253"/>
      <c r="DL38" s="1594">
        <f t="shared" si="65"/>
        <v>12.966525953534534</v>
      </c>
      <c r="DM38" s="1254">
        <f t="shared" si="66"/>
        <v>12.966525953534534</v>
      </c>
      <c r="DN38" s="1254">
        <f t="shared" si="66"/>
        <v>12.966525953534534</v>
      </c>
      <c r="DO38" s="1253">
        <f>DI38*$DT$2/$DV$1</f>
        <v>0.28918437775112321</v>
      </c>
      <c r="DP38" s="811"/>
      <c r="DQ38" s="1253">
        <f>DO38</f>
        <v>0.28918437775112321</v>
      </c>
      <c r="DR38" s="1253">
        <f t="shared" si="67"/>
        <v>0.28918437775112321</v>
      </c>
      <c r="DS38" s="1252">
        <f t="shared" si="55"/>
        <v>20</v>
      </c>
      <c r="DT38" s="1252">
        <f t="shared" si="56"/>
        <v>0.995</v>
      </c>
      <c r="DU38" s="1253" t="s">
        <v>459</v>
      </c>
      <c r="DV38" s="1252">
        <f>1-DT38</f>
        <v>5.0000000000000044E-3</v>
      </c>
      <c r="DW38" s="1253">
        <f t="shared" si="62"/>
        <v>0</v>
      </c>
      <c r="DX38" s="1253">
        <f t="shared" si="63"/>
        <v>0</v>
      </c>
      <c r="DY38" s="1253">
        <f t="shared" si="64"/>
        <v>0</v>
      </c>
      <c r="DZ38" s="1253">
        <f t="shared" si="59"/>
        <v>0</v>
      </c>
      <c r="EA38" s="1253">
        <f t="shared" si="60"/>
        <v>0.99</v>
      </c>
      <c r="EB38" s="1253">
        <f t="shared" si="61"/>
        <v>0</v>
      </c>
      <c r="EC38" s="1245" t="s">
        <v>858</v>
      </c>
      <c r="EG38" s="1255">
        <v>17.600766973343784</v>
      </c>
      <c r="EJ38" s="1255">
        <v>0.39253897793198034</v>
      </c>
      <c r="EK38" s="1255">
        <f>EG38*$DT$2/$DV$1</f>
        <v>12.966525953534534</v>
      </c>
      <c r="EN38" s="1255">
        <f>EJ38*$DT$2/$DV$1</f>
        <v>0.28918437775112321</v>
      </c>
      <c r="EO38" s="1255">
        <v>20</v>
      </c>
      <c r="EP38" s="1255">
        <v>0.995</v>
      </c>
      <c r="EQ38" s="1256" t="s">
        <v>459</v>
      </c>
      <c r="ER38" s="1257">
        <f>(1-EP38)</f>
        <v>5.0000000000000044E-3</v>
      </c>
      <c r="ES38" s="1256"/>
      <c r="EU38" s="1256"/>
      <c r="EW38" s="1258">
        <v>0.99</v>
      </c>
    </row>
    <row r="39" spans="1:154" s="1245" customFormat="1" ht="14.75">
      <c r="A39" s="1245" t="s">
        <v>859</v>
      </c>
      <c r="B39" s="1246" t="s">
        <v>381</v>
      </c>
      <c r="C39" s="1247" t="s">
        <v>653</v>
      </c>
      <c r="H39" s="1248"/>
      <c r="I39" s="1248"/>
      <c r="M39" s="1249">
        <v>5</v>
      </c>
      <c r="O39" s="1249">
        <v>4</v>
      </c>
      <c r="P39" s="1248"/>
      <c r="Q39" s="1250">
        <v>4</v>
      </c>
      <c r="S39" s="1249">
        <v>4</v>
      </c>
      <c r="W39" s="1249">
        <v>3</v>
      </c>
      <c r="Z39" s="1248"/>
      <c r="AA39" s="1248"/>
      <c r="AD39" s="1248"/>
      <c r="AE39" s="1248"/>
      <c r="AF39" s="1248"/>
      <c r="AG39" s="1248"/>
      <c r="AM39" s="1249">
        <v>2</v>
      </c>
      <c r="AN39" s="1251"/>
      <c r="BJ39" s="1251"/>
      <c r="CF39" s="1251"/>
      <c r="DF39" s="1252">
        <f>EG39</f>
        <v>15.8514965796001</v>
      </c>
      <c r="DG39" s="1252">
        <f t="shared" ref="DG39" si="71">IF(EH39&gt;0,EH39,$EG39)</f>
        <v>15.8514965796001</v>
      </c>
      <c r="DH39" s="1252">
        <f t="shared" ref="DH39" si="72">IF(EI39&gt;0,EI39,$EG39)</f>
        <v>15.8514965796001</v>
      </c>
      <c r="DI39" s="1252">
        <f>EJ39</f>
        <v>0.29613324202349639</v>
      </c>
      <c r="DJ39" s="1253"/>
      <c r="DK39" s="1253"/>
      <c r="DL39" s="1593">
        <f t="shared" si="65"/>
        <v>11.677834387162527</v>
      </c>
      <c r="DM39" s="1254">
        <f t="shared" ref="DM39:DN39" si="73">DL39</f>
        <v>11.677834387162527</v>
      </c>
      <c r="DN39" s="1254">
        <f t="shared" si="73"/>
        <v>11.677834387162527</v>
      </c>
      <c r="DO39" s="1253">
        <f t="shared" ref="DO39:DO43" si="74">DI39*$DT$2/$DV$1</f>
        <v>0.21816204795037419</v>
      </c>
      <c r="DP39" s="811"/>
      <c r="DQ39" s="1253">
        <f>DO39</f>
        <v>0.21816204795037419</v>
      </c>
      <c r="DR39" s="1253">
        <f t="shared" ref="DR39" si="75">DQ39</f>
        <v>0.21816204795037419</v>
      </c>
      <c r="DS39" s="1252">
        <f t="shared" si="55"/>
        <v>15</v>
      </c>
      <c r="DT39" s="1252">
        <f t="shared" si="56"/>
        <v>0.995</v>
      </c>
      <c r="DU39" s="1253" t="s">
        <v>459</v>
      </c>
      <c r="DV39" s="1252">
        <f t="shared" ref="DV39:DV40" si="76">1-DT39</f>
        <v>5.0000000000000044E-3</v>
      </c>
      <c r="DW39" s="1253">
        <f t="shared" si="62"/>
        <v>0</v>
      </c>
      <c r="DX39" s="1253">
        <f t="shared" si="63"/>
        <v>0</v>
      </c>
      <c r="DY39" s="1253">
        <f t="shared" si="64"/>
        <v>0</v>
      </c>
      <c r="DZ39" s="1253">
        <f t="shared" si="59"/>
        <v>0</v>
      </c>
      <c r="EA39" s="1253">
        <f t="shared" si="60"/>
        <v>0.99</v>
      </c>
      <c r="EB39" s="1253">
        <f t="shared" si="61"/>
        <v>0</v>
      </c>
      <c r="EG39" s="1255">
        <v>15.8514965796001</v>
      </c>
      <c r="EJ39" s="1255">
        <v>0.29613324202349639</v>
      </c>
      <c r="EK39" s="1255">
        <f t="shared" ref="EK39:EK44" si="77">EG39*$DT$2/$DV$1</f>
        <v>11.677834387162527</v>
      </c>
      <c r="EN39" s="1255">
        <f t="shared" ref="EN39:EN40" si="78">EJ39*$DT$2/$DV$1</f>
        <v>0.21816204795037419</v>
      </c>
      <c r="EO39" s="1255">
        <v>15</v>
      </c>
      <c r="EP39" s="1255">
        <v>0.995</v>
      </c>
      <c r="EQ39" s="1256" t="s">
        <v>459</v>
      </c>
      <c r="ER39" s="1257">
        <f>(1-EP39)</f>
        <v>5.0000000000000044E-3</v>
      </c>
      <c r="ES39" s="1256"/>
      <c r="EU39" s="1256"/>
      <c r="EW39" s="1258">
        <v>0.99</v>
      </c>
    </row>
    <row r="40" spans="1:154" s="770" customFormat="1" ht="14.75">
      <c r="A40" s="770" t="s">
        <v>860</v>
      </c>
      <c r="B40" s="772" t="s">
        <v>383</v>
      </c>
      <c r="C40" s="1244" t="s">
        <v>861</v>
      </c>
      <c r="D40" s="773">
        <v>6</v>
      </c>
      <c r="E40" s="773">
        <v>6</v>
      </c>
      <c r="F40" s="773">
        <v>5</v>
      </c>
      <c r="G40" s="773">
        <v>5</v>
      </c>
      <c r="H40" s="933">
        <v>5</v>
      </c>
      <c r="I40" s="933">
        <v>5</v>
      </c>
      <c r="J40" s="773">
        <v>5</v>
      </c>
      <c r="K40" s="773">
        <v>5</v>
      </c>
      <c r="P40" s="935"/>
      <c r="Q40" s="935"/>
      <c r="T40" s="773">
        <v>5</v>
      </c>
      <c r="U40" s="773">
        <v>5</v>
      </c>
      <c r="X40" s="773">
        <v>6</v>
      </c>
      <c r="Y40" s="773">
        <v>6</v>
      </c>
      <c r="Z40" s="933">
        <v>5</v>
      </c>
      <c r="AA40" s="933">
        <v>5</v>
      </c>
      <c r="AB40" s="773">
        <v>5</v>
      </c>
      <c r="AC40" s="773">
        <v>5</v>
      </c>
      <c r="AD40" s="933">
        <v>5</v>
      </c>
      <c r="AE40" s="933">
        <v>5</v>
      </c>
      <c r="AF40" s="933">
        <v>5</v>
      </c>
      <c r="AG40" s="933">
        <v>5</v>
      </c>
      <c r="AH40" s="773">
        <v>4</v>
      </c>
      <c r="AI40" s="773">
        <v>4</v>
      </c>
      <c r="AJ40" s="773">
        <v>3</v>
      </c>
      <c r="AK40" s="773">
        <v>3</v>
      </c>
      <c r="AN40" s="774"/>
      <c r="BJ40" s="774"/>
      <c r="CF40" s="917"/>
      <c r="DF40" s="808">
        <f>EG40</f>
        <v>10.560460184006271</v>
      </c>
      <c r="DG40" s="808">
        <f t="shared" ref="DG40" si="79">IF(EH40&gt;0,EH40,$EG40)</f>
        <v>10.560460184006271</v>
      </c>
      <c r="DH40" s="808">
        <f t="shared" ref="DH40" si="80">IF(EI40&gt;0,EI40,$EG40)</f>
        <v>10.560460184006271</v>
      </c>
      <c r="DI40" s="808">
        <f>EJ40</f>
        <v>0.59226648404699278</v>
      </c>
      <c r="DJ40" s="798"/>
      <c r="DK40" s="798"/>
      <c r="DL40" s="1593">
        <f t="shared" si="65"/>
        <v>7.7799155721207205</v>
      </c>
      <c r="DM40" s="809">
        <f t="shared" ref="DM40:DN40" si="81">DL40</f>
        <v>7.7799155721207205</v>
      </c>
      <c r="DN40" s="809">
        <f t="shared" si="81"/>
        <v>7.7799155721207205</v>
      </c>
      <c r="DO40" s="801">
        <f t="shared" si="74"/>
        <v>0.43632409590074839</v>
      </c>
      <c r="DP40" s="811"/>
      <c r="DQ40" s="798">
        <f>DO40</f>
        <v>0.43632409590074839</v>
      </c>
      <c r="DR40" s="798">
        <f t="shared" ref="DR40" si="82">DQ40</f>
        <v>0.43632409590074839</v>
      </c>
      <c r="DS40" s="808">
        <f t="shared" si="55"/>
        <v>20</v>
      </c>
      <c r="DT40" s="808">
        <f t="shared" si="56"/>
        <v>0.97</v>
      </c>
      <c r="DU40" s="798" t="s">
        <v>459</v>
      </c>
      <c r="DV40" s="808">
        <f t="shared" si="76"/>
        <v>3.0000000000000027E-2</v>
      </c>
      <c r="DW40" s="798">
        <f t="shared" si="62"/>
        <v>0</v>
      </c>
      <c r="DX40" s="798">
        <f t="shared" si="63"/>
        <v>0</v>
      </c>
      <c r="DY40" s="798">
        <f t="shared" si="64"/>
        <v>0</v>
      </c>
      <c r="DZ40" s="798">
        <f t="shared" si="59"/>
        <v>0</v>
      </c>
      <c r="EA40" s="799">
        <f t="shared" si="60"/>
        <v>0.99</v>
      </c>
      <c r="EB40" s="798">
        <f t="shared" si="61"/>
        <v>0</v>
      </c>
      <c r="EG40" s="738">
        <v>10.560460184006271</v>
      </c>
      <c r="EJ40" s="738">
        <v>0.59226648404699278</v>
      </c>
      <c r="EK40" s="738">
        <f t="shared" si="77"/>
        <v>7.7799155721207205</v>
      </c>
      <c r="EN40" s="738">
        <f t="shared" si="78"/>
        <v>0.43632409590074839</v>
      </c>
      <c r="EO40" s="738">
        <v>20</v>
      </c>
      <c r="EP40" s="738">
        <v>0.97</v>
      </c>
      <c r="EQ40" s="771" t="s">
        <v>459</v>
      </c>
      <c r="ER40" s="777">
        <f>(1-EP40)</f>
        <v>3.0000000000000027E-2</v>
      </c>
      <c r="ES40" s="771"/>
      <c r="EU40" s="771"/>
      <c r="EW40" s="778">
        <v>0.99</v>
      </c>
    </row>
    <row r="41" spans="1:154" s="770" customFormat="1">
      <c r="A41" s="770" t="s">
        <v>859</v>
      </c>
      <c r="C41" s="1243" t="s">
        <v>862</v>
      </c>
      <c r="D41" s="773">
        <v>7</v>
      </c>
      <c r="F41" s="773">
        <v>6</v>
      </c>
      <c r="H41" s="935">
        <v>6</v>
      </c>
      <c r="I41" s="935"/>
      <c r="J41" s="773">
        <v>6</v>
      </c>
      <c r="P41" s="935"/>
      <c r="Q41" s="935"/>
      <c r="T41" s="773">
        <v>6</v>
      </c>
      <c r="X41" s="773">
        <v>7</v>
      </c>
      <c r="Z41" s="933">
        <v>6</v>
      </c>
      <c r="AA41" s="935"/>
      <c r="AB41" s="773">
        <v>6</v>
      </c>
      <c r="AD41" s="933">
        <v>6</v>
      </c>
      <c r="AE41" s="935"/>
      <c r="AF41" s="933">
        <v>6</v>
      </c>
      <c r="AG41" s="935"/>
      <c r="AH41" s="773">
        <v>5</v>
      </c>
      <c r="AJ41" s="773">
        <v>4</v>
      </c>
      <c r="AN41" s="774"/>
      <c r="BJ41" s="774"/>
      <c r="CF41" s="917"/>
      <c r="DF41" s="808">
        <f>EG41</f>
        <v>3.27</v>
      </c>
      <c r="DG41" s="808">
        <f>EH41</f>
        <v>2.3053499999999998</v>
      </c>
      <c r="DH41" s="808">
        <f>EI41</f>
        <v>1.62527175</v>
      </c>
      <c r="DI41" s="808">
        <f>DF41*0.05</f>
        <v>0.16350000000000001</v>
      </c>
      <c r="DJ41" s="808">
        <f t="shared" ref="DJ41:DK43" si="83">DG41*0.05</f>
        <v>0.11526749999999999</v>
      </c>
      <c r="DK41" s="808">
        <f t="shared" si="83"/>
        <v>8.1263587500000012E-2</v>
      </c>
      <c r="DL41" s="1593">
        <f t="shared" si="65"/>
        <v>2.4090166032124163</v>
      </c>
      <c r="DM41" s="801">
        <f t="shared" ref="DM41:DM44" si="84">DG41*$DT$2/$DV$1</f>
        <v>1.6983567052647535</v>
      </c>
      <c r="DN41" s="801">
        <f t="shared" ref="DN41:DN44" si="85">DH41*$DT$2/$DV$1</f>
        <v>1.1973414772116511</v>
      </c>
      <c r="DO41" s="802">
        <f t="shared" si="74"/>
        <v>0.12045083016062082</v>
      </c>
      <c r="DP41" s="1357"/>
      <c r="DQ41" s="802">
        <f t="shared" ref="DQ41:DQ43" si="86">DJ41*$DT$2/$DV$1</f>
        <v>8.4917835263237665E-2</v>
      </c>
      <c r="DR41" s="802">
        <f t="shared" ref="DR41:DR43" si="87">DK41*$DT$2/$DV$1</f>
        <v>5.9867073860582563E-2</v>
      </c>
      <c r="DS41" s="808">
        <f t="shared" si="55"/>
        <v>30</v>
      </c>
      <c r="DT41" s="770">
        <f t="shared" si="56"/>
        <v>0</v>
      </c>
      <c r="DU41" s="798" t="s">
        <v>459</v>
      </c>
      <c r="DV41" s="798">
        <f t="shared" si="68"/>
        <v>0</v>
      </c>
      <c r="DW41" s="798" t="str">
        <f t="shared" si="62"/>
        <v>Electricity</v>
      </c>
      <c r="DX41" s="801">
        <f t="shared" si="63"/>
        <v>0.6</v>
      </c>
      <c r="DY41" s="798">
        <f t="shared" si="64"/>
        <v>0</v>
      </c>
      <c r="DZ41" s="798">
        <f t="shared" si="59"/>
        <v>0</v>
      </c>
      <c r="EA41" s="801">
        <f t="shared" si="60"/>
        <v>0.9</v>
      </c>
      <c r="EB41" s="798">
        <f t="shared" si="61"/>
        <v>2030</v>
      </c>
      <c r="EG41" s="738">
        <v>3.27</v>
      </c>
      <c r="EH41" s="738">
        <f>EG41-EG41*(0.59/2)</f>
        <v>2.3053499999999998</v>
      </c>
      <c r="EI41" s="738">
        <f>EH41-EH41*(0.59/2)</f>
        <v>1.62527175</v>
      </c>
      <c r="EK41" s="738">
        <f t="shared" si="77"/>
        <v>2.4090166032124163</v>
      </c>
      <c r="EL41" s="738">
        <f t="shared" ref="EL41:EL44" si="88">EH41*$DT$2/$DV$1</f>
        <v>1.6983567052647535</v>
      </c>
      <c r="EM41" s="738">
        <f t="shared" ref="EM41:EM44" si="89">EI41*$DT$2/$DV$1</f>
        <v>1.1973414772116511</v>
      </c>
      <c r="EO41" s="738">
        <v>30</v>
      </c>
      <c r="EQ41" s="771" t="s">
        <v>459</v>
      </c>
      <c r="ER41" s="770">
        <v>1</v>
      </c>
      <c r="ES41" s="771" t="s">
        <v>317</v>
      </c>
      <c r="ET41" s="776">
        <v>0.6</v>
      </c>
      <c r="EU41" s="779"/>
      <c r="EV41" s="776"/>
      <c r="EW41" s="776">
        <v>0.9</v>
      </c>
      <c r="EX41" s="776">
        <v>2030</v>
      </c>
    </row>
    <row r="42" spans="1:154" s="770" customFormat="1">
      <c r="A42" s="770" t="s">
        <v>863</v>
      </c>
      <c r="C42" s="1243" t="s">
        <v>864</v>
      </c>
      <c r="E42" s="773">
        <v>7</v>
      </c>
      <c r="G42" s="773">
        <v>6</v>
      </c>
      <c r="H42" s="933"/>
      <c r="I42" s="933">
        <v>6</v>
      </c>
      <c r="K42" s="773">
        <v>6</v>
      </c>
      <c r="P42" s="935"/>
      <c r="Q42" s="935"/>
      <c r="U42" s="773">
        <v>6</v>
      </c>
      <c r="Y42" s="773">
        <v>7</v>
      </c>
      <c r="Z42" s="935"/>
      <c r="AA42" s="933">
        <v>6</v>
      </c>
      <c r="AC42" s="773">
        <v>6</v>
      </c>
      <c r="AD42" s="935"/>
      <c r="AE42" s="933">
        <v>6</v>
      </c>
      <c r="AF42" s="935"/>
      <c r="AG42" s="933">
        <v>6</v>
      </c>
      <c r="AI42" s="773">
        <v>5</v>
      </c>
      <c r="AK42" s="773">
        <v>4</v>
      </c>
      <c r="AN42" s="774"/>
      <c r="BJ42" s="774"/>
      <c r="CF42" s="917"/>
      <c r="DF42" s="808">
        <f>EG42</f>
        <v>13.631239118398975</v>
      </c>
      <c r="DG42" s="808">
        <f>EH42</f>
        <v>9.610023578471278</v>
      </c>
      <c r="DH42" s="808">
        <f>EI42</f>
        <v>6.7750666228222514</v>
      </c>
      <c r="DI42" s="808">
        <f t="shared" ref="DI42:DI43" si="90">DF42*0.05</f>
        <v>0.68156195591994884</v>
      </c>
      <c r="DJ42" s="808">
        <f t="shared" si="83"/>
        <v>0.48050117892356392</v>
      </c>
      <c r="DK42" s="808">
        <f t="shared" si="83"/>
        <v>0.33875333114111261</v>
      </c>
      <c r="DL42" s="1593">
        <f t="shared" si="65"/>
        <v>10.042165553083091</v>
      </c>
      <c r="DM42" s="801">
        <f t="shared" si="84"/>
        <v>7.0797267149235799</v>
      </c>
      <c r="DN42" s="801">
        <f t="shared" si="85"/>
        <v>4.9912073340211238</v>
      </c>
      <c r="DO42" s="802">
        <f t="shared" si="74"/>
        <v>0.50210827765415467</v>
      </c>
      <c r="DP42" s="1357"/>
      <c r="DQ42" s="802">
        <f t="shared" si="86"/>
        <v>0.35398633574617899</v>
      </c>
      <c r="DR42" s="802">
        <f t="shared" si="87"/>
        <v>0.24956036670105622</v>
      </c>
      <c r="DS42" s="808">
        <f t="shared" si="55"/>
        <v>30</v>
      </c>
      <c r="DT42" s="770">
        <f t="shared" si="56"/>
        <v>0</v>
      </c>
      <c r="DU42" s="798" t="s">
        <v>459</v>
      </c>
      <c r="DV42" s="798">
        <f t="shared" si="68"/>
        <v>0</v>
      </c>
      <c r="DW42" s="798" t="str">
        <f t="shared" si="62"/>
        <v>Electricity</v>
      </c>
      <c r="DX42" s="801">
        <f t="shared" si="63"/>
        <v>0.6</v>
      </c>
      <c r="DY42" s="798">
        <f t="shared" si="64"/>
        <v>0</v>
      </c>
      <c r="DZ42" s="798">
        <f t="shared" si="59"/>
        <v>0</v>
      </c>
      <c r="EA42" s="801">
        <f t="shared" si="60"/>
        <v>0.9</v>
      </c>
      <c r="EB42" s="798">
        <f t="shared" si="61"/>
        <v>2030</v>
      </c>
      <c r="EG42" s="738">
        <v>13.631239118398975</v>
      </c>
      <c r="EH42" s="738">
        <f>EG42-EG42*(0.59/2)</f>
        <v>9.610023578471278</v>
      </c>
      <c r="EI42" s="738">
        <f>EH42-EH42*(0.59/2)</f>
        <v>6.7750666228222514</v>
      </c>
      <c r="EK42" s="738">
        <f t="shared" si="77"/>
        <v>10.042165553083091</v>
      </c>
      <c r="EL42" s="738">
        <f t="shared" si="88"/>
        <v>7.0797267149235799</v>
      </c>
      <c r="EM42" s="738">
        <f t="shared" si="89"/>
        <v>4.9912073340211238</v>
      </c>
      <c r="EO42" s="738">
        <v>30</v>
      </c>
      <c r="EQ42" s="771" t="s">
        <v>459</v>
      </c>
      <c r="ER42" s="770">
        <v>1</v>
      </c>
      <c r="ES42" s="771" t="s">
        <v>317</v>
      </c>
      <c r="ET42" s="776">
        <v>0.6</v>
      </c>
      <c r="EU42" s="779"/>
      <c r="EV42" s="776"/>
      <c r="EW42" s="776">
        <v>0.9</v>
      </c>
      <c r="EX42" s="776">
        <v>2030</v>
      </c>
    </row>
    <row r="43" spans="1:154" s="770" customFormat="1" ht="13.25">
      <c r="C43" s="1243" t="s">
        <v>1307</v>
      </c>
      <c r="H43" s="935"/>
      <c r="I43" s="935"/>
      <c r="L43" s="773">
        <v>6</v>
      </c>
      <c r="M43" s="773">
        <v>6</v>
      </c>
      <c r="N43" s="773">
        <v>5</v>
      </c>
      <c r="O43" s="773">
        <v>5</v>
      </c>
      <c r="P43" s="933">
        <v>5</v>
      </c>
      <c r="Q43" s="933">
        <v>5</v>
      </c>
      <c r="R43" s="773">
        <v>5</v>
      </c>
      <c r="S43" s="773">
        <v>5</v>
      </c>
      <c r="V43" s="773">
        <v>4</v>
      </c>
      <c r="W43" s="773">
        <v>4</v>
      </c>
      <c r="Z43" s="935"/>
      <c r="AA43" s="935"/>
      <c r="AD43" s="935"/>
      <c r="AE43" s="935"/>
      <c r="AF43" s="935"/>
      <c r="AG43" s="935"/>
      <c r="AL43" s="773">
        <v>3</v>
      </c>
      <c r="AM43" s="773">
        <v>3</v>
      </c>
      <c r="AN43" s="774"/>
      <c r="BJ43" s="774"/>
      <c r="CF43" s="917"/>
      <c r="DF43" s="808">
        <f>EG43*$DF46+$DF47*EG44</f>
        <v>18.344000000000001</v>
      </c>
      <c r="DG43" s="808">
        <f>EH43*$DF46+$DF47*EH44</f>
        <v>12.843999999999999</v>
      </c>
      <c r="DH43" s="808">
        <f>EI43*$DF46+$DF47*EI44</f>
        <v>8.9880000000000013</v>
      </c>
      <c r="DI43" s="808">
        <f t="shared" si="90"/>
        <v>0.91720000000000013</v>
      </c>
      <c r="DJ43" s="808">
        <f t="shared" si="83"/>
        <v>0.64219999999999999</v>
      </c>
      <c r="DK43" s="808">
        <f t="shared" si="83"/>
        <v>0.44940000000000008</v>
      </c>
      <c r="DL43" s="1593">
        <f>DF43*$DT$2/$DV$1</f>
        <v>13.514067452394057</v>
      </c>
      <c r="DM43" s="801">
        <f t="shared" si="84"/>
        <v>9.4622046641162907</v>
      </c>
      <c r="DN43" s="801">
        <f t="shared" si="85"/>
        <v>6.6214804983710094</v>
      </c>
      <c r="DO43" s="802">
        <f t="shared" si="74"/>
        <v>0.67570337261970292</v>
      </c>
      <c r="DP43" s="1357"/>
      <c r="DQ43" s="802">
        <f t="shared" si="86"/>
        <v>0.47311023320581458</v>
      </c>
      <c r="DR43" s="802">
        <f t="shared" si="87"/>
        <v>0.33107402491855048</v>
      </c>
      <c r="DS43" s="808">
        <f t="shared" si="55"/>
        <v>30</v>
      </c>
      <c r="DT43" s="770">
        <f t="shared" si="56"/>
        <v>0</v>
      </c>
      <c r="DU43" s="798" t="str">
        <f t="shared" si="57"/>
        <v>H2</v>
      </c>
      <c r="DV43" s="798">
        <f t="shared" si="68"/>
        <v>0</v>
      </c>
      <c r="DW43" s="798" t="str">
        <f t="shared" si="62"/>
        <v>Electricity</v>
      </c>
      <c r="DX43" s="801">
        <f t="shared" si="63"/>
        <v>1.6</v>
      </c>
      <c r="DY43" s="798">
        <f t="shared" si="64"/>
        <v>0</v>
      </c>
      <c r="DZ43" s="798">
        <f t="shared" si="59"/>
        <v>0</v>
      </c>
      <c r="EA43" s="801">
        <f t="shared" si="60"/>
        <v>0.9</v>
      </c>
      <c r="EB43" s="798">
        <f t="shared" si="61"/>
        <v>2025</v>
      </c>
      <c r="EG43" s="929">
        <v>15.8</v>
      </c>
      <c r="EH43" s="929">
        <v>11.06</v>
      </c>
      <c r="EI43" s="929">
        <v>7.74</v>
      </c>
      <c r="EK43" s="738">
        <f t="shared" si="77"/>
        <v>11.639896737234304</v>
      </c>
      <c r="EL43" s="738">
        <f t="shared" si="88"/>
        <v>8.1479277160640144</v>
      </c>
      <c r="EM43" s="738">
        <f t="shared" si="89"/>
        <v>5.7020759965945267</v>
      </c>
      <c r="EO43" s="738">
        <v>30</v>
      </c>
      <c r="EQ43" s="771" t="s">
        <v>459</v>
      </c>
      <c r="ER43" s="770">
        <v>1</v>
      </c>
      <c r="ES43" s="771" t="s">
        <v>317</v>
      </c>
      <c r="ET43" s="776">
        <v>1.6</v>
      </c>
      <c r="EU43" s="779"/>
      <c r="EV43" s="776"/>
      <c r="EW43" s="776">
        <v>0.9</v>
      </c>
      <c r="EX43" s="776">
        <v>2025</v>
      </c>
    </row>
    <row r="44" spans="1:154" s="770" customFormat="1" ht="13.25">
      <c r="C44" s="1243" t="s">
        <v>1308</v>
      </c>
      <c r="H44" s="935"/>
      <c r="I44" s="935"/>
      <c r="L44" s="773"/>
      <c r="M44" s="773"/>
      <c r="N44" s="773"/>
      <c r="O44" s="773"/>
      <c r="P44" s="933"/>
      <c r="Q44" s="933"/>
      <c r="R44" s="773"/>
      <c r="S44" s="773"/>
      <c r="V44" s="773"/>
      <c r="W44" s="773"/>
      <c r="Z44" s="935"/>
      <c r="AA44" s="935"/>
      <c r="AD44" s="935"/>
      <c r="AE44" s="935"/>
      <c r="AF44" s="935"/>
      <c r="AG44" s="935"/>
      <c r="AL44" s="773"/>
      <c r="AM44" s="773"/>
      <c r="AN44" s="774"/>
      <c r="BJ44" s="774"/>
      <c r="CF44" s="917"/>
      <c r="DF44" s="798"/>
      <c r="DG44" s="798"/>
      <c r="DH44" s="798"/>
      <c r="DI44" s="798">
        <f>EJ44</f>
        <v>0</v>
      </c>
      <c r="DJ44" s="798"/>
      <c r="DK44" s="798"/>
      <c r="DL44" s="1590">
        <f t="shared" si="65"/>
        <v>0</v>
      </c>
      <c r="DM44" s="805">
        <f t="shared" si="84"/>
        <v>0</v>
      </c>
      <c r="DN44" s="805">
        <f t="shared" si="85"/>
        <v>0</v>
      </c>
      <c r="DP44" s="810"/>
      <c r="DS44" s="801"/>
      <c r="DU44" s="798"/>
      <c r="DV44" s="798"/>
      <c r="DW44" s="798"/>
      <c r="DX44" s="801"/>
      <c r="DY44" s="798"/>
      <c r="DZ44" s="798">
        <f t="shared" si="59"/>
        <v>0</v>
      </c>
      <c r="EA44" s="801"/>
      <c r="EB44" s="798"/>
      <c r="EG44" s="929">
        <v>18.98</v>
      </c>
      <c r="EH44" s="929">
        <v>13.29</v>
      </c>
      <c r="EI44" s="929">
        <v>9.3000000000000007</v>
      </c>
      <c r="EK44" s="738">
        <f t="shared" si="77"/>
        <v>13.982610131183995</v>
      </c>
      <c r="EL44" s="738">
        <f t="shared" si="88"/>
        <v>9.7907739011293611</v>
      </c>
      <c r="EM44" s="738">
        <f t="shared" si="89"/>
        <v>6.8513316238151285</v>
      </c>
      <c r="EO44" s="738">
        <v>30</v>
      </c>
      <c r="EQ44" s="771" t="s">
        <v>459</v>
      </c>
      <c r="ER44" s="770">
        <v>1</v>
      </c>
      <c r="ES44" s="771" t="s">
        <v>317</v>
      </c>
      <c r="ET44" s="776">
        <v>1.6</v>
      </c>
      <c r="EU44" s="779"/>
      <c r="EV44" s="776"/>
      <c r="EW44" s="776">
        <v>0.9</v>
      </c>
      <c r="EX44" s="776">
        <v>2025</v>
      </c>
    </row>
    <row r="46" spans="1:154">
      <c r="B46" s="702" t="s">
        <v>880</v>
      </c>
      <c r="DE46" s="716" t="s">
        <v>876</v>
      </c>
      <c r="DF46" s="800">
        <v>0.2</v>
      </c>
      <c r="DG46" s="800">
        <f>1-DG47</f>
        <v>0.35</v>
      </c>
      <c r="DH46" s="800">
        <f>1-DH47</f>
        <v>0.5</v>
      </c>
      <c r="ER46" s="708" t="s">
        <v>1057</v>
      </c>
      <c r="ES46" s="708">
        <v>1.6</v>
      </c>
      <c r="ET46" s="708" t="s">
        <v>1052</v>
      </c>
      <c r="EU46" s="708" t="s">
        <v>1053</v>
      </c>
    </row>
    <row r="47" spans="1:154">
      <c r="B47" s="702"/>
      <c r="C47" s="1242" t="s">
        <v>865</v>
      </c>
      <c r="D47" s="780">
        <f t="shared" ref="D47:AI47" si="91">SUMIF(D$17:D$44,"&lt;&gt;",$DV$17:$DV$44)</f>
        <v>3.0000000000000027E-2</v>
      </c>
      <c r="E47" s="780">
        <f t="shared" si="91"/>
        <v>3.0000000000000027E-2</v>
      </c>
      <c r="F47" s="780">
        <f t="shared" si="91"/>
        <v>3.0000000000000027E-2</v>
      </c>
      <c r="G47" s="780">
        <f t="shared" si="91"/>
        <v>3.0000000000000027E-2</v>
      </c>
      <c r="H47" s="937">
        <f t="shared" si="91"/>
        <v>3.0000000000000027E-2</v>
      </c>
      <c r="I47" s="937">
        <f t="shared" si="91"/>
        <v>3.0000000000000027E-2</v>
      </c>
      <c r="J47" s="780">
        <f t="shared" si="91"/>
        <v>3.0000000000000027E-2</v>
      </c>
      <c r="K47" s="780">
        <f t="shared" si="91"/>
        <v>3.0000000000000027E-2</v>
      </c>
      <c r="L47" s="780">
        <f t="shared" si="91"/>
        <v>5.0000000000000044E-3</v>
      </c>
      <c r="M47" s="780">
        <f t="shared" si="91"/>
        <v>5.0000000000000044E-3</v>
      </c>
      <c r="N47" s="780">
        <f t="shared" si="91"/>
        <v>5.0000000000000044E-3</v>
      </c>
      <c r="O47" s="780">
        <f t="shared" si="91"/>
        <v>5.0000000000000044E-3</v>
      </c>
      <c r="P47" s="937">
        <f t="shared" si="91"/>
        <v>5.0000000000000044E-3</v>
      </c>
      <c r="Q47" s="937">
        <f t="shared" si="91"/>
        <v>5.0000000000000044E-3</v>
      </c>
      <c r="R47" s="780">
        <f t="shared" si="91"/>
        <v>5.0000000000000044E-3</v>
      </c>
      <c r="S47" s="780">
        <f t="shared" si="91"/>
        <v>5.0000000000000044E-3</v>
      </c>
      <c r="T47" s="780">
        <f t="shared" si="91"/>
        <v>3.0000000000000027E-2</v>
      </c>
      <c r="U47" s="780">
        <f t="shared" si="91"/>
        <v>3.0000000000000027E-2</v>
      </c>
      <c r="V47" s="780">
        <f t="shared" si="91"/>
        <v>5.0000000000000044E-3</v>
      </c>
      <c r="W47" s="780">
        <f t="shared" si="91"/>
        <v>5.0000000000000044E-3</v>
      </c>
      <c r="X47" s="780">
        <f t="shared" si="91"/>
        <v>3.0000000000000027E-2</v>
      </c>
      <c r="Y47" s="780">
        <f t="shared" si="91"/>
        <v>3.0000000000000027E-2</v>
      </c>
      <c r="Z47" s="937">
        <f t="shared" si="91"/>
        <v>3.0000000000000027E-2</v>
      </c>
      <c r="AA47" s="937">
        <f t="shared" si="91"/>
        <v>3.0000000000000027E-2</v>
      </c>
      <c r="AB47" s="780">
        <f t="shared" si="91"/>
        <v>3.0000000000000027E-2</v>
      </c>
      <c r="AC47" s="780">
        <f t="shared" si="91"/>
        <v>3.0000000000000027E-2</v>
      </c>
      <c r="AD47" s="937">
        <f t="shared" si="91"/>
        <v>3.0000000000000027E-2</v>
      </c>
      <c r="AE47" s="937">
        <f t="shared" si="91"/>
        <v>3.0000000000000027E-2</v>
      </c>
      <c r="AF47" s="937">
        <f t="shared" si="91"/>
        <v>3.0000000000000027E-2</v>
      </c>
      <c r="AG47" s="937">
        <f t="shared" si="91"/>
        <v>3.0000000000000027E-2</v>
      </c>
      <c r="AH47" s="780">
        <f t="shared" si="91"/>
        <v>3.0000000000000027E-2</v>
      </c>
      <c r="AI47" s="780">
        <f t="shared" si="91"/>
        <v>3.0000000000000027E-2</v>
      </c>
      <c r="AJ47" s="780">
        <f t="shared" ref="AJ47:BO47" si="92">SUMIF(AJ$17:AJ$44,"&lt;&gt;",$DV$17:$DV$44)</f>
        <v>3.0000000000000027E-2</v>
      </c>
      <c r="AK47" s="780">
        <f t="shared" si="92"/>
        <v>3.0000000000000027E-2</v>
      </c>
      <c r="AL47" s="780">
        <f t="shared" si="92"/>
        <v>5.0000000000000044E-3</v>
      </c>
      <c r="AM47" s="780">
        <f t="shared" si="92"/>
        <v>5.0000000000000044E-3</v>
      </c>
      <c r="AN47" s="780">
        <f t="shared" si="92"/>
        <v>0</v>
      </c>
      <c r="AO47" s="780">
        <f t="shared" si="92"/>
        <v>0</v>
      </c>
      <c r="AP47" s="780">
        <f t="shared" si="92"/>
        <v>7.1637322688716226E-2</v>
      </c>
      <c r="AQ47" s="780">
        <f t="shared" si="92"/>
        <v>0.1047957904705632</v>
      </c>
      <c r="AR47" s="780">
        <f t="shared" si="92"/>
        <v>5.2479569757533789E-2</v>
      </c>
      <c r="AS47" s="780">
        <f t="shared" si="92"/>
        <v>0</v>
      </c>
      <c r="AT47" s="780">
        <f t="shared" si="92"/>
        <v>7.1637322688716226E-2</v>
      </c>
      <c r="AU47" s="780">
        <f t="shared" si="92"/>
        <v>0.1047957904705632</v>
      </c>
      <c r="AV47" s="780">
        <f t="shared" si="92"/>
        <v>5.2479569757533789E-2</v>
      </c>
      <c r="AW47" s="780">
        <f t="shared" si="92"/>
        <v>0</v>
      </c>
      <c r="AX47" s="780">
        <f t="shared" si="92"/>
        <v>0</v>
      </c>
      <c r="AY47" s="780">
        <f t="shared" si="92"/>
        <v>7.1637322688716226E-2</v>
      </c>
      <c r="AZ47" s="780">
        <f t="shared" si="92"/>
        <v>3.315846778184698E-2</v>
      </c>
      <c r="BA47" s="780">
        <f t="shared" si="92"/>
        <v>0</v>
      </c>
      <c r="BB47" s="780">
        <f t="shared" si="92"/>
        <v>7.1637322688716226E-2</v>
      </c>
      <c r="BC47" s="780">
        <f t="shared" si="92"/>
        <v>0.1047957904705632</v>
      </c>
      <c r="BD47" s="780">
        <f t="shared" si="92"/>
        <v>3.315846778184698E-2</v>
      </c>
      <c r="BE47" s="780">
        <f t="shared" si="92"/>
        <v>0</v>
      </c>
      <c r="BF47" s="780">
        <f t="shared" si="92"/>
        <v>0</v>
      </c>
      <c r="BG47" s="780">
        <f t="shared" si="92"/>
        <v>7.1637322688716226E-2</v>
      </c>
      <c r="BH47" s="780">
        <f t="shared" si="92"/>
        <v>3.315846778184698E-2</v>
      </c>
      <c r="BI47" s="780">
        <f t="shared" si="92"/>
        <v>0</v>
      </c>
      <c r="BJ47" s="780">
        <f t="shared" si="92"/>
        <v>0</v>
      </c>
      <c r="BK47" s="780">
        <f t="shared" si="92"/>
        <v>0</v>
      </c>
      <c r="BL47" s="780">
        <f t="shared" si="92"/>
        <v>7.1637322688716226E-2</v>
      </c>
      <c r="BM47" s="780">
        <f t="shared" si="92"/>
        <v>0.1047957904705632</v>
      </c>
      <c r="BN47" s="780">
        <f t="shared" si="92"/>
        <v>5.2479569757533789E-2</v>
      </c>
      <c r="BO47" s="780">
        <f t="shared" si="92"/>
        <v>0</v>
      </c>
      <c r="BP47" s="780">
        <f t="shared" ref="BP47:BX47" si="93">SUMIF(BP$17:BP$44,"&lt;&gt;",$DV$17:$DV$44)</f>
        <v>7.1637322688716226E-2</v>
      </c>
      <c r="BQ47" s="780">
        <f t="shared" si="93"/>
        <v>0.1047957904705632</v>
      </c>
      <c r="BR47" s="780">
        <f t="shared" si="93"/>
        <v>5.2479569757533789E-2</v>
      </c>
      <c r="BS47" s="780">
        <f t="shared" si="93"/>
        <v>0</v>
      </c>
      <c r="BT47" s="780">
        <f t="shared" si="93"/>
        <v>0</v>
      </c>
      <c r="BU47" s="780">
        <f t="shared" si="93"/>
        <v>7.1637322688716226E-2</v>
      </c>
      <c r="BV47" s="780">
        <f t="shared" si="93"/>
        <v>3.315846778184698E-2</v>
      </c>
      <c r="BW47" s="780">
        <f t="shared" si="93"/>
        <v>0</v>
      </c>
      <c r="BX47" s="780">
        <f t="shared" si="93"/>
        <v>7.1637322688716226E-2</v>
      </c>
      <c r="BY47" s="780">
        <f t="shared" ref="BY47:DD47" si="94">SUMIF(BY$17:BY$44,"&lt;&gt;",$DV$17:$DV$44)</f>
        <v>0.1047957904705632</v>
      </c>
      <c r="BZ47" s="780">
        <f t="shared" si="94"/>
        <v>3.315846778184698E-2</v>
      </c>
      <c r="CA47" s="780">
        <f t="shared" si="94"/>
        <v>0</v>
      </c>
      <c r="CB47" s="780">
        <f t="shared" si="94"/>
        <v>0</v>
      </c>
      <c r="CC47" s="780">
        <f t="shared" si="94"/>
        <v>7.1637322688716226E-2</v>
      </c>
      <c r="CD47" s="780">
        <f t="shared" si="94"/>
        <v>3.315846778184698E-2</v>
      </c>
      <c r="CE47" s="780">
        <f t="shared" si="94"/>
        <v>0</v>
      </c>
      <c r="CF47" s="893">
        <f t="shared" si="94"/>
        <v>0</v>
      </c>
      <c r="CG47" s="780">
        <f t="shared" si="94"/>
        <v>0</v>
      </c>
      <c r="CH47" s="780">
        <f t="shared" si="94"/>
        <v>7.1637322688716226E-2</v>
      </c>
      <c r="CI47" s="780">
        <f t="shared" si="94"/>
        <v>0.1047957904705632</v>
      </c>
      <c r="CJ47" s="780">
        <f t="shared" si="94"/>
        <v>5.2479569757533789E-2</v>
      </c>
      <c r="CK47" s="780">
        <f t="shared" si="94"/>
        <v>0</v>
      </c>
      <c r="CL47" s="780">
        <f t="shared" si="94"/>
        <v>7.1637322688716226E-2</v>
      </c>
      <c r="CM47" s="780">
        <f t="shared" si="94"/>
        <v>0.1047957904705632</v>
      </c>
      <c r="CN47" s="780">
        <f t="shared" si="94"/>
        <v>5.2479569757533789E-2</v>
      </c>
      <c r="CO47" s="780">
        <f t="shared" si="94"/>
        <v>0</v>
      </c>
      <c r="CP47" s="780">
        <f t="shared" si="94"/>
        <v>0</v>
      </c>
      <c r="CQ47" s="780">
        <f t="shared" si="94"/>
        <v>7.1637322688716226E-2</v>
      </c>
      <c r="CR47" s="780">
        <f t="shared" si="94"/>
        <v>3.315846778184698E-2</v>
      </c>
      <c r="CS47" s="780">
        <f t="shared" si="94"/>
        <v>0</v>
      </c>
      <c r="CT47" s="780">
        <f t="shared" si="94"/>
        <v>7.1637322688716226E-2</v>
      </c>
      <c r="CU47" s="780">
        <f t="shared" si="94"/>
        <v>0.1047957904705632</v>
      </c>
      <c r="CV47" s="780">
        <f t="shared" si="94"/>
        <v>3.315846778184698E-2</v>
      </c>
      <c r="CW47" s="780">
        <f t="shared" si="94"/>
        <v>0</v>
      </c>
      <c r="CX47" s="780">
        <f t="shared" si="94"/>
        <v>0</v>
      </c>
      <c r="CY47" s="780">
        <f t="shared" si="94"/>
        <v>7.1637322688716226E-2</v>
      </c>
      <c r="CZ47" s="780">
        <f t="shared" si="94"/>
        <v>3.315846778184698E-2</v>
      </c>
      <c r="DA47" s="780">
        <f t="shared" si="94"/>
        <v>0</v>
      </c>
      <c r="DB47" s="780">
        <f t="shared" si="94"/>
        <v>0</v>
      </c>
      <c r="DC47" s="780">
        <f t="shared" si="94"/>
        <v>0</v>
      </c>
      <c r="DD47" s="780">
        <f t="shared" si="94"/>
        <v>0</v>
      </c>
      <c r="DE47" s="708" t="s">
        <v>877</v>
      </c>
      <c r="DF47" s="800">
        <v>0.8</v>
      </c>
      <c r="DG47" s="800">
        <v>0.65</v>
      </c>
      <c r="DH47" s="800">
        <v>0.5</v>
      </c>
      <c r="DU47" s="712">
        <f>1/DV38</f>
        <v>199.99999999999983</v>
      </c>
    </row>
    <row r="48" spans="1:154">
      <c r="B48" s="702"/>
      <c r="C48" s="1242" t="s">
        <v>866</v>
      </c>
      <c r="D48" s="780">
        <f t="shared" ref="D48:AI48" si="95">SUMIF(D$17:D$44,"&lt;&gt;",$DX$17:$DX$44)</f>
        <v>1.083</v>
      </c>
      <c r="E48" s="780">
        <f t="shared" si="95"/>
        <v>1.083</v>
      </c>
      <c r="F48" s="780">
        <f t="shared" si="95"/>
        <v>1.05</v>
      </c>
      <c r="G48" s="780">
        <f t="shared" si="95"/>
        <v>1.05</v>
      </c>
      <c r="H48" s="937">
        <f t="shared" si="95"/>
        <v>1.05</v>
      </c>
      <c r="I48" s="937">
        <f t="shared" si="95"/>
        <v>1.05</v>
      </c>
      <c r="J48" s="780">
        <f t="shared" si="95"/>
        <v>1.05</v>
      </c>
      <c r="K48" s="780">
        <f t="shared" si="95"/>
        <v>1.05</v>
      </c>
      <c r="L48" s="780">
        <f t="shared" si="95"/>
        <v>1.633</v>
      </c>
      <c r="M48" s="780">
        <f t="shared" si="95"/>
        <v>1.633</v>
      </c>
      <c r="N48" s="780">
        <f t="shared" si="95"/>
        <v>1.6</v>
      </c>
      <c r="O48" s="780">
        <f t="shared" si="95"/>
        <v>1.6</v>
      </c>
      <c r="P48" s="937">
        <f t="shared" si="95"/>
        <v>1.6</v>
      </c>
      <c r="Q48" s="937">
        <f t="shared" si="95"/>
        <v>1.6</v>
      </c>
      <c r="R48" s="780">
        <f t="shared" si="95"/>
        <v>1.6</v>
      </c>
      <c r="S48" s="780">
        <f t="shared" si="95"/>
        <v>1.6</v>
      </c>
      <c r="T48" s="780">
        <f t="shared" si="95"/>
        <v>1.05</v>
      </c>
      <c r="U48" s="780">
        <f t="shared" si="95"/>
        <v>1.05</v>
      </c>
      <c r="V48" s="780">
        <f t="shared" si="95"/>
        <v>1.6</v>
      </c>
      <c r="W48" s="780">
        <f t="shared" si="95"/>
        <v>1.6</v>
      </c>
      <c r="X48" s="780">
        <f t="shared" si="95"/>
        <v>1.083</v>
      </c>
      <c r="Y48" s="780">
        <f t="shared" si="95"/>
        <v>1.083</v>
      </c>
      <c r="Z48" s="937">
        <f t="shared" si="95"/>
        <v>1.05</v>
      </c>
      <c r="AA48" s="937">
        <f t="shared" si="95"/>
        <v>1.05</v>
      </c>
      <c r="AB48" s="780">
        <f t="shared" si="95"/>
        <v>0.6</v>
      </c>
      <c r="AC48" s="780">
        <f t="shared" si="95"/>
        <v>0.6</v>
      </c>
      <c r="AD48" s="937">
        <f t="shared" si="95"/>
        <v>1.05</v>
      </c>
      <c r="AE48" s="937">
        <f t="shared" si="95"/>
        <v>1.05</v>
      </c>
      <c r="AF48" s="937">
        <f t="shared" si="95"/>
        <v>1.05</v>
      </c>
      <c r="AG48" s="937">
        <f t="shared" si="95"/>
        <v>1.05</v>
      </c>
      <c r="AH48" s="780">
        <f t="shared" si="95"/>
        <v>1.05</v>
      </c>
      <c r="AI48" s="780">
        <f t="shared" si="95"/>
        <v>1.05</v>
      </c>
      <c r="AJ48" s="780">
        <f t="shared" ref="AJ48:BO48" si="96">SUMIF(AJ$17:AJ$44,"&lt;&gt;",$DX$17:$DX$44)</f>
        <v>1.05</v>
      </c>
      <c r="AK48" s="780">
        <f t="shared" si="96"/>
        <v>1.05</v>
      </c>
      <c r="AL48" s="780">
        <f t="shared" si="96"/>
        <v>1.6</v>
      </c>
      <c r="AM48" s="780">
        <f t="shared" si="96"/>
        <v>1.6</v>
      </c>
      <c r="AN48" s="780">
        <f t="shared" si="96"/>
        <v>3.3000000000000002E-2</v>
      </c>
      <c r="AO48" s="780">
        <f t="shared" si="96"/>
        <v>3.3000000000000002E-2</v>
      </c>
      <c r="AP48" s="780">
        <f t="shared" si="96"/>
        <v>4.7274418604651168E-2</v>
      </c>
      <c r="AQ48" s="780">
        <f t="shared" si="96"/>
        <v>2.6208139534883726E-2</v>
      </c>
      <c r="AR48" s="780">
        <f t="shared" si="96"/>
        <v>2.2931162790697675E-2</v>
      </c>
      <c r="AS48" s="780">
        <f t="shared" si="96"/>
        <v>3.3000000000000002E-2</v>
      </c>
      <c r="AT48" s="780">
        <f t="shared" si="96"/>
        <v>4.7274418604651168E-2</v>
      </c>
      <c r="AU48" s="780">
        <f t="shared" si="96"/>
        <v>2.6208139534883726E-2</v>
      </c>
      <c r="AV48" s="780">
        <f t="shared" si="96"/>
        <v>2.2931162790697675E-2</v>
      </c>
      <c r="AW48" s="780">
        <f t="shared" si="96"/>
        <v>0</v>
      </c>
      <c r="AX48" s="780">
        <f t="shared" si="96"/>
        <v>3.3000000000000002E-2</v>
      </c>
      <c r="AY48" s="780">
        <f t="shared" si="96"/>
        <v>1.4274418604651165E-2</v>
      </c>
      <c r="AZ48" s="780">
        <f t="shared" si="96"/>
        <v>1.1933720930232559E-2</v>
      </c>
      <c r="BA48" s="780">
        <f t="shared" si="96"/>
        <v>3.3000000000000002E-2</v>
      </c>
      <c r="BB48" s="780">
        <f t="shared" si="96"/>
        <v>4.7274418604651168E-2</v>
      </c>
      <c r="BC48" s="780">
        <f t="shared" si="96"/>
        <v>2.6208139534883726E-2</v>
      </c>
      <c r="BD48" s="780">
        <f t="shared" si="96"/>
        <v>1.1933720930232559E-2</v>
      </c>
      <c r="BE48" s="780">
        <f t="shared" si="96"/>
        <v>0</v>
      </c>
      <c r="BF48" s="780">
        <f t="shared" si="96"/>
        <v>3.3000000000000002E-2</v>
      </c>
      <c r="BG48" s="780">
        <f t="shared" si="96"/>
        <v>1.4274418604651165E-2</v>
      </c>
      <c r="BH48" s="780">
        <f t="shared" si="96"/>
        <v>1.1933720930232559E-2</v>
      </c>
      <c r="BI48" s="780">
        <f t="shared" si="96"/>
        <v>0</v>
      </c>
      <c r="BJ48" s="780">
        <f t="shared" si="96"/>
        <v>3.3000000000000002E-2</v>
      </c>
      <c r="BK48" s="780">
        <f t="shared" si="96"/>
        <v>3.3000000000000002E-2</v>
      </c>
      <c r="BL48" s="780">
        <f t="shared" si="96"/>
        <v>4.7274418604651168E-2</v>
      </c>
      <c r="BM48" s="780">
        <f t="shared" si="96"/>
        <v>2.6208139534883726E-2</v>
      </c>
      <c r="BN48" s="780">
        <f t="shared" si="96"/>
        <v>2.2931162790697675E-2</v>
      </c>
      <c r="BO48" s="780">
        <f t="shared" si="96"/>
        <v>3.3000000000000002E-2</v>
      </c>
      <c r="BP48" s="780">
        <f t="shared" ref="BP48:BX48" si="97">SUMIF(BP$17:BP$44,"&lt;&gt;",$DX$17:$DX$44)</f>
        <v>4.7274418604651168E-2</v>
      </c>
      <c r="BQ48" s="780">
        <f t="shared" si="97"/>
        <v>2.6208139534883726E-2</v>
      </c>
      <c r="BR48" s="780">
        <f t="shared" si="97"/>
        <v>2.2931162790697675E-2</v>
      </c>
      <c r="BS48" s="780">
        <f t="shared" si="97"/>
        <v>0</v>
      </c>
      <c r="BT48" s="780">
        <f t="shared" si="97"/>
        <v>3.3000000000000002E-2</v>
      </c>
      <c r="BU48" s="780">
        <f t="shared" si="97"/>
        <v>1.4274418604651165E-2</v>
      </c>
      <c r="BV48" s="780">
        <f t="shared" si="97"/>
        <v>1.1933720930232559E-2</v>
      </c>
      <c r="BW48" s="780">
        <f t="shared" si="97"/>
        <v>3.3000000000000002E-2</v>
      </c>
      <c r="BX48" s="780">
        <f t="shared" si="97"/>
        <v>4.7274418604651168E-2</v>
      </c>
      <c r="BY48" s="780">
        <f t="shared" ref="BY48:DD48" si="98">SUMIF(BY$17:BY$44,"&lt;&gt;",$DX$17:$DX$44)</f>
        <v>2.6208139534883726E-2</v>
      </c>
      <c r="BZ48" s="780">
        <f t="shared" si="98"/>
        <v>1.1933720930232559E-2</v>
      </c>
      <c r="CA48" s="780">
        <f t="shared" si="98"/>
        <v>0</v>
      </c>
      <c r="CB48" s="780">
        <f t="shared" si="98"/>
        <v>3.3000000000000002E-2</v>
      </c>
      <c r="CC48" s="780">
        <f t="shared" si="98"/>
        <v>1.4274418604651165E-2</v>
      </c>
      <c r="CD48" s="780">
        <f t="shared" si="98"/>
        <v>1.1933720930232559E-2</v>
      </c>
      <c r="CE48" s="780">
        <f t="shared" si="98"/>
        <v>0</v>
      </c>
      <c r="CF48" s="893">
        <f t="shared" si="98"/>
        <v>3.3000000000000002E-2</v>
      </c>
      <c r="CG48" s="780">
        <f t="shared" si="98"/>
        <v>3.3000000000000002E-2</v>
      </c>
      <c r="CH48" s="780">
        <f t="shared" si="98"/>
        <v>4.7274418604651168E-2</v>
      </c>
      <c r="CI48" s="780">
        <f t="shared" si="98"/>
        <v>2.6208139534883726E-2</v>
      </c>
      <c r="CJ48" s="780">
        <f t="shared" si="98"/>
        <v>2.2931162790697675E-2</v>
      </c>
      <c r="CK48" s="780">
        <f t="shared" si="98"/>
        <v>3.3000000000000002E-2</v>
      </c>
      <c r="CL48" s="780">
        <f t="shared" si="98"/>
        <v>4.7274418604651168E-2</v>
      </c>
      <c r="CM48" s="780">
        <f t="shared" si="98"/>
        <v>2.6208139534883726E-2</v>
      </c>
      <c r="CN48" s="780">
        <f t="shared" si="98"/>
        <v>2.2931162790697675E-2</v>
      </c>
      <c r="CO48" s="780">
        <f t="shared" si="98"/>
        <v>0</v>
      </c>
      <c r="CP48" s="780">
        <f t="shared" si="98"/>
        <v>3.3000000000000002E-2</v>
      </c>
      <c r="CQ48" s="780">
        <f t="shared" si="98"/>
        <v>1.4274418604651165E-2</v>
      </c>
      <c r="CR48" s="780">
        <f t="shared" si="98"/>
        <v>1.1933720930232559E-2</v>
      </c>
      <c r="CS48" s="780">
        <f t="shared" si="98"/>
        <v>3.3000000000000002E-2</v>
      </c>
      <c r="CT48" s="780">
        <f t="shared" si="98"/>
        <v>4.7274418604651168E-2</v>
      </c>
      <c r="CU48" s="780">
        <f t="shared" si="98"/>
        <v>2.6208139534883726E-2</v>
      </c>
      <c r="CV48" s="780">
        <f t="shared" si="98"/>
        <v>1.1933720930232559E-2</v>
      </c>
      <c r="CW48" s="780">
        <f t="shared" si="98"/>
        <v>0</v>
      </c>
      <c r="CX48" s="780">
        <f t="shared" si="98"/>
        <v>3.3000000000000002E-2</v>
      </c>
      <c r="CY48" s="780">
        <f t="shared" si="98"/>
        <v>1.4274418604651165E-2</v>
      </c>
      <c r="CZ48" s="780">
        <f t="shared" si="98"/>
        <v>1.1933720930232559E-2</v>
      </c>
      <c r="DA48" s="780">
        <f t="shared" si="98"/>
        <v>0</v>
      </c>
      <c r="DB48" s="780">
        <f t="shared" si="98"/>
        <v>0</v>
      </c>
      <c r="DC48" s="780">
        <f t="shared" si="98"/>
        <v>0</v>
      </c>
      <c r="DD48" s="780">
        <f t="shared" si="98"/>
        <v>0</v>
      </c>
      <c r="DF48" s="1605" t="s">
        <v>878</v>
      </c>
      <c r="DG48" s="1605"/>
      <c r="DH48" s="1605"/>
    </row>
    <row r="49" spans="2:154">
      <c r="B49" s="702"/>
      <c r="C49" s="1242" t="s">
        <v>867</v>
      </c>
      <c r="D49" s="780">
        <f t="shared" ref="D49:AI49" si="99">SUMIF(D$17:D$44,"&lt;&gt;",$DZ$17:$DZ$44)</f>
        <v>0</v>
      </c>
      <c r="E49" s="780">
        <f t="shared" si="99"/>
        <v>0</v>
      </c>
      <c r="F49" s="780">
        <f t="shared" si="99"/>
        <v>0</v>
      </c>
      <c r="G49" s="780">
        <f t="shared" si="99"/>
        <v>0</v>
      </c>
      <c r="H49" s="937">
        <f t="shared" si="99"/>
        <v>0</v>
      </c>
      <c r="I49" s="937">
        <f t="shared" si="99"/>
        <v>0</v>
      </c>
      <c r="J49" s="780">
        <f t="shared" si="99"/>
        <v>0</v>
      </c>
      <c r="K49" s="780">
        <f t="shared" si="99"/>
        <v>0</v>
      </c>
      <c r="L49" s="780">
        <f t="shared" si="99"/>
        <v>0</v>
      </c>
      <c r="M49" s="780">
        <f t="shared" si="99"/>
        <v>0</v>
      </c>
      <c r="N49" s="780">
        <f t="shared" si="99"/>
        <v>0</v>
      </c>
      <c r="O49" s="780">
        <f t="shared" si="99"/>
        <v>0</v>
      </c>
      <c r="P49" s="937">
        <f t="shared" si="99"/>
        <v>0</v>
      </c>
      <c r="Q49" s="937">
        <f t="shared" si="99"/>
        <v>0</v>
      </c>
      <c r="R49" s="780">
        <f t="shared" si="99"/>
        <v>0</v>
      </c>
      <c r="S49" s="780">
        <f t="shared" si="99"/>
        <v>0</v>
      </c>
      <c r="T49" s="780">
        <f t="shared" si="99"/>
        <v>0</v>
      </c>
      <c r="U49" s="780">
        <f t="shared" si="99"/>
        <v>0</v>
      </c>
      <c r="V49" s="780">
        <f t="shared" si="99"/>
        <v>0</v>
      </c>
      <c r="W49" s="780">
        <f t="shared" si="99"/>
        <v>0</v>
      </c>
      <c r="X49" s="780">
        <f t="shared" si="99"/>
        <v>0</v>
      </c>
      <c r="Y49" s="780">
        <f t="shared" si="99"/>
        <v>0</v>
      </c>
      <c r="Z49" s="937">
        <f t="shared" si="99"/>
        <v>0</v>
      </c>
      <c r="AA49" s="937">
        <f t="shared" si="99"/>
        <v>0</v>
      </c>
      <c r="AB49" s="780">
        <f t="shared" si="99"/>
        <v>0</v>
      </c>
      <c r="AC49" s="780">
        <f t="shared" si="99"/>
        <v>0</v>
      </c>
      <c r="AD49" s="937">
        <f t="shared" si="99"/>
        <v>0</v>
      </c>
      <c r="AE49" s="937">
        <f t="shared" si="99"/>
        <v>0</v>
      </c>
      <c r="AF49" s="937">
        <f t="shared" si="99"/>
        <v>0</v>
      </c>
      <c r="AG49" s="937">
        <f t="shared" si="99"/>
        <v>0</v>
      </c>
      <c r="AH49" s="780">
        <f t="shared" si="99"/>
        <v>0</v>
      </c>
      <c r="AI49" s="780">
        <f t="shared" si="99"/>
        <v>0</v>
      </c>
      <c r="AJ49" s="780">
        <f t="shared" ref="AJ49:BO49" si="100">SUMIF(AJ$17:AJ$44,"&lt;&gt;",$DZ$17:$DZ$44)</f>
        <v>0</v>
      </c>
      <c r="AK49" s="780">
        <f t="shared" si="100"/>
        <v>0</v>
      </c>
      <c r="AL49" s="780">
        <f t="shared" si="100"/>
        <v>0</v>
      </c>
      <c r="AM49" s="780">
        <f t="shared" si="100"/>
        <v>0</v>
      </c>
      <c r="AN49" s="780">
        <f t="shared" si="100"/>
        <v>0</v>
      </c>
      <c r="AO49" s="780">
        <f t="shared" si="100"/>
        <v>0</v>
      </c>
      <c r="AP49" s="780">
        <f t="shared" si="100"/>
        <v>0.92836267731128375</v>
      </c>
      <c r="AQ49" s="780">
        <f t="shared" si="100"/>
        <v>1.8952042095294368</v>
      </c>
      <c r="AR49" s="780">
        <f t="shared" si="100"/>
        <v>1.9475204302424662</v>
      </c>
      <c r="AS49" s="780">
        <f t="shared" si="100"/>
        <v>0</v>
      </c>
      <c r="AT49" s="780">
        <f t="shared" si="100"/>
        <v>0.92836267731128375</v>
      </c>
      <c r="AU49" s="780">
        <f t="shared" si="100"/>
        <v>1.8952042095294368</v>
      </c>
      <c r="AV49" s="780">
        <f t="shared" si="100"/>
        <v>1.9475204302424662</v>
      </c>
      <c r="AW49" s="780">
        <f t="shared" si="100"/>
        <v>0</v>
      </c>
      <c r="AX49" s="780">
        <f t="shared" si="100"/>
        <v>0</v>
      </c>
      <c r="AY49" s="780">
        <f t="shared" si="100"/>
        <v>0.92836267731128375</v>
      </c>
      <c r="AZ49" s="780">
        <f t="shared" si="100"/>
        <v>0.96684153221815305</v>
      </c>
      <c r="BA49" s="780">
        <f t="shared" si="100"/>
        <v>0</v>
      </c>
      <c r="BB49" s="780">
        <f t="shared" si="100"/>
        <v>0.92836267731128375</v>
      </c>
      <c r="BC49" s="780">
        <f t="shared" si="100"/>
        <v>1.8952042095294368</v>
      </c>
      <c r="BD49" s="780">
        <f t="shared" si="100"/>
        <v>0.96684153221815305</v>
      </c>
      <c r="BE49" s="780">
        <f t="shared" si="100"/>
        <v>0</v>
      </c>
      <c r="BF49" s="780">
        <f t="shared" si="100"/>
        <v>0</v>
      </c>
      <c r="BG49" s="780">
        <f t="shared" si="100"/>
        <v>0.92836267731128375</v>
      </c>
      <c r="BH49" s="780">
        <f t="shared" si="100"/>
        <v>0.96684153221815305</v>
      </c>
      <c r="BI49" s="780">
        <f t="shared" si="100"/>
        <v>0</v>
      </c>
      <c r="BJ49" s="780">
        <f t="shared" si="100"/>
        <v>0</v>
      </c>
      <c r="BK49" s="780">
        <f t="shared" si="100"/>
        <v>0</v>
      </c>
      <c r="BL49" s="780">
        <f t="shared" si="100"/>
        <v>0.92836267731128375</v>
      </c>
      <c r="BM49" s="780">
        <f t="shared" si="100"/>
        <v>1.8952042095294368</v>
      </c>
      <c r="BN49" s="780">
        <f t="shared" si="100"/>
        <v>1.9475204302424662</v>
      </c>
      <c r="BO49" s="780">
        <f t="shared" si="100"/>
        <v>0</v>
      </c>
      <c r="BP49" s="780">
        <f t="shared" ref="BP49:BX49" si="101">SUMIF(BP$17:BP$44,"&lt;&gt;",$DZ$17:$DZ$44)</f>
        <v>0.92836267731128375</v>
      </c>
      <c r="BQ49" s="780">
        <f t="shared" si="101"/>
        <v>1.8952042095294368</v>
      </c>
      <c r="BR49" s="780">
        <f t="shared" si="101"/>
        <v>1.9475204302424662</v>
      </c>
      <c r="BS49" s="780">
        <f t="shared" si="101"/>
        <v>0</v>
      </c>
      <c r="BT49" s="780">
        <f t="shared" si="101"/>
        <v>0</v>
      </c>
      <c r="BU49" s="780">
        <f t="shared" si="101"/>
        <v>0.92836267731128375</v>
      </c>
      <c r="BV49" s="780">
        <f t="shared" si="101"/>
        <v>0.96684153221815305</v>
      </c>
      <c r="BW49" s="780">
        <f t="shared" si="101"/>
        <v>0</v>
      </c>
      <c r="BX49" s="780">
        <f t="shared" si="101"/>
        <v>0.92836267731128375</v>
      </c>
      <c r="BY49" s="780">
        <f t="shared" ref="BY49:DD49" si="102">SUMIF(BY$17:BY$44,"&lt;&gt;",$DZ$17:$DZ$44)</f>
        <v>1.8952042095294368</v>
      </c>
      <c r="BZ49" s="780">
        <f t="shared" si="102"/>
        <v>0.96684153221815305</v>
      </c>
      <c r="CA49" s="780">
        <f t="shared" si="102"/>
        <v>0</v>
      </c>
      <c r="CB49" s="780">
        <f t="shared" si="102"/>
        <v>0</v>
      </c>
      <c r="CC49" s="780">
        <f t="shared" si="102"/>
        <v>0.92836267731128375</v>
      </c>
      <c r="CD49" s="780">
        <f t="shared" si="102"/>
        <v>0.96684153221815305</v>
      </c>
      <c r="CE49" s="780">
        <f t="shared" si="102"/>
        <v>0</v>
      </c>
      <c r="CF49" s="893">
        <f t="shared" si="102"/>
        <v>0</v>
      </c>
      <c r="CG49" s="780">
        <f t="shared" si="102"/>
        <v>0</v>
      </c>
      <c r="CH49" s="780">
        <f t="shared" si="102"/>
        <v>0.92836267731128375</v>
      </c>
      <c r="CI49" s="780">
        <f t="shared" si="102"/>
        <v>1.8952042095294368</v>
      </c>
      <c r="CJ49" s="780">
        <f t="shared" si="102"/>
        <v>1.9475204302424662</v>
      </c>
      <c r="CK49" s="780">
        <f t="shared" si="102"/>
        <v>0</v>
      </c>
      <c r="CL49" s="780">
        <f t="shared" si="102"/>
        <v>0.92836267731128375</v>
      </c>
      <c r="CM49" s="780">
        <f t="shared" si="102"/>
        <v>1.8952042095294368</v>
      </c>
      <c r="CN49" s="780">
        <f t="shared" si="102"/>
        <v>1.9475204302424662</v>
      </c>
      <c r="CO49" s="780">
        <f t="shared" si="102"/>
        <v>0</v>
      </c>
      <c r="CP49" s="780">
        <f t="shared" si="102"/>
        <v>0</v>
      </c>
      <c r="CQ49" s="780">
        <f t="shared" si="102"/>
        <v>0.92836267731128375</v>
      </c>
      <c r="CR49" s="780">
        <f t="shared" si="102"/>
        <v>0.96684153221815305</v>
      </c>
      <c r="CS49" s="780">
        <f t="shared" si="102"/>
        <v>0</v>
      </c>
      <c r="CT49" s="780">
        <f t="shared" si="102"/>
        <v>0.92836267731128375</v>
      </c>
      <c r="CU49" s="780">
        <f t="shared" si="102"/>
        <v>1.8952042095294368</v>
      </c>
      <c r="CV49" s="780">
        <f t="shared" si="102"/>
        <v>0.96684153221815305</v>
      </c>
      <c r="CW49" s="780">
        <f t="shared" si="102"/>
        <v>0</v>
      </c>
      <c r="CX49" s="780">
        <f t="shared" si="102"/>
        <v>0</v>
      </c>
      <c r="CY49" s="780">
        <f t="shared" si="102"/>
        <v>0.92836267731128375</v>
      </c>
      <c r="CZ49" s="780">
        <f t="shared" si="102"/>
        <v>0.96684153221815305</v>
      </c>
      <c r="DA49" s="780">
        <f t="shared" si="102"/>
        <v>0</v>
      </c>
      <c r="DB49" s="780">
        <f t="shared" si="102"/>
        <v>0</v>
      </c>
      <c r="DC49" s="780">
        <f t="shared" si="102"/>
        <v>0</v>
      </c>
      <c r="DD49" s="780">
        <f t="shared" si="102"/>
        <v>0</v>
      </c>
      <c r="DF49" s="803">
        <f>'INPUT-Data(HD)'!R46/'INPUT-Data(HD)'!P46</f>
        <v>0.11494252873563217</v>
      </c>
      <c r="DG49" s="803">
        <f>DF49</f>
        <v>0.11494252873563217</v>
      </c>
      <c r="DH49" s="803">
        <f>DG49</f>
        <v>0.11494252873563217</v>
      </c>
    </row>
    <row r="50" spans="2:154">
      <c r="B50" s="702"/>
      <c r="C50" s="1233" t="s">
        <v>736</v>
      </c>
      <c r="D50" s="780">
        <f t="shared" ref="D50:AI50" si="103">SUMIF(D$17:D$44,"&lt;&gt;",$DF$17:$DF$44)</f>
        <v>31.050647832435377</v>
      </c>
      <c r="E50" s="780">
        <f t="shared" si="103"/>
        <v>41.411886950834351</v>
      </c>
      <c r="F50" s="780">
        <f t="shared" si="103"/>
        <v>29.860647832435376</v>
      </c>
      <c r="G50" s="780">
        <f t="shared" si="103"/>
        <v>40.221886950834353</v>
      </c>
      <c r="H50" s="937">
        <f t="shared" si="103"/>
        <v>29.860647832435376</v>
      </c>
      <c r="I50" s="937">
        <f t="shared" si="103"/>
        <v>40.221886950834353</v>
      </c>
      <c r="J50" s="780">
        <f t="shared" si="103"/>
        <v>29.860647832435376</v>
      </c>
      <c r="K50" s="780">
        <f t="shared" si="103"/>
        <v>40.221886950834353</v>
      </c>
      <c r="L50" s="780">
        <f t="shared" si="103"/>
        <v>42.104766973343786</v>
      </c>
      <c r="M50" s="780">
        <f t="shared" si="103"/>
        <v>40.3554965796001</v>
      </c>
      <c r="N50" s="780">
        <f t="shared" si="103"/>
        <v>40.914766973343788</v>
      </c>
      <c r="O50" s="780">
        <f t="shared" si="103"/>
        <v>39.165496579600102</v>
      </c>
      <c r="P50" s="937">
        <f t="shared" si="103"/>
        <v>40.914766973343788</v>
      </c>
      <c r="Q50" s="937">
        <f t="shared" si="103"/>
        <v>39.165496579600102</v>
      </c>
      <c r="R50" s="780">
        <f t="shared" si="103"/>
        <v>40.914766973343788</v>
      </c>
      <c r="S50" s="780">
        <f t="shared" si="103"/>
        <v>39.165496579600102</v>
      </c>
      <c r="T50" s="780">
        <f t="shared" si="103"/>
        <v>29.860647832435376</v>
      </c>
      <c r="U50" s="780">
        <f t="shared" si="103"/>
        <v>40.221886950834353</v>
      </c>
      <c r="V50" s="780">
        <f t="shared" si="103"/>
        <v>40.914766973343788</v>
      </c>
      <c r="W50" s="780">
        <f t="shared" si="103"/>
        <v>39.165496579600102</v>
      </c>
      <c r="X50" s="780">
        <f t="shared" si="103"/>
        <v>29.180647832435376</v>
      </c>
      <c r="Y50" s="780">
        <f t="shared" si="103"/>
        <v>39.541886950834353</v>
      </c>
      <c r="Z50" s="937">
        <f t="shared" si="103"/>
        <v>27.990647832435375</v>
      </c>
      <c r="AA50" s="937">
        <f t="shared" si="103"/>
        <v>38.351886950834349</v>
      </c>
      <c r="AB50" s="780">
        <f t="shared" si="103"/>
        <v>16.930460184006272</v>
      </c>
      <c r="AC50" s="780">
        <f t="shared" si="103"/>
        <v>27.291699302405245</v>
      </c>
      <c r="AD50" s="937">
        <f t="shared" si="103"/>
        <v>27.990647832435375</v>
      </c>
      <c r="AE50" s="937">
        <f t="shared" si="103"/>
        <v>38.351886950834349</v>
      </c>
      <c r="AF50" s="937">
        <f t="shared" si="103"/>
        <v>27.990647832435375</v>
      </c>
      <c r="AG50" s="937">
        <f t="shared" si="103"/>
        <v>38.351886950834349</v>
      </c>
      <c r="AH50" s="780">
        <f t="shared" si="103"/>
        <v>27.990647832435375</v>
      </c>
      <c r="AI50" s="780">
        <f t="shared" si="103"/>
        <v>38.351886950834349</v>
      </c>
      <c r="AJ50" s="780">
        <f t="shared" ref="AJ50:BO50" si="104">SUMIF(AJ$17:AJ$44,"&lt;&gt;",$DF$17:$DF$44)</f>
        <v>92.726465409467238</v>
      </c>
      <c r="AK50" s="780">
        <f t="shared" si="104"/>
        <v>103.08770452786622</v>
      </c>
      <c r="AL50" s="780">
        <f t="shared" si="104"/>
        <v>35.944766973343789</v>
      </c>
      <c r="AM50" s="780">
        <f t="shared" si="104"/>
        <v>34.195496579600103</v>
      </c>
      <c r="AN50" s="780">
        <f t="shared" si="104"/>
        <v>5.5600000000000005</v>
      </c>
      <c r="AO50" s="780">
        <f t="shared" si="104"/>
        <v>10.530000000000001</v>
      </c>
      <c r="AP50" s="780">
        <f t="shared" si="104"/>
        <v>9.2451260504201684</v>
      </c>
      <c r="AQ50" s="780">
        <f t="shared" si="104"/>
        <v>9.2451260504201684</v>
      </c>
      <c r="AR50" s="780">
        <f t="shared" si="104"/>
        <v>4.97</v>
      </c>
      <c r="AS50" s="780">
        <f t="shared" si="104"/>
        <v>5.5600000000000005</v>
      </c>
      <c r="AT50" s="780">
        <f t="shared" si="104"/>
        <v>4.2751260504201687</v>
      </c>
      <c r="AU50" s="780">
        <f t="shared" si="104"/>
        <v>4.2751260504201687</v>
      </c>
      <c r="AV50" s="780">
        <f t="shared" si="104"/>
        <v>0</v>
      </c>
      <c r="AW50" s="780">
        <f t="shared" si="104"/>
        <v>7.4700000000000006</v>
      </c>
      <c r="AX50" s="780">
        <f t="shared" si="104"/>
        <v>6.4601260504201683</v>
      </c>
      <c r="AY50" s="780">
        <f t="shared" si="104"/>
        <v>6.4601260504201683</v>
      </c>
      <c r="AZ50" s="780">
        <f t="shared" si="104"/>
        <v>3.1</v>
      </c>
      <c r="BA50" s="780">
        <f t="shared" si="104"/>
        <v>5.5600000000000005</v>
      </c>
      <c r="BB50" s="780">
        <f t="shared" si="104"/>
        <v>4.2751260504201687</v>
      </c>
      <c r="BC50" s="780">
        <f t="shared" si="104"/>
        <v>4.2751260504201687</v>
      </c>
      <c r="BD50" s="780">
        <f t="shared" si="104"/>
        <v>0</v>
      </c>
      <c r="BE50" s="780">
        <f t="shared" si="104"/>
        <v>4.37</v>
      </c>
      <c r="BF50" s="780">
        <f t="shared" si="104"/>
        <v>3.3601260504201687</v>
      </c>
      <c r="BG50" s="780">
        <f t="shared" si="104"/>
        <v>3.3601260504201687</v>
      </c>
      <c r="BH50" s="780">
        <f t="shared" si="104"/>
        <v>0</v>
      </c>
      <c r="BI50" s="780">
        <f t="shared" si="104"/>
        <v>0</v>
      </c>
      <c r="BJ50" s="780">
        <f t="shared" si="104"/>
        <v>5.5600000000000005</v>
      </c>
      <c r="BK50" s="780">
        <f t="shared" si="104"/>
        <v>10.530000000000001</v>
      </c>
      <c r="BL50" s="780">
        <f t="shared" si="104"/>
        <v>9.2451260504201684</v>
      </c>
      <c r="BM50" s="780">
        <f t="shared" si="104"/>
        <v>9.2451260504201684</v>
      </c>
      <c r="BN50" s="780">
        <f t="shared" si="104"/>
        <v>4.97</v>
      </c>
      <c r="BO50" s="780">
        <f t="shared" si="104"/>
        <v>5.5600000000000005</v>
      </c>
      <c r="BP50" s="780">
        <f t="shared" ref="BP50:BX50" si="105">SUMIF(BP$17:BP$44,"&lt;&gt;",$DF$17:$DF$44)</f>
        <v>4.2751260504201687</v>
      </c>
      <c r="BQ50" s="780">
        <f t="shared" si="105"/>
        <v>4.2751260504201687</v>
      </c>
      <c r="BR50" s="780">
        <f t="shared" si="105"/>
        <v>0</v>
      </c>
      <c r="BS50" s="780">
        <f t="shared" si="105"/>
        <v>7.4700000000000006</v>
      </c>
      <c r="BT50" s="780">
        <f t="shared" si="105"/>
        <v>6.4601260504201683</v>
      </c>
      <c r="BU50" s="780">
        <f t="shared" si="105"/>
        <v>6.4601260504201683</v>
      </c>
      <c r="BV50" s="780">
        <f t="shared" si="105"/>
        <v>3.1</v>
      </c>
      <c r="BW50" s="780">
        <f t="shared" si="105"/>
        <v>5.5600000000000005</v>
      </c>
      <c r="BX50" s="780">
        <f t="shared" si="105"/>
        <v>4.2751260504201687</v>
      </c>
      <c r="BY50" s="780">
        <f t="shared" ref="BY50:DD50" si="106">SUMIF(BY$17:BY$44,"&lt;&gt;",$DF$17:$DF$44)</f>
        <v>4.2751260504201687</v>
      </c>
      <c r="BZ50" s="780">
        <f t="shared" si="106"/>
        <v>0</v>
      </c>
      <c r="CA50" s="780">
        <f t="shared" si="106"/>
        <v>4.37</v>
      </c>
      <c r="CB50" s="780">
        <f t="shared" si="106"/>
        <v>3.3601260504201687</v>
      </c>
      <c r="CC50" s="780">
        <f t="shared" si="106"/>
        <v>3.3601260504201687</v>
      </c>
      <c r="CD50" s="780">
        <f t="shared" si="106"/>
        <v>0</v>
      </c>
      <c r="CE50" s="780">
        <f t="shared" si="106"/>
        <v>0</v>
      </c>
      <c r="CF50" s="893">
        <f t="shared" si="106"/>
        <v>5.5600000000000005</v>
      </c>
      <c r="CG50" s="780">
        <f t="shared" si="106"/>
        <v>10.530000000000001</v>
      </c>
      <c r="CH50" s="780">
        <f t="shared" si="106"/>
        <v>9.2451260504201684</v>
      </c>
      <c r="CI50" s="780">
        <f t="shared" si="106"/>
        <v>9.2451260504201684</v>
      </c>
      <c r="CJ50" s="780">
        <f t="shared" si="106"/>
        <v>4.97</v>
      </c>
      <c r="CK50" s="780">
        <f t="shared" si="106"/>
        <v>5.5600000000000005</v>
      </c>
      <c r="CL50" s="780">
        <f t="shared" si="106"/>
        <v>4.2751260504201687</v>
      </c>
      <c r="CM50" s="780">
        <f t="shared" si="106"/>
        <v>4.2751260504201687</v>
      </c>
      <c r="CN50" s="780">
        <f t="shared" si="106"/>
        <v>0</v>
      </c>
      <c r="CO50" s="780">
        <f t="shared" si="106"/>
        <v>7.4700000000000006</v>
      </c>
      <c r="CP50" s="780">
        <f t="shared" si="106"/>
        <v>6.4601260504201683</v>
      </c>
      <c r="CQ50" s="780">
        <f t="shared" si="106"/>
        <v>6.4601260504201683</v>
      </c>
      <c r="CR50" s="780">
        <f t="shared" si="106"/>
        <v>3.1</v>
      </c>
      <c r="CS50" s="780">
        <f t="shared" si="106"/>
        <v>5.5600000000000005</v>
      </c>
      <c r="CT50" s="780">
        <f t="shared" si="106"/>
        <v>4.2751260504201687</v>
      </c>
      <c r="CU50" s="780">
        <f t="shared" si="106"/>
        <v>4.2751260504201687</v>
      </c>
      <c r="CV50" s="780">
        <f t="shared" si="106"/>
        <v>0</v>
      </c>
      <c r="CW50" s="780">
        <f t="shared" si="106"/>
        <v>4.37</v>
      </c>
      <c r="CX50" s="780">
        <f t="shared" si="106"/>
        <v>3.3601260504201687</v>
      </c>
      <c r="CY50" s="780">
        <f t="shared" si="106"/>
        <v>3.3601260504201687</v>
      </c>
      <c r="CZ50" s="780">
        <f t="shared" si="106"/>
        <v>0</v>
      </c>
      <c r="DA50" s="780">
        <f t="shared" si="106"/>
        <v>0</v>
      </c>
      <c r="DB50" s="780">
        <f t="shared" si="106"/>
        <v>0</v>
      </c>
      <c r="DC50" s="780">
        <f t="shared" si="106"/>
        <v>0</v>
      </c>
      <c r="DD50" s="780">
        <f t="shared" si="106"/>
        <v>0</v>
      </c>
      <c r="DF50" s="803">
        <f>'INPUT-Data(HD)'!R47/'INPUT-Data(HD)'!P47</f>
        <v>8.6035451794206672E-2</v>
      </c>
      <c r="DG50" s="803">
        <f>DF50</f>
        <v>8.6035451794206672E-2</v>
      </c>
      <c r="DH50" s="803">
        <f>DG50</f>
        <v>8.6035451794206672E-2</v>
      </c>
    </row>
    <row r="51" spans="2:154">
      <c r="B51" s="702"/>
      <c r="C51" s="703" t="s">
        <v>823</v>
      </c>
      <c r="D51" s="780">
        <f t="shared" ref="D51:M52" si="107">SUMIF(D$17:D$44,"&lt;&gt;",$DI$17:$DI$44)</f>
        <v>1.6769796194370303</v>
      </c>
      <c r="E51" s="780">
        <f t="shared" si="107"/>
        <v>2.1950415753569792</v>
      </c>
      <c r="F51" s="780">
        <f t="shared" si="107"/>
        <v>1.6293796194370302</v>
      </c>
      <c r="G51" s="780">
        <f t="shared" si="107"/>
        <v>2.1474415753569791</v>
      </c>
      <c r="H51" s="937">
        <f t="shared" si="107"/>
        <v>1.6293796194370302</v>
      </c>
      <c r="I51" s="937">
        <f t="shared" si="107"/>
        <v>2.1474415753569791</v>
      </c>
      <c r="J51" s="780">
        <f t="shared" si="107"/>
        <v>1.6293796194370302</v>
      </c>
      <c r="K51" s="780">
        <f t="shared" si="107"/>
        <v>2.1474415753569791</v>
      </c>
      <c r="L51" s="780">
        <f t="shared" si="107"/>
        <v>1.4567389779319804</v>
      </c>
      <c r="M51" s="780">
        <f t="shared" si="107"/>
        <v>1.3603332420234966</v>
      </c>
      <c r="N51" s="780">
        <f t="shared" ref="N51:W52" si="108">SUMIF(N$17:N$44,"&lt;&gt;",$DI$17:$DI$44)</f>
        <v>1.4091389779319805</v>
      </c>
      <c r="O51" s="780">
        <f t="shared" si="108"/>
        <v>1.3127332420234965</v>
      </c>
      <c r="P51" s="937">
        <f t="shared" si="108"/>
        <v>1.4091389779319805</v>
      </c>
      <c r="Q51" s="937">
        <f t="shared" si="108"/>
        <v>1.3127332420234965</v>
      </c>
      <c r="R51" s="780">
        <f t="shared" si="108"/>
        <v>1.4091389779319805</v>
      </c>
      <c r="S51" s="780">
        <f t="shared" si="108"/>
        <v>1.3127332420234965</v>
      </c>
      <c r="T51" s="780">
        <f t="shared" si="108"/>
        <v>1.6293796194370302</v>
      </c>
      <c r="U51" s="780">
        <f t="shared" si="108"/>
        <v>2.1474415753569791</v>
      </c>
      <c r="V51" s="780">
        <f t="shared" si="108"/>
        <v>1.4091389779319805</v>
      </c>
      <c r="W51" s="780">
        <f t="shared" si="108"/>
        <v>1.3127332420234965</v>
      </c>
      <c r="X51" s="780">
        <f t="shared" ref="X51:AG52" si="109">SUMIF(X$17:X$44,"&lt;&gt;",$DI$17:$DI$44)</f>
        <v>1.6705796194370301</v>
      </c>
      <c r="Y51" s="780">
        <f t="shared" si="109"/>
        <v>2.188641575356979</v>
      </c>
      <c r="Z51" s="937">
        <f t="shared" si="109"/>
        <v>1.6229796194370303</v>
      </c>
      <c r="AA51" s="937">
        <f t="shared" si="109"/>
        <v>2.1410415753569794</v>
      </c>
      <c r="AB51" s="780">
        <f t="shared" si="109"/>
        <v>0.84876648404699273</v>
      </c>
      <c r="AC51" s="780">
        <f t="shared" si="109"/>
        <v>1.3668284399669415</v>
      </c>
      <c r="AD51" s="937">
        <f t="shared" si="109"/>
        <v>1.6229796194370303</v>
      </c>
      <c r="AE51" s="937">
        <f t="shared" si="109"/>
        <v>2.1410415753569794</v>
      </c>
      <c r="AF51" s="937">
        <f t="shared" si="109"/>
        <v>1.6229796194370303</v>
      </c>
      <c r="AG51" s="937">
        <f t="shared" si="109"/>
        <v>2.1410415753569794</v>
      </c>
      <c r="AH51" s="780">
        <f t="shared" ref="AH51:AQ52" si="110">SUMIF(AH$17:AH$44,"&lt;&gt;",$DI$17:$DI$44)</f>
        <v>1.6229796194370303</v>
      </c>
      <c r="AI51" s="780">
        <f t="shared" si="110"/>
        <v>2.1410415753569794</v>
      </c>
      <c r="AJ51" s="780">
        <f t="shared" si="110"/>
        <v>6.2784868498292612</v>
      </c>
      <c r="AK51" s="780">
        <f t="shared" si="110"/>
        <v>6.7965488057492101</v>
      </c>
      <c r="AL51" s="780">
        <f t="shared" si="110"/>
        <v>1.3097389779319806</v>
      </c>
      <c r="AM51" s="780">
        <f t="shared" si="110"/>
        <v>1.2133332420234966</v>
      </c>
      <c r="AN51" s="780">
        <f t="shared" si="110"/>
        <v>0.11315</v>
      </c>
      <c r="AO51" s="780">
        <f t="shared" si="110"/>
        <v>0.21254999999999999</v>
      </c>
      <c r="AP51" s="780">
        <f t="shared" si="110"/>
        <v>0.16465141806722688</v>
      </c>
      <c r="AQ51" s="780">
        <f t="shared" si="110"/>
        <v>0.15377618172268909</v>
      </c>
      <c r="AR51" s="780">
        <f t="shared" ref="AR51:BA52" si="111">SUMIF(AR$17:AR$44,"&lt;&gt;",$DI$17:$DI$44)</f>
        <v>0.12982689075630252</v>
      </c>
      <c r="AS51" s="780">
        <f t="shared" si="111"/>
        <v>0.11315</v>
      </c>
      <c r="AT51" s="780">
        <f t="shared" si="111"/>
        <v>6.5251418067226882E-2</v>
      </c>
      <c r="AU51" s="780">
        <f t="shared" si="111"/>
        <v>5.4376181722689085E-2</v>
      </c>
      <c r="AV51" s="780">
        <f t="shared" si="111"/>
        <v>3.0426890756302526E-2</v>
      </c>
      <c r="AW51" s="780">
        <f t="shared" si="111"/>
        <v>0.15855</v>
      </c>
      <c r="AX51" s="780">
        <f t="shared" si="111"/>
        <v>0.13080141806722689</v>
      </c>
      <c r="AY51" s="780">
        <f t="shared" si="111"/>
        <v>0.12450118172268908</v>
      </c>
      <c r="AZ51" s="780">
        <f t="shared" si="111"/>
        <v>0.11062689075630253</v>
      </c>
      <c r="BA51" s="780">
        <f t="shared" si="111"/>
        <v>0.11315</v>
      </c>
      <c r="BB51" s="780">
        <f t="shared" ref="BB51:BK52" si="112">SUMIF(BB$17:BB$44,"&lt;&gt;",$DI$17:$DI$44)</f>
        <v>6.5251418067226882E-2</v>
      </c>
      <c r="BC51" s="780">
        <f t="shared" si="112"/>
        <v>5.4376181722689085E-2</v>
      </c>
      <c r="BD51" s="780">
        <f t="shared" si="112"/>
        <v>1.7626890756302523E-2</v>
      </c>
      <c r="BE51" s="780">
        <f t="shared" si="112"/>
        <v>6.5549999999999997E-2</v>
      </c>
      <c r="BF51" s="780">
        <f t="shared" si="112"/>
        <v>3.7801418067226887E-2</v>
      </c>
      <c r="BG51" s="780">
        <f t="shared" si="112"/>
        <v>3.1501181722689078E-2</v>
      </c>
      <c r="BH51" s="780">
        <f t="shared" si="112"/>
        <v>1.7626890756302523E-2</v>
      </c>
      <c r="BI51" s="780">
        <f t="shared" si="112"/>
        <v>0</v>
      </c>
      <c r="BJ51" s="780">
        <f t="shared" si="112"/>
        <v>0.11315</v>
      </c>
      <c r="BK51" s="780">
        <f t="shared" si="112"/>
        <v>0.21254999999999999</v>
      </c>
      <c r="BL51" s="780">
        <f t="shared" ref="BL51:BU52" si="113">SUMIF(BL$17:BL$44,"&lt;&gt;",$DI$17:$DI$44)</f>
        <v>0.16465141806722688</v>
      </c>
      <c r="BM51" s="780">
        <f t="shared" si="113"/>
        <v>0.15377618172268909</v>
      </c>
      <c r="BN51" s="780">
        <f t="shared" si="113"/>
        <v>0.12982689075630252</v>
      </c>
      <c r="BO51" s="780">
        <f t="shared" si="113"/>
        <v>0.11315</v>
      </c>
      <c r="BP51" s="780">
        <f t="shared" si="113"/>
        <v>6.5251418067226882E-2</v>
      </c>
      <c r="BQ51" s="780">
        <f t="shared" si="113"/>
        <v>5.4376181722689085E-2</v>
      </c>
      <c r="BR51" s="780">
        <f t="shared" si="113"/>
        <v>3.0426890756302526E-2</v>
      </c>
      <c r="BS51" s="780">
        <f t="shared" si="113"/>
        <v>0.15855</v>
      </c>
      <c r="BT51" s="780">
        <f t="shared" si="113"/>
        <v>0.13080141806722689</v>
      </c>
      <c r="BU51" s="780">
        <f t="shared" si="113"/>
        <v>0.12450118172268908</v>
      </c>
      <c r="BV51" s="780">
        <f t="shared" ref="BV51:CE52" si="114">SUMIF(BV$17:BV$44,"&lt;&gt;",$DI$17:$DI$44)</f>
        <v>0.11062689075630253</v>
      </c>
      <c r="BW51" s="780">
        <f t="shared" si="114"/>
        <v>0.11315</v>
      </c>
      <c r="BX51" s="780">
        <f t="shared" si="114"/>
        <v>6.5251418067226882E-2</v>
      </c>
      <c r="BY51" s="780">
        <f t="shared" si="114"/>
        <v>5.4376181722689085E-2</v>
      </c>
      <c r="BZ51" s="780">
        <f t="shared" si="114"/>
        <v>1.7626890756302523E-2</v>
      </c>
      <c r="CA51" s="780">
        <f t="shared" si="114"/>
        <v>6.5549999999999997E-2</v>
      </c>
      <c r="CB51" s="780">
        <f t="shared" si="114"/>
        <v>3.7801418067226887E-2</v>
      </c>
      <c r="CC51" s="780">
        <f t="shared" si="114"/>
        <v>3.1501181722689078E-2</v>
      </c>
      <c r="CD51" s="780">
        <f t="shared" si="114"/>
        <v>1.7626890756302523E-2</v>
      </c>
      <c r="CE51" s="780">
        <f t="shared" si="114"/>
        <v>0</v>
      </c>
      <c r="CF51" s="893">
        <f t="shared" ref="CF51:CO52" si="115">SUMIF(CF$17:CF$44,"&lt;&gt;",$DI$17:$DI$44)</f>
        <v>0.11315</v>
      </c>
      <c r="CG51" s="780">
        <f t="shared" si="115"/>
        <v>0.21254999999999999</v>
      </c>
      <c r="CH51" s="780">
        <f t="shared" si="115"/>
        <v>0.16465141806722688</v>
      </c>
      <c r="CI51" s="780">
        <f t="shared" si="115"/>
        <v>0.15377618172268909</v>
      </c>
      <c r="CJ51" s="780">
        <f t="shared" si="115"/>
        <v>0.12982689075630252</v>
      </c>
      <c r="CK51" s="780">
        <f t="shared" si="115"/>
        <v>0.11315</v>
      </c>
      <c r="CL51" s="780">
        <f t="shared" si="115"/>
        <v>6.5251418067226882E-2</v>
      </c>
      <c r="CM51" s="780">
        <f t="shared" si="115"/>
        <v>5.4376181722689085E-2</v>
      </c>
      <c r="CN51" s="780">
        <f t="shared" si="115"/>
        <v>3.0426890756302526E-2</v>
      </c>
      <c r="CO51" s="780">
        <f t="shared" si="115"/>
        <v>0.15855</v>
      </c>
      <c r="CP51" s="780">
        <f t="shared" ref="CP51:DD52" si="116">SUMIF(CP$17:CP$44,"&lt;&gt;",$DI$17:$DI$44)</f>
        <v>0.13080141806722689</v>
      </c>
      <c r="CQ51" s="780">
        <f t="shared" si="116"/>
        <v>0.12450118172268908</v>
      </c>
      <c r="CR51" s="780">
        <f t="shared" si="116"/>
        <v>0.11062689075630253</v>
      </c>
      <c r="CS51" s="780">
        <f t="shared" si="116"/>
        <v>0.11315</v>
      </c>
      <c r="CT51" s="780">
        <f t="shared" si="116"/>
        <v>6.5251418067226882E-2</v>
      </c>
      <c r="CU51" s="780">
        <f t="shared" si="116"/>
        <v>5.4376181722689085E-2</v>
      </c>
      <c r="CV51" s="780">
        <f t="shared" si="116"/>
        <v>1.7626890756302523E-2</v>
      </c>
      <c r="CW51" s="780">
        <f t="shared" si="116"/>
        <v>6.5549999999999997E-2</v>
      </c>
      <c r="CX51" s="780">
        <f t="shared" si="116"/>
        <v>3.7801418067226887E-2</v>
      </c>
      <c r="CY51" s="780">
        <f t="shared" si="116"/>
        <v>3.1501181722689078E-2</v>
      </c>
      <c r="CZ51" s="780">
        <f t="shared" si="116"/>
        <v>1.7626890756302523E-2</v>
      </c>
      <c r="DA51" s="780">
        <f t="shared" si="116"/>
        <v>0</v>
      </c>
      <c r="DB51" s="780">
        <f t="shared" si="116"/>
        <v>0</v>
      </c>
      <c r="DC51" s="780">
        <f t="shared" si="116"/>
        <v>0</v>
      </c>
      <c r="DD51" s="780">
        <f t="shared" si="116"/>
        <v>0</v>
      </c>
      <c r="DF51" s="804">
        <f>DF46*DF49+DF47*DF50</f>
        <v>9.1816867182491782E-2</v>
      </c>
      <c r="DG51" s="804">
        <f t="shared" ref="DG51:DH51" si="117">DG46*DG49+DG47*DG50</f>
        <v>9.6152928723705594E-2</v>
      </c>
      <c r="DH51" s="804">
        <f t="shared" si="117"/>
        <v>0.10048899026491942</v>
      </c>
    </row>
    <row r="52" spans="2:154">
      <c r="C52" s="703" t="s">
        <v>38</v>
      </c>
      <c r="D52" s="781">
        <f t="shared" si="107"/>
        <v>1.6769796194370303</v>
      </c>
      <c r="E52" s="781">
        <f t="shared" si="107"/>
        <v>2.1950415753569792</v>
      </c>
      <c r="F52" s="781">
        <f t="shared" si="107"/>
        <v>1.6293796194370302</v>
      </c>
      <c r="G52" s="781">
        <f t="shared" si="107"/>
        <v>2.1474415753569791</v>
      </c>
      <c r="H52" s="938">
        <f t="shared" si="107"/>
        <v>1.6293796194370302</v>
      </c>
      <c r="I52" s="938">
        <f t="shared" si="107"/>
        <v>2.1474415753569791</v>
      </c>
      <c r="J52" s="781">
        <f t="shared" si="107"/>
        <v>1.6293796194370302</v>
      </c>
      <c r="K52" s="781">
        <f t="shared" si="107"/>
        <v>2.1474415753569791</v>
      </c>
      <c r="L52" s="781">
        <f t="shared" si="107"/>
        <v>1.4567389779319804</v>
      </c>
      <c r="M52" s="781">
        <f t="shared" si="107"/>
        <v>1.3603332420234966</v>
      </c>
      <c r="N52" s="781">
        <f t="shared" si="108"/>
        <v>1.4091389779319805</v>
      </c>
      <c r="O52" s="781">
        <f t="shared" si="108"/>
        <v>1.3127332420234965</v>
      </c>
      <c r="P52" s="938">
        <f t="shared" si="108"/>
        <v>1.4091389779319805</v>
      </c>
      <c r="Q52" s="938">
        <f t="shared" si="108"/>
        <v>1.3127332420234965</v>
      </c>
      <c r="R52" s="781">
        <f t="shared" si="108"/>
        <v>1.4091389779319805</v>
      </c>
      <c r="S52" s="781">
        <f t="shared" si="108"/>
        <v>1.3127332420234965</v>
      </c>
      <c r="T52" s="781">
        <f t="shared" si="108"/>
        <v>1.6293796194370302</v>
      </c>
      <c r="U52" s="781">
        <f t="shared" si="108"/>
        <v>2.1474415753569791</v>
      </c>
      <c r="V52" s="781">
        <f t="shared" si="108"/>
        <v>1.4091389779319805</v>
      </c>
      <c r="W52" s="781">
        <f t="shared" si="108"/>
        <v>1.3127332420234965</v>
      </c>
      <c r="X52" s="781">
        <f t="shared" si="109"/>
        <v>1.6705796194370301</v>
      </c>
      <c r="Y52" s="781">
        <f t="shared" si="109"/>
        <v>2.188641575356979</v>
      </c>
      <c r="Z52" s="938">
        <f t="shared" si="109"/>
        <v>1.6229796194370303</v>
      </c>
      <c r="AA52" s="938">
        <f t="shared" si="109"/>
        <v>2.1410415753569794</v>
      </c>
      <c r="AB52" s="781">
        <f t="shared" si="109"/>
        <v>0.84876648404699273</v>
      </c>
      <c r="AC52" s="781">
        <f t="shared" si="109"/>
        <v>1.3668284399669415</v>
      </c>
      <c r="AD52" s="938">
        <f t="shared" si="109"/>
        <v>1.6229796194370303</v>
      </c>
      <c r="AE52" s="938">
        <f t="shared" si="109"/>
        <v>2.1410415753569794</v>
      </c>
      <c r="AF52" s="938">
        <f t="shared" si="109"/>
        <v>1.6229796194370303</v>
      </c>
      <c r="AG52" s="938">
        <f t="shared" si="109"/>
        <v>2.1410415753569794</v>
      </c>
      <c r="AH52" s="781">
        <f t="shared" si="110"/>
        <v>1.6229796194370303</v>
      </c>
      <c r="AI52" s="781">
        <f t="shared" si="110"/>
        <v>2.1410415753569794</v>
      </c>
      <c r="AJ52" s="781">
        <f t="shared" si="110"/>
        <v>6.2784868498292612</v>
      </c>
      <c r="AK52" s="781">
        <f t="shared" si="110"/>
        <v>6.7965488057492101</v>
      </c>
      <c r="AL52" s="781">
        <f t="shared" si="110"/>
        <v>1.3097389779319806</v>
      </c>
      <c r="AM52" s="781">
        <f t="shared" si="110"/>
        <v>1.2133332420234966</v>
      </c>
      <c r="AN52" s="781">
        <f t="shared" si="110"/>
        <v>0.11315</v>
      </c>
      <c r="AO52" s="781">
        <f t="shared" si="110"/>
        <v>0.21254999999999999</v>
      </c>
      <c r="AP52" s="781">
        <f t="shared" si="110"/>
        <v>0.16465141806722688</v>
      </c>
      <c r="AQ52" s="781">
        <f t="shared" si="110"/>
        <v>0.15377618172268909</v>
      </c>
      <c r="AR52" s="781">
        <f t="shared" si="111"/>
        <v>0.12982689075630252</v>
      </c>
      <c r="AS52" s="781">
        <f t="shared" si="111"/>
        <v>0.11315</v>
      </c>
      <c r="AT52" s="781">
        <f t="shared" si="111"/>
        <v>6.5251418067226882E-2</v>
      </c>
      <c r="AU52" s="781">
        <f t="shared" si="111"/>
        <v>5.4376181722689085E-2</v>
      </c>
      <c r="AV52" s="781">
        <f t="shared" si="111"/>
        <v>3.0426890756302526E-2</v>
      </c>
      <c r="AW52" s="781">
        <f t="shared" si="111"/>
        <v>0.15855</v>
      </c>
      <c r="AX52" s="781">
        <f t="shared" si="111"/>
        <v>0.13080141806722689</v>
      </c>
      <c r="AY52" s="781">
        <f t="shared" si="111"/>
        <v>0.12450118172268908</v>
      </c>
      <c r="AZ52" s="781">
        <f t="shared" si="111"/>
        <v>0.11062689075630253</v>
      </c>
      <c r="BA52" s="781">
        <f t="shared" si="111"/>
        <v>0.11315</v>
      </c>
      <c r="BB52" s="781">
        <f t="shared" si="112"/>
        <v>6.5251418067226882E-2</v>
      </c>
      <c r="BC52" s="781">
        <f t="shared" si="112"/>
        <v>5.4376181722689085E-2</v>
      </c>
      <c r="BD52" s="781">
        <f t="shared" si="112"/>
        <v>1.7626890756302523E-2</v>
      </c>
      <c r="BE52" s="781">
        <f t="shared" si="112"/>
        <v>6.5549999999999997E-2</v>
      </c>
      <c r="BF52" s="781">
        <f t="shared" si="112"/>
        <v>3.7801418067226887E-2</v>
      </c>
      <c r="BG52" s="781">
        <f t="shared" si="112"/>
        <v>3.1501181722689078E-2</v>
      </c>
      <c r="BH52" s="781">
        <f t="shared" si="112"/>
        <v>1.7626890756302523E-2</v>
      </c>
      <c r="BI52" s="781">
        <f t="shared" si="112"/>
        <v>0</v>
      </c>
      <c r="BJ52" s="781">
        <f t="shared" si="112"/>
        <v>0.11315</v>
      </c>
      <c r="BK52" s="781">
        <f t="shared" si="112"/>
        <v>0.21254999999999999</v>
      </c>
      <c r="BL52" s="781">
        <f t="shared" si="113"/>
        <v>0.16465141806722688</v>
      </c>
      <c r="BM52" s="781">
        <f t="shared" si="113"/>
        <v>0.15377618172268909</v>
      </c>
      <c r="BN52" s="781">
        <f t="shared" si="113"/>
        <v>0.12982689075630252</v>
      </c>
      <c r="BO52" s="781">
        <f t="shared" si="113"/>
        <v>0.11315</v>
      </c>
      <c r="BP52" s="781">
        <f t="shared" si="113"/>
        <v>6.5251418067226882E-2</v>
      </c>
      <c r="BQ52" s="781">
        <f t="shared" si="113"/>
        <v>5.4376181722689085E-2</v>
      </c>
      <c r="BR52" s="781">
        <f t="shared" si="113"/>
        <v>3.0426890756302526E-2</v>
      </c>
      <c r="BS52" s="781">
        <f t="shared" si="113"/>
        <v>0.15855</v>
      </c>
      <c r="BT52" s="781">
        <f t="shared" si="113"/>
        <v>0.13080141806722689</v>
      </c>
      <c r="BU52" s="781">
        <f t="shared" si="113"/>
        <v>0.12450118172268908</v>
      </c>
      <c r="BV52" s="781">
        <f t="shared" si="114"/>
        <v>0.11062689075630253</v>
      </c>
      <c r="BW52" s="781">
        <f t="shared" si="114"/>
        <v>0.11315</v>
      </c>
      <c r="BX52" s="781">
        <f t="shared" si="114"/>
        <v>6.5251418067226882E-2</v>
      </c>
      <c r="BY52" s="781">
        <f t="shared" si="114"/>
        <v>5.4376181722689085E-2</v>
      </c>
      <c r="BZ52" s="781">
        <f t="shared" si="114"/>
        <v>1.7626890756302523E-2</v>
      </c>
      <c r="CA52" s="781">
        <f t="shared" si="114"/>
        <v>6.5549999999999997E-2</v>
      </c>
      <c r="CB52" s="781">
        <f t="shared" si="114"/>
        <v>3.7801418067226887E-2</v>
      </c>
      <c r="CC52" s="781">
        <f t="shared" si="114"/>
        <v>3.1501181722689078E-2</v>
      </c>
      <c r="CD52" s="781">
        <f t="shared" si="114"/>
        <v>1.7626890756302523E-2</v>
      </c>
      <c r="CE52" s="781">
        <f t="shared" si="114"/>
        <v>0</v>
      </c>
      <c r="CF52" s="893">
        <f t="shared" si="115"/>
        <v>0.11315</v>
      </c>
      <c r="CG52" s="781">
        <f t="shared" si="115"/>
        <v>0.21254999999999999</v>
      </c>
      <c r="CH52" s="781">
        <f t="shared" si="115"/>
        <v>0.16465141806722688</v>
      </c>
      <c r="CI52" s="781">
        <f t="shared" si="115"/>
        <v>0.15377618172268909</v>
      </c>
      <c r="CJ52" s="781">
        <f t="shared" si="115"/>
        <v>0.12982689075630252</v>
      </c>
      <c r="CK52" s="781">
        <f t="shared" si="115"/>
        <v>0.11315</v>
      </c>
      <c r="CL52" s="781">
        <f t="shared" si="115"/>
        <v>6.5251418067226882E-2</v>
      </c>
      <c r="CM52" s="781">
        <f t="shared" si="115"/>
        <v>5.4376181722689085E-2</v>
      </c>
      <c r="CN52" s="781">
        <f t="shared" si="115"/>
        <v>3.0426890756302526E-2</v>
      </c>
      <c r="CO52" s="781">
        <f t="shared" si="115"/>
        <v>0.15855</v>
      </c>
      <c r="CP52" s="781">
        <f t="shared" si="116"/>
        <v>0.13080141806722689</v>
      </c>
      <c r="CQ52" s="781">
        <f t="shared" si="116"/>
        <v>0.12450118172268908</v>
      </c>
      <c r="CR52" s="781">
        <f t="shared" si="116"/>
        <v>0.11062689075630253</v>
      </c>
      <c r="CS52" s="781">
        <f t="shared" si="116"/>
        <v>0.11315</v>
      </c>
      <c r="CT52" s="781">
        <f t="shared" si="116"/>
        <v>6.5251418067226882E-2</v>
      </c>
      <c r="CU52" s="781">
        <f t="shared" si="116"/>
        <v>5.4376181722689085E-2</v>
      </c>
      <c r="CV52" s="781">
        <f t="shared" si="116"/>
        <v>1.7626890756302523E-2</v>
      </c>
      <c r="CW52" s="781">
        <f t="shared" si="116"/>
        <v>6.5549999999999997E-2</v>
      </c>
      <c r="CX52" s="781">
        <f t="shared" si="116"/>
        <v>3.7801418067226887E-2</v>
      </c>
      <c r="CY52" s="781">
        <f t="shared" si="116"/>
        <v>3.1501181722689078E-2</v>
      </c>
      <c r="CZ52" s="781">
        <f t="shared" si="116"/>
        <v>1.7626890756302523E-2</v>
      </c>
      <c r="DA52" s="781">
        <f t="shared" si="116"/>
        <v>0</v>
      </c>
      <c r="DB52" s="781">
        <f t="shared" si="116"/>
        <v>0</v>
      </c>
      <c r="DC52" s="781">
        <f t="shared" si="116"/>
        <v>0</v>
      </c>
      <c r="DD52" s="781">
        <f t="shared" si="116"/>
        <v>0</v>
      </c>
    </row>
    <row r="53" spans="2:154">
      <c r="C53" s="703"/>
      <c r="EM53" s="708">
        <f>5.07</f>
        <v>5.07</v>
      </c>
      <c r="EN53" s="708" t="s">
        <v>1325</v>
      </c>
      <c r="EO53" s="708">
        <f>0.11993</f>
        <v>0.11992999999999999</v>
      </c>
    </row>
    <row r="54" spans="2:154">
      <c r="C54" s="703"/>
      <c r="EM54" s="708">
        <f>EM53/EO53</f>
        <v>42.274660218460774</v>
      </c>
    </row>
    <row r="55" spans="2:154" ht="13.25">
      <c r="C55" s="795">
        <v>2000</v>
      </c>
      <c r="DE55" s="708" t="s">
        <v>877</v>
      </c>
      <c r="DF55" s="800">
        <v>0.8</v>
      </c>
      <c r="DG55" s="800">
        <f>1-DG46</f>
        <v>0.65</v>
      </c>
      <c r="DH55" s="800">
        <f>1-DH46</f>
        <v>0.5</v>
      </c>
      <c r="EK55" s="758">
        <f>EK38+EK43</f>
        <v>24.606422690768838</v>
      </c>
      <c r="ES55" s="1259">
        <f>0.28*ES46</f>
        <v>0.44800000000000006</v>
      </c>
      <c r="ET55" s="708" t="s">
        <v>1054</v>
      </c>
      <c r="EU55">
        <f>119.93</f>
        <v>119.93</v>
      </c>
      <c r="EV55" s="708" t="s">
        <v>1055</v>
      </c>
    </row>
    <row r="56" spans="2:154">
      <c r="B56" s="702"/>
      <c r="C56" s="1242" t="s">
        <v>865</v>
      </c>
      <c r="D56" s="780">
        <f t="shared" ref="D56:AI56" si="118">SUMIF(D$17:D$44,"&lt;&gt;",$DV$17:$DV$44)</f>
        <v>3.0000000000000027E-2</v>
      </c>
      <c r="E56" s="780">
        <f t="shared" si="118"/>
        <v>3.0000000000000027E-2</v>
      </c>
      <c r="F56" s="780">
        <f t="shared" si="118"/>
        <v>3.0000000000000027E-2</v>
      </c>
      <c r="G56" s="780">
        <f t="shared" si="118"/>
        <v>3.0000000000000027E-2</v>
      </c>
      <c r="H56" s="937">
        <f t="shared" si="118"/>
        <v>3.0000000000000027E-2</v>
      </c>
      <c r="I56" s="937">
        <f t="shared" si="118"/>
        <v>3.0000000000000027E-2</v>
      </c>
      <c r="J56" s="780">
        <f t="shared" si="118"/>
        <v>3.0000000000000027E-2</v>
      </c>
      <c r="K56" s="780">
        <f t="shared" si="118"/>
        <v>3.0000000000000027E-2</v>
      </c>
      <c r="L56" s="780">
        <f t="shared" si="118"/>
        <v>5.0000000000000044E-3</v>
      </c>
      <c r="M56" s="780">
        <f t="shared" si="118"/>
        <v>5.0000000000000044E-3</v>
      </c>
      <c r="N56" s="780">
        <f t="shared" si="118"/>
        <v>5.0000000000000044E-3</v>
      </c>
      <c r="O56" s="780">
        <f t="shared" si="118"/>
        <v>5.0000000000000044E-3</v>
      </c>
      <c r="P56" s="937">
        <f t="shared" si="118"/>
        <v>5.0000000000000044E-3</v>
      </c>
      <c r="Q56" s="937">
        <f t="shared" si="118"/>
        <v>5.0000000000000044E-3</v>
      </c>
      <c r="R56" s="780">
        <f t="shared" si="118"/>
        <v>5.0000000000000044E-3</v>
      </c>
      <c r="S56" s="780">
        <f t="shared" si="118"/>
        <v>5.0000000000000044E-3</v>
      </c>
      <c r="T56" s="780">
        <f t="shared" si="118"/>
        <v>3.0000000000000027E-2</v>
      </c>
      <c r="U56" s="780">
        <f t="shared" si="118"/>
        <v>3.0000000000000027E-2</v>
      </c>
      <c r="V56" s="780">
        <f t="shared" si="118"/>
        <v>5.0000000000000044E-3</v>
      </c>
      <c r="W56" s="780">
        <f t="shared" si="118"/>
        <v>5.0000000000000044E-3</v>
      </c>
      <c r="X56" s="780">
        <f t="shared" si="118"/>
        <v>3.0000000000000027E-2</v>
      </c>
      <c r="Y56" s="780">
        <f t="shared" si="118"/>
        <v>3.0000000000000027E-2</v>
      </c>
      <c r="Z56" s="937">
        <f t="shared" si="118"/>
        <v>3.0000000000000027E-2</v>
      </c>
      <c r="AA56" s="937">
        <f t="shared" si="118"/>
        <v>3.0000000000000027E-2</v>
      </c>
      <c r="AB56" s="780">
        <f t="shared" si="118"/>
        <v>3.0000000000000027E-2</v>
      </c>
      <c r="AC56" s="780">
        <f t="shared" si="118"/>
        <v>3.0000000000000027E-2</v>
      </c>
      <c r="AD56" s="937">
        <f t="shared" si="118"/>
        <v>3.0000000000000027E-2</v>
      </c>
      <c r="AE56" s="937">
        <f t="shared" si="118"/>
        <v>3.0000000000000027E-2</v>
      </c>
      <c r="AF56" s="937">
        <f t="shared" si="118"/>
        <v>3.0000000000000027E-2</v>
      </c>
      <c r="AG56" s="937">
        <f t="shared" si="118"/>
        <v>3.0000000000000027E-2</v>
      </c>
      <c r="AH56" s="780">
        <f t="shared" si="118"/>
        <v>3.0000000000000027E-2</v>
      </c>
      <c r="AI56" s="780">
        <f t="shared" si="118"/>
        <v>3.0000000000000027E-2</v>
      </c>
      <c r="AJ56" s="780">
        <f t="shared" ref="AJ56:BO56" si="119">SUMIF(AJ$17:AJ$44,"&lt;&gt;",$DV$17:$DV$44)</f>
        <v>3.0000000000000027E-2</v>
      </c>
      <c r="AK56" s="780">
        <f t="shared" si="119"/>
        <v>3.0000000000000027E-2</v>
      </c>
      <c r="AL56" s="780">
        <f t="shared" si="119"/>
        <v>5.0000000000000044E-3</v>
      </c>
      <c r="AM56" s="780">
        <f t="shared" si="119"/>
        <v>5.0000000000000044E-3</v>
      </c>
      <c r="AN56" s="780">
        <f t="shared" si="119"/>
        <v>0</v>
      </c>
      <c r="AO56" s="780">
        <f t="shared" si="119"/>
        <v>0</v>
      </c>
      <c r="AP56" s="780">
        <f t="shared" si="119"/>
        <v>7.1637322688716226E-2</v>
      </c>
      <c r="AQ56" s="780">
        <f t="shared" si="119"/>
        <v>0.1047957904705632</v>
      </c>
      <c r="AR56" s="780">
        <f t="shared" si="119"/>
        <v>5.2479569757533789E-2</v>
      </c>
      <c r="AS56" s="780">
        <f t="shared" si="119"/>
        <v>0</v>
      </c>
      <c r="AT56" s="780">
        <f t="shared" si="119"/>
        <v>7.1637322688716226E-2</v>
      </c>
      <c r="AU56" s="780">
        <f t="shared" si="119"/>
        <v>0.1047957904705632</v>
      </c>
      <c r="AV56" s="780">
        <f t="shared" si="119"/>
        <v>5.2479569757533789E-2</v>
      </c>
      <c r="AW56" s="780">
        <f t="shared" si="119"/>
        <v>0</v>
      </c>
      <c r="AX56" s="780">
        <f t="shared" si="119"/>
        <v>0</v>
      </c>
      <c r="AY56" s="780">
        <f t="shared" si="119"/>
        <v>7.1637322688716226E-2</v>
      </c>
      <c r="AZ56" s="780">
        <f t="shared" si="119"/>
        <v>3.315846778184698E-2</v>
      </c>
      <c r="BA56" s="780">
        <f t="shared" si="119"/>
        <v>0</v>
      </c>
      <c r="BB56" s="780">
        <f t="shared" si="119"/>
        <v>7.1637322688716226E-2</v>
      </c>
      <c r="BC56" s="780">
        <f t="shared" si="119"/>
        <v>0.1047957904705632</v>
      </c>
      <c r="BD56" s="780">
        <f t="shared" si="119"/>
        <v>3.315846778184698E-2</v>
      </c>
      <c r="BE56" s="780">
        <f t="shared" si="119"/>
        <v>0</v>
      </c>
      <c r="BF56" s="780">
        <f t="shared" si="119"/>
        <v>0</v>
      </c>
      <c r="BG56" s="780">
        <f t="shared" si="119"/>
        <v>7.1637322688716226E-2</v>
      </c>
      <c r="BH56" s="780">
        <f t="shared" si="119"/>
        <v>3.315846778184698E-2</v>
      </c>
      <c r="BI56" s="780">
        <f t="shared" si="119"/>
        <v>0</v>
      </c>
      <c r="BJ56" s="780">
        <f t="shared" si="119"/>
        <v>0</v>
      </c>
      <c r="BK56" s="780">
        <f t="shared" si="119"/>
        <v>0</v>
      </c>
      <c r="BL56" s="780">
        <f t="shared" si="119"/>
        <v>7.1637322688716226E-2</v>
      </c>
      <c r="BM56" s="780">
        <f t="shared" si="119"/>
        <v>0.1047957904705632</v>
      </c>
      <c r="BN56" s="780">
        <f t="shared" si="119"/>
        <v>5.2479569757533789E-2</v>
      </c>
      <c r="BO56" s="780">
        <f t="shared" si="119"/>
        <v>0</v>
      </c>
      <c r="BP56" s="780">
        <f t="shared" ref="BP56:BX56" si="120">SUMIF(BP$17:BP$44,"&lt;&gt;",$DV$17:$DV$44)</f>
        <v>7.1637322688716226E-2</v>
      </c>
      <c r="BQ56" s="780">
        <f t="shared" si="120"/>
        <v>0.1047957904705632</v>
      </c>
      <c r="BR56" s="780">
        <f t="shared" si="120"/>
        <v>5.2479569757533789E-2</v>
      </c>
      <c r="BS56" s="780">
        <f t="shared" si="120"/>
        <v>0</v>
      </c>
      <c r="BT56" s="780">
        <f t="shared" si="120"/>
        <v>0</v>
      </c>
      <c r="BU56" s="780">
        <f t="shared" si="120"/>
        <v>7.1637322688716226E-2</v>
      </c>
      <c r="BV56" s="780">
        <f t="shared" si="120"/>
        <v>3.315846778184698E-2</v>
      </c>
      <c r="BW56" s="780">
        <f t="shared" si="120"/>
        <v>0</v>
      </c>
      <c r="BX56" s="780">
        <f t="shared" si="120"/>
        <v>7.1637322688716226E-2</v>
      </c>
      <c r="BY56" s="780">
        <f t="shared" ref="BY56:DD56" si="121">SUMIF(BY$17:BY$44,"&lt;&gt;",$DV$17:$DV$44)</f>
        <v>0.1047957904705632</v>
      </c>
      <c r="BZ56" s="780">
        <f t="shared" si="121"/>
        <v>3.315846778184698E-2</v>
      </c>
      <c r="CA56" s="780">
        <f t="shared" si="121"/>
        <v>0</v>
      </c>
      <c r="CB56" s="780">
        <f t="shared" si="121"/>
        <v>0</v>
      </c>
      <c r="CC56" s="780">
        <f t="shared" si="121"/>
        <v>7.1637322688716226E-2</v>
      </c>
      <c r="CD56" s="780">
        <f t="shared" si="121"/>
        <v>3.315846778184698E-2</v>
      </c>
      <c r="CE56" s="780">
        <f t="shared" si="121"/>
        <v>0</v>
      </c>
      <c r="CF56" s="893">
        <f t="shared" si="121"/>
        <v>0</v>
      </c>
      <c r="CG56" s="780">
        <f t="shared" si="121"/>
        <v>0</v>
      </c>
      <c r="CH56" s="780">
        <f t="shared" si="121"/>
        <v>7.1637322688716226E-2</v>
      </c>
      <c r="CI56" s="780">
        <f t="shared" si="121"/>
        <v>0.1047957904705632</v>
      </c>
      <c r="CJ56" s="780">
        <f t="shared" si="121"/>
        <v>5.2479569757533789E-2</v>
      </c>
      <c r="CK56" s="780">
        <f t="shared" si="121"/>
        <v>0</v>
      </c>
      <c r="CL56" s="780">
        <f t="shared" si="121"/>
        <v>7.1637322688716226E-2</v>
      </c>
      <c r="CM56" s="780">
        <f t="shared" si="121"/>
        <v>0.1047957904705632</v>
      </c>
      <c r="CN56" s="780">
        <f t="shared" si="121"/>
        <v>5.2479569757533789E-2</v>
      </c>
      <c r="CO56" s="780">
        <f t="shared" si="121"/>
        <v>0</v>
      </c>
      <c r="CP56" s="780">
        <f t="shared" si="121"/>
        <v>0</v>
      </c>
      <c r="CQ56" s="780">
        <f t="shared" si="121"/>
        <v>7.1637322688716226E-2</v>
      </c>
      <c r="CR56" s="780">
        <f t="shared" si="121"/>
        <v>3.315846778184698E-2</v>
      </c>
      <c r="CS56" s="780">
        <f t="shared" si="121"/>
        <v>0</v>
      </c>
      <c r="CT56" s="780">
        <f t="shared" si="121"/>
        <v>7.1637322688716226E-2</v>
      </c>
      <c r="CU56" s="780">
        <f t="shared" si="121"/>
        <v>0.1047957904705632</v>
      </c>
      <c r="CV56" s="780">
        <f t="shared" si="121"/>
        <v>3.315846778184698E-2</v>
      </c>
      <c r="CW56" s="780">
        <f t="shared" si="121"/>
        <v>0</v>
      </c>
      <c r="CX56" s="780">
        <f t="shared" si="121"/>
        <v>0</v>
      </c>
      <c r="CY56" s="780">
        <f t="shared" si="121"/>
        <v>7.1637322688716226E-2</v>
      </c>
      <c r="CZ56" s="780">
        <f t="shared" si="121"/>
        <v>3.315846778184698E-2</v>
      </c>
      <c r="DA56" s="780">
        <f t="shared" si="121"/>
        <v>0</v>
      </c>
      <c r="DB56" s="780">
        <f t="shared" si="121"/>
        <v>0</v>
      </c>
      <c r="DC56" s="780">
        <f t="shared" si="121"/>
        <v>0</v>
      </c>
      <c r="DD56" s="780">
        <f t="shared" si="121"/>
        <v>0</v>
      </c>
      <c r="DU56" s="712" t="e">
        <f>1/DV47</f>
        <v>#DIV/0!</v>
      </c>
      <c r="ES56" s="780">
        <f>ES55/EU55</f>
        <v>3.7355123822229636E-3</v>
      </c>
    </row>
    <row r="57" spans="2:154">
      <c r="B57" s="702"/>
      <c r="C57" s="1242" t="s">
        <v>866</v>
      </c>
      <c r="D57" s="780">
        <f t="shared" ref="D57:AI57" si="122">SUMIF(D$17:D$44,"&lt;&gt;",$DX$17:$DX$44)</f>
        <v>1.083</v>
      </c>
      <c r="E57" s="780">
        <f t="shared" si="122"/>
        <v>1.083</v>
      </c>
      <c r="F57" s="780">
        <f t="shared" si="122"/>
        <v>1.05</v>
      </c>
      <c r="G57" s="780">
        <f t="shared" si="122"/>
        <v>1.05</v>
      </c>
      <c r="H57" s="937">
        <f t="shared" si="122"/>
        <v>1.05</v>
      </c>
      <c r="I57" s="937">
        <f t="shared" si="122"/>
        <v>1.05</v>
      </c>
      <c r="J57" s="780">
        <f t="shared" si="122"/>
        <v>1.05</v>
      </c>
      <c r="K57" s="780">
        <f t="shared" si="122"/>
        <v>1.05</v>
      </c>
      <c r="L57" s="780">
        <f t="shared" si="122"/>
        <v>1.633</v>
      </c>
      <c r="M57" s="780">
        <f t="shared" si="122"/>
        <v>1.633</v>
      </c>
      <c r="N57" s="780">
        <f t="shared" si="122"/>
        <v>1.6</v>
      </c>
      <c r="O57" s="780">
        <f t="shared" si="122"/>
        <v>1.6</v>
      </c>
      <c r="P57" s="937">
        <f t="shared" si="122"/>
        <v>1.6</v>
      </c>
      <c r="Q57" s="937">
        <f t="shared" si="122"/>
        <v>1.6</v>
      </c>
      <c r="R57" s="780">
        <f t="shared" si="122"/>
        <v>1.6</v>
      </c>
      <c r="S57" s="780">
        <f t="shared" si="122"/>
        <v>1.6</v>
      </c>
      <c r="T57" s="780">
        <f t="shared" si="122"/>
        <v>1.05</v>
      </c>
      <c r="U57" s="780">
        <f t="shared" si="122"/>
        <v>1.05</v>
      </c>
      <c r="V57" s="780">
        <f t="shared" si="122"/>
        <v>1.6</v>
      </c>
      <c r="W57" s="780">
        <f t="shared" si="122"/>
        <v>1.6</v>
      </c>
      <c r="X57" s="780">
        <f t="shared" si="122"/>
        <v>1.083</v>
      </c>
      <c r="Y57" s="780">
        <f t="shared" si="122"/>
        <v>1.083</v>
      </c>
      <c r="Z57" s="937">
        <f t="shared" si="122"/>
        <v>1.05</v>
      </c>
      <c r="AA57" s="937">
        <f t="shared" si="122"/>
        <v>1.05</v>
      </c>
      <c r="AB57" s="780">
        <f t="shared" si="122"/>
        <v>0.6</v>
      </c>
      <c r="AC57" s="780">
        <f t="shared" si="122"/>
        <v>0.6</v>
      </c>
      <c r="AD57" s="937">
        <f t="shared" si="122"/>
        <v>1.05</v>
      </c>
      <c r="AE57" s="937">
        <f t="shared" si="122"/>
        <v>1.05</v>
      </c>
      <c r="AF57" s="937">
        <f t="shared" si="122"/>
        <v>1.05</v>
      </c>
      <c r="AG57" s="937">
        <f t="shared" si="122"/>
        <v>1.05</v>
      </c>
      <c r="AH57" s="780">
        <f t="shared" si="122"/>
        <v>1.05</v>
      </c>
      <c r="AI57" s="780">
        <f t="shared" si="122"/>
        <v>1.05</v>
      </c>
      <c r="AJ57" s="780">
        <f t="shared" ref="AJ57:BO57" si="123">SUMIF(AJ$17:AJ$44,"&lt;&gt;",$DX$17:$DX$44)</f>
        <v>1.05</v>
      </c>
      <c r="AK57" s="780">
        <f t="shared" si="123"/>
        <v>1.05</v>
      </c>
      <c r="AL57" s="780">
        <f t="shared" si="123"/>
        <v>1.6</v>
      </c>
      <c r="AM57" s="780">
        <f t="shared" si="123"/>
        <v>1.6</v>
      </c>
      <c r="AN57" s="780">
        <f t="shared" si="123"/>
        <v>3.3000000000000002E-2</v>
      </c>
      <c r="AO57" s="780">
        <f t="shared" si="123"/>
        <v>3.3000000000000002E-2</v>
      </c>
      <c r="AP57" s="780">
        <f t="shared" si="123"/>
        <v>4.7274418604651168E-2</v>
      </c>
      <c r="AQ57" s="780">
        <f t="shared" si="123"/>
        <v>2.6208139534883726E-2</v>
      </c>
      <c r="AR57" s="780">
        <f t="shared" si="123"/>
        <v>2.2931162790697675E-2</v>
      </c>
      <c r="AS57" s="780">
        <f t="shared" si="123"/>
        <v>3.3000000000000002E-2</v>
      </c>
      <c r="AT57" s="780">
        <f t="shared" si="123"/>
        <v>4.7274418604651168E-2</v>
      </c>
      <c r="AU57" s="780">
        <f t="shared" si="123"/>
        <v>2.6208139534883726E-2</v>
      </c>
      <c r="AV57" s="780">
        <f t="shared" si="123"/>
        <v>2.2931162790697675E-2</v>
      </c>
      <c r="AW57" s="780">
        <f t="shared" si="123"/>
        <v>0</v>
      </c>
      <c r="AX57" s="780">
        <f t="shared" si="123"/>
        <v>3.3000000000000002E-2</v>
      </c>
      <c r="AY57" s="780">
        <f t="shared" si="123"/>
        <v>1.4274418604651165E-2</v>
      </c>
      <c r="AZ57" s="780">
        <f t="shared" si="123"/>
        <v>1.1933720930232559E-2</v>
      </c>
      <c r="BA57" s="780">
        <f t="shared" si="123"/>
        <v>3.3000000000000002E-2</v>
      </c>
      <c r="BB57" s="780">
        <f t="shared" si="123"/>
        <v>4.7274418604651168E-2</v>
      </c>
      <c r="BC57" s="780">
        <f t="shared" si="123"/>
        <v>2.6208139534883726E-2</v>
      </c>
      <c r="BD57" s="780">
        <f t="shared" si="123"/>
        <v>1.1933720930232559E-2</v>
      </c>
      <c r="BE57" s="780">
        <f t="shared" si="123"/>
        <v>0</v>
      </c>
      <c r="BF57" s="780">
        <f t="shared" si="123"/>
        <v>3.3000000000000002E-2</v>
      </c>
      <c r="BG57" s="780">
        <f t="shared" si="123"/>
        <v>1.4274418604651165E-2</v>
      </c>
      <c r="BH57" s="780">
        <f t="shared" si="123"/>
        <v>1.1933720930232559E-2</v>
      </c>
      <c r="BI57" s="780">
        <f t="shared" si="123"/>
        <v>0</v>
      </c>
      <c r="BJ57" s="780">
        <f t="shared" si="123"/>
        <v>3.3000000000000002E-2</v>
      </c>
      <c r="BK57" s="780">
        <f t="shared" si="123"/>
        <v>3.3000000000000002E-2</v>
      </c>
      <c r="BL57" s="780">
        <f t="shared" si="123"/>
        <v>4.7274418604651168E-2</v>
      </c>
      <c r="BM57" s="780">
        <f t="shared" si="123"/>
        <v>2.6208139534883726E-2</v>
      </c>
      <c r="BN57" s="780">
        <f t="shared" si="123"/>
        <v>2.2931162790697675E-2</v>
      </c>
      <c r="BO57" s="780">
        <f t="shared" si="123"/>
        <v>3.3000000000000002E-2</v>
      </c>
      <c r="BP57" s="780">
        <f t="shared" ref="BP57:BX57" si="124">SUMIF(BP$17:BP$44,"&lt;&gt;",$DX$17:$DX$44)</f>
        <v>4.7274418604651168E-2</v>
      </c>
      <c r="BQ57" s="780">
        <f t="shared" si="124"/>
        <v>2.6208139534883726E-2</v>
      </c>
      <c r="BR57" s="780">
        <f t="shared" si="124"/>
        <v>2.2931162790697675E-2</v>
      </c>
      <c r="BS57" s="780">
        <f t="shared" si="124"/>
        <v>0</v>
      </c>
      <c r="BT57" s="780">
        <f t="shared" si="124"/>
        <v>3.3000000000000002E-2</v>
      </c>
      <c r="BU57" s="780">
        <f t="shared" si="124"/>
        <v>1.4274418604651165E-2</v>
      </c>
      <c r="BV57" s="780">
        <f t="shared" si="124"/>
        <v>1.1933720930232559E-2</v>
      </c>
      <c r="BW57" s="780">
        <f t="shared" si="124"/>
        <v>3.3000000000000002E-2</v>
      </c>
      <c r="BX57" s="780">
        <f t="shared" si="124"/>
        <v>4.7274418604651168E-2</v>
      </c>
      <c r="BY57" s="780">
        <f t="shared" ref="BY57:DD57" si="125">SUMIF(BY$17:BY$44,"&lt;&gt;",$DX$17:$DX$44)</f>
        <v>2.6208139534883726E-2</v>
      </c>
      <c r="BZ57" s="780">
        <f t="shared" si="125"/>
        <v>1.1933720930232559E-2</v>
      </c>
      <c r="CA57" s="780">
        <f t="shared" si="125"/>
        <v>0</v>
      </c>
      <c r="CB57" s="780">
        <f t="shared" si="125"/>
        <v>3.3000000000000002E-2</v>
      </c>
      <c r="CC57" s="780">
        <f t="shared" si="125"/>
        <v>1.4274418604651165E-2</v>
      </c>
      <c r="CD57" s="780">
        <f t="shared" si="125"/>
        <v>1.1933720930232559E-2</v>
      </c>
      <c r="CE57" s="780">
        <f t="shared" si="125"/>
        <v>0</v>
      </c>
      <c r="CF57" s="893">
        <f t="shared" si="125"/>
        <v>3.3000000000000002E-2</v>
      </c>
      <c r="CG57" s="780">
        <f t="shared" si="125"/>
        <v>3.3000000000000002E-2</v>
      </c>
      <c r="CH57" s="780">
        <f t="shared" si="125"/>
        <v>4.7274418604651168E-2</v>
      </c>
      <c r="CI57" s="780">
        <f t="shared" si="125"/>
        <v>2.6208139534883726E-2</v>
      </c>
      <c r="CJ57" s="780">
        <f t="shared" si="125"/>
        <v>2.2931162790697675E-2</v>
      </c>
      <c r="CK57" s="780">
        <f t="shared" si="125"/>
        <v>3.3000000000000002E-2</v>
      </c>
      <c r="CL57" s="780">
        <f t="shared" si="125"/>
        <v>4.7274418604651168E-2</v>
      </c>
      <c r="CM57" s="780">
        <f t="shared" si="125"/>
        <v>2.6208139534883726E-2</v>
      </c>
      <c r="CN57" s="780">
        <f t="shared" si="125"/>
        <v>2.2931162790697675E-2</v>
      </c>
      <c r="CO57" s="780">
        <f t="shared" si="125"/>
        <v>0</v>
      </c>
      <c r="CP57" s="780">
        <f t="shared" si="125"/>
        <v>3.3000000000000002E-2</v>
      </c>
      <c r="CQ57" s="780">
        <f t="shared" si="125"/>
        <v>1.4274418604651165E-2</v>
      </c>
      <c r="CR57" s="780">
        <f t="shared" si="125"/>
        <v>1.1933720930232559E-2</v>
      </c>
      <c r="CS57" s="780">
        <f t="shared" si="125"/>
        <v>3.3000000000000002E-2</v>
      </c>
      <c r="CT57" s="780">
        <f t="shared" si="125"/>
        <v>4.7274418604651168E-2</v>
      </c>
      <c r="CU57" s="780">
        <f t="shared" si="125"/>
        <v>2.6208139534883726E-2</v>
      </c>
      <c r="CV57" s="780">
        <f t="shared" si="125"/>
        <v>1.1933720930232559E-2</v>
      </c>
      <c r="CW57" s="780">
        <f t="shared" si="125"/>
        <v>0</v>
      </c>
      <c r="CX57" s="780">
        <f t="shared" si="125"/>
        <v>3.3000000000000002E-2</v>
      </c>
      <c r="CY57" s="780">
        <f t="shared" si="125"/>
        <v>1.4274418604651165E-2</v>
      </c>
      <c r="CZ57" s="780">
        <f t="shared" si="125"/>
        <v>1.1933720930232559E-2</v>
      </c>
      <c r="DA57" s="780">
        <f t="shared" si="125"/>
        <v>0</v>
      </c>
      <c r="DB57" s="780">
        <f t="shared" si="125"/>
        <v>0</v>
      </c>
      <c r="DC57" s="780">
        <f t="shared" si="125"/>
        <v>0</v>
      </c>
      <c r="DD57" s="780">
        <f t="shared" si="125"/>
        <v>0</v>
      </c>
    </row>
    <row r="58" spans="2:154">
      <c r="B58" s="702"/>
      <c r="C58" s="1242" t="s">
        <v>867</v>
      </c>
      <c r="D58" s="780">
        <f t="shared" ref="D58:AI58" si="126">SUMIF(D$17:D$44,"&lt;&gt;",$DZ$17:$DZ$44)</f>
        <v>0</v>
      </c>
      <c r="E58" s="780">
        <f t="shared" si="126"/>
        <v>0</v>
      </c>
      <c r="F58" s="780">
        <f t="shared" si="126"/>
        <v>0</v>
      </c>
      <c r="G58" s="780">
        <f t="shared" si="126"/>
        <v>0</v>
      </c>
      <c r="H58" s="937">
        <f t="shared" si="126"/>
        <v>0</v>
      </c>
      <c r="I58" s="937">
        <f t="shared" si="126"/>
        <v>0</v>
      </c>
      <c r="J58" s="780">
        <f t="shared" si="126"/>
        <v>0</v>
      </c>
      <c r="K58" s="780">
        <f t="shared" si="126"/>
        <v>0</v>
      </c>
      <c r="L58" s="780">
        <f t="shared" si="126"/>
        <v>0</v>
      </c>
      <c r="M58" s="780">
        <f t="shared" si="126"/>
        <v>0</v>
      </c>
      <c r="N58" s="780">
        <f t="shared" si="126"/>
        <v>0</v>
      </c>
      <c r="O58" s="780">
        <f t="shared" si="126"/>
        <v>0</v>
      </c>
      <c r="P58" s="937">
        <f t="shared" si="126"/>
        <v>0</v>
      </c>
      <c r="Q58" s="937">
        <f t="shared" si="126"/>
        <v>0</v>
      </c>
      <c r="R58" s="780">
        <f t="shared" si="126"/>
        <v>0</v>
      </c>
      <c r="S58" s="780">
        <f t="shared" si="126"/>
        <v>0</v>
      </c>
      <c r="T58" s="780">
        <f t="shared" si="126"/>
        <v>0</v>
      </c>
      <c r="U58" s="780">
        <f t="shared" si="126"/>
        <v>0</v>
      </c>
      <c r="V58" s="780">
        <f t="shared" si="126"/>
        <v>0</v>
      </c>
      <c r="W58" s="780">
        <f t="shared" si="126"/>
        <v>0</v>
      </c>
      <c r="X58" s="780">
        <f t="shared" si="126"/>
        <v>0</v>
      </c>
      <c r="Y58" s="780">
        <f t="shared" si="126"/>
        <v>0</v>
      </c>
      <c r="Z58" s="937">
        <f t="shared" si="126"/>
        <v>0</v>
      </c>
      <c r="AA58" s="937">
        <f t="shared" si="126"/>
        <v>0</v>
      </c>
      <c r="AB58" s="780">
        <f t="shared" si="126"/>
        <v>0</v>
      </c>
      <c r="AC58" s="780">
        <f t="shared" si="126"/>
        <v>0</v>
      </c>
      <c r="AD58" s="937">
        <f t="shared" si="126"/>
        <v>0</v>
      </c>
      <c r="AE58" s="937">
        <f t="shared" si="126"/>
        <v>0</v>
      </c>
      <c r="AF58" s="937">
        <f t="shared" si="126"/>
        <v>0</v>
      </c>
      <c r="AG58" s="937">
        <f t="shared" si="126"/>
        <v>0</v>
      </c>
      <c r="AH58" s="780">
        <f t="shared" si="126"/>
        <v>0</v>
      </c>
      <c r="AI58" s="780">
        <f t="shared" si="126"/>
        <v>0</v>
      </c>
      <c r="AJ58" s="780">
        <f t="shared" ref="AJ58:BO58" si="127">SUMIF(AJ$17:AJ$44,"&lt;&gt;",$DZ$17:$DZ$44)</f>
        <v>0</v>
      </c>
      <c r="AK58" s="780">
        <f t="shared" si="127"/>
        <v>0</v>
      </c>
      <c r="AL58" s="780">
        <f t="shared" si="127"/>
        <v>0</v>
      </c>
      <c r="AM58" s="780">
        <f t="shared" si="127"/>
        <v>0</v>
      </c>
      <c r="AN58" s="780">
        <f t="shared" si="127"/>
        <v>0</v>
      </c>
      <c r="AO58" s="780">
        <f t="shared" si="127"/>
        <v>0</v>
      </c>
      <c r="AP58" s="780">
        <f t="shared" si="127"/>
        <v>0.92836267731128375</v>
      </c>
      <c r="AQ58" s="780">
        <f t="shared" si="127"/>
        <v>1.8952042095294368</v>
      </c>
      <c r="AR58" s="780">
        <f t="shared" si="127"/>
        <v>1.9475204302424662</v>
      </c>
      <c r="AS58" s="780">
        <f t="shared" si="127"/>
        <v>0</v>
      </c>
      <c r="AT58" s="780">
        <f t="shared" si="127"/>
        <v>0.92836267731128375</v>
      </c>
      <c r="AU58" s="780">
        <f t="shared" si="127"/>
        <v>1.8952042095294368</v>
      </c>
      <c r="AV58" s="780">
        <f t="shared" si="127"/>
        <v>1.9475204302424662</v>
      </c>
      <c r="AW58" s="780">
        <f t="shared" si="127"/>
        <v>0</v>
      </c>
      <c r="AX58" s="780">
        <f t="shared" si="127"/>
        <v>0</v>
      </c>
      <c r="AY58" s="780">
        <f t="shared" si="127"/>
        <v>0.92836267731128375</v>
      </c>
      <c r="AZ58" s="780">
        <f t="shared" si="127"/>
        <v>0.96684153221815305</v>
      </c>
      <c r="BA58" s="780">
        <f t="shared" si="127"/>
        <v>0</v>
      </c>
      <c r="BB58" s="780">
        <f t="shared" si="127"/>
        <v>0.92836267731128375</v>
      </c>
      <c r="BC58" s="780">
        <f t="shared" si="127"/>
        <v>1.8952042095294368</v>
      </c>
      <c r="BD58" s="780">
        <f t="shared" si="127"/>
        <v>0.96684153221815305</v>
      </c>
      <c r="BE58" s="780">
        <f t="shared" si="127"/>
        <v>0</v>
      </c>
      <c r="BF58" s="780">
        <f t="shared" si="127"/>
        <v>0</v>
      </c>
      <c r="BG58" s="780">
        <f t="shared" si="127"/>
        <v>0.92836267731128375</v>
      </c>
      <c r="BH58" s="780">
        <f t="shared" si="127"/>
        <v>0.96684153221815305</v>
      </c>
      <c r="BI58" s="780">
        <f t="shared" si="127"/>
        <v>0</v>
      </c>
      <c r="BJ58" s="780">
        <f t="shared" si="127"/>
        <v>0</v>
      </c>
      <c r="BK58" s="780">
        <f t="shared" si="127"/>
        <v>0</v>
      </c>
      <c r="BL58" s="780">
        <f t="shared" si="127"/>
        <v>0.92836267731128375</v>
      </c>
      <c r="BM58" s="780">
        <f t="shared" si="127"/>
        <v>1.8952042095294368</v>
      </c>
      <c r="BN58" s="780">
        <f t="shared" si="127"/>
        <v>1.9475204302424662</v>
      </c>
      <c r="BO58" s="780">
        <f t="shared" si="127"/>
        <v>0</v>
      </c>
      <c r="BP58" s="780">
        <f t="shared" ref="BP58:BX58" si="128">SUMIF(BP$17:BP$44,"&lt;&gt;",$DZ$17:$DZ$44)</f>
        <v>0.92836267731128375</v>
      </c>
      <c r="BQ58" s="780">
        <f t="shared" si="128"/>
        <v>1.8952042095294368</v>
      </c>
      <c r="BR58" s="780">
        <f t="shared" si="128"/>
        <v>1.9475204302424662</v>
      </c>
      <c r="BS58" s="780">
        <f t="shared" si="128"/>
        <v>0</v>
      </c>
      <c r="BT58" s="780">
        <f t="shared" si="128"/>
        <v>0</v>
      </c>
      <c r="BU58" s="780">
        <f t="shared" si="128"/>
        <v>0.92836267731128375</v>
      </c>
      <c r="BV58" s="780">
        <f t="shared" si="128"/>
        <v>0.96684153221815305</v>
      </c>
      <c r="BW58" s="780">
        <f t="shared" si="128"/>
        <v>0</v>
      </c>
      <c r="BX58" s="780">
        <f t="shared" si="128"/>
        <v>0.92836267731128375</v>
      </c>
      <c r="BY58" s="780">
        <f t="shared" ref="BY58:DD58" si="129">SUMIF(BY$17:BY$44,"&lt;&gt;",$DZ$17:$DZ$44)</f>
        <v>1.8952042095294368</v>
      </c>
      <c r="BZ58" s="780">
        <f t="shared" si="129"/>
        <v>0.96684153221815305</v>
      </c>
      <c r="CA58" s="780">
        <f t="shared" si="129"/>
        <v>0</v>
      </c>
      <c r="CB58" s="780">
        <f t="shared" si="129"/>
        <v>0</v>
      </c>
      <c r="CC58" s="780">
        <f t="shared" si="129"/>
        <v>0.92836267731128375</v>
      </c>
      <c r="CD58" s="780">
        <f t="shared" si="129"/>
        <v>0.96684153221815305</v>
      </c>
      <c r="CE58" s="780">
        <f t="shared" si="129"/>
        <v>0</v>
      </c>
      <c r="CF58" s="893">
        <f t="shared" si="129"/>
        <v>0</v>
      </c>
      <c r="CG58" s="780">
        <f t="shared" si="129"/>
        <v>0</v>
      </c>
      <c r="CH58" s="780">
        <f t="shared" si="129"/>
        <v>0.92836267731128375</v>
      </c>
      <c r="CI58" s="780">
        <f t="shared" si="129"/>
        <v>1.8952042095294368</v>
      </c>
      <c r="CJ58" s="780">
        <f t="shared" si="129"/>
        <v>1.9475204302424662</v>
      </c>
      <c r="CK58" s="780">
        <f t="shared" si="129"/>
        <v>0</v>
      </c>
      <c r="CL58" s="780">
        <f t="shared" si="129"/>
        <v>0.92836267731128375</v>
      </c>
      <c r="CM58" s="780">
        <f t="shared" si="129"/>
        <v>1.8952042095294368</v>
      </c>
      <c r="CN58" s="780">
        <f t="shared" si="129"/>
        <v>1.9475204302424662</v>
      </c>
      <c r="CO58" s="780">
        <f t="shared" si="129"/>
        <v>0</v>
      </c>
      <c r="CP58" s="780">
        <f t="shared" si="129"/>
        <v>0</v>
      </c>
      <c r="CQ58" s="780">
        <f t="shared" si="129"/>
        <v>0.92836267731128375</v>
      </c>
      <c r="CR58" s="780">
        <f t="shared" si="129"/>
        <v>0.96684153221815305</v>
      </c>
      <c r="CS58" s="780">
        <f t="shared" si="129"/>
        <v>0</v>
      </c>
      <c r="CT58" s="780">
        <f t="shared" si="129"/>
        <v>0.92836267731128375</v>
      </c>
      <c r="CU58" s="780">
        <f t="shared" si="129"/>
        <v>1.8952042095294368</v>
      </c>
      <c r="CV58" s="780">
        <f t="shared" si="129"/>
        <v>0.96684153221815305</v>
      </c>
      <c r="CW58" s="780">
        <f t="shared" si="129"/>
        <v>0</v>
      </c>
      <c r="CX58" s="780">
        <f t="shared" si="129"/>
        <v>0</v>
      </c>
      <c r="CY58" s="780">
        <f t="shared" si="129"/>
        <v>0.92836267731128375</v>
      </c>
      <c r="CZ58" s="780">
        <f t="shared" si="129"/>
        <v>0.96684153221815305</v>
      </c>
      <c r="DA58" s="780">
        <f t="shared" si="129"/>
        <v>0</v>
      </c>
      <c r="DB58" s="780">
        <f t="shared" si="129"/>
        <v>0</v>
      </c>
      <c r="DC58" s="780">
        <f t="shared" si="129"/>
        <v>0</v>
      </c>
      <c r="DD58" s="780">
        <f t="shared" si="129"/>
        <v>0</v>
      </c>
      <c r="ER58" s="708" t="s">
        <v>1058</v>
      </c>
      <c r="ES58" s="708">
        <v>0.6</v>
      </c>
      <c r="ET58" s="708" t="s">
        <v>1052</v>
      </c>
      <c r="EU58" s="708" t="s">
        <v>1053</v>
      </c>
    </row>
    <row r="59" spans="2:154" ht="13.25">
      <c r="B59" s="702"/>
      <c r="C59" s="1233" t="s">
        <v>870</v>
      </c>
      <c r="D59" s="780">
        <f t="shared" ref="D59:AM59" si="130">SUMIF(D$8:D$44,"&lt;&gt;",$DL$8:$DL$44)</f>
        <v>22.590223245113364</v>
      </c>
      <c r="E59" s="780">
        <f t="shared" si="130"/>
        <v>30.223372194984037</v>
      </c>
      <c r="F59" s="780">
        <f t="shared" si="130"/>
        <v>21.76857748470885</v>
      </c>
      <c r="G59" s="780">
        <f t="shared" si="130"/>
        <v>29.401726434579526</v>
      </c>
      <c r="H59" s="937">
        <f t="shared" si="130"/>
        <v>21.76857748470885</v>
      </c>
      <c r="I59" s="937">
        <f t="shared" si="130"/>
        <v>29.401726434579526</v>
      </c>
      <c r="J59" s="780">
        <f t="shared" si="130"/>
        <v>21.76857748470885</v>
      </c>
      <c r="K59" s="780">
        <f t="shared" si="130"/>
        <v>29.401726434579526</v>
      </c>
      <c r="L59" s="780">
        <f t="shared" si="130"/>
        <v>30.733818518610768</v>
      </c>
      <c r="M59" s="780">
        <f t="shared" si="130"/>
        <v>29.445126952238766</v>
      </c>
      <c r="N59" s="780">
        <f t="shared" si="130"/>
        <v>29.91217275820626</v>
      </c>
      <c r="O59" s="780">
        <f t="shared" si="130"/>
        <v>28.623481191834252</v>
      </c>
      <c r="P59" s="937">
        <f t="shared" si="130"/>
        <v>29.91217275820626</v>
      </c>
      <c r="Q59" s="937">
        <f t="shared" si="130"/>
        <v>28.623481191834252</v>
      </c>
      <c r="R59" s="780">
        <f t="shared" si="130"/>
        <v>29.91217275820626</v>
      </c>
      <c r="S59" s="780">
        <f t="shared" si="130"/>
        <v>28.623481191834252</v>
      </c>
      <c r="T59" s="780">
        <f t="shared" si="130"/>
        <v>21.76857748470885</v>
      </c>
      <c r="U59" s="780">
        <f t="shared" si="130"/>
        <v>29.401726434579526</v>
      </c>
      <c r="V59" s="780">
        <f t="shared" si="130"/>
        <v>29.91217275820626</v>
      </c>
      <c r="W59" s="780">
        <f t="shared" si="130"/>
        <v>28.623481191834252</v>
      </c>
      <c r="X59" s="780">
        <f t="shared" si="130"/>
        <v>21.299065621620556</v>
      </c>
      <c r="Y59" s="780">
        <f t="shared" si="130"/>
        <v>28.932214571491233</v>
      </c>
      <c r="Z59" s="937">
        <f t="shared" si="130"/>
        <v>20.477419861216049</v>
      </c>
      <c r="AA59" s="937">
        <f t="shared" si="130"/>
        <v>28.110568811086722</v>
      </c>
      <c r="AB59" s="780">
        <f t="shared" si="130"/>
        <v>12.329353904117999</v>
      </c>
      <c r="AC59" s="780">
        <f t="shared" si="130"/>
        <v>19.962502853988674</v>
      </c>
      <c r="AD59" s="937">
        <f t="shared" si="130"/>
        <v>20.477419861216049</v>
      </c>
      <c r="AE59" s="937">
        <f t="shared" si="130"/>
        <v>28.110568811086722</v>
      </c>
      <c r="AF59" s="937">
        <f t="shared" si="130"/>
        <v>20.477419861216049</v>
      </c>
      <c r="AG59" s="937">
        <f t="shared" si="130"/>
        <v>28.110568811086722</v>
      </c>
      <c r="AH59" s="780">
        <f t="shared" si="130"/>
        <v>20.477419861216049</v>
      </c>
      <c r="AI59" s="780">
        <f t="shared" si="130"/>
        <v>28.110568811086722</v>
      </c>
      <c r="AJ59" s="780">
        <f t="shared" si="130"/>
        <v>68.311802669299198</v>
      </c>
      <c r="AK59" s="780">
        <f t="shared" si="130"/>
        <v>75.944951619169871</v>
      </c>
      <c r="AL59" s="780">
        <f t="shared" si="130"/>
        <v>26.480593405928591</v>
      </c>
      <c r="AM59" s="780">
        <f t="shared" si="130"/>
        <v>25.191901839556586</v>
      </c>
      <c r="AN59" s="893">
        <f>SUMIF(AN$8:AN$44,"&lt;&gt;",$DL$8:$DL$44)+$DL21</f>
        <v>4.6605956997734923</v>
      </c>
      <c r="AO59" s="780">
        <f t="shared" ref="AO59:BI59" si="131">SUMIF(AO$8:AO$44,"&lt;&gt;",$DL$8:$DL$44)</f>
        <v>7.270529291646648</v>
      </c>
      <c r="AP59" s="780">
        <f t="shared" si="131"/>
        <v>6.3833769947336485</v>
      </c>
      <c r="AQ59" s="780">
        <f t="shared" si="131"/>
        <v>6.3833769947336485</v>
      </c>
      <c r="AR59" s="780">
        <f t="shared" si="131"/>
        <v>3.4315793522776676</v>
      </c>
      <c r="AS59" s="780">
        <f t="shared" si="131"/>
        <v>3.8389499393689808</v>
      </c>
      <c r="AT59" s="780">
        <f t="shared" si="131"/>
        <v>2.9517976424559813</v>
      </c>
      <c r="AU59" s="780">
        <f t="shared" si="131"/>
        <v>2.9517976424559813</v>
      </c>
      <c r="AV59" s="780">
        <f t="shared" si="131"/>
        <v>0</v>
      </c>
      <c r="AW59" s="780">
        <f t="shared" si="131"/>
        <v>5.1577259077493318</v>
      </c>
      <c r="AX59" s="780">
        <f t="shared" si="131"/>
        <v>4.4604497319382155</v>
      </c>
      <c r="AY59" s="780">
        <f t="shared" si="131"/>
        <v>4.4604497319382155</v>
      </c>
      <c r="AZ59" s="780">
        <f t="shared" si="131"/>
        <v>2.140421728784863</v>
      </c>
      <c r="BA59" s="780">
        <f t="shared" si="131"/>
        <v>3.8389499393689808</v>
      </c>
      <c r="BB59" s="780">
        <f t="shared" si="131"/>
        <v>2.9517976424559813</v>
      </c>
      <c r="BC59" s="780">
        <f t="shared" si="131"/>
        <v>2.9517976424559813</v>
      </c>
      <c r="BD59" s="780">
        <f t="shared" si="131"/>
        <v>0</v>
      </c>
      <c r="BE59" s="780">
        <f t="shared" si="131"/>
        <v>3.0173041789644688</v>
      </c>
      <c r="BF59" s="780">
        <f t="shared" si="131"/>
        <v>2.3200280031533524</v>
      </c>
      <c r="BG59" s="780">
        <f t="shared" si="131"/>
        <v>2.3200280031533524</v>
      </c>
      <c r="BH59" s="780">
        <f t="shared" si="131"/>
        <v>0</v>
      </c>
      <c r="BI59" s="780">
        <f t="shared" si="131"/>
        <v>0</v>
      </c>
      <c r="BJ59" s="893">
        <f>SUMIF(BJ$8:BJ$44,"&lt;&gt;",$DL$8:$DL$44)+$DL21</f>
        <v>4.6605956997734923</v>
      </c>
      <c r="BK59" s="780">
        <f t="shared" ref="BK59:DD59" si="132">SUMIF(BK$8:BK$44,"&lt;&gt;",$DL$8:$DL$44)</f>
        <v>7.270529291646648</v>
      </c>
      <c r="BL59" s="780">
        <f t="shared" si="132"/>
        <v>6.3833769947336485</v>
      </c>
      <c r="BM59" s="780">
        <f t="shared" si="132"/>
        <v>6.3833769947336485</v>
      </c>
      <c r="BN59" s="780">
        <f t="shared" si="132"/>
        <v>3.4315793522776676</v>
      </c>
      <c r="BO59" s="780">
        <f t="shared" si="132"/>
        <v>3.8389499393689808</v>
      </c>
      <c r="BP59" s="780">
        <f t="shared" si="132"/>
        <v>2.9517976424559813</v>
      </c>
      <c r="BQ59" s="780">
        <f t="shared" si="132"/>
        <v>2.9517976424559813</v>
      </c>
      <c r="BR59" s="780">
        <f t="shared" si="132"/>
        <v>0</v>
      </c>
      <c r="BS59" s="780">
        <f t="shared" si="132"/>
        <v>5.1577259077493318</v>
      </c>
      <c r="BT59" s="780">
        <f t="shared" si="132"/>
        <v>4.4604497319382155</v>
      </c>
      <c r="BU59" s="780">
        <f t="shared" si="132"/>
        <v>4.4604497319382155</v>
      </c>
      <c r="BV59" s="780">
        <f t="shared" si="132"/>
        <v>2.140421728784863</v>
      </c>
      <c r="BW59" s="780">
        <f t="shared" si="132"/>
        <v>3.8389499393689808</v>
      </c>
      <c r="BX59" s="780">
        <f t="shared" si="132"/>
        <v>2.9517976424559813</v>
      </c>
      <c r="BY59" s="780">
        <f t="shared" si="132"/>
        <v>2.9517976424559813</v>
      </c>
      <c r="BZ59" s="780">
        <f t="shared" si="132"/>
        <v>0</v>
      </c>
      <c r="CA59" s="780">
        <f t="shared" si="132"/>
        <v>3.0173041789644688</v>
      </c>
      <c r="CB59" s="780">
        <f t="shared" si="132"/>
        <v>2.3200280031533524</v>
      </c>
      <c r="CC59" s="780">
        <f t="shared" si="132"/>
        <v>2.3200280031533524</v>
      </c>
      <c r="CD59" s="780">
        <f t="shared" si="132"/>
        <v>0</v>
      </c>
      <c r="CE59" s="780">
        <f t="shared" si="132"/>
        <v>0</v>
      </c>
      <c r="CF59" s="893">
        <f t="shared" si="132"/>
        <v>3.8389499393689808</v>
      </c>
      <c r="CG59" s="780">
        <f t="shared" si="132"/>
        <v>7.270529291646648</v>
      </c>
      <c r="CH59" s="780">
        <f t="shared" si="132"/>
        <v>6.3833769947336485</v>
      </c>
      <c r="CI59" s="780">
        <f t="shared" si="132"/>
        <v>6.3833769947336485</v>
      </c>
      <c r="CJ59" s="780">
        <f t="shared" si="132"/>
        <v>3.4315793522776676</v>
      </c>
      <c r="CK59" s="780">
        <f t="shared" si="132"/>
        <v>3.8389499393689808</v>
      </c>
      <c r="CL59" s="780">
        <f t="shared" si="132"/>
        <v>2.9517976424559813</v>
      </c>
      <c r="CM59" s="780">
        <f t="shared" si="132"/>
        <v>2.9517976424559813</v>
      </c>
      <c r="CN59" s="780">
        <f t="shared" si="132"/>
        <v>0</v>
      </c>
      <c r="CO59" s="780">
        <f t="shared" si="132"/>
        <v>5.1577259077493318</v>
      </c>
      <c r="CP59" s="780">
        <f t="shared" si="132"/>
        <v>4.4604497319382155</v>
      </c>
      <c r="CQ59" s="780">
        <f t="shared" si="132"/>
        <v>4.4604497319382155</v>
      </c>
      <c r="CR59" s="780">
        <f t="shared" si="132"/>
        <v>2.140421728784863</v>
      </c>
      <c r="CS59" s="780">
        <f t="shared" si="132"/>
        <v>3.8389499393689808</v>
      </c>
      <c r="CT59" s="780">
        <f t="shared" si="132"/>
        <v>2.9517976424559813</v>
      </c>
      <c r="CU59" s="780">
        <f t="shared" si="132"/>
        <v>2.9517976424559813</v>
      </c>
      <c r="CV59" s="780">
        <f t="shared" si="132"/>
        <v>0</v>
      </c>
      <c r="CW59" s="780">
        <f t="shared" si="132"/>
        <v>3.0173041789644688</v>
      </c>
      <c r="CX59" s="780">
        <f t="shared" si="132"/>
        <v>2.3200280031533524</v>
      </c>
      <c r="CY59" s="780">
        <f t="shared" si="132"/>
        <v>2.3200280031533524</v>
      </c>
      <c r="CZ59" s="780">
        <f t="shared" si="132"/>
        <v>0</v>
      </c>
      <c r="DA59" s="780">
        <f t="shared" si="132"/>
        <v>0</v>
      </c>
      <c r="DB59" s="780">
        <f t="shared" si="132"/>
        <v>0</v>
      </c>
      <c r="DC59" s="780">
        <f t="shared" si="132"/>
        <v>0</v>
      </c>
      <c r="DD59" s="780">
        <f t="shared" si="132"/>
        <v>0</v>
      </c>
      <c r="ES59" s="1259">
        <f>0.28*ES58</f>
        <v>0.16800000000000001</v>
      </c>
      <c r="ET59" s="708" t="s">
        <v>1054</v>
      </c>
      <c r="EU59" s="622">
        <f>119.93</f>
        <v>119.93</v>
      </c>
      <c r="EV59" s="708" t="s">
        <v>1055</v>
      </c>
    </row>
    <row r="60" spans="2:154">
      <c r="B60" s="702"/>
      <c r="C60" s="1233" t="s">
        <v>871</v>
      </c>
      <c r="D60" s="780">
        <f t="shared" ref="D60:AM60" si="133">SUMIF(D$8:D$44,"&lt;&gt;",$DM$8:$DM$44)</f>
        <v>21.8795633471657</v>
      </c>
      <c r="E60" s="780">
        <f t="shared" si="133"/>
        <v>27.260933356824527</v>
      </c>
      <c r="F60" s="780">
        <f t="shared" si="133"/>
        <v>21.057917586761189</v>
      </c>
      <c r="G60" s="780">
        <f t="shared" si="133"/>
        <v>26.439287596420016</v>
      </c>
      <c r="H60" s="937">
        <f t="shared" si="133"/>
        <v>21.057917586761189</v>
      </c>
      <c r="I60" s="937">
        <f t="shared" si="133"/>
        <v>26.439287596420016</v>
      </c>
      <c r="J60" s="780">
        <f t="shared" si="133"/>
        <v>21.057917586761189</v>
      </c>
      <c r="K60" s="780">
        <f t="shared" si="133"/>
        <v>26.439287596420016</v>
      </c>
      <c r="L60" s="780">
        <f t="shared" si="133"/>
        <v>26.681955730333001</v>
      </c>
      <c r="M60" s="780">
        <f t="shared" si="133"/>
        <v>25.393264163961</v>
      </c>
      <c r="N60" s="780">
        <f t="shared" si="133"/>
        <v>25.860309969928494</v>
      </c>
      <c r="O60" s="780">
        <f t="shared" si="133"/>
        <v>24.571618403556485</v>
      </c>
      <c r="P60" s="937">
        <f t="shared" si="133"/>
        <v>25.860309969928494</v>
      </c>
      <c r="Q60" s="937">
        <f t="shared" si="133"/>
        <v>24.571618403556485</v>
      </c>
      <c r="R60" s="780">
        <f t="shared" si="133"/>
        <v>25.860309969928494</v>
      </c>
      <c r="S60" s="780">
        <f t="shared" si="133"/>
        <v>24.571618403556485</v>
      </c>
      <c r="T60" s="780">
        <f t="shared" si="133"/>
        <v>21.057917586761189</v>
      </c>
      <c r="U60" s="780">
        <f t="shared" si="133"/>
        <v>26.439287596420016</v>
      </c>
      <c r="V60" s="780">
        <f t="shared" si="133"/>
        <v>25.860309969928494</v>
      </c>
      <c r="W60" s="780">
        <f t="shared" si="133"/>
        <v>24.571618403556485</v>
      </c>
      <c r="X60" s="780">
        <f t="shared" si="133"/>
        <v>20.588405723672896</v>
      </c>
      <c r="Y60" s="780">
        <f t="shared" si="133"/>
        <v>25.969775733331723</v>
      </c>
      <c r="Z60" s="937">
        <f t="shared" si="133"/>
        <v>19.766759963268385</v>
      </c>
      <c r="AA60" s="937">
        <f t="shared" si="133"/>
        <v>25.148129972927212</v>
      </c>
      <c r="AB60" s="780">
        <f t="shared" si="133"/>
        <v>11.618694006170337</v>
      </c>
      <c r="AC60" s="780">
        <f t="shared" si="133"/>
        <v>17.000064015829164</v>
      </c>
      <c r="AD60" s="937">
        <f t="shared" si="133"/>
        <v>19.766759963268385</v>
      </c>
      <c r="AE60" s="937">
        <f t="shared" si="133"/>
        <v>25.148129972927212</v>
      </c>
      <c r="AF60" s="937">
        <f t="shared" si="133"/>
        <v>19.766759963268385</v>
      </c>
      <c r="AG60" s="937">
        <f t="shared" si="133"/>
        <v>25.148129972927212</v>
      </c>
      <c r="AH60" s="780">
        <f t="shared" si="133"/>
        <v>19.766759963268385</v>
      </c>
      <c r="AI60" s="780">
        <f t="shared" si="133"/>
        <v>25.148129972927212</v>
      </c>
      <c r="AJ60" s="780">
        <f t="shared" si="133"/>
        <v>67.601142771351533</v>
      </c>
      <c r="AK60" s="780">
        <f t="shared" si="133"/>
        <v>72.982512781010357</v>
      </c>
      <c r="AL60" s="780">
        <f t="shared" si="133"/>
        <v>22.428730617650825</v>
      </c>
      <c r="AM60" s="780">
        <f t="shared" si="133"/>
        <v>21.140039051278819</v>
      </c>
      <c r="AN60" s="893">
        <f>SUMIF(AN$8:AN$44,"&lt;&gt;",$DM$8:$DM$44)+$DM21</f>
        <v>4.6605956997734923</v>
      </c>
      <c r="AO60" s="780">
        <f t="shared" ref="AO60:BI60" si="134">SUMIF(AO$8:AO$44,"&lt;&gt;",$DM$8:$DM$44)</f>
        <v>7.270529291646648</v>
      </c>
      <c r="AP60" s="780">
        <f t="shared" si="134"/>
        <v>6.3833769947336485</v>
      </c>
      <c r="AQ60" s="780">
        <f t="shared" si="134"/>
        <v>6.3833769947336485</v>
      </c>
      <c r="AR60" s="780">
        <f t="shared" si="134"/>
        <v>3.4315793522776676</v>
      </c>
      <c r="AS60" s="780">
        <f t="shared" si="134"/>
        <v>3.8389499393689808</v>
      </c>
      <c r="AT60" s="780">
        <f t="shared" si="134"/>
        <v>2.9517976424559813</v>
      </c>
      <c r="AU60" s="780">
        <f t="shared" si="134"/>
        <v>2.9517976424559813</v>
      </c>
      <c r="AV60" s="780">
        <f t="shared" si="134"/>
        <v>0</v>
      </c>
      <c r="AW60" s="780">
        <f t="shared" si="134"/>
        <v>5.1577259077493318</v>
      </c>
      <c r="AX60" s="780">
        <f t="shared" si="134"/>
        <v>4.4604497319382155</v>
      </c>
      <c r="AY60" s="780">
        <f t="shared" si="134"/>
        <v>4.4604497319382155</v>
      </c>
      <c r="AZ60" s="780">
        <f t="shared" si="134"/>
        <v>2.140421728784863</v>
      </c>
      <c r="BA60" s="780">
        <f t="shared" si="134"/>
        <v>3.8389499393689808</v>
      </c>
      <c r="BB60" s="780">
        <f t="shared" si="134"/>
        <v>2.9517976424559813</v>
      </c>
      <c r="BC60" s="780">
        <f t="shared" si="134"/>
        <v>2.9517976424559813</v>
      </c>
      <c r="BD60" s="780">
        <f t="shared" si="134"/>
        <v>0</v>
      </c>
      <c r="BE60" s="780">
        <f t="shared" si="134"/>
        <v>3.0173041789644688</v>
      </c>
      <c r="BF60" s="780">
        <f t="shared" si="134"/>
        <v>2.3200280031533524</v>
      </c>
      <c r="BG60" s="780">
        <f t="shared" si="134"/>
        <v>2.3200280031533524</v>
      </c>
      <c r="BH60" s="780">
        <f t="shared" si="134"/>
        <v>0</v>
      </c>
      <c r="BI60" s="780">
        <f t="shared" si="134"/>
        <v>0</v>
      </c>
      <c r="BJ60" s="893">
        <f>SUMIF(BJ$8:BJ$44,"&lt;&gt;",$DM$8:$DM$44)+$DM21</f>
        <v>4.6605956997734923</v>
      </c>
      <c r="BK60" s="780">
        <f t="shared" ref="BK60:DD60" si="135">SUMIF(BK$8:BK$44,"&lt;&gt;",$DM$8:$DM$44)</f>
        <v>7.270529291646648</v>
      </c>
      <c r="BL60" s="780">
        <f t="shared" si="135"/>
        <v>6.3833769947336485</v>
      </c>
      <c r="BM60" s="780">
        <f t="shared" si="135"/>
        <v>6.3833769947336485</v>
      </c>
      <c r="BN60" s="780">
        <f t="shared" si="135"/>
        <v>3.4315793522776676</v>
      </c>
      <c r="BO60" s="780">
        <f t="shared" si="135"/>
        <v>3.8389499393689808</v>
      </c>
      <c r="BP60" s="780">
        <f t="shared" si="135"/>
        <v>2.9517976424559813</v>
      </c>
      <c r="BQ60" s="780">
        <f t="shared" si="135"/>
        <v>2.9517976424559813</v>
      </c>
      <c r="BR60" s="780">
        <f t="shared" si="135"/>
        <v>0</v>
      </c>
      <c r="BS60" s="780">
        <f t="shared" si="135"/>
        <v>5.1577259077493318</v>
      </c>
      <c r="BT60" s="780">
        <f t="shared" si="135"/>
        <v>4.4604497319382155</v>
      </c>
      <c r="BU60" s="780">
        <f t="shared" si="135"/>
        <v>4.4604497319382155</v>
      </c>
      <c r="BV60" s="780">
        <f t="shared" si="135"/>
        <v>2.140421728784863</v>
      </c>
      <c r="BW60" s="780">
        <f t="shared" si="135"/>
        <v>3.8389499393689808</v>
      </c>
      <c r="BX60" s="780">
        <f t="shared" si="135"/>
        <v>2.9517976424559813</v>
      </c>
      <c r="BY60" s="780">
        <f t="shared" si="135"/>
        <v>2.9517976424559813</v>
      </c>
      <c r="BZ60" s="780">
        <f t="shared" si="135"/>
        <v>0</v>
      </c>
      <c r="CA60" s="780">
        <f t="shared" si="135"/>
        <v>3.0173041789644688</v>
      </c>
      <c r="CB60" s="780">
        <f t="shared" si="135"/>
        <v>2.3200280031533524</v>
      </c>
      <c r="CC60" s="780">
        <f t="shared" si="135"/>
        <v>2.3200280031533524</v>
      </c>
      <c r="CD60" s="780">
        <f t="shared" si="135"/>
        <v>0</v>
      </c>
      <c r="CE60" s="780">
        <f t="shared" si="135"/>
        <v>0</v>
      </c>
      <c r="CF60" s="893">
        <f t="shared" si="135"/>
        <v>3.8389499393689808</v>
      </c>
      <c r="CG60" s="780">
        <f t="shared" si="135"/>
        <v>7.270529291646648</v>
      </c>
      <c r="CH60" s="780">
        <f t="shared" si="135"/>
        <v>6.3833769947336485</v>
      </c>
      <c r="CI60" s="780">
        <f t="shared" si="135"/>
        <v>6.3833769947336485</v>
      </c>
      <c r="CJ60" s="780">
        <f t="shared" si="135"/>
        <v>3.4315793522776676</v>
      </c>
      <c r="CK60" s="780">
        <f t="shared" si="135"/>
        <v>3.8389499393689808</v>
      </c>
      <c r="CL60" s="780">
        <f t="shared" si="135"/>
        <v>2.9517976424559813</v>
      </c>
      <c r="CM60" s="780">
        <f t="shared" si="135"/>
        <v>2.9517976424559813</v>
      </c>
      <c r="CN60" s="780">
        <f t="shared" si="135"/>
        <v>0</v>
      </c>
      <c r="CO60" s="780">
        <f t="shared" si="135"/>
        <v>5.1577259077493318</v>
      </c>
      <c r="CP60" s="780">
        <f t="shared" si="135"/>
        <v>4.4604497319382155</v>
      </c>
      <c r="CQ60" s="780">
        <f t="shared" si="135"/>
        <v>4.4604497319382155</v>
      </c>
      <c r="CR60" s="780">
        <f t="shared" si="135"/>
        <v>2.140421728784863</v>
      </c>
      <c r="CS60" s="780">
        <f t="shared" si="135"/>
        <v>3.8389499393689808</v>
      </c>
      <c r="CT60" s="780">
        <f t="shared" si="135"/>
        <v>2.9517976424559813</v>
      </c>
      <c r="CU60" s="780">
        <f t="shared" si="135"/>
        <v>2.9517976424559813</v>
      </c>
      <c r="CV60" s="780">
        <f t="shared" si="135"/>
        <v>0</v>
      </c>
      <c r="CW60" s="780">
        <f t="shared" si="135"/>
        <v>3.0173041789644688</v>
      </c>
      <c r="CX60" s="780">
        <f t="shared" si="135"/>
        <v>2.3200280031533524</v>
      </c>
      <c r="CY60" s="780">
        <f t="shared" si="135"/>
        <v>2.3200280031533524</v>
      </c>
      <c r="CZ60" s="780">
        <f t="shared" si="135"/>
        <v>0</v>
      </c>
      <c r="DA60" s="780">
        <f t="shared" si="135"/>
        <v>0</v>
      </c>
      <c r="DB60" s="780">
        <f t="shared" si="135"/>
        <v>0</v>
      </c>
      <c r="DC60" s="780">
        <f t="shared" si="135"/>
        <v>0</v>
      </c>
      <c r="DD60" s="780">
        <f t="shared" si="135"/>
        <v>0</v>
      </c>
      <c r="ES60" s="780">
        <f>ES59/EU59</f>
        <v>1.4008171433336112E-3</v>
      </c>
    </row>
    <row r="61" spans="2:154" ht="13.25">
      <c r="B61" s="702"/>
      <c r="C61" s="1233" t="s">
        <v>872</v>
      </c>
      <c r="D61" s="780">
        <f t="shared" ref="D61:AM61" si="136">SUMIF(D$8:D$44,"&lt;&gt;",$DN$8:$DN$44)</f>
        <v>21.378548119112597</v>
      </c>
      <c r="E61" s="780">
        <f t="shared" si="136"/>
        <v>25.172413975922069</v>
      </c>
      <c r="F61" s="780">
        <f t="shared" si="136"/>
        <v>20.556902358708086</v>
      </c>
      <c r="G61" s="780">
        <f t="shared" si="136"/>
        <v>24.350768215517558</v>
      </c>
      <c r="H61" s="937">
        <f t="shared" si="136"/>
        <v>20.556902358708086</v>
      </c>
      <c r="I61" s="937">
        <f t="shared" si="136"/>
        <v>24.350768215517558</v>
      </c>
      <c r="J61" s="780">
        <f t="shared" si="136"/>
        <v>20.556902358708086</v>
      </c>
      <c r="K61" s="780">
        <f t="shared" si="136"/>
        <v>24.350768215517558</v>
      </c>
      <c r="L61" s="780">
        <f t="shared" si="136"/>
        <v>23.841231564587723</v>
      </c>
      <c r="M61" s="780">
        <f t="shared" si="136"/>
        <v>22.552539998215718</v>
      </c>
      <c r="N61" s="780">
        <f t="shared" si="136"/>
        <v>23.019585804183212</v>
      </c>
      <c r="O61" s="780">
        <f t="shared" si="136"/>
        <v>21.730894237811203</v>
      </c>
      <c r="P61" s="937">
        <f t="shared" si="136"/>
        <v>23.019585804183212</v>
      </c>
      <c r="Q61" s="937">
        <f t="shared" si="136"/>
        <v>21.730894237811203</v>
      </c>
      <c r="R61" s="780">
        <f t="shared" si="136"/>
        <v>23.019585804183212</v>
      </c>
      <c r="S61" s="780">
        <f t="shared" si="136"/>
        <v>21.730894237811203</v>
      </c>
      <c r="T61" s="780">
        <f t="shared" si="136"/>
        <v>20.556902358708086</v>
      </c>
      <c r="U61" s="780">
        <f t="shared" si="136"/>
        <v>24.350768215517558</v>
      </c>
      <c r="V61" s="780">
        <f t="shared" si="136"/>
        <v>23.019585804183212</v>
      </c>
      <c r="W61" s="780">
        <f t="shared" si="136"/>
        <v>21.730894237811203</v>
      </c>
      <c r="X61" s="780">
        <f t="shared" si="136"/>
        <v>20.087390495619793</v>
      </c>
      <c r="Y61" s="780">
        <f t="shared" si="136"/>
        <v>23.881256352429265</v>
      </c>
      <c r="Z61" s="937">
        <f t="shared" si="136"/>
        <v>19.265744735215282</v>
      </c>
      <c r="AA61" s="937">
        <f t="shared" si="136"/>
        <v>23.059610592024754</v>
      </c>
      <c r="AB61" s="780">
        <f t="shared" si="136"/>
        <v>11.117678778117234</v>
      </c>
      <c r="AC61" s="780">
        <f t="shared" si="136"/>
        <v>14.911544634926706</v>
      </c>
      <c r="AD61" s="937">
        <f t="shared" si="136"/>
        <v>19.265744735215282</v>
      </c>
      <c r="AE61" s="937">
        <f t="shared" si="136"/>
        <v>23.059610592024754</v>
      </c>
      <c r="AF61" s="937">
        <f t="shared" si="136"/>
        <v>19.265744735215282</v>
      </c>
      <c r="AG61" s="937">
        <f t="shared" si="136"/>
        <v>23.059610592024754</v>
      </c>
      <c r="AH61" s="780">
        <f t="shared" si="136"/>
        <v>19.265744735215282</v>
      </c>
      <c r="AI61" s="780">
        <f t="shared" si="136"/>
        <v>23.059610592024754</v>
      </c>
      <c r="AJ61" s="780">
        <f t="shared" si="136"/>
        <v>67.100127543298427</v>
      </c>
      <c r="AK61" s="780">
        <f t="shared" si="136"/>
        <v>70.893993400107902</v>
      </c>
      <c r="AL61" s="780">
        <f t="shared" si="136"/>
        <v>19.588006451905542</v>
      </c>
      <c r="AM61" s="780">
        <f t="shared" si="136"/>
        <v>18.299314885533537</v>
      </c>
      <c r="AN61" s="893">
        <f>SUMIF(AN$8:AN$44,"&lt;&gt;",$DN$8:$DN$44)+$DN21</f>
        <v>4.6605956997734923</v>
      </c>
      <c r="AO61" s="780">
        <f t="shared" ref="AO61:BI61" si="137">SUMIF(AO$8:AO$44,"&lt;&gt;",$DN$8:$DN$44)</f>
        <v>7.270529291646648</v>
      </c>
      <c r="AP61" s="780">
        <f t="shared" si="137"/>
        <v>6.3833769947336485</v>
      </c>
      <c r="AQ61" s="780">
        <f t="shared" si="137"/>
        <v>6.3833769947336485</v>
      </c>
      <c r="AR61" s="780">
        <f t="shared" si="137"/>
        <v>3.4315793522776676</v>
      </c>
      <c r="AS61" s="780">
        <f t="shared" si="137"/>
        <v>3.8389499393689808</v>
      </c>
      <c r="AT61" s="780">
        <f t="shared" si="137"/>
        <v>2.9517976424559813</v>
      </c>
      <c r="AU61" s="780">
        <f t="shared" si="137"/>
        <v>2.9517976424559813</v>
      </c>
      <c r="AV61" s="780">
        <f t="shared" si="137"/>
        <v>0</v>
      </c>
      <c r="AW61" s="780">
        <f t="shared" si="137"/>
        <v>5.1577259077493318</v>
      </c>
      <c r="AX61" s="780">
        <f t="shared" si="137"/>
        <v>4.4604497319382155</v>
      </c>
      <c r="AY61" s="780">
        <f t="shared" si="137"/>
        <v>4.4604497319382155</v>
      </c>
      <c r="AZ61" s="780">
        <f t="shared" si="137"/>
        <v>2.140421728784863</v>
      </c>
      <c r="BA61" s="780">
        <f t="shared" si="137"/>
        <v>3.8389499393689808</v>
      </c>
      <c r="BB61" s="780">
        <f t="shared" si="137"/>
        <v>2.9517976424559813</v>
      </c>
      <c r="BC61" s="780">
        <f t="shared" si="137"/>
        <v>2.9517976424559813</v>
      </c>
      <c r="BD61" s="780">
        <f t="shared" si="137"/>
        <v>0</v>
      </c>
      <c r="BE61" s="780">
        <f t="shared" si="137"/>
        <v>3.0173041789644688</v>
      </c>
      <c r="BF61" s="780">
        <f t="shared" si="137"/>
        <v>2.3200280031533524</v>
      </c>
      <c r="BG61" s="780">
        <f t="shared" si="137"/>
        <v>2.3200280031533524</v>
      </c>
      <c r="BH61" s="780">
        <f t="shared" si="137"/>
        <v>0</v>
      </c>
      <c r="BI61" s="780">
        <f t="shared" si="137"/>
        <v>0</v>
      </c>
      <c r="BJ61" s="893">
        <f>SUMIF(BJ$8:BJ$44,"&lt;&gt;",$DN$8:$DN$44)+$DN21</f>
        <v>4.6605956997734923</v>
      </c>
      <c r="BK61" s="780">
        <f t="shared" ref="BK61:DD61" si="138">SUMIF(BK$8:BK$44,"&lt;&gt;",$DN$8:$DN$44)</f>
        <v>7.270529291646648</v>
      </c>
      <c r="BL61" s="780">
        <f t="shared" si="138"/>
        <v>6.3833769947336485</v>
      </c>
      <c r="BM61" s="780">
        <f t="shared" si="138"/>
        <v>6.3833769947336485</v>
      </c>
      <c r="BN61" s="780">
        <f t="shared" si="138"/>
        <v>3.4315793522776676</v>
      </c>
      <c r="BO61" s="780">
        <f t="shared" si="138"/>
        <v>3.8389499393689808</v>
      </c>
      <c r="BP61" s="780">
        <f t="shared" si="138"/>
        <v>2.9517976424559813</v>
      </c>
      <c r="BQ61" s="780">
        <f t="shared" si="138"/>
        <v>2.9517976424559813</v>
      </c>
      <c r="BR61" s="780">
        <f t="shared" si="138"/>
        <v>0</v>
      </c>
      <c r="BS61" s="780">
        <f t="shared" si="138"/>
        <v>5.1577259077493318</v>
      </c>
      <c r="BT61" s="780">
        <f t="shared" si="138"/>
        <v>4.4604497319382155</v>
      </c>
      <c r="BU61" s="780">
        <f t="shared" si="138"/>
        <v>4.4604497319382155</v>
      </c>
      <c r="BV61" s="780">
        <f t="shared" si="138"/>
        <v>2.140421728784863</v>
      </c>
      <c r="BW61" s="780">
        <f t="shared" si="138"/>
        <v>3.8389499393689808</v>
      </c>
      <c r="BX61" s="780">
        <f t="shared" si="138"/>
        <v>2.9517976424559813</v>
      </c>
      <c r="BY61" s="780">
        <f t="shared" si="138"/>
        <v>2.9517976424559813</v>
      </c>
      <c r="BZ61" s="780">
        <f t="shared" si="138"/>
        <v>0</v>
      </c>
      <c r="CA61" s="780">
        <f t="shared" si="138"/>
        <v>3.0173041789644688</v>
      </c>
      <c r="CB61" s="780">
        <f t="shared" si="138"/>
        <v>2.3200280031533524</v>
      </c>
      <c r="CC61" s="780">
        <f t="shared" si="138"/>
        <v>2.3200280031533524</v>
      </c>
      <c r="CD61" s="780">
        <f t="shared" si="138"/>
        <v>0</v>
      </c>
      <c r="CE61" s="780">
        <f t="shared" si="138"/>
        <v>0</v>
      </c>
      <c r="CF61" s="893">
        <f t="shared" si="138"/>
        <v>3.8389499393689808</v>
      </c>
      <c r="CG61" s="780">
        <f t="shared" si="138"/>
        <v>7.270529291646648</v>
      </c>
      <c r="CH61" s="780">
        <f t="shared" si="138"/>
        <v>6.3833769947336485</v>
      </c>
      <c r="CI61" s="780">
        <f t="shared" si="138"/>
        <v>6.3833769947336485</v>
      </c>
      <c r="CJ61" s="780">
        <f t="shared" si="138"/>
        <v>3.4315793522776676</v>
      </c>
      <c r="CK61" s="780">
        <f t="shared" si="138"/>
        <v>3.8389499393689808</v>
      </c>
      <c r="CL61" s="780">
        <f t="shared" si="138"/>
        <v>2.9517976424559813</v>
      </c>
      <c r="CM61" s="780">
        <f t="shared" si="138"/>
        <v>2.9517976424559813</v>
      </c>
      <c r="CN61" s="780">
        <f t="shared" si="138"/>
        <v>0</v>
      </c>
      <c r="CO61" s="780">
        <f t="shared" si="138"/>
        <v>5.1577259077493318</v>
      </c>
      <c r="CP61" s="780">
        <f t="shared" si="138"/>
        <v>4.4604497319382155</v>
      </c>
      <c r="CQ61" s="780">
        <f t="shared" si="138"/>
        <v>4.4604497319382155</v>
      </c>
      <c r="CR61" s="780">
        <f t="shared" si="138"/>
        <v>2.140421728784863</v>
      </c>
      <c r="CS61" s="780">
        <f t="shared" si="138"/>
        <v>3.8389499393689808</v>
      </c>
      <c r="CT61" s="780">
        <f t="shared" si="138"/>
        <v>2.9517976424559813</v>
      </c>
      <c r="CU61" s="780">
        <f t="shared" si="138"/>
        <v>2.9517976424559813</v>
      </c>
      <c r="CV61" s="780">
        <f t="shared" si="138"/>
        <v>0</v>
      </c>
      <c r="CW61" s="780">
        <f t="shared" si="138"/>
        <v>3.0173041789644688</v>
      </c>
      <c r="CX61" s="780">
        <f t="shared" si="138"/>
        <v>2.3200280031533524</v>
      </c>
      <c r="CY61" s="780">
        <f t="shared" si="138"/>
        <v>2.3200280031533524</v>
      </c>
      <c r="CZ61" s="780">
        <f t="shared" si="138"/>
        <v>0</v>
      </c>
      <c r="DA61" s="780">
        <f t="shared" si="138"/>
        <v>0</v>
      </c>
      <c r="DB61" s="780">
        <f t="shared" si="138"/>
        <v>0</v>
      </c>
      <c r="DC61" s="780">
        <f t="shared" si="138"/>
        <v>0</v>
      </c>
      <c r="DD61" s="780">
        <f t="shared" si="138"/>
        <v>0</v>
      </c>
      <c r="EX61"/>
    </row>
    <row r="62" spans="2:154">
      <c r="B62" s="702"/>
      <c r="C62" s="703" t="s">
        <v>873</v>
      </c>
      <c r="D62" s="780">
        <f t="shared" ref="D62:AM62" si="139">SUMIF(D$8:D$44,"&lt;&gt;",$DO$8:$DO$44)</f>
        <v>1.2286369605199663</v>
      </c>
      <c r="E62" s="780">
        <f t="shared" si="139"/>
        <v>1.6102944080135</v>
      </c>
      <c r="F62" s="780">
        <f t="shared" si="139"/>
        <v>1.1957711301037859</v>
      </c>
      <c r="G62" s="780">
        <f t="shared" si="139"/>
        <v>1.5774285775973196</v>
      </c>
      <c r="H62" s="937">
        <f t="shared" si="139"/>
        <v>1.1957711301037859</v>
      </c>
      <c r="I62" s="937">
        <f t="shared" si="139"/>
        <v>1.5774285775973196</v>
      </c>
      <c r="J62" s="780">
        <f t="shared" si="139"/>
        <v>1.1957711301037859</v>
      </c>
      <c r="K62" s="780">
        <f t="shared" si="139"/>
        <v>1.5774285775973196</v>
      </c>
      <c r="L62" s="780">
        <f t="shared" si="139"/>
        <v>1.06638516783256</v>
      </c>
      <c r="M62" s="780">
        <f t="shared" si="139"/>
        <v>0.99536283803181091</v>
      </c>
      <c r="N62" s="780">
        <f t="shared" si="139"/>
        <v>1.0335193374163794</v>
      </c>
      <c r="O62" s="780">
        <f t="shared" si="139"/>
        <v>0.96249700761563051</v>
      </c>
      <c r="P62" s="937">
        <f t="shared" si="139"/>
        <v>1.0335193374163794</v>
      </c>
      <c r="Q62" s="937">
        <f t="shared" si="139"/>
        <v>0.96249700761563051</v>
      </c>
      <c r="R62" s="780">
        <f t="shared" si="139"/>
        <v>1.0335193374163794</v>
      </c>
      <c r="S62" s="780">
        <f t="shared" si="139"/>
        <v>0.96249700761563051</v>
      </c>
      <c r="T62" s="780">
        <f t="shared" si="139"/>
        <v>1.1957711301037859</v>
      </c>
      <c r="U62" s="780">
        <f t="shared" si="139"/>
        <v>1.5774285775973196</v>
      </c>
      <c r="V62" s="780">
        <f t="shared" si="139"/>
        <v>1.0335193374163794</v>
      </c>
      <c r="W62" s="780">
        <f t="shared" si="139"/>
        <v>0.96249700761563051</v>
      </c>
      <c r="X62" s="780">
        <f t="shared" si="139"/>
        <v>1.2242180253379589</v>
      </c>
      <c r="Y62" s="780">
        <f t="shared" si="139"/>
        <v>1.6058754728314928</v>
      </c>
      <c r="Z62" s="937">
        <f t="shared" si="139"/>
        <v>1.1913521949217782</v>
      </c>
      <c r="AA62" s="937">
        <f t="shared" si="139"/>
        <v>1.5730096424153119</v>
      </c>
      <c r="AB62" s="780">
        <f t="shared" si="139"/>
        <v>0.6209875779249151</v>
      </c>
      <c r="AC62" s="780">
        <f t="shared" si="139"/>
        <v>1.0026450254184489</v>
      </c>
      <c r="AD62" s="937">
        <f t="shared" si="139"/>
        <v>1.1913521949217782</v>
      </c>
      <c r="AE62" s="937">
        <f t="shared" si="139"/>
        <v>1.5730096424153119</v>
      </c>
      <c r="AF62" s="937">
        <f t="shared" si="139"/>
        <v>1.1913521949217782</v>
      </c>
      <c r="AG62" s="937">
        <f t="shared" si="139"/>
        <v>1.5730096424153119</v>
      </c>
      <c r="AH62" s="780">
        <f t="shared" si="139"/>
        <v>1.1913521949217782</v>
      </c>
      <c r="AI62" s="780">
        <f t="shared" si="139"/>
        <v>1.5730096424153119</v>
      </c>
      <c r="AJ62" s="780">
        <f t="shared" si="139"/>
        <v>4.6253758606389939</v>
      </c>
      <c r="AK62" s="780">
        <f t="shared" si="139"/>
        <v>5.0070333081325273</v>
      </c>
      <c r="AL62" s="780">
        <f t="shared" si="139"/>
        <v>0.96488775037082619</v>
      </c>
      <c r="AM62" s="780">
        <f t="shared" si="139"/>
        <v>0.89386542057007712</v>
      </c>
      <c r="AN62" s="893">
        <f>SUMIF(AN$8:AN$44,"&lt;&gt;",$DO$8:$DO$44)+$DO21</f>
        <v>0.11099122351682798</v>
      </c>
      <c r="AO62" s="780">
        <f t="shared" ref="AO62:BI62" si="140">SUMIF(AO$8:AO$44,"&lt;&gt;",$DO$8:$DO$44)</f>
        <v>0.14675698014620087</v>
      </c>
      <c r="AP62" s="780">
        <f t="shared" si="140"/>
        <v>0.11368499126010743</v>
      </c>
      <c r="AQ62" s="780">
        <f t="shared" si="140"/>
        <v>0.10617609055768176</v>
      </c>
      <c r="AR62" s="780">
        <f t="shared" si="140"/>
        <v>8.9640096114635054E-2</v>
      </c>
      <c r="AS62" s="780">
        <f t="shared" si="140"/>
        <v>7.8125393100647506E-2</v>
      </c>
      <c r="AT62" s="780">
        <f t="shared" si="140"/>
        <v>4.5053404214554074E-2</v>
      </c>
      <c r="AU62" s="780">
        <f t="shared" si="140"/>
        <v>3.7544503512128402E-2</v>
      </c>
      <c r="AV62" s="780">
        <f t="shared" si="140"/>
        <v>2.1008509069081686E-2</v>
      </c>
      <c r="AW62" s="780">
        <f t="shared" si="140"/>
        <v>0.10947221454801292</v>
      </c>
      <c r="AX62" s="780">
        <f t="shared" si="140"/>
        <v>9.0312966899021102E-2</v>
      </c>
      <c r="AY62" s="780">
        <f t="shared" si="140"/>
        <v>8.5962914393108575E-2</v>
      </c>
      <c r="AZ62" s="780">
        <f t="shared" si="140"/>
        <v>7.6383290568612663E-2</v>
      </c>
      <c r="BA62" s="780">
        <f t="shared" si="140"/>
        <v>7.8125393100647506E-2</v>
      </c>
      <c r="BB62" s="780">
        <f t="shared" si="140"/>
        <v>4.5053404214554074E-2</v>
      </c>
      <c r="BC62" s="780">
        <f t="shared" si="140"/>
        <v>3.7544503512128402E-2</v>
      </c>
      <c r="BD62" s="780">
        <f t="shared" si="140"/>
        <v>1.2170638705066765E-2</v>
      </c>
      <c r="BE62" s="780">
        <f t="shared" si="140"/>
        <v>4.5259562684467021E-2</v>
      </c>
      <c r="BF62" s="780">
        <f t="shared" si="140"/>
        <v>2.6100315035475205E-2</v>
      </c>
      <c r="BG62" s="780">
        <f t="shared" si="140"/>
        <v>2.1750262529562674E-2</v>
      </c>
      <c r="BH62" s="780">
        <f t="shared" si="140"/>
        <v>1.2170638705066765E-2</v>
      </c>
      <c r="BI62" s="780">
        <f t="shared" si="140"/>
        <v>0</v>
      </c>
      <c r="BJ62" s="893">
        <f>SUMIF(BJ$8:BJ$44,"&lt;&gt;",$DO$8:$DO$44)+$DO21</f>
        <v>0.11099122351682798</v>
      </c>
      <c r="BK62" s="780">
        <f t="shared" ref="BK62:DD62" si="141">SUMIF(BK$8:BK$44,"&lt;&gt;",$DO$8:$DO$44)</f>
        <v>0.14675698014620087</v>
      </c>
      <c r="BL62" s="780">
        <f t="shared" si="141"/>
        <v>0.11368499126010743</v>
      </c>
      <c r="BM62" s="780">
        <f t="shared" si="141"/>
        <v>0.10617609055768176</v>
      </c>
      <c r="BN62" s="780">
        <f t="shared" si="141"/>
        <v>8.9640096114635054E-2</v>
      </c>
      <c r="BO62" s="780">
        <f t="shared" si="141"/>
        <v>7.8125393100647506E-2</v>
      </c>
      <c r="BP62" s="780">
        <f t="shared" si="141"/>
        <v>4.5053404214554074E-2</v>
      </c>
      <c r="BQ62" s="780">
        <f t="shared" si="141"/>
        <v>3.7544503512128402E-2</v>
      </c>
      <c r="BR62" s="780">
        <f t="shared" si="141"/>
        <v>2.1008509069081686E-2</v>
      </c>
      <c r="BS62" s="780">
        <f t="shared" si="141"/>
        <v>0.10947221454801292</v>
      </c>
      <c r="BT62" s="780">
        <f t="shared" si="141"/>
        <v>9.0312966899021102E-2</v>
      </c>
      <c r="BU62" s="780">
        <f t="shared" si="141"/>
        <v>8.5962914393108575E-2</v>
      </c>
      <c r="BV62" s="780">
        <f t="shared" si="141"/>
        <v>7.6383290568612663E-2</v>
      </c>
      <c r="BW62" s="780">
        <f t="shared" si="141"/>
        <v>7.8125393100647506E-2</v>
      </c>
      <c r="BX62" s="780">
        <f t="shared" si="141"/>
        <v>4.5053404214554074E-2</v>
      </c>
      <c r="BY62" s="780">
        <f t="shared" si="141"/>
        <v>3.7544503512128402E-2</v>
      </c>
      <c r="BZ62" s="780">
        <f t="shared" si="141"/>
        <v>1.2170638705066765E-2</v>
      </c>
      <c r="CA62" s="780">
        <f t="shared" si="141"/>
        <v>4.5259562684467021E-2</v>
      </c>
      <c r="CB62" s="780">
        <f t="shared" si="141"/>
        <v>2.6100315035475205E-2</v>
      </c>
      <c r="CC62" s="780">
        <f t="shared" si="141"/>
        <v>2.1750262529562674E-2</v>
      </c>
      <c r="CD62" s="780">
        <f t="shared" si="141"/>
        <v>1.2170638705066765E-2</v>
      </c>
      <c r="CE62" s="780">
        <f t="shared" si="141"/>
        <v>0</v>
      </c>
      <c r="CF62" s="893">
        <f t="shared" si="141"/>
        <v>7.8125393100647506E-2</v>
      </c>
      <c r="CG62" s="780">
        <f t="shared" si="141"/>
        <v>0.14675698014620087</v>
      </c>
      <c r="CH62" s="780">
        <f t="shared" si="141"/>
        <v>0.11368499126010743</v>
      </c>
      <c r="CI62" s="780">
        <f t="shared" si="141"/>
        <v>0.10617609055768176</v>
      </c>
      <c r="CJ62" s="780">
        <f t="shared" si="141"/>
        <v>8.9640096114635054E-2</v>
      </c>
      <c r="CK62" s="780">
        <f t="shared" si="141"/>
        <v>7.8125393100647506E-2</v>
      </c>
      <c r="CL62" s="780">
        <f t="shared" si="141"/>
        <v>4.5053404214554074E-2</v>
      </c>
      <c r="CM62" s="780">
        <f t="shared" si="141"/>
        <v>3.7544503512128402E-2</v>
      </c>
      <c r="CN62" s="780">
        <f t="shared" si="141"/>
        <v>2.1008509069081686E-2</v>
      </c>
      <c r="CO62" s="780">
        <f t="shared" si="141"/>
        <v>0.10947221454801292</v>
      </c>
      <c r="CP62" s="780">
        <f t="shared" si="141"/>
        <v>9.0312966899021102E-2</v>
      </c>
      <c r="CQ62" s="780">
        <f t="shared" si="141"/>
        <v>8.5962914393108575E-2</v>
      </c>
      <c r="CR62" s="780">
        <f t="shared" si="141"/>
        <v>7.6383290568612663E-2</v>
      </c>
      <c r="CS62" s="780">
        <f t="shared" si="141"/>
        <v>7.8125393100647506E-2</v>
      </c>
      <c r="CT62" s="780">
        <f t="shared" si="141"/>
        <v>4.5053404214554074E-2</v>
      </c>
      <c r="CU62" s="780">
        <f t="shared" si="141"/>
        <v>3.7544503512128402E-2</v>
      </c>
      <c r="CV62" s="780">
        <f t="shared" si="141"/>
        <v>1.2170638705066765E-2</v>
      </c>
      <c r="CW62" s="780">
        <f t="shared" si="141"/>
        <v>4.5259562684467021E-2</v>
      </c>
      <c r="CX62" s="780">
        <f t="shared" si="141"/>
        <v>2.6100315035475205E-2</v>
      </c>
      <c r="CY62" s="780">
        <f t="shared" si="141"/>
        <v>2.1750262529562674E-2</v>
      </c>
      <c r="CZ62" s="780">
        <f t="shared" si="141"/>
        <v>1.2170638705066765E-2</v>
      </c>
      <c r="DA62" s="780">
        <f t="shared" si="141"/>
        <v>0</v>
      </c>
      <c r="DB62" s="780">
        <f t="shared" si="141"/>
        <v>0</v>
      </c>
      <c r="DC62" s="780">
        <f t="shared" si="141"/>
        <v>0</v>
      </c>
      <c r="DD62" s="780">
        <f t="shared" si="141"/>
        <v>0</v>
      </c>
    </row>
    <row r="63" spans="2:154">
      <c r="B63" s="702"/>
      <c r="C63" s="703" t="s">
        <v>874</v>
      </c>
      <c r="D63" s="780">
        <f t="shared" ref="D63:AM63" si="142">SUMIF(D$8:D$44,"&lt;&gt;",$DQ$8:$DQ$44)</f>
        <v>1.193103965622583</v>
      </c>
      <c r="E63" s="780">
        <f t="shared" si="142"/>
        <v>1.4621724661055244</v>
      </c>
      <c r="F63" s="780">
        <f t="shared" si="142"/>
        <v>1.1602381352064026</v>
      </c>
      <c r="G63" s="780">
        <f t="shared" si="142"/>
        <v>1.429306635689344</v>
      </c>
      <c r="H63" s="937">
        <f t="shared" si="142"/>
        <v>1.1602381352064026</v>
      </c>
      <c r="I63" s="937">
        <f t="shared" si="142"/>
        <v>1.429306635689344</v>
      </c>
      <c r="J63" s="780">
        <f t="shared" si="142"/>
        <v>1.1602381352064026</v>
      </c>
      <c r="K63" s="780">
        <f t="shared" si="142"/>
        <v>1.429306635689344</v>
      </c>
      <c r="L63" s="780">
        <f t="shared" si="142"/>
        <v>0.86379202841867164</v>
      </c>
      <c r="M63" s="780">
        <f t="shared" si="142"/>
        <v>0.79276969861792268</v>
      </c>
      <c r="N63" s="780">
        <f t="shared" si="142"/>
        <v>0.83092619800249112</v>
      </c>
      <c r="O63" s="780">
        <f t="shared" si="142"/>
        <v>0.75990386820174216</v>
      </c>
      <c r="P63" s="937">
        <f t="shared" si="142"/>
        <v>0.83092619800249112</v>
      </c>
      <c r="Q63" s="937">
        <f t="shared" si="142"/>
        <v>0.75990386820174216</v>
      </c>
      <c r="R63" s="780">
        <f t="shared" si="142"/>
        <v>0.83092619800249112</v>
      </c>
      <c r="S63" s="780">
        <f t="shared" si="142"/>
        <v>0.75990386820174216</v>
      </c>
      <c r="T63" s="780">
        <f t="shared" si="142"/>
        <v>1.1602381352064026</v>
      </c>
      <c r="U63" s="780">
        <f t="shared" si="142"/>
        <v>1.429306635689344</v>
      </c>
      <c r="V63" s="780">
        <f t="shared" si="142"/>
        <v>0.83092619800249112</v>
      </c>
      <c r="W63" s="780">
        <f t="shared" si="142"/>
        <v>0.75990386820174216</v>
      </c>
      <c r="X63" s="780">
        <f t="shared" si="142"/>
        <v>1.1886850304405756</v>
      </c>
      <c r="Y63" s="780">
        <f t="shared" si="142"/>
        <v>1.457753530923517</v>
      </c>
      <c r="Z63" s="937">
        <f t="shared" si="142"/>
        <v>1.155819200024395</v>
      </c>
      <c r="AA63" s="937">
        <f t="shared" si="142"/>
        <v>1.4248877005073364</v>
      </c>
      <c r="AB63" s="780">
        <f t="shared" si="142"/>
        <v>0.58545458302753195</v>
      </c>
      <c r="AC63" s="780">
        <f t="shared" si="142"/>
        <v>0.85452308351047324</v>
      </c>
      <c r="AD63" s="937">
        <f t="shared" si="142"/>
        <v>1.155819200024395</v>
      </c>
      <c r="AE63" s="937">
        <f t="shared" si="142"/>
        <v>1.4248877005073364</v>
      </c>
      <c r="AF63" s="937">
        <f t="shared" si="142"/>
        <v>1.155819200024395</v>
      </c>
      <c r="AG63" s="937">
        <f t="shared" si="142"/>
        <v>1.4248877005073364</v>
      </c>
      <c r="AH63" s="780">
        <f t="shared" si="142"/>
        <v>1.155819200024395</v>
      </c>
      <c r="AI63" s="780">
        <f t="shared" si="142"/>
        <v>1.4248877005073364</v>
      </c>
      <c r="AJ63" s="780">
        <f t="shared" si="142"/>
        <v>4.5898428657416108</v>
      </c>
      <c r="AK63" s="780">
        <f t="shared" si="142"/>
        <v>4.858911366224552</v>
      </c>
      <c r="AL63" s="780">
        <f t="shared" si="142"/>
        <v>0.76229461095693773</v>
      </c>
      <c r="AM63" s="780">
        <f t="shared" si="142"/>
        <v>0.69127228115618877</v>
      </c>
      <c r="AN63" s="893">
        <f>SUMIF(AN$8:AN$44,"&lt;&gt;",$DQ$8:$DQ$44)+$DQ21</f>
        <v>0.11099122351682798</v>
      </c>
      <c r="AO63" s="780">
        <f t="shared" ref="AO63:BI63" si="143">SUMIF(AO$8:AO$44,"&lt;&gt;",$DQ$8:$DQ$44)</f>
        <v>0.14675698014620087</v>
      </c>
      <c r="AP63" s="780">
        <f t="shared" si="143"/>
        <v>0.11368499126010743</v>
      </c>
      <c r="AQ63" s="780">
        <f t="shared" si="143"/>
        <v>0.10617609055768176</v>
      </c>
      <c r="AR63" s="780">
        <f t="shared" si="143"/>
        <v>8.9640096114635054E-2</v>
      </c>
      <c r="AS63" s="780">
        <f t="shared" si="143"/>
        <v>7.8125393100647506E-2</v>
      </c>
      <c r="AT63" s="780">
        <f t="shared" si="143"/>
        <v>4.5053404214554074E-2</v>
      </c>
      <c r="AU63" s="780">
        <f t="shared" si="143"/>
        <v>3.7544503512128402E-2</v>
      </c>
      <c r="AV63" s="780">
        <f t="shared" si="143"/>
        <v>2.1008509069081686E-2</v>
      </c>
      <c r="AW63" s="780">
        <f t="shared" si="143"/>
        <v>0.10947221454801292</v>
      </c>
      <c r="AX63" s="780">
        <f t="shared" si="143"/>
        <v>9.0312966899021102E-2</v>
      </c>
      <c r="AY63" s="780">
        <f t="shared" si="143"/>
        <v>8.5962914393108575E-2</v>
      </c>
      <c r="AZ63" s="780">
        <f t="shared" si="143"/>
        <v>7.6383290568612663E-2</v>
      </c>
      <c r="BA63" s="780">
        <f t="shared" si="143"/>
        <v>7.8125393100647506E-2</v>
      </c>
      <c r="BB63" s="780">
        <f t="shared" si="143"/>
        <v>4.5053404214554074E-2</v>
      </c>
      <c r="BC63" s="780">
        <f t="shared" si="143"/>
        <v>3.7544503512128402E-2</v>
      </c>
      <c r="BD63" s="780">
        <f t="shared" si="143"/>
        <v>1.2170638705066765E-2</v>
      </c>
      <c r="BE63" s="780">
        <f t="shared" si="143"/>
        <v>4.5259562684467021E-2</v>
      </c>
      <c r="BF63" s="780">
        <f t="shared" si="143"/>
        <v>2.6100315035475205E-2</v>
      </c>
      <c r="BG63" s="780">
        <f t="shared" si="143"/>
        <v>2.1750262529562674E-2</v>
      </c>
      <c r="BH63" s="780">
        <f t="shared" si="143"/>
        <v>1.2170638705066765E-2</v>
      </c>
      <c r="BI63" s="780">
        <f t="shared" si="143"/>
        <v>0</v>
      </c>
      <c r="BJ63" s="893">
        <f>SUMIF(BJ$8:BJ$44,"&lt;&gt;",$DQ$8:$DQ$44)+$DQ21</f>
        <v>0.11099122351682798</v>
      </c>
      <c r="BK63" s="780">
        <f t="shared" ref="BK63:DD63" si="144">SUMIF(BK$8:BK$44,"&lt;&gt;",$DQ$8:$DQ$44)</f>
        <v>0.14675698014620087</v>
      </c>
      <c r="BL63" s="780">
        <f t="shared" si="144"/>
        <v>0.11368499126010743</v>
      </c>
      <c r="BM63" s="780">
        <f t="shared" si="144"/>
        <v>0.10617609055768176</v>
      </c>
      <c r="BN63" s="780">
        <f t="shared" si="144"/>
        <v>8.9640096114635054E-2</v>
      </c>
      <c r="BO63" s="780">
        <f t="shared" si="144"/>
        <v>7.8125393100647506E-2</v>
      </c>
      <c r="BP63" s="780">
        <f t="shared" si="144"/>
        <v>4.5053404214554074E-2</v>
      </c>
      <c r="BQ63" s="780">
        <f t="shared" si="144"/>
        <v>3.7544503512128402E-2</v>
      </c>
      <c r="BR63" s="780">
        <f t="shared" si="144"/>
        <v>2.1008509069081686E-2</v>
      </c>
      <c r="BS63" s="780">
        <f t="shared" si="144"/>
        <v>0.10947221454801292</v>
      </c>
      <c r="BT63" s="780">
        <f t="shared" si="144"/>
        <v>9.0312966899021102E-2</v>
      </c>
      <c r="BU63" s="780">
        <f t="shared" si="144"/>
        <v>8.5962914393108575E-2</v>
      </c>
      <c r="BV63" s="780">
        <f t="shared" si="144"/>
        <v>7.6383290568612663E-2</v>
      </c>
      <c r="BW63" s="780">
        <f t="shared" si="144"/>
        <v>7.8125393100647506E-2</v>
      </c>
      <c r="BX63" s="780">
        <f t="shared" si="144"/>
        <v>4.5053404214554074E-2</v>
      </c>
      <c r="BY63" s="780">
        <f t="shared" si="144"/>
        <v>3.7544503512128402E-2</v>
      </c>
      <c r="BZ63" s="780">
        <f t="shared" si="144"/>
        <v>1.2170638705066765E-2</v>
      </c>
      <c r="CA63" s="780">
        <f t="shared" si="144"/>
        <v>4.5259562684467021E-2</v>
      </c>
      <c r="CB63" s="780">
        <f t="shared" si="144"/>
        <v>2.6100315035475205E-2</v>
      </c>
      <c r="CC63" s="780">
        <f t="shared" si="144"/>
        <v>2.1750262529562674E-2</v>
      </c>
      <c r="CD63" s="780">
        <f t="shared" si="144"/>
        <v>1.2170638705066765E-2</v>
      </c>
      <c r="CE63" s="780">
        <f t="shared" si="144"/>
        <v>0</v>
      </c>
      <c r="CF63" s="893">
        <f t="shared" si="144"/>
        <v>7.8125393100647506E-2</v>
      </c>
      <c r="CG63" s="780">
        <f t="shared" si="144"/>
        <v>0.14675698014620087</v>
      </c>
      <c r="CH63" s="780">
        <f t="shared" si="144"/>
        <v>0.11368499126010743</v>
      </c>
      <c r="CI63" s="780">
        <f t="shared" si="144"/>
        <v>0.10617609055768176</v>
      </c>
      <c r="CJ63" s="780">
        <f t="shared" si="144"/>
        <v>8.9640096114635054E-2</v>
      </c>
      <c r="CK63" s="780">
        <f t="shared" si="144"/>
        <v>7.8125393100647506E-2</v>
      </c>
      <c r="CL63" s="780">
        <f t="shared" si="144"/>
        <v>4.5053404214554074E-2</v>
      </c>
      <c r="CM63" s="780">
        <f t="shared" si="144"/>
        <v>3.7544503512128402E-2</v>
      </c>
      <c r="CN63" s="780">
        <f t="shared" si="144"/>
        <v>2.1008509069081686E-2</v>
      </c>
      <c r="CO63" s="780">
        <f t="shared" si="144"/>
        <v>0.10947221454801292</v>
      </c>
      <c r="CP63" s="780">
        <f t="shared" si="144"/>
        <v>9.0312966899021102E-2</v>
      </c>
      <c r="CQ63" s="780">
        <f t="shared" si="144"/>
        <v>8.5962914393108575E-2</v>
      </c>
      <c r="CR63" s="780">
        <f t="shared" si="144"/>
        <v>7.6383290568612663E-2</v>
      </c>
      <c r="CS63" s="780">
        <f t="shared" si="144"/>
        <v>7.8125393100647506E-2</v>
      </c>
      <c r="CT63" s="780">
        <f t="shared" si="144"/>
        <v>4.5053404214554074E-2</v>
      </c>
      <c r="CU63" s="780">
        <f t="shared" si="144"/>
        <v>3.7544503512128402E-2</v>
      </c>
      <c r="CV63" s="780">
        <f t="shared" si="144"/>
        <v>1.2170638705066765E-2</v>
      </c>
      <c r="CW63" s="780">
        <f t="shared" si="144"/>
        <v>4.5259562684467021E-2</v>
      </c>
      <c r="CX63" s="780">
        <f t="shared" si="144"/>
        <v>2.6100315035475205E-2</v>
      </c>
      <c r="CY63" s="780">
        <f t="shared" si="144"/>
        <v>2.1750262529562674E-2</v>
      </c>
      <c r="CZ63" s="780">
        <f t="shared" si="144"/>
        <v>1.2170638705066765E-2</v>
      </c>
      <c r="DA63" s="780">
        <f t="shared" si="144"/>
        <v>0</v>
      </c>
      <c r="DB63" s="780">
        <f t="shared" si="144"/>
        <v>0</v>
      </c>
      <c r="DC63" s="780">
        <f t="shared" si="144"/>
        <v>0</v>
      </c>
      <c r="DD63" s="780">
        <f t="shared" si="144"/>
        <v>0</v>
      </c>
      <c r="ER63" s="708" t="s">
        <v>1061</v>
      </c>
      <c r="ES63" s="708" t="s">
        <v>1062</v>
      </c>
      <c r="ET63" s="708">
        <v>10</v>
      </c>
      <c r="EU63" s="708" t="s">
        <v>1063</v>
      </c>
      <c r="EV63" s="708">
        <v>1</v>
      </c>
      <c r="EW63" s="708" t="s">
        <v>1064</v>
      </c>
    </row>
    <row r="64" spans="2:154">
      <c r="B64" s="702"/>
      <c r="C64" s="703" t="s">
        <v>875</v>
      </c>
      <c r="D64" s="780">
        <f t="shared" ref="D64:AM64" si="145">SUMIF(D$8:D$44,"&lt;&gt;",$DR$8:$DR$44)</f>
        <v>1.1680532042199281</v>
      </c>
      <c r="E64" s="780">
        <f t="shared" si="145"/>
        <v>1.3577464970604016</v>
      </c>
      <c r="F64" s="780">
        <f t="shared" si="145"/>
        <v>1.1351873738037477</v>
      </c>
      <c r="G64" s="780">
        <f t="shared" si="145"/>
        <v>1.3248806666442212</v>
      </c>
      <c r="H64" s="937">
        <f t="shared" si="145"/>
        <v>1.1351873738037477</v>
      </c>
      <c r="I64" s="937">
        <f t="shared" si="145"/>
        <v>1.3248806666442212</v>
      </c>
      <c r="J64" s="780">
        <f t="shared" si="145"/>
        <v>1.1351873738037477</v>
      </c>
      <c r="K64" s="780">
        <f t="shared" si="145"/>
        <v>1.3248806666442212</v>
      </c>
      <c r="L64" s="780">
        <f t="shared" si="145"/>
        <v>0.7217558201314076</v>
      </c>
      <c r="M64" s="780">
        <f t="shared" si="145"/>
        <v>0.65073349033065853</v>
      </c>
      <c r="N64" s="780">
        <f t="shared" si="145"/>
        <v>0.68888998971522697</v>
      </c>
      <c r="O64" s="780">
        <f t="shared" si="145"/>
        <v>0.61786765991447812</v>
      </c>
      <c r="P64" s="937">
        <f t="shared" si="145"/>
        <v>0.68888998971522697</v>
      </c>
      <c r="Q64" s="937">
        <f t="shared" si="145"/>
        <v>0.61786765991447812</v>
      </c>
      <c r="R64" s="780">
        <f t="shared" si="145"/>
        <v>0.68888998971522697</v>
      </c>
      <c r="S64" s="780">
        <f t="shared" si="145"/>
        <v>0.61786765991447812</v>
      </c>
      <c r="T64" s="780">
        <f t="shared" si="145"/>
        <v>1.1351873738037477</v>
      </c>
      <c r="U64" s="780">
        <f t="shared" si="145"/>
        <v>1.3248806666442212</v>
      </c>
      <c r="V64" s="780">
        <f t="shared" si="145"/>
        <v>0.68888998971522697</v>
      </c>
      <c r="W64" s="780">
        <f t="shared" si="145"/>
        <v>0.61786765991447812</v>
      </c>
      <c r="X64" s="780">
        <f t="shared" si="145"/>
        <v>1.1636342690379207</v>
      </c>
      <c r="Y64" s="780">
        <f t="shared" si="145"/>
        <v>1.3533275618783942</v>
      </c>
      <c r="Z64" s="937">
        <f t="shared" si="145"/>
        <v>1.13076843862174</v>
      </c>
      <c r="AA64" s="937">
        <f t="shared" si="145"/>
        <v>1.3204617314622136</v>
      </c>
      <c r="AB64" s="780">
        <f t="shared" si="145"/>
        <v>0.56040382162487679</v>
      </c>
      <c r="AC64" s="780">
        <f t="shared" si="145"/>
        <v>0.75009711446535043</v>
      </c>
      <c r="AD64" s="937">
        <f t="shared" si="145"/>
        <v>1.13076843862174</v>
      </c>
      <c r="AE64" s="937">
        <f t="shared" si="145"/>
        <v>1.3204617314622136</v>
      </c>
      <c r="AF64" s="937">
        <f t="shared" si="145"/>
        <v>1.13076843862174</v>
      </c>
      <c r="AG64" s="937">
        <f t="shared" si="145"/>
        <v>1.3204617314622136</v>
      </c>
      <c r="AH64" s="780">
        <f t="shared" si="145"/>
        <v>1.13076843862174</v>
      </c>
      <c r="AI64" s="780">
        <f t="shared" si="145"/>
        <v>1.3204617314622136</v>
      </c>
      <c r="AJ64" s="780">
        <f t="shared" si="145"/>
        <v>4.564792104338955</v>
      </c>
      <c r="AK64" s="780">
        <f t="shared" si="145"/>
        <v>4.7544853971794288</v>
      </c>
      <c r="AL64" s="780">
        <f t="shared" si="145"/>
        <v>0.62025840266967369</v>
      </c>
      <c r="AM64" s="780">
        <f t="shared" si="145"/>
        <v>0.54923607286892473</v>
      </c>
      <c r="AN64" s="893">
        <f>SUMIF(AN$8:AN$44,"&lt;&gt;",$DR$8:$DR$44)+$DR21</f>
        <v>0.11099122351682798</v>
      </c>
      <c r="AO64" s="780">
        <f t="shared" ref="AO64:BI64" si="146">SUMIF(AO$8:AO$44,"&lt;&gt;",$DR$8:$DR$44)</f>
        <v>0.14675698014620087</v>
      </c>
      <c r="AP64" s="780">
        <f t="shared" si="146"/>
        <v>0.11368499126010743</v>
      </c>
      <c r="AQ64" s="780">
        <f t="shared" si="146"/>
        <v>0.10617609055768176</v>
      </c>
      <c r="AR64" s="780">
        <f t="shared" si="146"/>
        <v>8.9640096114635054E-2</v>
      </c>
      <c r="AS64" s="780">
        <f t="shared" si="146"/>
        <v>7.8125393100647506E-2</v>
      </c>
      <c r="AT64" s="780">
        <f t="shared" si="146"/>
        <v>4.5053404214554074E-2</v>
      </c>
      <c r="AU64" s="780">
        <f t="shared" si="146"/>
        <v>3.7544503512128402E-2</v>
      </c>
      <c r="AV64" s="780">
        <f t="shared" si="146"/>
        <v>2.1008509069081686E-2</v>
      </c>
      <c r="AW64" s="780">
        <f t="shared" si="146"/>
        <v>0.10947221454801292</v>
      </c>
      <c r="AX64" s="780">
        <f t="shared" si="146"/>
        <v>9.0312966899021102E-2</v>
      </c>
      <c r="AY64" s="780">
        <f t="shared" si="146"/>
        <v>8.5962914393108575E-2</v>
      </c>
      <c r="AZ64" s="780">
        <f t="shared" si="146"/>
        <v>7.6383290568612663E-2</v>
      </c>
      <c r="BA64" s="780">
        <f t="shared" si="146"/>
        <v>7.8125393100647506E-2</v>
      </c>
      <c r="BB64" s="780">
        <f t="shared" si="146"/>
        <v>4.5053404214554074E-2</v>
      </c>
      <c r="BC64" s="780">
        <f t="shared" si="146"/>
        <v>3.7544503512128402E-2</v>
      </c>
      <c r="BD64" s="780">
        <f t="shared" si="146"/>
        <v>1.2170638705066765E-2</v>
      </c>
      <c r="BE64" s="780">
        <f t="shared" si="146"/>
        <v>4.5259562684467021E-2</v>
      </c>
      <c r="BF64" s="780">
        <f t="shared" si="146"/>
        <v>2.6100315035475205E-2</v>
      </c>
      <c r="BG64" s="780">
        <f t="shared" si="146"/>
        <v>2.1750262529562674E-2</v>
      </c>
      <c r="BH64" s="780">
        <f t="shared" si="146"/>
        <v>1.2170638705066765E-2</v>
      </c>
      <c r="BI64" s="780">
        <f t="shared" si="146"/>
        <v>0</v>
      </c>
      <c r="BJ64" s="893">
        <f>SUMIF(BJ$8:BJ$44,"&lt;&gt;",$DR$8:$DR$44)+$DR21</f>
        <v>0.11099122351682798</v>
      </c>
      <c r="BK64" s="780">
        <f t="shared" ref="BK64:DD64" si="147">SUMIF(BK$8:BK$44,"&lt;&gt;",$DR$8:$DR$44)</f>
        <v>0.14675698014620087</v>
      </c>
      <c r="BL64" s="780">
        <f t="shared" si="147"/>
        <v>0.11368499126010743</v>
      </c>
      <c r="BM64" s="780">
        <f t="shared" si="147"/>
        <v>0.10617609055768176</v>
      </c>
      <c r="BN64" s="780">
        <f t="shared" si="147"/>
        <v>8.9640096114635054E-2</v>
      </c>
      <c r="BO64" s="780">
        <f t="shared" si="147"/>
        <v>7.8125393100647506E-2</v>
      </c>
      <c r="BP64" s="780">
        <f t="shared" si="147"/>
        <v>4.5053404214554074E-2</v>
      </c>
      <c r="BQ64" s="780">
        <f t="shared" si="147"/>
        <v>3.7544503512128402E-2</v>
      </c>
      <c r="BR64" s="780">
        <f t="shared" si="147"/>
        <v>2.1008509069081686E-2</v>
      </c>
      <c r="BS64" s="780">
        <f t="shared" si="147"/>
        <v>0.10947221454801292</v>
      </c>
      <c r="BT64" s="780">
        <f t="shared" si="147"/>
        <v>9.0312966899021102E-2</v>
      </c>
      <c r="BU64" s="780">
        <f t="shared" si="147"/>
        <v>8.5962914393108575E-2</v>
      </c>
      <c r="BV64" s="780">
        <f t="shared" si="147"/>
        <v>7.6383290568612663E-2</v>
      </c>
      <c r="BW64" s="780">
        <f t="shared" si="147"/>
        <v>7.8125393100647506E-2</v>
      </c>
      <c r="BX64" s="780">
        <f t="shared" si="147"/>
        <v>4.5053404214554074E-2</v>
      </c>
      <c r="BY64" s="780">
        <f t="shared" si="147"/>
        <v>3.7544503512128402E-2</v>
      </c>
      <c r="BZ64" s="780">
        <f t="shared" si="147"/>
        <v>1.2170638705066765E-2</v>
      </c>
      <c r="CA64" s="780">
        <f t="shared" si="147"/>
        <v>4.5259562684467021E-2</v>
      </c>
      <c r="CB64" s="780">
        <f t="shared" si="147"/>
        <v>2.6100315035475205E-2</v>
      </c>
      <c r="CC64" s="780">
        <f t="shared" si="147"/>
        <v>2.1750262529562674E-2</v>
      </c>
      <c r="CD64" s="780">
        <f t="shared" si="147"/>
        <v>1.2170638705066765E-2</v>
      </c>
      <c r="CE64" s="780">
        <f t="shared" si="147"/>
        <v>0</v>
      </c>
      <c r="CF64" s="893">
        <f t="shared" si="147"/>
        <v>7.8125393100647506E-2</v>
      </c>
      <c r="CG64" s="780">
        <f t="shared" si="147"/>
        <v>0.14675698014620087</v>
      </c>
      <c r="CH64" s="780">
        <f t="shared" si="147"/>
        <v>0.11368499126010743</v>
      </c>
      <c r="CI64" s="780">
        <f t="shared" si="147"/>
        <v>0.10617609055768176</v>
      </c>
      <c r="CJ64" s="780">
        <f t="shared" si="147"/>
        <v>8.9640096114635054E-2</v>
      </c>
      <c r="CK64" s="780">
        <f t="shared" si="147"/>
        <v>7.8125393100647506E-2</v>
      </c>
      <c r="CL64" s="780">
        <f t="shared" si="147"/>
        <v>4.5053404214554074E-2</v>
      </c>
      <c r="CM64" s="780">
        <f t="shared" si="147"/>
        <v>3.7544503512128402E-2</v>
      </c>
      <c r="CN64" s="780">
        <f t="shared" si="147"/>
        <v>2.1008509069081686E-2</v>
      </c>
      <c r="CO64" s="780">
        <f t="shared" si="147"/>
        <v>0.10947221454801292</v>
      </c>
      <c r="CP64" s="780">
        <f t="shared" si="147"/>
        <v>9.0312966899021102E-2</v>
      </c>
      <c r="CQ64" s="780">
        <f t="shared" si="147"/>
        <v>8.5962914393108575E-2</v>
      </c>
      <c r="CR64" s="780">
        <f t="shared" si="147"/>
        <v>7.6383290568612663E-2</v>
      </c>
      <c r="CS64" s="780">
        <f t="shared" si="147"/>
        <v>7.8125393100647506E-2</v>
      </c>
      <c r="CT64" s="780">
        <f t="shared" si="147"/>
        <v>4.5053404214554074E-2</v>
      </c>
      <c r="CU64" s="780">
        <f t="shared" si="147"/>
        <v>3.7544503512128402E-2</v>
      </c>
      <c r="CV64" s="780">
        <f t="shared" si="147"/>
        <v>1.2170638705066765E-2</v>
      </c>
      <c r="CW64" s="780">
        <f t="shared" si="147"/>
        <v>4.5259562684467021E-2</v>
      </c>
      <c r="CX64" s="780">
        <f t="shared" si="147"/>
        <v>2.6100315035475205E-2</v>
      </c>
      <c r="CY64" s="780">
        <f t="shared" si="147"/>
        <v>2.1750262529562674E-2</v>
      </c>
      <c r="CZ64" s="780">
        <f t="shared" si="147"/>
        <v>1.2170638705066765E-2</v>
      </c>
      <c r="DA64" s="780">
        <f t="shared" si="147"/>
        <v>0</v>
      </c>
      <c r="DB64" s="780">
        <f t="shared" si="147"/>
        <v>0</v>
      </c>
      <c r="DC64" s="780">
        <f t="shared" si="147"/>
        <v>0</v>
      </c>
      <c r="DD64" s="780">
        <f t="shared" si="147"/>
        <v>0</v>
      </c>
      <c r="ET64" s="708">
        <v>10</v>
      </c>
      <c r="EU64" s="708" t="s">
        <v>1063</v>
      </c>
      <c r="EV64" s="708">
        <f>119.93*1000</f>
        <v>119930</v>
      </c>
      <c r="EW64" s="708" t="s">
        <v>1065</v>
      </c>
      <c r="EX64" s="708" t="s">
        <v>1062</v>
      </c>
    </row>
    <row r="65" spans="3:154">
      <c r="C65" s="703" t="s">
        <v>38</v>
      </c>
      <c r="D65" s="781">
        <f t="shared" ref="D65:AI65" si="148">SUMIF(D$17:D$44,"&lt;&gt;",$DI$17:$DI$44)</f>
        <v>1.6769796194370303</v>
      </c>
      <c r="E65" s="781">
        <f t="shared" si="148"/>
        <v>2.1950415753569792</v>
      </c>
      <c r="F65" s="781">
        <f t="shared" si="148"/>
        <v>1.6293796194370302</v>
      </c>
      <c r="G65" s="781">
        <f t="shared" si="148"/>
        <v>2.1474415753569791</v>
      </c>
      <c r="H65" s="938">
        <f t="shared" si="148"/>
        <v>1.6293796194370302</v>
      </c>
      <c r="I65" s="938">
        <f t="shared" si="148"/>
        <v>2.1474415753569791</v>
      </c>
      <c r="J65" s="781">
        <f t="shared" si="148"/>
        <v>1.6293796194370302</v>
      </c>
      <c r="K65" s="781">
        <f t="shared" si="148"/>
        <v>2.1474415753569791</v>
      </c>
      <c r="L65" s="781">
        <f t="shared" si="148"/>
        <v>1.4567389779319804</v>
      </c>
      <c r="M65" s="781">
        <f t="shared" si="148"/>
        <v>1.3603332420234966</v>
      </c>
      <c r="N65" s="781">
        <f t="shared" si="148"/>
        <v>1.4091389779319805</v>
      </c>
      <c r="O65" s="781">
        <f t="shared" si="148"/>
        <v>1.3127332420234965</v>
      </c>
      <c r="P65" s="938">
        <f t="shared" si="148"/>
        <v>1.4091389779319805</v>
      </c>
      <c r="Q65" s="938">
        <f t="shared" si="148"/>
        <v>1.3127332420234965</v>
      </c>
      <c r="R65" s="781">
        <f t="shared" si="148"/>
        <v>1.4091389779319805</v>
      </c>
      <c r="S65" s="781">
        <f t="shared" si="148"/>
        <v>1.3127332420234965</v>
      </c>
      <c r="T65" s="781">
        <f t="shared" si="148"/>
        <v>1.6293796194370302</v>
      </c>
      <c r="U65" s="781">
        <f t="shared" si="148"/>
        <v>2.1474415753569791</v>
      </c>
      <c r="V65" s="781">
        <f t="shared" si="148"/>
        <v>1.4091389779319805</v>
      </c>
      <c r="W65" s="781">
        <f t="shared" si="148"/>
        <v>1.3127332420234965</v>
      </c>
      <c r="X65" s="781">
        <f t="shared" si="148"/>
        <v>1.6705796194370301</v>
      </c>
      <c r="Y65" s="781">
        <f t="shared" si="148"/>
        <v>2.188641575356979</v>
      </c>
      <c r="Z65" s="938">
        <f t="shared" si="148"/>
        <v>1.6229796194370303</v>
      </c>
      <c r="AA65" s="938">
        <f t="shared" si="148"/>
        <v>2.1410415753569794</v>
      </c>
      <c r="AB65" s="781">
        <f t="shared" si="148"/>
        <v>0.84876648404699273</v>
      </c>
      <c r="AC65" s="781">
        <f t="shared" si="148"/>
        <v>1.3668284399669415</v>
      </c>
      <c r="AD65" s="938">
        <f t="shared" si="148"/>
        <v>1.6229796194370303</v>
      </c>
      <c r="AE65" s="938">
        <f t="shared" si="148"/>
        <v>2.1410415753569794</v>
      </c>
      <c r="AF65" s="938">
        <f t="shared" si="148"/>
        <v>1.6229796194370303</v>
      </c>
      <c r="AG65" s="938">
        <f t="shared" si="148"/>
        <v>2.1410415753569794</v>
      </c>
      <c r="AH65" s="781">
        <f t="shared" si="148"/>
        <v>1.6229796194370303</v>
      </c>
      <c r="AI65" s="781">
        <f t="shared" si="148"/>
        <v>2.1410415753569794</v>
      </c>
      <c r="AJ65" s="781">
        <f t="shared" ref="AJ65:BO65" si="149">SUMIF(AJ$17:AJ$44,"&lt;&gt;",$DI$17:$DI$44)</f>
        <v>6.2784868498292612</v>
      </c>
      <c r="AK65" s="781">
        <f t="shared" si="149"/>
        <v>6.7965488057492101</v>
      </c>
      <c r="AL65" s="781">
        <f t="shared" si="149"/>
        <v>1.3097389779319806</v>
      </c>
      <c r="AM65" s="781">
        <f t="shared" si="149"/>
        <v>1.2133332420234966</v>
      </c>
      <c r="AN65" s="781">
        <f t="shared" si="149"/>
        <v>0.11315</v>
      </c>
      <c r="AO65" s="781">
        <f t="shared" si="149"/>
        <v>0.21254999999999999</v>
      </c>
      <c r="AP65" s="781">
        <f t="shared" si="149"/>
        <v>0.16465141806722688</v>
      </c>
      <c r="AQ65" s="781">
        <f t="shared" si="149"/>
        <v>0.15377618172268909</v>
      </c>
      <c r="AR65" s="781">
        <f t="shared" si="149"/>
        <v>0.12982689075630252</v>
      </c>
      <c r="AS65" s="781">
        <f t="shared" si="149"/>
        <v>0.11315</v>
      </c>
      <c r="AT65" s="781">
        <f t="shared" si="149"/>
        <v>6.5251418067226882E-2</v>
      </c>
      <c r="AU65" s="781">
        <f t="shared" si="149"/>
        <v>5.4376181722689085E-2</v>
      </c>
      <c r="AV65" s="781">
        <f t="shared" si="149"/>
        <v>3.0426890756302526E-2</v>
      </c>
      <c r="AW65" s="781">
        <f t="shared" si="149"/>
        <v>0.15855</v>
      </c>
      <c r="AX65" s="781">
        <f t="shared" si="149"/>
        <v>0.13080141806722689</v>
      </c>
      <c r="AY65" s="781">
        <f t="shared" si="149"/>
        <v>0.12450118172268908</v>
      </c>
      <c r="AZ65" s="781">
        <f t="shared" si="149"/>
        <v>0.11062689075630253</v>
      </c>
      <c r="BA65" s="781">
        <f t="shared" si="149"/>
        <v>0.11315</v>
      </c>
      <c r="BB65" s="781">
        <f t="shared" si="149"/>
        <v>6.5251418067226882E-2</v>
      </c>
      <c r="BC65" s="781">
        <f t="shared" si="149"/>
        <v>5.4376181722689085E-2</v>
      </c>
      <c r="BD65" s="781">
        <f t="shared" si="149"/>
        <v>1.7626890756302523E-2</v>
      </c>
      <c r="BE65" s="781">
        <f t="shared" si="149"/>
        <v>6.5549999999999997E-2</v>
      </c>
      <c r="BF65" s="781">
        <f t="shared" si="149"/>
        <v>3.7801418067226887E-2</v>
      </c>
      <c r="BG65" s="781">
        <f t="shared" si="149"/>
        <v>3.1501181722689078E-2</v>
      </c>
      <c r="BH65" s="781">
        <f t="shared" si="149"/>
        <v>1.7626890756302523E-2</v>
      </c>
      <c r="BI65" s="781">
        <f t="shared" si="149"/>
        <v>0</v>
      </c>
      <c r="BJ65" s="781">
        <f t="shared" si="149"/>
        <v>0.11315</v>
      </c>
      <c r="BK65" s="781">
        <f t="shared" si="149"/>
        <v>0.21254999999999999</v>
      </c>
      <c r="BL65" s="781">
        <f t="shared" si="149"/>
        <v>0.16465141806722688</v>
      </c>
      <c r="BM65" s="781">
        <f t="shared" si="149"/>
        <v>0.15377618172268909</v>
      </c>
      <c r="BN65" s="781">
        <f t="shared" si="149"/>
        <v>0.12982689075630252</v>
      </c>
      <c r="BO65" s="781">
        <f t="shared" si="149"/>
        <v>0.11315</v>
      </c>
      <c r="BP65" s="781">
        <f t="shared" ref="BP65:BX65" si="150">SUMIF(BP$17:BP$44,"&lt;&gt;",$DI$17:$DI$44)</f>
        <v>6.5251418067226882E-2</v>
      </c>
      <c r="BQ65" s="781">
        <f t="shared" si="150"/>
        <v>5.4376181722689085E-2</v>
      </c>
      <c r="BR65" s="781">
        <f t="shared" si="150"/>
        <v>3.0426890756302526E-2</v>
      </c>
      <c r="BS65" s="781">
        <f t="shared" si="150"/>
        <v>0.15855</v>
      </c>
      <c r="BT65" s="781">
        <f t="shared" si="150"/>
        <v>0.13080141806722689</v>
      </c>
      <c r="BU65" s="781">
        <f t="shared" si="150"/>
        <v>0.12450118172268908</v>
      </c>
      <c r="BV65" s="781">
        <f t="shared" si="150"/>
        <v>0.11062689075630253</v>
      </c>
      <c r="BW65" s="781">
        <f t="shared" si="150"/>
        <v>0.11315</v>
      </c>
      <c r="BX65" s="781">
        <f t="shared" si="150"/>
        <v>6.5251418067226882E-2</v>
      </c>
      <c r="BY65" s="781">
        <f t="shared" ref="BY65:DD65" si="151">SUMIF(BY$17:BY$44,"&lt;&gt;",$DI$17:$DI$44)</f>
        <v>5.4376181722689085E-2</v>
      </c>
      <c r="BZ65" s="781">
        <f t="shared" si="151"/>
        <v>1.7626890756302523E-2</v>
      </c>
      <c r="CA65" s="781">
        <f t="shared" si="151"/>
        <v>6.5549999999999997E-2</v>
      </c>
      <c r="CB65" s="781">
        <f t="shared" si="151"/>
        <v>3.7801418067226887E-2</v>
      </c>
      <c r="CC65" s="781">
        <f t="shared" si="151"/>
        <v>3.1501181722689078E-2</v>
      </c>
      <c r="CD65" s="781">
        <f t="shared" si="151"/>
        <v>1.7626890756302523E-2</v>
      </c>
      <c r="CE65" s="781">
        <f t="shared" si="151"/>
        <v>0</v>
      </c>
      <c r="CF65" s="893">
        <f t="shared" si="151"/>
        <v>0.11315</v>
      </c>
      <c r="CG65" s="781">
        <f t="shared" si="151"/>
        <v>0.21254999999999999</v>
      </c>
      <c r="CH65" s="781">
        <f t="shared" si="151"/>
        <v>0.16465141806722688</v>
      </c>
      <c r="CI65" s="781">
        <f t="shared" si="151"/>
        <v>0.15377618172268909</v>
      </c>
      <c r="CJ65" s="781">
        <f t="shared" si="151"/>
        <v>0.12982689075630252</v>
      </c>
      <c r="CK65" s="781">
        <f t="shared" si="151"/>
        <v>0.11315</v>
      </c>
      <c r="CL65" s="781">
        <f t="shared" si="151"/>
        <v>6.5251418067226882E-2</v>
      </c>
      <c r="CM65" s="781">
        <f t="shared" si="151"/>
        <v>5.4376181722689085E-2</v>
      </c>
      <c r="CN65" s="781">
        <f t="shared" si="151"/>
        <v>3.0426890756302526E-2</v>
      </c>
      <c r="CO65" s="781">
        <f t="shared" si="151"/>
        <v>0.15855</v>
      </c>
      <c r="CP65" s="781">
        <f t="shared" si="151"/>
        <v>0.13080141806722689</v>
      </c>
      <c r="CQ65" s="781">
        <f t="shared" si="151"/>
        <v>0.12450118172268908</v>
      </c>
      <c r="CR65" s="781">
        <f t="shared" si="151"/>
        <v>0.11062689075630253</v>
      </c>
      <c r="CS65" s="781">
        <f t="shared" si="151"/>
        <v>0.11315</v>
      </c>
      <c r="CT65" s="781">
        <f t="shared" si="151"/>
        <v>6.5251418067226882E-2</v>
      </c>
      <c r="CU65" s="781">
        <f t="shared" si="151"/>
        <v>5.4376181722689085E-2</v>
      </c>
      <c r="CV65" s="781">
        <f t="shared" si="151"/>
        <v>1.7626890756302523E-2</v>
      </c>
      <c r="CW65" s="781">
        <f t="shared" si="151"/>
        <v>6.5549999999999997E-2</v>
      </c>
      <c r="CX65" s="781">
        <f t="shared" si="151"/>
        <v>3.7801418067226887E-2</v>
      </c>
      <c r="CY65" s="781">
        <f t="shared" si="151"/>
        <v>3.1501181722689078E-2</v>
      </c>
      <c r="CZ65" s="781">
        <f t="shared" si="151"/>
        <v>1.7626890756302523E-2</v>
      </c>
      <c r="DA65" s="781">
        <f t="shared" si="151"/>
        <v>0</v>
      </c>
      <c r="DB65" s="781">
        <f t="shared" si="151"/>
        <v>0</v>
      </c>
      <c r="DC65" s="781">
        <f t="shared" si="151"/>
        <v>0</v>
      </c>
      <c r="DD65" s="781">
        <f t="shared" si="151"/>
        <v>0</v>
      </c>
      <c r="ET65" s="708">
        <v>10</v>
      </c>
      <c r="EU65" s="708" t="s">
        <v>1063</v>
      </c>
      <c r="EV65" s="708">
        <v>0.11992999999999999</v>
      </c>
      <c r="EW65" s="708" t="s">
        <v>1066</v>
      </c>
      <c r="EX65" s="758">
        <f>ET65/EV65</f>
        <v>83.381972817476864</v>
      </c>
    </row>
    <row r="66" spans="3:154">
      <c r="C66" s="1233" t="s">
        <v>32</v>
      </c>
      <c r="D66" s="780">
        <f t="shared" ref="D66:AI66" si="152">SUMIF(D$17:D$44,"&lt;&gt;",$DS$17:$DS$44)</f>
        <v>97</v>
      </c>
      <c r="E66" s="780">
        <f t="shared" si="152"/>
        <v>97</v>
      </c>
      <c r="F66" s="780">
        <f t="shared" si="152"/>
        <v>62</v>
      </c>
      <c r="G66" s="780">
        <f t="shared" si="152"/>
        <v>62</v>
      </c>
      <c r="H66" s="937">
        <f t="shared" si="152"/>
        <v>62</v>
      </c>
      <c r="I66" s="937">
        <f t="shared" si="152"/>
        <v>62</v>
      </c>
      <c r="J66" s="780">
        <f t="shared" si="152"/>
        <v>62</v>
      </c>
      <c r="K66" s="780">
        <f t="shared" si="152"/>
        <v>62</v>
      </c>
      <c r="L66" s="780">
        <f t="shared" si="152"/>
        <v>97</v>
      </c>
      <c r="M66" s="780">
        <f t="shared" si="152"/>
        <v>92</v>
      </c>
      <c r="N66" s="780">
        <f t="shared" si="152"/>
        <v>62</v>
      </c>
      <c r="O66" s="780">
        <f t="shared" si="152"/>
        <v>57</v>
      </c>
      <c r="P66" s="937">
        <f t="shared" si="152"/>
        <v>62</v>
      </c>
      <c r="Q66" s="937">
        <f t="shared" si="152"/>
        <v>57</v>
      </c>
      <c r="R66" s="780">
        <f t="shared" si="152"/>
        <v>62</v>
      </c>
      <c r="S66" s="780">
        <f t="shared" si="152"/>
        <v>57</v>
      </c>
      <c r="T66" s="780">
        <f t="shared" si="152"/>
        <v>62</v>
      </c>
      <c r="U66" s="780">
        <f t="shared" si="152"/>
        <v>62</v>
      </c>
      <c r="V66" s="780">
        <f t="shared" si="152"/>
        <v>62</v>
      </c>
      <c r="W66" s="780">
        <f t="shared" si="152"/>
        <v>57</v>
      </c>
      <c r="X66" s="780">
        <f t="shared" si="152"/>
        <v>85</v>
      </c>
      <c r="Y66" s="780">
        <f t="shared" si="152"/>
        <v>85</v>
      </c>
      <c r="Z66" s="937">
        <f t="shared" si="152"/>
        <v>50</v>
      </c>
      <c r="AA66" s="937">
        <f t="shared" si="152"/>
        <v>50</v>
      </c>
      <c r="AB66" s="780">
        <f t="shared" si="152"/>
        <v>50</v>
      </c>
      <c r="AC66" s="780">
        <f t="shared" si="152"/>
        <v>50</v>
      </c>
      <c r="AD66" s="937">
        <f t="shared" si="152"/>
        <v>50</v>
      </c>
      <c r="AE66" s="937">
        <f t="shared" si="152"/>
        <v>50</v>
      </c>
      <c r="AF66" s="937">
        <f t="shared" si="152"/>
        <v>50</v>
      </c>
      <c r="AG66" s="937">
        <f t="shared" si="152"/>
        <v>50</v>
      </c>
      <c r="AH66" s="780">
        <f t="shared" si="152"/>
        <v>50</v>
      </c>
      <c r="AI66" s="780">
        <f t="shared" si="152"/>
        <v>50</v>
      </c>
      <c r="AJ66" s="780">
        <f t="shared" ref="AJ66:BO66" si="153">SUMIF(AJ$17:AJ$44,"&lt;&gt;",$DS$17:$DS$44)</f>
        <v>50</v>
      </c>
      <c r="AK66" s="780">
        <f t="shared" si="153"/>
        <v>50</v>
      </c>
      <c r="AL66" s="780">
        <f t="shared" si="153"/>
        <v>50</v>
      </c>
      <c r="AM66" s="780">
        <f t="shared" si="153"/>
        <v>45</v>
      </c>
      <c r="AN66" s="780">
        <f t="shared" si="153"/>
        <v>35</v>
      </c>
      <c r="AO66" s="780">
        <f t="shared" si="153"/>
        <v>47</v>
      </c>
      <c r="AP66" s="780">
        <f t="shared" si="153"/>
        <v>42</v>
      </c>
      <c r="AQ66" s="780">
        <f t="shared" si="153"/>
        <v>42</v>
      </c>
      <c r="AR66" s="780">
        <f t="shared" si="153"/>
        <v>42</v>
      </c>
      <c r="AS66" s="780">
        <f t="shared" si="153"/>
        <v>35</v>
      </c>
      <c r="AT66" s="780">
        <f t="shared" si="153"/>
        <v>30</v>
      </c>
      <c r="AU66" s="780">
        <f t="shared" si="153"/>
        <v>30</v>
      </c>
      <c r="AV66" s="780">
        <f t="shared" si="153"/>
        <v>30</v>
      </c>
      <c r="AW66" s="780">
        <f t="shared" si="153"/>
        <v>0</v>
      </c>
      <c r="AX66" s="780">
        <f t="shared" si="153"/>
        <v>0</v>
      </c>
      <c r="AY66" s="780">
        <f t="shared" si="153"/>
        <v>0</v>
      </c>
      <c r="AZ66" s="780">
        <f t="shared" si="153"/>
        <v>0</v>
      </c>
      <c r="BA66" s="780">
        <f t="shared" si="153"/>
        <v>35</v>
      </c>
      <c r="BB66" s="780">
        <f t="shared" si="153"/>
        <v>30</v>
      </c>
      <c r="BC66" s="780">
        <f t="shared" si="153"/>
        <v>30</v>
      </c>
      <c r="BD66" s="780">
        <f t="shared" si="153"/>
        <v>0</v>
      </c>
      <c r="BE66" s="780">
        <f t="shared" si="153"/>
        <v>0</v>
      </c>
      <c r="BF66" s="780">
        <f t="shared" si="153"/>
        <v>0</v>
      </c>
      <c r="BG66" s="780">
        <f t="shared" si="153"/>
        <v>0</v>
      </c>
      <c r="BH66" s="780">
        <f t="shared" si="153"/>
        <v>0</v>
      </c>
      <c r="BI66" s="780">
        <f t="shared" si="153"/>
        <v>0</v>
      </c>
      <c r="BJ66" s="780">
        <f t="shared" si="153"/>
        <v>35</v>
      </c>
      <c r="BK66" s="780">
        <f t="shared" si="153"/>
        <v>47</v>
      </c>
      <c r="BL66" s="780">
        <f t="shared" si="153"/>
        <v>42</v>
      </c>
      <c r="BM66" s="780">
        <f t="shared" si="153"/>
        <v>42</v>
      </c>
      <c r="BN66" s="780">
        <f t="shared" si="153"/>
        <v>42</v>
      </c>
      <c r="BO66" s="780">
        <f t="shared" si="153"/>
        <v>35</v>
      </c>
      <c r="BP66" s="780">
        <f t="shared" ref="BP66:BX66" si="154">SUMIF(BP$17:BP$44,"&lt;&gt;",$DS$17:$DS$44)</f>
        <v>30</v>
      </c>
      <c r="BQ66" s="780">
        <f t="shared" si="154"/>
        <v>30</v>
      </c>
      <c r="BR66" s="780">
        <f t="shared" si="154"/>
        <v>30</v>
      </c>
      <c r="BS66" s="780">
        <f t="shared" si="154"/>
        <v>0</v>
      </c>
      <c r="BT66" s="780">
        <f t="shared" si="154"/>
        <v>0</v>
      </c>
      <c r="BU66" s="780">
        <f t="shared" si="154"/>
        <v>0</v>
      </c>
      <c r="BV66" s="780">
        <f t="shared" si="154"/>
        <v>0</v>
      </c>
      <c r="BW66" s="780">
        <f t="shared" si="154"/>
        <v>35</v>
      </c>
      <c r="BX66" s="780">
        <f t="shared" si="154"/>
        <v>30</v>
      </c>
      <c r="BY66" s="780">
        <f t="shared" ref="BY66:DD66" si="155">SUMIF(BY$17:BY$44,"&lt;&gt;",$DS$17:$DS$44)</f>
        <v>30</v>
      </c>
      <c r="BZ66" s="780">
        <f t="shared" si="155"/>
        <v>0</v>
      </c>
      <c r="CA66" s="780">
        <f t="shared" si="155"/>
        <v>0</v>
      </c>
      <c r="CB66" s="780">
        <f t="shared" si="155"/>
        <v>0</v>
      </c>
      <c r="CC66" s="780">
        <f t="shared" si="155"/>
        <v>0</v>
      </c>
      <c r="CD66" s="780">
        <f t="shared" si="155"/>
        <v>0</v>
      </c>
      <c r="CE66" s="780">
        <f t="shared" si="155"/>
        <v>0</v>
      </c>
      <c r="CF66" s="893">
        <f t="shared" si="155"/>
        <v>35</v>
      </c>
      <c r="CG66" s="780">
        <f t="shared" si="155"/>
        <v>47</v>
      </c>
      <c r="CH66" s="780">
        <f t="shared" si="155"/>
        <v>42</v>
      </c>
      <c r="CI66" s="780">
        <f t="shared" si="155"/>
        <v>42</v>
      </c>
      <c r="CJ66" s="780">
        <f t="shared" si="155"/>
        <v>42</v>
      </c>
      <c r="CK66" s="780">
        <f t="shared" si="155"/>
        <v>35</v>
      </c>
      <c r="CL66" s="780">
        <f t="shared" si="155"/>
        <v>30</v>
      </c>
      <c r="CM66" s="780">
        <f t="shared" si="155"/>
        <v>30</v>
      </c>
      <c r="CN66" s="780">
        <f t="shared" si="155"/>
        <v>30</v>
      </c>
      <c r="CO66" s="780">
        <f t="shared" si="155"/>
        <v>0</v>
      </c>
      <c r="CP66" s="780">
        <f t="shared" si="155"/>
        <v>0</v>
      </c>
      <c r="CQ66" s="780">
        <f t="shared" si="155"/>
        <v>0</v>
      </c>
      <c r="CR66" s="780">
        <f t="shared" si="155"/>
        <v>0</v>
      </c>
      <c r="CS66" s="780">
        <f t="shared" si="155"/>
        <v>35</v>
      </c>
      <c r="CT66" s="780">
        <f t="shared" si="155"/>
        <v>30</v>
      </c>
      <c r="CU66" s="780">
        <f t="shared" si="155"/>
        <v>30</v>
      </c>
      <c r="CV66" s="780">
        <f t="shared" si="155"/>
        <v>0</v>
      </c>
      <c r="CW66" s="780">
        <f t="shared" si="155"/>
        <v>0</v>
      </c>
      <c r="CX66" s="780">
        <f t="shared" si="155"/>
        <v>0</v>
      </c>
      <c r="CY66" s="780">
        <f t="shared" si="155"/>
        <v>0</v>
      </c>
      <c r="CZ66" s="780">
        <f t="shared" si="155"/>
        <v>0</v>
      </c>
      <c r="DA66" s="780">
        <f t="shared" si="155"/>
        <v>0</v>
      </c>
      <c r="DB66" s="780">
        <f t="shared" si="155"/>
        <v>0</v>
      </c>
      <c r="DC66" s="780">
        <f t="shared" si="155"/>
        <v>0</v>
      </c>
      <c r="DD66" s="780">
        <f t="shared" si="155"/>
        <v>0</v>
      </c>
    </row>
    <row r="67" spans="3:154" ht="13.25">
      <c r="C67" s="1233" t="s">
        <v>6</v>
      </c>
      <c r="D67" s="780">
        <f t="shared" ref="D67:AI67" si="156">SUMIF(D$17:D$44,"&lt;&gt;",$EB$17:$EB$44)</f>
        <v>2030</v>
      </c>
      <c r="E67" s="780">
        <f t="shared" si="156"/>
        <v>2030</v>
      </c>
      <c r="F67" s="780">
        <f t="shared" si="156"/>
        <v>2030</v>
      </c>
      <c r="G67" s="780">
        <f t="shared" si="156"/>
        <v>2030</v>
      </c>
      <c r="H67" s="937">
        <f t="shared" si="156"/>
        <v>2030</v>
      </c>
      <c r="I67" s="937">
        <f t="shared" si="156"/>
        <v>2030</v>
      </c>
      <c r="J67" s="780">
        <f t="shared" si="156"/>
        <v>2030</v>
      </c>
      <c r="K67" s="780">
        <f t="shared" si="156"/>
        <v>2030</v>
      </c>
      <c r="L67" s="780">
        <f t="shared" si="156"/>
        <v>2025</v>
      </c>
      <c r="M67" s="780">
        <f t="shared" si="156"/>
        <v>2025</v>
      </c>
      <c r="N67" s="780">
        <f t="shared" si="156"/>
        <v>2025</v>
      </c>
      <c r="O67" s="780">
        <f t="shared" si="156"/>
        <v>2025</v>
      </c>
      <c r="P67" s="937">
        <f t="shared" si="156"/>
        <v>2025</v>
      </c>
      <c r="Q67" s="937">
        <f t="shared" si="156"/>
        <v>2025</v>
      </c>
      <c r="R67" s="780">
        <f t="shared" si="156"/>
        <v>2025</v>
      </c>
      <c r="S67" s="780">
        <f t="shared" si="156"/>
        <v>2025</v>
      </c>
      <c r="T67" s="780">
        <f t="shared" si="156"/>
        <v>2030</v>
      </c>
      <c r="U67" s="780">
        <f t="shared" si="156"/>
        <v>2030</v>
      </c>
      <c r="V67" s="780">
        <f t="shared" si="156"/>
        <v>2025</v>
      </c>
      <c r="W67" s="780">
        <f t="shared" si="156"/>
        <v>2025</v>
      </c>
      <c r="X67" s="780">
        <f t="shared" si="156"/>
        <v>2030</v>
      </c>
      <c r="Y67" s="780">
        <f t="shared" si="156"/>
        <v>2030</v>
      </c>
      <c r="Z67" s="937">
        <f t="shared" si="156"/>
        <v>2030</v>
      </c>
      <c r="AA67" s="937">
        <f t="shared" si="156"/>
        <v>2030</v>
      </c>
      <c r="AB67" s="780">
        <f t="shared" si="156"/>
        <v>2030</v>
      </c>
      <c r="AC67" s="780">
        <f t="shared" si="156"/>
        <v>2030</v>
      </c>
      <c r="AD67" s="937">
        <f t="shared" si="156"/>
        <v>2030</v>
      </c>
      <c r="AE67" s="937">
        <f t="shared" si="156"/>
        <v>2030</v>
      </c>
      <c r="AF67" s="937">
        <f t="shared" si="156"/>
        <v>2030</v>
      </c>
      <c r="AG67" s="937">
        <f t="shared" si="156"/>
        <v>2030</v>
      </c>
      <c r="AH67" s="780">
        <f t="shared" si="156"/>
        <v>2030</v>
      </c>
      <c r="AI67" s="780">
        <f t="shared" si="156"/>
        <v>2030</v>
      </c>
      <c r="AJ67" s="780">
        <f t="shared" ref="AJ67:BO67" si="157">SUMIF(AJ$17:AJ$44,"&lt;&gt;",$EB$17:$EB$44)</f>
        <v>2030</v>
      </c>
      <c r="AK67" s="780">
        <f t="shared" si="157"/>
        <v>2030</v>
      </c>
      <c r="AL67" s="780">
        <f t="shared" si="157"/>
        <v>2025</v>
      </c>
      <c r="AM67" s="780">
        <f t="shared" si="157"/>
        <v>2025</v>
      </c>
      <c r="AN67" s="780">
        <f t="shared" si="157"/>
        <v>0</v>
      </c>
      <c r="AO67" s="780">
        <f t="shared" si="157"/>
        <v>0</v>
      </c>
      <c r="AP67" s="780">
        <f t="shared" si="157"/>
        <v>0</v>
      </c>
      <c r="AQ67" s="780">
        <f t="shared" si="157"/>
        <v>0</v>
      </c>
      <c r="AR67" s="780">
        <f t="shared" si="157"/>
        <v>0</v>
      </c>
      <c r="AS67" s="780">
        <f t="shared" si="157"/>
        <v>0</v>
      </c>
      <c r="AT67" s="780">
        <f t="shared" si="157"/>
        <v>0</v>
      </c>
      <c r="AU67" s="780">
        <f t="shared" si="157"/>
        <v>0</v>
      </c>
      <c r="AV67" s="780">
        <f t="shared" si="157"/>
        <v>0</v>
      </c>
      <c r="AW67" s="780">
        <f t="shared" si="157"/>
        <v>0</v>
      </c>
      <c r="AX67" s="780">
        <f t="shared" si="157"/>
        <v>0</v>
      </c>
      <c r="AY67" s="780">
        <f t="shared" si="157"/>
        <v>0</v>
      </c>
      <c r="AZ67" s="780">
        <f t="shared" si="157"/>
        <v>0</v>
      </c>
      <c r="BA67" s="780">
        <f t="shared" si="157"/>
        <v>0</v>
      </c>
      <c r="BB67" s="780">
        <f t="shared" si="157"/>
        <v>0</v>
      </c>
      <c r="BC67" s="780">
        <f t="shared" si="157"/>
        <v>0</v>
      </c>
      <c r="BD67" s="780">
        <f t="shared" si="157"/>
        <v>0</v>
      </c>
      <c r="BE67" s="780">
        <f t="shared" si="157"/>
        <v>0</v>
      </c>
      <c r="BF67" s="780">
        <f t="shared" si="157"/>
        <v>0</v>
      </c>
      <c r="BG67" s="780">
        <f t="shared" si="157"/>
        <v>0</v>
      </c>
      <c r="BH67" s="780">
        <f t="shared" si="157"/>
        <v>0</v>
      </c>
      <c r="BI67" s="780">
        <f t="shared" si="157"/>
        <v>0</v>
      </c>
      <c r="BJ67" s="780">
        <f t="shared" si="157"/>
        <v>0</v>
      </c>
      <c r="BK67" s="780">
        <f t="shared" si="157"/>
        <v>0</v>
      </c>
      <c r="BL67" s="780">
        <f t="shared" si="157"/>
        <v>0</v>
      </c>
      <c r="BM67" s="780">
        <f t="shared" si="157"/>
        <v>0</v>
      </c>
      <c r="BN67" s="780">
        <f t="shared" si="157"/>
        <v>0</v>
      </c>
      <c r="BO67" s="780">
        <f t="shared" si="157"/>
        <v>0</v>
      </c>
      <c r="BP67" s="780">
        <f t="shared" ref="BP67:BX67" si="158">SUMIF(BP$17:BP$44,"&lt;&gt;",$EB$17:$EB$44)</f>
        <v>0</v>
      </c>
      <c r="BQ67" s="780">
        <f t="shared" si="158"/>
        <v>0</v>
      </c>
      <c r="BR67" s="780">
        <f t="shared" si="158"/>
        <v>0</v>
      </c>
      <c r="BS67" s="780">
        <f t="shared" si="158"/>
        <v>0</v>
      </c>
      <c r="BT67" s="780">
        <f t="shared" si="158"/>
        <v>0</v>
      </c>
      <c r="BU67" s="780">
        <f t="shared" si="158"/>
        <v>0</v>
      </c>
      <c r="BV67" s="780">
        <f t="shared" si="158"/>
        <v>0</v>
      </c>
      <c r="BW67" s="780">
        <f t="shared" si="158"/>
        <v>0</v>
      </c>
      <c r="BX67" s="780">
        <f t="shared" si="158"/>
        <v>0</v>
      </c>
      <c r="BY67" s="780">
        <f t="shared" ref="BY67:DD67" si="159">SUMIF(BY$17:BY$44,"&lt;&gt;",$EB$17:$EB$44)</f>
        <v>0</v>
      </c>
      <c r="BZ67" s="780">
        <f t="shared" si="159"/>
        <v>0</v>
      </c>
      <c r="CA67" s="780">
        <f t="shared" si="159"/>
        <v>0</v>
      </c>
      <c r="CB67" s="780">
        <f t="shared" si="159"/>
        <v>0</v>
      </c>
      <c r="CC67" s="780">
        <f t="shared" si="159"/>
        <v>0</v>
      </c>
      <c r="CD67" s="780">
        <f t="shared" si="159"/>
        <v>0</v>
      </c>
      <c r="CE67" s="780">
        <f t="shared" si="159"/>
        <v>0</v>
      </c>
      <c r="CF67" s="893">
        <f t="shared" si="159"/>
        <v>0</v>
      </c>
      <c r="CG67" s="780">
        <f t="shared" si="159"/>
        <v>0</v>
      </c>
      <c r="CH67" s="780">
        <f t="shared" si="159"/>
        <v>0</v>
      </c>
      <c r="CI67" s="780">
        <f t="shared" si="159"/>
        <v>0</v>
      </c>
      <c r="CJ67" s="780">
        <f t="shared" si="159"/>
        <v>0</v>
      </c>
      <c r="CK67" s="780">
        <f t="shared" si="159"/>
        <v>0</v>
      </c>
      <c r="CL67" s="780">
        <f t="shared" si="159"/>
        <v>0</v>
      </c>
      <c r="CM67" s="780">
        <f t="shared" si="159"/>
        <v>0</v>
      </c>
      <c r="CN67" s="780">
        <f t="shared" si="159"/>
        <v>0</v>
      </c>
      <c r="CO67" s="780">
        <f t="shared" si="159"/>
        <v>0</v>
      </c>
      <c r="CP67" s="780">
        <f t="shared" si="159"/>
        <v>0</v>
      </c>
      <c r="CQ67" s="780">
        <f t="shared" si="159"/>
        <v>0</v>
      </c>
      <c r="CR67" s="780">
        <f t="shared" si="159"/>
        <v>0</v>
      </c>
      <c r="CS67" s="780">
        <f t="shared" si="159"/>
        <v>0</v>
      </c>
      <c r="CT67" s="780">
        <f t="shared" si="159"/>
        <v>0</v>
      </c>
      <c r="CU67" s="780">
        <f t="shared" si="159"/>
        <v>0</v>
      </c>
      <c r="CV67" s="780">
        <f t="shared" si="159"/>
        <v>0</v>
      </c>
      <c r="CW67" s="780">
        <f t="shared" si="159"/>
        <v>0</v>
      </c>
      <c r="CX67" s="780">
        <f t="shared" si="159"/>
        <v>0</v>
      </c>
      <c r="CY67" s="780">
        <f t="shared" si="159"/>
        <v>0</v>
      </c>
      <c r="CZ67" s="780">
        <f t="shared" si="159"/>
        <v>0</v>
      </c>
      <c r="DA67" s="780">
        <f t="shared" si="159"/>
        <v>0</v>
      </c>
      <c r="DB67" s="780">
        <f t="shared" si="159"/>
        <v>0</v>
      </c>
      <c r="DC67" s="780">
        <f t="shared" si="159"/>
        <v>0</v>
      </c>
      <c r="DD67" s="780">
        <f t="shared" si="159"/>
        <v>0</v>
      </c>
      <c r="ES67" s="1259">
        <f>0.28*ES58</f>
        <v>0.16800000000000001</v>
      </c>
      <c r="ET67" s="708" t="s">
        <v>1054</v>
      </c>
      <c r="EU67" s="622">
        <f>119.93</f>
        <v>119.93</v>
      </c>
      <c r="EV67" s="708" t="s">
        <v>1055</v>
      </c>
    </row>
    <row r="68" spans="3:154">
      <c r="ES68" s="780">
        <f>ES67/EU67</f>
        <v>1.4008171433336112E-3</v>
      </c>
    </row>
  </sheetData>
  <mergeCells count="5">
    <mergeCell ref="DF1:DI1"/>
    <mergeCell ref="DL1:DO1"/>
    <mergeCell ref="EG1:EJ1"/>
    <mergeCell ref="EK1:EN1"/>
    <mergeCell ref="DF48:DH48"/>
  </mergeCells>
  <phoneticPr fontId="137" type="noConversion"/>
  <pageMargins left="0.7" right="0.7" top="0.75" bottom="0.75" header="0.3" footer="0.3"/>
  <pageSetup orientation="portrait" horizontalDpi="300" verticalDpi="30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theme="4"/>
  </sheetPr>
  <dimension ref="A1:W135"/>
  <sheetViews>
    <sheetView workbookViewId="0">
      <selection activeCell="D7" sqref="D7"/>
    </sheetView>
  </sheetViews>
  <sheetFormatPr defaultRowHeight="13"/>
  <cols>
    <col min="2" max="2" width="19.40625" customWidth="1"/>
    <col min="3" max="3" width="82.54296875" customWidth="1"/>
    <col min="4" max="4" width="12.86328125" bestFit="1" customWidth="1"/>
    <col min="5" max="5" width="12.86328125" style="28" customWidth="1"/>
    <col min="6" max="6" width="12.86328125" bestFit="1" customWidth="1"/>
    <col min="7" max="7" width="13.86328125" style="28" bestFit="1" customWidth="1"/>
    <col min="9" max="9" width="9.26953125" style="28" bestFit="1" customWidth="1"/>
    <col min="10" max="10" width="8.86328125" bestFit="1" customWidth="1"/>
    <col min="11" max="12" width="9.26953125" style="130" bestFit="1" customWidth="1"/>
    <col min="13" max="13" width="8.86328125" bestFit="1" customWidth="1"/>
    <col min="14" max="15" width="9.26953125" style="130" bestFit="1" customWidth="1"/>
    <col min="16" max="16" width="8.86328125" bestFit="1" customWidth="1"/>
    <col min="17" max="18" width="9.26953125" style="130" bestFit="1" customWidth="1"/>
    <col min="19" max="19" width="8.86328125" bestFit="1" customWidth="1"/>
    <col min="20" max="20" width="9.40625" bestFit="1" customWidth="1"/>
    <col min="21" max="21" width="8.86328125" bestFit="1" customWidth="1"/>
  </cols>
  <sheetData>
    <row r="1" spans="1:23" ht="23">
      <c r="A1" s="4" t="s">
        <v>132</v>
      </c>
      <c r="D1" s="4" t="s">
        <v>398</v>
      </c>
      <c r="F1">
        <v>0.76885081447747605</v>
      </c>
      <c r="G1"/>
      <c r="I1"/>
    </row>
    <row r="2" spans="1:23">
      <c r="G2"/>
      <c r="I2"/>
    </row>
    <row r="3" spans="1:23">
      <c r="G3"/>
      <c r="I3"/>
    </row>
    <row r="4" spans="1:23">
      <c r="B4" s="2"/>
      <c r="C4" s="2"/>
      <c r="D4" s="2"/>
      <c r="E4" s="2"/>
      <c r="F4" s="7"/>
      <c r="G4" s="2"/>
      <c r="H4" s="6"/>
      <c r="I4" s="6"/>
      <c r="J4" s="2"/>
      <c r="K4" s="131"/>
      <c r="L4" s="131"/>
      <c r="M4" s="28"/>
      <c r="P4" s="28"/>
      <c r="S4" s="2"/>
      <c r="T4" s="2"/>
      <c r="U4" s="28"/>
    </row>
    <row r="5" spans="1:23" ht="26">
      <c r="B5" s="1" t="s">
        <v>0</v>
      </c>
      <c r="C5" s="31" t="s">
        <v>103</v>
      </c>
      <c r="D5" s="1" t="s">
        <v>2</v>
      </c>
      <c r="E5" s="1" t="s">
        <v>223</v>
      </c>
      <c r="F5" s="1" t="s">
        <v>3</v>
      </c>
      <c r="G5" s="40" t="s">
        <v>28</v>
      </c>
      <c r="H5" s="40" t="s">
        <v>36</v>
      </c>
      <c r="I5" s="40" t="s">
        <v>38</v>
      </c>
      <c r="J5" s="40" t="s">
        <v>22</v>
      </c>
      <c r="K5" s="40" t="s">
        <v>44</v>
      </c>
      <c r="L5" s="40" t="s">
        <v>95</v>
      </c>
      <c r="M5" s="40" t="s">
        <v>4</v>
      </c>
      <c r="N5" s="40" t="s">
        <v>96</v>
      </c>
      <c r="O5" s="40" t="s">
        <v>97</v>
      </c>
      <c r="P5" s="40" t="s">
        <v>21</v>
      </c>
      <c r="Q5" s="40" t="s">
        <v>99</v>
      </c>
      <c r="R5" s="40" t="s">
        <v>100</v>
      </c>
      <c r="S5" s="40" t="s">
        <v>32</v>
      </c>
      <c r="T5" s="40" t="s">
        <v>102</v>
      </c>
      <c r="U5" s="40" t="s">
        <v>31</v>
      </c>
    </row>
    <row r="6" spans="1:23" ht="26">
      <c r="B6" s="217" t="s">
        <v>25</v>
      </c>
      <c r="C6" s="217" t="s">
        <v>15</v>
      </c>
      <c r="D6" s="217" t="s">
        <v>19</v>
      </c>
      <c r="E6" s="217"/>
      <c r="F6" s="217" t="s">
        <v>20</v>
      </c>
      <c r="G6" s="218"/>
      <c r="H6" s="218"/>
      <c r="I6" s="218"/>
      <c r="J6" s="218" t="s">
        <v>397</v>
      </c>
      <c r="K6" s="218" t="s">
        <v>397</v>
      </c>
      <c r="L6" s="218" t="s">
        <v>397</v>
      </c>
      <c r="M6" s="218" t="s">
        <v>397</v>
      </c>
      <c r="N6" s="218" t="s">
        <v>397</v>
      </c>
      <c r="O6" s="218" t="s">
        <v>397</v>
      </c>
      <c r="P6" s="218" t="s">
        <v>35</v>
      </c>
      <c r="Q6" s="218" t="s">
        <v>35</v>
      </c>
      <c r="R6" s="218" t="s">
        <v>35</v>
      </c>
      <c r="S6" s="218" t="s">
        <v>34</v>
      </c>
      <c r="T6" s="218"/>
      <c r="U6" s="218"/>
    </row>
    <row r="7" spans="1:23">
      <c r="B7" s="275" t="str">
        <f>'INPUT-Data(HD)'!B3</f>
        <v>TRALH2C01</v>
      </c>
      <c r="C7" s="275" t="str">
        <f>'INPUT-Data(HD)'!C3</f>
        <v>Fuel Tech - H2 Delivery from centralized production (COMP+USTOR+TR+LIQ+LSTORB+RTS+REFLL(large))</v>
      </c>
      <c r="D7" s="275" t="s">
        <v>231</v>
      </c>
      <c r="E7" s="275"/>
      <c r="F7" s="66"/>
      <c r="G7" s="276">
        <f>'INPUT-Data(HD)'!J3</f>
        <v>1</v>
      </c>
      <c r="H7" s="73"/>
      <c r="I7" s="277">
        <f>'INPUT-Data(HD)'!N3</f>
        <v>0.75</v>
      </c>
      <c r="J7" s="278">
        <f>F1*'INPUT-Data(HD)'!O3</f>
        <v>29.764525382299055</v>
      </c>
      <c r="K7" s="278">
        <f>J7-(3*(J7-L7)/4)</f>
        <v>23.23700914888483</v>
      </c>
      <c r="L7" s="278">
        <f>F1*'INPUT-Data(HD)'!P3</f>
        <v>21.061170404413424</v>
      </c>
      <c r="M7" s="278">
        <f>F1*'INPUT-Data(HD)'!Q3</f>
        <v>1.5561395894754879</v>
      </c>
      <c r="N7" s="278">
        <f>M7-(3*(M7-O7)/4)</f>
        <v>1.2107873322672988</v>
      </c>
      <c r="O7" s="278">
        <f>F1*'INPUT-Data(HD)'!R3</f>
        <v>1.0956699131979024</v>
      </c>
      <c r="P7" s="278">
        <f>F1*'INPUT-Data(HD)'!S3</f>
        <v>0.72844077747023317</v>
      </c>
      <c r="Q7" s="278">
        <f>P7-(3*(P7-R7)/4)</f>
        <v>0.55817003642325325</v>
      </c>
      <c r="R7" s="278">
        <f>F1*'INPUT-Data(HD)'!T3</f>
        <v>0.50141312274092664</v>
      </c>
      <c r="S7" s="276">
        <f>'INPUT-Data(HD)'!U3</f>
        <v>20</v>
      </c>
      <c r="T7" s="276">
        <f>'INPUT-Data(HD)'!V3</f>
        <v>2015</v>
      </c>
      <c r="U7" s="73">
        <v>1</v>
      </c>
    </row>
    <row r="8" spans="1:23" s="28" customFormat="1">
      <c r="B8" s="279"/>
      <c r="C8" s="275"/>
      <c r="D8" s="275" t="s">
        <v>339</v>
      </c>
      <c r="E8" s="275"/>
      <c r="F8" s="275"/>
      <c r="G8" s="280">
        <f>'INPUT-Data(HD)'!K3</f>
        <v>0.23599999999999999</v>
      </c>
      <c r="H8" s="73"/>
      <c r="I8" s="277"/>
      <c r="J8" s="278"/>
      <c r="K8" s="278"/>
      <c r="L8" s="278"/>
      <c r="M8" s="278"/>
      <c r="N8" s="278"/>
      <c r="O8" s="278"/>
      <c r="P8" s="278"/>
      <c r="Q8" s="278"/>
      <c r="R8" s="278"/>
      <c r="S8" s="276"/>
      <c r="T8" s="276"/>
      <c r="U8" s="66"/>
    </row>
    <row r="9" spans="1:23" s="28" customFormat="1">
      <c r="A9" s="28" t="s">
        <v>605</v>
      </c>
      <c r="B9" s="279"/>
      <c r="C9" s="275"/>
      <c r="D9" s="275" t="s">
        <v>595</v>
      </c>
      <c r="E9" s="275"/>
      <c r="F9" s="275"/>
      <c r="G9" s="281">
        <f>IF('INPUT-Data(HD)'!L3=0,"",'INPUT-Data(HD)'!L3)</f>
        <v>3.0000000000000001E-3</v>
      </c>
      <c r="H9" s="73"/>
      <c r="I9" s="277"/>
      <c r="J9" s="278"/>
      <c r="K9" s="278"/>
      <c r="L9" s="278"/>
      <c r="M9" s="278"/>
      <c r="N9" s="278"/>
      <c r="O9" s="278"/>
      <c r="P9" s="278"/>
      <c r="Q9" s="278"/>
      <c r="R9" s="278"/>
      <c r="S9" s="276"/>
      <c r="T9" s="276"/>
      <c r="U9" s="66"/>
    </row>
    <row r="10" spans="1:23" s="28" customFormat="1">
      <c r="B10" s="279"/>
      <c r="C10" s="275"/>
      <c r="D10" s="275"/>
      <c r="E10" s="275"/>
      <c r="F10" s="275" t="s">
        <v>161</v>
      </c>
      <c r="G10" s="278"/>
      <c r="H10" s="282">
        <f>'INPUT-Data(HD)'!M3</f>
        <v>1</v>
      </c>
      <c r="I10" s="277"/>
      <c r="J10" s="278"/>
      <c r="K10" s="278"/>
      <c r="L10" s="278"/>
      <c r="M10" s="278"/>
      <c r="N10" s="278"/>
      <c r="O10" s="278"/>
      <c r="P10" s="278"/>
      <c r="Q10" s="278"/>
      <c r="R10" s="278"/>
      <c r="S10" s="276"/>
      <c r="T10" s="276"/>
      <c r="U10" s="66"/>
    </row>
    <row r="11" spans="1:23">
      <c r="B11" s="283" t="str">
        <f>'INPUT-Data(HD)'!B4</f>
        <v>TRAGH2C01</v>
      </c>
      <c r="C11" s="283" t="str">
        <f>'INPUT-Data(HD)'!C4</f>
        <v>Fuel Tech - H2 Delivery from centralized production (COMP+USTOR+TR+LIQ+LSTORB+RTS+REFLG(large))</v>
      </c>
      <c r="D11" s="283" t="s">
        <v>231</v>
      </c>
      <c r="E11" s="283"/>
      <c r="F11" s="284"/>
      <c r="G11" s="285">
        <f>'INPUT-Data(HD)'!J4</f>
        <v>1</v>
      </c>
      <c r="H11" s="286"/>
      <c r="I11" s="287">
        <f>'INPUT-Data(HD)'!N4</f>
        <v>0.75</v>
      </c>
      <c r="J11" s="288">
        <f>F1*'INPUT-Data(HD)'!O4</f>
        <v>50.505452790911846</v>
      </c>
      <c r="K11" s="288">
        <f>J11-(3*(J11-L11)/4)</f>
        <v>39.032828319882924</v>
      </c>
      <c r="L11" s="288">
        <f>F1*'INPUT-Data(HD)'!P4</f>
        <v>35.208620162873281</v>
      </c>
      <c r="M11" s="288">
        <f>F1*'INPUT-Data(HD)'!Q4</f>
        <v>2.0943330318956921</v>
      </c>
      <c r="N11" s="288">
        <f>M11-(3*(M11-O11)/4)</f>
        <v>1.6206632326070465</v>
      </c>
      <c r="O11" s="288">
        <f>F1*'INPUT-Data(HD)'!R4</f>
        <v>1.4627732995108313</v>
      </c>
      <c r="P11" s="288">
        <f>F1*'INPUT-Data(HD)'!S4</f>
        <v>0.26397301477084173</v>
      </c>
      <c r="Q11" s="288">
        <f>P11-(3*(P11-R11)/4)</f>
        <v>0.20444193903301555</v>
      </c>
      <c r="R11" s="288">
        <f>F1*'INPUT-Data(HD)'!T4</f>
        <v>0.18459824712040684</v>
      </c>
      <c r="S11" s="285">
        <f>'INPUT-Data(HD)'!U4</f>
        <v>20</v>
      </c>
      <c r="T11" s="285">
        <f>'INPUT-Data(HD)'!V4</f>
        <v>2015</v>
      </c>
      <c r="U11" s="289">
        <v>1</v>
      </c>
      <c r="W11" s="130"/>
    </row>
    <row r="12" spans="1:23" s="28" customFormat="1">
      <c r="B12" s="290"/>
      <c r="C12" s="283"/>
      <c r="D12" s="283" t="s">
        <v>339</v>
      </c>
      <c r="E12" s="283"/>
      <c r="F12" s="283"/>
      <c r="G12" s="291">
        <f>'INPUT-Data(HD)'!K4</f>
        <v>0.26019999999999999</v>
      </c>
      <c r="H12" s="286"/>
      <c r="I12" s="287"/>
      <c r="J12" s="288"/>
      <c r="K12" s="288"/>
      <c r="L12" s="288"/>
      <c r="M12" s="288"/>
      <c r="N12" s="288"/>
      <c r="O12" s="288"/>
      <c r="P12" s="288"/>
      <c r="Q12" s="288"/>
      <c r="R12" s="288"/>
      <c r="S12" s="285"/>
      <c r="T12" s="285"/>
      <c r="U12" s="284"/>
    </row>
    <row r="13" spans="1:23" s="28" customFormat="1">
      <c r="A13" s="130" t="s">
        <v>605</v>
      </c>
      <c r="B13" s="290"/>
      <c r="C13" s="283"/>
      <c r="D13" s="283" t="s">
        <v>595</v>
      </c>
      <c r="E13" s="283"/>
      <c r="F13" s="283"/>
      <c r="G13" s="292">
        <f>IF('INPUT-Data(HD)'!L4=0,"",'INPUT-Data(HD)'!L4)</f>
        <v>3.0000000000000001E-3</v>
      </c>
      <c r="H13" s="286"/>
      <c r="I13" s="287"/>
      <c r="J13" s="288"/>
      <c r="K13" s="288"/>
      <c r="L13" s="288"/>
      <c r="M13" s="288"/>
      <c r="N13" s="288"/>
      <c r="O13" s="288"/>
      <c r="P13" s="288"/>
      <c r="Q13" s="288"/>
      <c r="R13" s="288"/>
      <c r="S13" s="285"/>
      <c r="T13" s="285"/>
      <c r="U13" s="284"/>
    </row>
    <row r="14" spans="1:23" s="28" customFormat="1">
      <c r="B14" s="290"/>
      <c r="C14" s="283"/>
      <c r="D14" s="283"/>
      <c r="E14" s="283"/>
      <c r="F14" s="283" t="s">
        <v>164</v>
      </c>
      <c r="G14" s="288"/>
      <c r="H14" s="286">
        <f>'INPUT-Data(HD)'!M4</f>
        <v>1</v>
      </c>
      <c r="I14" s="287"/>
      <c r="J14" s="288"/>
      <c r="K14" s="288"/>
      <c r="L14" s="288"/>
      <c r="M14" s="288"/>
      <c r="N14" s="288"/>
      <c r="O14" s="288"/>
      <c r="P14" s="288"/>
      <c r="Q14" s="288"/>
      <c r="R14" s="288"/>
      <c r="S14" s="285"/>
      <c r="T14" s="285"/>
      <c r="U14" s="284"/>
    </row>
    <row r="15" spans="1:23" s="28" customFormat="1">
      <c r="B15" s="275" t="str">
        <f>'INPUT-Data(HD)'!B5</f>
        <v>TRALH2C02</v>
      </c>
      <c r="C15" s="275" t="str">
        <f>'INPUT-Data(HD)'!C5</f>
        <v>Fuel Tech - H2 Delivery from centralized production (COMP+TR+LIQ+LSTORB+RTS+REFLL(large))</v>
      </c>
      <c r="D15" s="275" t="s">
        <v>233</v>
      </c>
      <c r="E15" s="275"/>
      <c r="F15" s="66"/>
      <c r="G15" s="276">
        <f>'INPUT-Data(HD)'!J5</f>
        <v>1</v>
      </c>
      <c r="H15" s="282"/>
      <c r="I15" s="277">
        <f>'INPUT-Data(HD)'!N5</f>
        <v>0.75</v>
      </c>
      <c r="J15" s="278">
        <f>F1*'INPUT-Data(HD)'!O5</f>
        <v>29.764525382299055</v>
      </c>
      <c r="K15" s="278">
        <f>J15-(3*(J15-L15)/4)</f>
        <v>23.23700914888483</v>
      </c>
      <c r="L15" s="278">
        <f>F1*'INPUT-Data(HD)'!P5</f>
        <v>21.061170404413424</v>
      </c>
      <c r="M15" s="278">
        <f>F1*'INPUT-Data(HD)'!Q5</f>
        <v>1.5561395894754879</v>
      </c>
      <c r="N15" s="278">
        <f>M15-(3*(M15-O15)/4)</f>
        <v>1.2107873322672988</v>
      </c>
      <c r="O15" s="278">
        <f>F1*'INPUT-Data(HD)'!R5</f>
        <v>1.0956699131979024</v>
      </c>
      <c r="P15" s="278">
        <f>F1*'INPUT-Data(HD)'!S5</f>
        <v>0.72844077747023317</v>
      </c>
      <c r="Q15" s="278">
        <f>P15-(3*(P15-R15)/4)</f>
        <v>0.55817003642325325</v>
      </c>
      <c r="R15" s="278">
        <f>F1*'INPUT-Data(HD)'!T5</f>
        <v>0.50141312274092664</v>
      </c>
      <c r="S15" s="276">
        <f>'INPUT-Data(HD)'!U5</f>
        <v>20</v>
      </c>
      <c r="T15" s="276">
        <f>'INPUT-Data(HD)'!V5</f>
        <v>2015</v>
      </c>
      <c r="U15" s="73">
        <v>1</v>
      </c>
      <c r="W15" s="130"/>
    </row>
    <row r="16" spans="1:23" s="28" customFormat="1">
      <c r="B16" s="275"/>
      <c r="C16" s="275"/>
      <c r="D16" s="275" t="s">
        <v>339</v>
      </c>
      <c r="E16" s="275"/>
      <c r="F16" s="275"/>
      <c r="G16" s="280">
        <f>'INPUT-Data(HD)'!K5</f>
        <v>0.23599999999999999</v>
      </c>
      <c r="H16" s="282"/>
      <c r="I16" s="277"/>
      <c r="J16" s="278"/>
      <c r="K16" s="278"/>
      <c r="L16" s="278"/>
      <c r="M16" s="278"/>
      <c r="N16" s="278"/>
      <c r="O16" s="278"/>
      <c r="P16" s="278"/>
      <c r="Q16" s="278"/>
      <c r="R16" s="278"/>
      <c r="S16" s="276"/>
      <c r="T16" s="276"/>
      <c r="U16" s="66"/>
    </row>
    <row r="17" spans="1:23" s="28" customFormat="1">
      <c r="A17" s="130" t="s">
        <v>605</v>
      </c>
      <c r="B17" s="275"/>
      <c r="C17" s="275"/>
      <c r="D17" s="275" t="s">
        <v>595</v>
      </c>
      <c r="E17" s="275"/>
      <c r="F17" s="275"/>
      <c r="G17" s="281">
        <f>IF('INPUT-Data(HD)'!L5=0,"",'INPUT-Data(HD)'!L5)</f>
        <v>3.0000000000000001E-3</v>
      </c>
      <c r="H17" s="282"/>
      <c r="I17" s="277"/>
      <c r="J17" s="278"/>
      <c r="K17" s="278"/>
      <c r="L17" s="278"/>
      <c r="M17" s="278"/>
      <c r="N17" s="278"/>
      <c r="O17" s="278"/>
      <c r="P17" s="278"/>
      <c r="Q17" s="278"/>
      <c r="R17" s="278"/>
      <c r="S17" s="276"/>
      <c r="T17" s="276"/>
      <c r="U17" s="66"/>
    </row>
    <row r="18" spans="1:23" s="28" customFormat="1">
      <c r="B18" s="275"/>
      <c r="C18" s="275"/>
      <c r="D18" s="275"/>
      <c r="E18" s="275"/>
      <c r="F18" s="275" t="s">
        <v>161</v>
      </c>
      <c r="G18" s="278"/>
      <c r="H18" s="282">
        <f>'INPUT-Data(HD)'!M5</f>
        <v>1</v>
      </c>
      <c r="I18" s="277"/>
      <c r="J18" s="278"/>
      <c r="K18" s="278"/>
      <c r="L18" s="278"/>
      <c r="M18" s="278"/>
      <c r="N18" s="278"/>
      <c r="O18" s="278"/>
      <c r="P18" s="278"/>
      <c r="Q18" s="278"/>
      <c r="R18" s="278"/>
      <c r="S18" s="276"/>
      <c r="T18" s="276"/>
      <c r="U18" s="66"/>
    </row>
    <row r="19" spans="1:23" s="28" customFormat="1">
      <c r="B19" s="283" t="str">
        <f>'INPUT-Data(HD)'!B6</f>
        <v>TRAGH2C02</v>
      </c>
      <c r="C19" s="283" t="str">
        <f>'INPUT-Data(HD)'!C6</f>
        <v>Fuel Tech - H2 Delivery from centralized production (COMP+TR+LIQ+LSTORB+RTS+REFLG(large))</v>
      </c>
      <c r="D19" s="283" t="s">
        <v>233</v>
      </c>
      <c r="E19" s="283"/>
      <c r="F19" s="284"/>
      <c r="G19" s="285">
        <f>'INPUT-Data(HD)'!J6</f>
        <v>1</v>
      </c>
      <c r="H19" s="286"/>
      <c r="I19" s="287">
        <f>'INPUT-Data(HD)'!N6</f>
        <v>0.75</v>
      </c>
      <c r="J19" s="288">
        <f>F1*'INPUT-Data(HD)'!O6</f>
        <v>50.505452790911846</v>
      </c>
      <c r="K19" s="288">
        <f>J19-(3*(J19-L19)/4)</f>
        <v>39.032828319882924</v>
      </c>
      <c r="L19" s="288">
        <f>F1*'INPUT-Data(HD)'!P6</f>
        <v>35.208620162873281</v>
      </c>
      <c r="M19" s="288">
        <f>F1*'INPUT-Data(HD)'!Q6</f>
        <v>2.0943330318956921</v>
      </c>
      <c r="N19" s="288">
        <f>M19-(3*(M19-O19)/4)</f>
        <v>1.6206632326070465</v>
      </c>
      <c r="O19" s="288">
        <f>F1*'INPUT-Data(HD)'!R6</f>
        <v>1.4627732995108313</v>
      </c>
      <c r="P19" s="288">
        <f>F1*'INPUT-Data(HD)'!S6</f>
        <v>0.26397301477084173</v>
      </c>
      <c r="Q19" s="288">
        <f>P19-(3*(P19-R19)/4)</f>
        <v>0.20444193903301555</v>
      </c>
      <c r="R19" s="288">
        <f>F1*'INPUT-Data(HD)'!T6</f>
        <v>0.18459824712040684</v>
      </c>
      <c r="S19" s="285">
        <f>'INPUT-Data(HD)'!U6</f>
        <v>20</v>
      </c>
      <c r="T19" s="285">
        <f>'INPUT-Data(HD)'!V6</f>
        <v>2015</v>
      </c>
      <c r="U19" s="289">
        <v>1</v>
      </c>
      <c r="W19" s="130"/>
    </row>
    <row r="20" spans="1:23" s="28" customFormat="1">
      <c r="B20" s="283"/>
      <c r="C20" s="283"/>
      <c r="D20" s="283" t="s">
        <v>339</v>
      </c>
      <c r="E20" s="283"/>
      <c r="F20" s="283"/>
      <c r="G20" s="291">
        <f>'INPUT-Data(HD)'!K6</f>
        <v>0.26019999999999999</v>
      </c>
      <c r="H20" s="286"/>
      <c r="I20" s="287"/>
      <c r="J20" s="288"/>
      <c r="K20" s="288"/>
      <c r="L20" s="288"/>
      <c r="M20" s="288"/>
      <c r="N20" s="288"/>
      <c r="O20" s="288"/>
      <c r="P20" s="288"/>
      <c r="Q20" s="288"/>
      <c r="R20" s="288"/>
      <c r="S20" s="285"/>
      <c r="T20" s="285"/>
      <c r="U20" s="284"/>
    </row>
    <row r="21" spans="1:23" s="28" customFormat="1">
      <c r="A21" s="130" t="s">
        <v>605</v>
      </c>
      <c r="B21" s="283"/>
      <c r="C21" s="283"/>
      <c r="D21" s="283" t="s">
        <v>595</v>
      </c>
      <c r="E21" s="283"/>
      <c r="F21" s="283"/>
      <c r="G21" s="292">
        <f>IF('INPUT-Data(HD)'!L6=0,"",'INPUT-Data(HD)'!L6)</f>
        <v>3.0000000000000001E-3</v>
      </c>
      <c r="H21" s="286"/>
      <c r="I21" s="287"/>
      <c r="J21" s="288"/>
      <c r="K21" s="288"/>
      <c r="L21" s="288"/>
      <c r="M21" s="288"/>
      <c r="N21" s="288"/>
      <c r="O21" s="288"/>
      <c r="P21" s="288"/>
      <c r="Q21" s="288"/>
      <c r="R21" s="288"/>
      <c r="S21" s="285"/>
      <c r="T21" s="285"/>
      <c r="U21" s="284"/>
    </row>
    <row r="22" spans="1:23" s="28" customFormat="1">
      <c r="B22" s="56"/>
      <c r="C22" s="56"/>
      <c r="D22" s="56"/>
      <c r="E22" s="56"/>
      <c r="F22" s="56" t="s">
        <v>164</v>
      </c>
      <c r="G22" s="133"/>
      <c r="H22" s="57">
        <f>'INPUT-Data(HD)'!M6</f>
        <v>1</v>
      </c>
      <c r="I22" s="58"/>
      <c r="J22" s="133"/>
      <c r="K22" s="133"/>
      <c r="L22" s="133"/>
      <c r="M22" s="133"/>
      <c r="N22" s="133"/>
      <c r="O22" s="133"/>
      <c r="P22" s="133"/>
      <c r="Q22" s="133"/>
      <c r="R22" s="133"/>
      <c r="S22" s="59"/>
      <c r="T22" s="59"/>
      <c r="U22" s="60"/>
    </row>
    <row r="23" spans="1:23" s="123" customFormat="1">
      <c r="B23" s="275" t="str">
        <f>'INPUT-Data(HD)'!B7</f>
        <v>INDGH2C01</v>
      </c>
      <c r="C23" s="275" t="str">
        <f>'INPUT-Data(HD)'!C7</f>
        <v>Fuel Tech - H2 Delivery from centralized production (COMP+TR+DP - Industrial)</v>
      </c>
      <c r="D23" s="275" t="s">
        <v>233</v>
      </c>
      <c r="E23" s="275"/>
      <c r="F23" s="66"/>
      <c r="G23" s="276">
        <f>'INPUT-Data(HD)'!J7</f>
        <v>1</v>
      </c>
      <c r="H23" s="282"/>
      <c r="I23" s="277">
        <f>'INPUT-Data(HD)'!N7</f>
        <v>0.7</v>
      </c>
      <c r="J23" s="278">
        <f>F1*'INPUT-Data(HD)'!O7</f>
        <v>26.170482979927542</v>
      </c>
      <c r="K23" s="278">
        <f>J23-(3*(J23-L23)/4)</f>
        <v>24.009341066434359</v>
      </c>
      <c r="L23" s="278">
        <f>F1*'INPUT-Data(HD)'!P7</f>
        <v>23.288960428603296</v>
      </c>
      <c r="M23" s="278">
        <f>F1*'INPUT-Data(HD)'!Q7</f>
        <v>1.3695937055245331</v>
      </c>
      <c r="N23" s="278">
        <f>M23-(3*(M23-O23)/4)</f>
        <v>1.2457869741907739</v>
      </c>
      <c r="O23" s="278">
        <f>F1*'INPUT-Data(HD)'!R7</f>
        <v>1.2045180637461874</v>
      </c>
      <c r="P23" s="278">
        <f>F1*'INPUT-Data(HD)'!S7</f>
        <v>0.27678630876527882</v>
      </c>
      <c r="Q23" s="278">
        <f>P23-(3*(P23-R23)/4)</f>
        <v>0.25098181787181162</v>
      </c>
      <c r="R23" s="278">
        <f>F1*'INPUT-Data(HD)'!T7</f>
        <v>0.24238032090732259</v>
      </c>
      <c r="S23" s="276">
        <f>'INPUT-Data(HD)'!U7</f>
        <v>20</v>
      </c>
      <c r="T23" s="276">
        <f>'INPUT-Data(HD)'!V7</f>
        <v>2015</v>
      </c>
      <c r="U23" s="73">
        <v>1</v>
      </c>
      <c r="W23" s="130"/>
    </row>
    <row r="24" spans="1:23" s="123" customFormat="1">
      <c r="B24" s="275"/>
      <c r="C24" s="275"/>
      <c r="D24" s="275" t="s">
        <v>339</v>
      </c>
      <c r="E24" s="275"/>
      <c r="F24" s="275"/>
      <c r="G24" s="280">
        <f>'INPUT-Data(HD)'!K7</f>
        <v>6.6000000000000003E-2</v>
      </c>
      <c r="H24" s="282"/>
      <c r="I24" s="277"/>
      <c r="J24" s="278"/>
      <c r="K24" s="278"/>
      <c r="L24" s="278"/>
      <c r="M24" s="278"/>
      <c r="N24" s="278"/>
      <c r="O24" s="278"/>
      <c r="P24" s="278"/>
      <c r="Q24" s="278"/>
      <c r="R24" s="278"/>
      <c r="S24" s="276"/>
      <c r="T24" s="276"/>
      <c r="U24" s="66"/>
    </row>
    <row r="25" spans="1:23" s="123" customFormat="1">
      <c r="B25" s="275"/>
      <c r="C25" s="275"/>
      <c r="D25" s="275"/>
      <c r="E25" s="275"/>
      <c r="F25" s="275" t="s">
        <v>367</v>
      </c>
      <c r="G25" s="278"/>
      <c r="H25" s="282">
        <f>'INPUT-Data(HD)'!M4</f>
        <v>1</v>
      </c>
      <c r="I25" s="277"/>
      <c r="J25" s="278"/>
      <c r="K25" s="278"/>
      <c r="L25" s="278"/>
      <c r="M25" s="278"/>
      <c r="N25" s="278"/>
      <c r="O25" s="278"/>
      <c r="P25" s="278"/>
      <c r="Q25" s="278"/>
      <c r="R25" s="278"/>
      <c r="S25" s="276"/>
      <c r="T25" s="276"/>
      <c r="U25" s="66"/>
    </row>
    <row r="26" spans="1:23" s="139" customFormat="1">
      <c r="B26" s="283" t="str">
        <f>'INPUT-Data(HD)'!B8</f>
        <v>RSDGH2C01</v>
      </c>
      <c r="C26" s="283" t="str">
        <f>'INPUT-Data(HD)'!C8</f>
        <v>Fuel Tech - H2 Delivery from centralized production (COMP+GSTORB+TR+DP - RSD)</v>
      </c>
      <c r="D26" s="283" t="s">
        <v>233</v>
      </c>
      <c r="E26" s="283"/>
      <c r="F26" s="284"/>
      <c r="G26" s="285">
        <f>'INPUT-Data(HD)'!J8</f>
        <v>1</v>
      </c>
      <c r="H26" s="286"/>
      <c r="I26" s="287">
        <f>'INPUT-Data(HD)'!N8</f>
        <v>0.7</v>
      </c>
      <c r="J26" s="288">
        <f>F1*'INPUT-Data(HD)'!O8</f>
        <v>36.359038986637998</v>
      </c>
      <c r="K26" s="288">
        <f>J26-(3*(J26-L26)/4)</f>
        <v>32.432900830655115</v>
      </c>
      <c r="L26" s="288">
        <f>F1*'INPUT-Data(HD)'!P8</f>
        <v>31.124188111994151</v>
      </c>
      <c r="M26" s="288">
        <f>F1*'INPUT-Data(HD)'!Q8</f>
        <v>1.838267281833214</v>
      </c>
      <c r="N26" s="288">
        <f>M26-(3*(M26-O26)/4)</f>
        <v>1.6332707233449284</v>
      </c>
      <c r="O26" s="288">
        <f>F1*'INPUT-Data(HD)'!R8</f>
        <v>1.5649385371821667</v>
      </c>
      <c r="P26" s="288">
        <f>F1*'INPUT-Data(HD)'!S8</f>
        <v>0.27678630876527882</v>
      </c>
      <c r="Q26" s="288">
        <f>P26-(3*(P26-R26)/4)</f>
        <v>0.30059313826124667</v>
      </c>
      <c r="R26" s="288">
        <f>F1*'INPUT-Data(HD)'!T8</f>
        <v>0.30852874809323599</v>
      </c>
      <c r="S26" s="285">
        <f>'INPUT-Data(HD)'!U8</f>
        <v>20</v>
      </c>
      <c r="T26" s="285">
        <f>'INPUT-Data(HD)'!V8</f>
        <v>2015</v>
      </c>
      <c r="U26" s="289">
        <v>1</v>
      </c>
    </row>
    <row r="27" spans="1:23" s="139" customFormat="1">
      <c r="B27" s="283"/>
      <c r="C27" s="283"/>
      <c r="D27" s="283" t="s">
        <v>339</v>
      </c>
      <c r="E27" s="283"/>
      <c r="F27" s="283"/>
      <c r="G27" s="291">
        <f>'INPUT-Data(HD)'!K8</f>
        <v>6.6000000000000003E-2</v>
      </c>
      <c r="H27" s="286"/>
      <c r="I27" s="287"/>
      <c r="J27" s="288"/>
      <c r="K27" s="288"/>
      <c r="L27" s="288"/>
      <c r="M27" s="288"/>
      <c r="N27" s="288"/>
      <c r="O27" s="288"/>
      <c r="P27" s="288"/>
      <c r="Q27" s="288"/>
      <c r="R27" s="288"/>
      <c r="S27" s="285"/>
      <c r="T27" s="285"/>
      <c r="U27" s="284"/>
    </row>
    <row r="28" spans="1:23" s="139" customFormat="1">
      <c r="B28" s="283"/>
      <c r="C28" s="283"/>
      <c r="D28" s="283"/>
      <c r="E28" s="283"/>
      <c r="F28" s="283" t="s">
        <v>171</v>
      </c>
      <c r="G28" s="288"/>
      <c r="H28" s="286">
        <f>'INPUT-Data(HD)'!M8</f>
        <v>1</v>
      </c>
      <c r="I28" s="287"/>
      <c r="J28" s="288"/>
      <c r="K28" s="288"/>
      <c r="L28" s="288"/>
      <c r="M28" s="288"/>
      <c r="N28" s="288"/>
      <c r="O28" s="288"/>
      <c r="P28" s="288"/>
      <c r="Q28" s="288"/>
      <c r="R28" s="288"/>
      <c r="S28" s="285"/>
      <c r="T28" s="285"/>
      <c r="U28" s="284"/>
    </row>
    <row r="29" spans="1:23" s="139" customFormat="1">
      <c r="B29" s="293" t="str">
        <f>'INPUT-Data(HD)'!B9</f>
        <v>COMGH2C01</v>
      </c>
      <c r="C29" s="293" t="str">
        <f>'INPUT-Data(HD)'!C9</f>
        <v>Fuel Tech - H2 Delivery from centralized production (COMP+GSTORB+TR+DP - COM)</v>
      </c>
      <c r="D29" s="293" t="s">
        <v>233</v>
      </c>
      <c r="E29" s="293"/>
      <c r="F29" s="22"/>
      <c r="G29" s="234">
        <f>'INPUT-Data(HD)'!J10</f>
        <v>1</v>
      </c>
      <c r="H29" s="294"/>
      <c r="I29" s="295">
        <f>'INPUT-Data(HD)'!N10</f>
        <v>0.7</v>
      </c>
      <c r="J29" s="233">
        <f>F1*'INPUT-Data(HD)'!O10</f>
        <v>41.798103960874379</v>
      </c>
      <c r="K29" s="233">
        <f>J29-(3*(J29-L29)/4)</f>
        <v>32.603698538226055</v>
      </c>
      <c r="L29" s="233">
        <f>F1*'INPUT-Data(HD)'!P10</f>
        <v>29.538896730676619</v>
      </c>
      <c r="M29" s="233">
        <f>F1*'INPUT-Data(HD)'!Q10</f>
        <v>3.0649794814625708</v>
      </c>
      <c r="N29" s="233">
        <f>M29-(3*(M29-O29)/4)</f>
        <v>2.3863551269987289</v>
      </c>
      <c r="O29" s="233">
        <f>F1*'INPUT-Data(HD)'!R10</f>
        <v>2.1601470088441146</v>
      </c>
      <c r="P29" s="233">
        <f>F1*'INPUT-Data(HD)'!S10</f>
        <v>0.11937412879965774</v>
      </c>
      <c r="Q29" s="233">
        <f>P29-(3*(P29-R29)/4)</f>
        <v>0.13980801200654305</v>
      </c>
      <c r="R29" s="233">
        <f>F1*'INPUT-Data(HD)'!T10</f>
        <v>0.14661930640883816</v>
      </c>
      <c r="S29" s="234">
        <f>'INPUT-Data(HD)'!U10</f>
        <v>20</v>
      </c>
      <c r="T29" s="234">
        <f>'INPUT-Data(HD)'!V10</f>
        <v>2015</v>
      </c>
      <c r="U29" s="296">
        <v>1</v>
      </c>
    </row>
    <row r="30" spans="1:23" s="139" customFormat="1">
      <c r="B30" s="293"/>
      <c r="C30" s="293"/>
      <c r="D30" s="293" t="s">
        <v>339</v>
      </c>
      <c r="E30" s="293"/>
      <c r="F30" s="293"/>
      <c r="G30" s="297">
        <f>'INPUT-Data(HD)'!K10</f>
        <v>9.0200000000000002E-2</v>
      </c>
      <c r="H30" s="294"/>
      <c r="I30" s="295"/>
      <c r="J30" s="233"/>
      <c r="K30" s="233"/>
      <c r="L30" s="233"/>
      <c r="M30" s="233"/>
      <c r="N30" s="233"/>
      <c r="O30" s="233"/>
      <c r="P30" s="233"/>
      <c r="Q30" s="233"/>
      <c r="R30" s="233"/>
      <c r="S30" s="234"/>
      <c r="T30" s="234"/>
      <c r="U30" s="22"/>
    </row>
    <row r="31" spans="1:23" s="139" customFormat="1">
      <c r="B31" s="270"/>
      <c r="C31" s="270"/>
      <c r="D31" s="270"/>
      <c r="E31" s="270"/>
      <c r="F31" s="269" t="s">
        <v>584</v>
      </c>
      <c r="G31" s="235"/>
      <c r="H31" s="271">
        <f>'INPUT-Data(HD)'!M10</f>
        <v>1</v>
      </c>
      <c r="I31" s="272"/>
      <c r="J31" s="235"/>
      <c r="K31" s="235"/>
      <c r="L31" s="235"/>
      <c r="M31" s="235"/>
      <c r="N31" s="235"/>
      <c r="O31" s="235"/>
      <c r="P31" s="235"/>
      <c r="Q31" s="235"/>
      <c r="R31" s="235"/>
      <c r="S31" s="236"/>
      <c r="T31" s="236"/>
      <c r="U31" s="273"/>
    </row>
    <row r="32" spans="1:23" s="139" customFormat="1">
      <c r="B32" s="283" t="str">
        <f>'INPUT-Data(HD)'!B10</f>
        <v>TRAGH2C03</v>
      </c>
      <c r="C32" s="283" t="str">
        <f>'INPUT-Data(HD)'!C10</f>
        <v>Fuel Tech - H2 Delivery from centralized production (COMP+GSTORB +RTS+REFGG(average) with storage in tanks)</v>
      </c>
      <c r="D32" s="283" t="s">
        <v>233</v>
      </c>
      <c r="E32" s="283"/>
      <c r="F32" s="284"/>
      <c r="G32" s="285">
        <f>'INPUT-Data(HD)'!J13</f>
        <v>1</v>
      </c>
      <c r="H32" s="286"/>
      <c r="I32" s="287">
        <f>'INPUT-Data(HD)'!N10</f>
        <v>0.7</v>
      </c>
      <c r="J32" s="288">
        <f>F1*'INPUT-Data(HD)'!O10</f>
        <v>41.798103960874379</v>
      </c>
      <c r="K32" s="288">
        <f>J32-(3*(J32-L32)/4)</f>
        <v>32.603698538226055</v>
      </c>
      <c r="L32" s="288">
        <f>F1*'INPUT-Data(HD)'!P10</f>
        <v>29.538896730676619</v>
      </c>
      <c r="M32" s="288">
        <f>F1*'INPUT-Data(HD)'!Q10</f>
        <v>3.0649794814625708</v>
      </c>
      <c r="N32" s="288">
        <f>M32-(3*(M32-O32)/4)</f>
        <v>2.3863551269987289</v>
      </c>
      <c r="O32" s="288">
        <f>F1*'INPUT-Data(HD)'!R10</f>
        <v>2.1601470088441146</v>
      </c>
      <c r="P32" s="288">
        <f>F1*'INPUT-Data(HD)'!S10</f>
        <v>0.11937412879965774</v>
      </c>
      <c r="Q32" s="288">
        <f>P32-(3*(P32-R32)/4)</f>
        <v>0.13980801200654305</v>
      </c>
      <c r="R32" s="288">
        <f>F1*'INPUT-Data(HD)'!T10</f>
        <v>0.14661930640883816</v>
      </c>
      <c r="S32" s="285">
        <f>'INPUT-Data(HD)'!U10</f>
        <v>20</v>
      </c>
      <c r="T32" s="285">
        <f>'INPUT-Data(HD)'!V10</f>
        <v>2015</v>
      </c>
      <c r="U32" s="289">
        <v>1</v>
      </c>
    </row>
    <row r="33" spans="1:23" s="139" customFormat="1">
      <c r="B33" s="283"/>
      <c r="C33" s="283"/>
      <c r="D33" s="283" t="s">
        <v>339</v>
      </c>
      <c r="E33" s="283"/>
      <c r="F33" s="283"/>
      <c r="G33" s="291">
        <f>'INPUT-Data(HD)'!K13</f>
        <v>9.0200000000000002E-2</v>
      </c>
      <c r="H33" s="286"/>
      <c r="I33" s="287"/>
      <c r="J33" s="288"/>
      <c r="K33" s="288"/>
      <c r="L33" s="288"/>
      <c r="M33" s="288"/>
      <c r="N33" s="288"/>
      <c r="O33" s="288"/>
      <c r="P33" s="288"/>
      <c r="Q33" s="288"/>
      <c r="R33" s="288"/>
      <c r="S33" s="285"/>
      <c r="T33" s="285"/>
      <c r="U33" s="284"/>
    </row>
    <row r="34" spans="1:23" s="139" customFormat="1">
      <c r="A34" s="130" t="s">
        <v>605</v>
      </c>
      <c r="B34" s="283"/>
      <c r="C34" s="283"/>
      <c r="D34" s="283" t="s">
        <v>595</v>
      </c>
      <c r="E34" s="283"/>
      <c r="F34" s="283"/>
      <c r="G34" s="292">
        <f>IF('INPUT-Data(HD)'!L10=0,"",'INPUT-Data(HD)'!L10)</f>
        <v>3.0000000000000001E-3</v>
      </c>
      <c r="H34" s="286"/>
      <c r="I34" s="287"/>
      <c r="J34" s="288"/>
      <c r="K34" s="288"/>
      <c r="L34" s="288"/>
      <c r="M34" s="288"/>
      <c r="N34" s="288"/>
      <c r="O34" s="288"/>
      <c r="P34" s="288"/>
      <c r="Q34" s="288"/>
      <c r="R34" s="288"/>
      <c r="S34" s="285"/>
      <c r="T34" s="285"/>
      <c r="U34" s="284"/>
    </row>
    <row r="35" spans="1:23" s="139" customFormat="1">
      <c r="B35" s="283"/>
      <c r="C35" s="283"/>
      <c r="D35" s="283"/>
      <c r="E35" s="283"/>
      <c r="F35" s="283" t="s">
        <v>164</v>
      </c>
      <c r="G35" s="288"/>
      <c r="H35" s="286">
        <f>'INPUT-Data(HD)'!M13</f>
        <v>1</v>
      </c>
      <c r="I35" s="287"/>
      <c r="J35" s="288"/>
      <c r="K35" s="288"/>
      <c r="L35" s="288"/>
      <c r="M35" s="288"/>
      <c r="N35" s="288"/>
      <c r="O35" s="288"/>
      <c r="P35" s="288"/>
      <c r="Q35" s="288"/>
      <c r="R35" s="288"/>
      <c r="S35" s="285"/>
      <c r="T35" s="285"/>
      <c r="U35" s="284"/>
    </row>
    <row r="36" spans="1:23" s="139" customFormat="1">
      <c r="B36" s="293" t="str">
        <f>'INPUT-Data(HD)'!B11</f>
        <v>TRAGH2C04</v>
      </c>
      <c r="C36" s="293" t="str">
        <f>'INPUT-Data(HD)'!C11</f>
        <v>Fuel Tech - H2 Delivery from centralized production (COMP+GSTORB +RTS+REFGG(average) with storage in trucks)</v>
      </c>
      <c r="D36" s="298" t="s">
        <v>233</v>
      </c>
      <c r="E36" s="293"/>
      <c r="F36" s="22"/>
      <c r="G36" s="234">
        <f>'INPUT-Data(HD)'!J11</f>
        <v>1</v>
      </c>
      <c r="H36" s="294"/>
      <c r="I36" s="295">
        <f>'INPUT-Data(HD)'!N11</f>
        <v>0.7</v>
      </c>
      <c r="J36" s="233">
        <f>F1*'INPUT-Data(HD)'!O11</f>
        <v>35.903581049880394</v>
      </c>
      <c r="K36" s="233">
        <f>J36-(3*(J36-L36)/4)</f>
        <v>28.439089959806399</v>
      </c>
      <c r="L36" s="233">
        <f>F1*'INPUT-Data(HD)'!P11</f>
        <v>25.950926263115068</v>
      </c>
      <c r="M36" s="233">
        <f>F1*'INPUT-Data(HD)'!Q11</f>
        <v>2.8192035044346042</v>
      </c>
      <c r="N36" s="233">
        <f>M36-(3*(M36-O36)/4)</f>
        <v>2.198242961056573</v>
      </c>
      <c r="O36" s="233">
        <f>F1*'INPUT-Data(HD)'!R11</f>
        <v>1.991256113263896</v>
      </c>
      <c r="P36" s="233">
        <f>F1*'INPUT-Data(HD)'!S11</f>
        <v>0.11937412879965774</v>
      </c>
      <c r="Q36" s="233">
        <f>P36-(3*(P36-R36)/4)</f>
        <v>0.13980801200654305</v>
      </c>
      <c r="R36" s="233">
        <f>F1*'INPUT-Data(HD)'!T11</f>
        <v>0.14661930640883816</v>
      </c>
      <c r="S36" s="234">
        <f>'INPUT-Data(HD)'!U11</f>
        <v>20</v>
      </c>
      <c r="T36" s="234">
        <f>'INPUT-Data(HD)'!V11</f>
        <v>2015</v>
      </c>
      <c r="U36" s="296">
        <v>1</v>
      </c>
    </row>
    <row r="37" spans="1:23" s="139" customFormat="1">
      <c r="B37" s="293"/>
      <c r="C37" s="293"/>
      <c r="D37" s="293" t="s">
        <v>339</v>
      </c>
      <c r="E37" s="293"/>
      <c r="F37" s="293"/>
      <c r="G37" s="297">
        <f>'INPUT-Data(HD)'!K11</f>
        <v>9.0200000000000002E-2</v>
      </c>
      <c r="H37" s="294"/>
      <c r="I37" s="295"/>
      <c r="J37" s="233"/>
      <c r="K37" s="233"/>
      <c r="L37" s="233"/>
      <c r="M37" s="233"/>
      <c r="N37" s="233"/>
      <c r="O37" s="233"/>
      <c r="P37" s="233"/>
      <c r="Q37" s="233"/>
      <c r="R37" s="233"/>
      <c r="S37" s="234"/>
      <c r="T37" s="234"/>
      <c r="U37" s="22"/>
    </row>
    <row r="38" spans="1:23" s="139" customFormat="1">
      <c r="A38" s="139" t="s">
        <v>605</v>
      </c>
      <c r="B38" s="293"/>
      <c r="C38" s="293"/>
      <c r="D38" s="293" t="s">
        <v>595</v>
      </c>
      <c r="E38" s="293"/>
      <c r="F38" s="293" t="s">
        <v>164</v>
      </c>
      <c r="G38" s="233"/>
      <c r="H38" s="294">
        <f>'INPUT-Data(HD)'!M11</f>
        <v>1</v>
      </c>
      <c r="I38" s="295"/>
      <c r="J38" s="233"/>
      <c r="K38" s="233"/>
      <c r="L38" s="233"/>
      <c r="M38" s="233"/>
      <c r="N38" s="233"/>
      <c r="O38" s="233"/>
      <c r="P38" s="233"/>
      <c r="Q38" s="233"/>
      <c r="R38" s="233"/>
      <c r="S38" s="234"/>
      <c r="T38" s="234"/>
      <c r="U38" s="22"/>
    </row>
    <row r="39" spans="1:23" s="139" customFormat="1">
      <c r="B39" s="283" t="str">
        <f>'INPUT-Data(HD)'!B12</f>
        <v>TRAGH2C05</v>
      </c>
      <c r="C39" s="283" t="str">
        <f>'INPUT-Data(HD)'!C12</f>
        <v>Fuel Tech - H2 Delivery from centralized production (COMP+TR+TD+REFGG(average) with storage in tanks)</v>
      </c>
      <c r="D39" s="290" t="s">
        <v>233</v>
      </c>
      <c r="E39" s="283"/>
      <c r="F39" s="284"/>
      <c r="G39" s="285">
        <f>'INPUT-Data(HD)'!J12</f>
        <v>1</v>
      </c>
      <c r="H39" s="286"/>
      <c r="I39" s="287">
        <f>'INPUT-Data(HD)'!N12</f>
        <v>0.7</v>
      </c>
      <c r="J39" s="288">
        <f>F1*'INPUT-Data(HD)'!O12</f>
        <v>56.724327406471225</v>
      </c>
      <c r="K39" s="288">
        <f>J39-(3*(J39-L39)/4)</f>
        <v>47.427291335916891</v>
      </c>
      <c r="L39" s="288">
        <f>F1*'INPUT-Data(HD)'!P12</f>
        <v>44.328279312398784</v>
      </c>
      <c r="M39" s="288">
        <f>F1*'INPUT-Data(HD)'!Q12</f>
        <v>3.8150848210183885</v>
      </c>
      <c r="N39" s="288">
        <f>M39-(3*(M39-O39)/4)</f>
        <v>3.1357742799606672</v>
      </c>
      <c r="O39" s="288">
        <f>F1*'INPUT-Data(HD)'!R12</f>
        <v>2.9093374329414265</v>
      </c>
      <c r="P39" s="288">
        <f>F1*'INPUT-Data(HD)'!S12</f>
        <v>0.37052192332273065</v>
      </c>
      <c r="Q39" s="288">
        <f>P39-(3*(P39-R39)/4)</f>
        <v>0.32266821723622385</v>
      </c>
      <c r="R39" s="288">
        <f>F1*'INPUT-Data(HD)'!T12</f>
        <v>0.30671698187405494</v>
      </c>
      <c r="S39" s="285">
        <f>'INPUT-Data(HD)'!U12</f>
        <v>20</v>
      </c>
      <c r="T39" s="285">
        <f>'INPUT-Data(HD)'!V12</f>
        <v>2015</v>
      </c>
      <c r="U39" s="289">
        <v>1</v>
      </c>
    </row>
    <row r="40" spans="1:23" s="139" customFormat="1">
      <c r="B40" s="290"/>
      <c r="C40" s="283"/>
      <c r="D40" s="283" t="s">
        <v>339</v>
      </c>
      <c r="E40" s="283"/>
      <c r="F40" s="283"/>
      <c r="G40" s="291">
        <f>'INPUT-Data(HD)'!K12</f>
        <v>9.0200000000000002E-2</v>
      </c>
      <c r="H40" s="286"/>
      <c r="I40" s="287"/>
      <c r="J40" s="288"/>
      <c r="K40" s="288"/>
      <c r="L40" s="288"/>
      <c r="M40" s="288"/>
      <c r="N40" s="288"/>
      <c r="O40" s="288"/>
      <c r="P40" s="288"/>
      <c r="Q40" s="288"/>
      <c r="R40" s="288"/>
      <c r="S40" s="285"/>
      <c r="T40" s="285"/>
      <c r="U40" s="284"/>
    </row>
    <row r="41" spans="1:23" s="139" customFormat="1">
      <c r="B41" s="290"/>
      <c r="C41" s="283"/>
      <c r="D41" s="283"/>
      <c r="E41" s="283"/>
      <c r="F41" s="283" t="s">
        <v>164</v>
      </c>
      <c r="G41" s="288"/>
      <c r="H41" s="286">
        <f>'INPUT-Data(HD)'!M12</f>
        <v>1</v>
      </c>
      <c r="I41" s="287"/>
      <c r="J41" s="288"/>
      <c r="K41" s="288"/>
      <c r="L41" s="288"/>
      <c r="M41" s="288"/>
      <c r="N41" s="288"/>
      <c r="O41" s="288"/>
      <c r="P41" s="288"/>
      <c r="Q41" s="288"/>
      <c r="R41" s="288"/>
      <c r="S41" s="285"/>
      <c r="T41" s="285"/>
      <c r="U41" s="284"/>
    </row>
    <row r="42" spans="1:23" s="139" customFormat="1">
      <c r="B42" s="293" t="str">
        <f>'INPUT-Data(HD)'!B13</f>
        <v>TRAGH2C06</v>
      </c>
      <c r="C42" s="293" t="str">
        <f>'INPUT-Data(HD)'!C13</f>
        <v>Fuel Tech - H2 Delivery from centralized production (COMP+TR+TD+REFGG(average) with storage in trucks)</v>
      </c>
      <c r="D42" s="298" t="s">
        <v>233</v>
      </c>
      <c r="E42" s="293"/>
      <c r="F42" s="22"/>
      <c r="G42" s="234">
        <f>'INPUT-Data(HD)'!J13</f>
        <v>1</v>
      </c>
      <c r="H42" s="294"/>
      <c r="I42" s="295">
        <f>'INPUT-Data(HD)'!N13</f>
        <v>0.7</v>
      </c>
      <c r="J42" s="233">
        <f>F1*'INPUT-Data(HD)'!O13</f>
        <v>50.829804495477241</v>
      </c>
      <c r="K42" s="233">
        <f>J42-(3*(J42-L42)/4)</f>
        <v>43.262682757497238</v>
      </c>
      <c r="L42" s="233">
        <f>F1*'INPUT-Data(HD)'!P13</f>
        <v>40.740308844837237</v>
      </c>
      <c r="M42" s="233">
        <f>F1*'INPUT-Data(HD)'!Q13</f>
        <v>3.5693088439904215</v>
      </c>
      <c r="N42" s="233">
        <f>M42-(3*(M42-O42)/4)</f>
        <v>2.9476621140185113</v>
      </c>
      <c r="O42" s="233">
        <f>F1*'INPUT-Data(HD)'!R13</f>
        <v>2.7404465373612079</v>
      </c>
      <c r="P42" s="233">
        <f>F1*'INPUT-Data(HD)'!S13</f>
        <v>0.37052192332273065</v>
      </c>
      <c r="Q42" s="233">
        <f>P42-(3*(P42-R42)/4)</f>
        <v>0.32266821723622385</v>
      </c>
      <c r="R42" s="233">
        <f>F1*'INPUT-Data(HD)'!T13</f>
        <v>0.30671698187405494</v>
      </c>
      <c r="S42" s="234">
        <f>'INPUT-Data(HD)'!U13</f>
        <v>20</v>
      </c>
      <c r="T42" s="234">
        <f>'INPUT-Data(HD)'!V13</f>
        <v>2015</v>
      </c>
      <c r="U42" s="296">
        <v>1</v>
      </c>
    </row>
    <row r="43" spans="1:23" s="139" customFormat="1">
      <c r="B43" s="298"/>
      <c r="C43" s="293"/>
      <c r="D43" s="293" t="s">
        <v>339</v>
      </c>
      <c r="E43" s="293"/>
      <c r="F43" s="293"/>
      <c r="G43" s="297">
        <f>'INPUT-Data(HD)'!K13</f>
        <v>9.0200000000000002E-2</v>
      </c>
      <c r="H43" s="294"/>
      <c r="I43" s="295"/>
      <c r="J43" s="233"/>
      <c r="K43" s="233"/>
      <c r="L43" s="233"/>
      <c r="M43" s="233"/>
      <c r="N43" s="233"/>
      <c r="O43" s="233"/>
      <c r="P43" s="233"/>
      <c r="Q43" s="233"/>
      <c r="R43" s="233"/>
      <c r="S43" s="234"/>
      <c r="T43" s="234"/>
      <c r="U43" s="22"/>
    </row>
    <row r="44" spans="1:23" s="139" customFormat="1">
      <c r="A44" s="130" t="s">
        <v>605</v>
      </c>
      <c r="B44" s="298"/>
      <c r="C44" s="293"/>
      <c r="D44" s="298" t="s">
        <v>595</v>
      </c>
      <c r="E44" s="293"/>
      <c r="F44" s="293"/>
      <c r="G44" s="327">
        <v>3.0000000000000001E-3</v>
      </c>
      <c r="H44" s="294"/>
      <c r="I44" s="295"/>
      <c r="J44" s="233"/>
      <c r="K44" s="233"/>
      <c r="L44" s="233"/>
      <c r="M44" s="233"/>
      <c r="N44" s="233"/>
      <c r="O44" s="233"/>
      <c r="P44" s="233"/>
      <c r="Q44" s="233"/>
      <c r="R44" s="233"/>
      <c r="S44" s="234"/>
      <c r="T44" s="234"/>
      <c r="U44" s="22"/>
    </row>
    <row r="45" spans="1:23" s="139" customFormat="1">
      <c r="B45" s="269"/>
      <c r="C45" s="270"/>
      <c r="D45" s="270"/>
      <c r="E45" s="270"/>
      <c r="F45" s="270" t="s">
        <v>164</v>
      </c>
      <c r="G45" s="235"/>
      <c r="H45" s="271">
        <f>'INPUT-Data(HD)'!M13</f>
        <v>1</v>
      </c>
      <c r="I45" s="272"/>
      <c r="J45" s="235"/>
      <c r="K45" s="235"/>
      <c r="L45" s="235"/>
      <c r="M45" s="235"/>
      <c r="N45" s="235"/>
      <c r="O45" s="235"/>
      <c r="P45" s="235"/>
      <c r="Q45" s="235"/>
      <c r="R45" s="235"/>
      <c r="S45" s="236"/>
      <c r="T45" s="236"/>
      <c r="U45" s="273"/>
    </row>
    <row r="46" spans="1:23" s="139" customFormat="1">
      <c r="B46" s="283" t="str">
        <f>'INPUT-Data(HD)'!B14</f>
        <v>RSDGASH2C01</v>
      </c>
      <c r="C46" s="283" t="str">
        <f>'INPUT-Data(HD)'!C14</f>
        <v>Fuel Tech - H2 Delivery from centralized production to blending (COMP+GSTORB+TR+BLENDING+(nocosNATGASINF))-RSD</v>
      </c>
      <c r="D46" s="283" t="s">
        <v>340</v>
      </c>
      <c r="E46" s="283"/>
      <c r="F46" s="283"/>
      <c r="G46" s="291">
        <f>'INPUT-Data(HD)'!J14</f>
        <v>0.94</v>
      </c>
      <c r="H46" s="286"/>
      <c r="I46" s="287">
        <f>'INPUT-Data(HD)'!N14</f>
        <v>0.7</v>
      </c>
      <c r="J46" s="288">
        <f>F1*'INPUT-Data(HD)'!O14</f>
        <v>4.5166365458878364</v>
      </c>
      <c r="K46" s="288">
        <f>J46-(3*(J46-L46)/4)</f>
        <v>3.9657538806396708</v>
      </c>
      <c r="L46" s="288">
        <f>F1*'INPUT-Data(HD)'!P14</f>
        <v>3.7821263255569493</v>
      </c>
      <c r="M46" s="288">
        <f>F1*'INPUT-Data(HD)'!Q14</f>
        <v>0.28690138382254782</v>
      </c>
      <c r="N46" s="288">
        <f>M46-(3*(M46-O46)/4)</f>
        <v>0.24360761490103933</v>
      </c>
      <c r="O46" s="288">
        <f>F1*'INPUT-Data(HD)'!R14</f>
        <v>0.22917635859386984</v>
      </c>
      <c r="P46" s="288">
        <f>F1*'INPUT-Data(HD)'!S14</f>
        <v>6.0247844424881826E-2</v>
      </c>
      <c r="Q46" s="288">
        <f>P46-(3*(P46-R46)/4)</f>
        <v>5.0545946013864793E-2</v>
      </c>
      <c r="R46" s="288">
        <f>F1*'INPUT-Data(HD)'!T14</f>
        <v>4.731197987685911E-2</v>
      </c>
      <c r="S46" s="285">
        <f>'INPUT-Data(HD)'!U14</f>
        <v>20</v>
      </c>
      <c r="T46" s="285">
        <f>'INPUT-Data(HD)'!V14</f>
        <v>2015</v>
      </c>
      <c r="U46" s="289">
        <v>1</v>
      </c>
    </row>
    <row r="47" spans="1:23" s="139" customFormat="1">
      <c r="B47" s="283"/>
      <c r="C47" s="283"/>
      <c r="D47" s="290" t="s">
        <v>233</v>
      </c>
      <c r="E47" s="283"/>
      <c r="F47" s="283"/>
      <c r="G47" s="291">
        <f>'INPUT-Data(HD)'!K14</f>
        <v>0.06</v>
      </c>
      <c r="H47" s="286"/>
      <c r="I47" s="287"/>
      <c r="J47" s="288"/>
      <c r="K47" s="288"/>
      <c r="L47" s="288"/>
      <c r="M47" s="288"/>
      <c r="N47" s="288"/>
      <c r="O47" s="288"/>
      <c r="P47" s="288"/>
      <c r="Q47" s="288"/>
      <c r="R47" s="288"/>
      <c r="S47" s="285"/>
      <c r="T47" s="285"/>
      <c r="U47" s="284"/>
    </row>
    <row r="48" spans="1:23" s="139" customFormat="1">
      <c r="B48" s="283"/>
      <c r="C48" s="283"/>
      <c r="D48" s="283"/>
      <c r="E48" s="283" t="s">
        <v>339</v>
      </c>
      <c r="F48" s="283"/>
      <c r="G48" s="291">
        <f>'INPUT-Data(HD)'!L14</f>
        <v>9.0200000000000002E-2</v>
      </c>
      <c r="H48" s="286"/>
      <c r="I48" s="287"/>
      <c r="J48" s="288"/>
      <c r="K48" s="288"/>
      <c r="L48" s="288"/>
      <c r="M48" s="288"/>
      <c r="N48" s="288"/>
      <c r="O48" s="288"/>
      <c r="P48" s="288"/>
      <c r="Q48" s="288"/>
      <c r="R48" s="288"/>
      <c r="S48" s="285"/>
      <c r="T48" s="285"/>
      <c r="U48" s="284"/>
      <c r="W48" s="274"/>
    </row>
    <row r="49" spans="2:23" s="139" customFormat="1">
      <c r="B49" s="283"/>
      <c r="C49" s="283"/>
      <c r="D49" s="283"/>
      <c r="E49" s="283"/>
      <c r="F49" s="290" t="s">
        <v>342</v>
      </c>
      <c r="G49" s="288"/>
      <c r="H49" s="286">
        <v>1</v>
      </c>
      <c r="I49" s="287"/>
      <c r="J49" s="288"/>
      <c r="K49" s="288"/>
      <c r="L49" s="288"/>
      <c r="M49" s="288"/>
      <c r="N49" s="288"/>
      <c r="O49" s="288"/>
      <c r="P49" s="288"/>
      <c r="Q49" s="288"/>
      <c r="R49" s="288"/>
      <c r="S49" s="285"/>
      <c r="T49" s="285"/>
      <c r="U49" s="284"/>
      <c r="W49" s="274"/>
    </row>
    <row r="50" spans="2:23" s="139" customFormat="1">
      <c r="B50" s="293" t="str">
        <f>'INPUT-Data(HD)'!B15</f>
        <v>COMGASH2C01</v>
      </c>
      <c r="C50" s="293" t="str">
        <f>'INPUT-Data(HD)'!C15</f>
        <v>Fuel Tech - H2 Delivery from centralized production to blending (COMP+GSTORB+TR+BLENDING+(nocosNATGASINF))-COM</v>
      </c>
      <c r="D50" s="293" t="s">
        <v>340</v>
      </c>
      <c r="E50" s="293"/>
      <c r="F50" s="22"/>
      <c r="G50" s="297">
        <f>1-G51</f>
        <v>0.94</v>
      </c>
      <c r="H50" s="294"/>
      <c r="I50" s="295">
        <f>'INPUT-Data(HD)'!N15</f>
        <v>0.7</v>
      </c>
      <c r="J50" s="233">
        <f>F1*'INPUT-Data(HD)'!O15</f>
        <v>4.5166365458878364</v>
      </c>
      <c r="K50" s="233">
        <f>J50-(3*(J50-L50)/4)</f>
        <v>3.9657538806396708</v>
      </c>
      <c r="L50" s="233">
        <f>F1*'INPUT-Data(HD)'!P15</f>
        <v>3.7821263255569493</v>
      </c>
      <c r="M50" s="233">
        <f>F1*'INPUT-Data(HD)'!Q15</f>
        <v>0.28690138382254782</v>
      </c>
      <c r="N50" s="233">
        <f>M50-(3*(M50-O50)/4)</f>
        <v>0.24360761490103933</v>
      </c>
      <c r="O50" s="233">
        <f>F1*'INPUT-Data(HD)'!R15</f>
        <v>0.22917635859386984</v>
      </c>
      <c r="P50" s="233">
        <f>F1*'INPUT-Data(HD)'!S15</f>
        <v>6.0247844424881826E-2</v>
      </c>
      <c r="Q50" s="233">
        <f>P50-(3*(P50-R50)/4)</f>
        <v>5.0545946013864793E-2</v>
      </c>
      <c r="R50" s="233">
        <f>F1*'INPUT-Data(HD)'!T15</f>
        <v>4.731197987685911E-2</v>
      </c>
      <c r="S50" s="234">
        <f>'INPUT-Data(HD)'!U15</f>
        <v>20</v>
      </c>
      <c r="T50" s="234">
        <f>'INPUT-Data(HD)'!V15</f>
        <v>2015</v>
      </c>
      <c r="U50" s="296">
        <v>1</v>
      </c>
    </row>
    <row r="51" spans="2:23" s="139" customFormat="1">
      <c r="B51" s="293"/>
      <c r="C51" s="293"/>
      <c r="D51" s="298" t="s">
        <v>233</v>
      </c>
      <c r="E51" s="293"/>
      <c r="F51" s="293"/>
      <c r="G51" s="297">
        <f>G47</f>
        <v>0.06</v>
      </c>
      <c r="H51" s="294"/>
      <c r="I51" s="295"/>
      <c r="J51" s="233"/>
      <c r="K51" s="233"/>
      <c r="L51" s="233"/>
      <c r="M51" s="233"/>
      <c r="N51" s="233"/>
      <c r="O51" s="233"/>
      <c r="P51" s="233"/>
      <c r="Q51" s="233"/>
      <c r="R51" s="233"/>
      <c r="S51" s="234"/>
      <c r="T51" s="234"/>
      <c r="U51" s="22"/>
    </row>
    <row r="52" spans="2:23" s="139" customFormat="1">
      <c r="B52" s="293"/>
      <c r="C52" s="293"/>
      <c r="D52" s="22"/>
      <c r="E52" s="293" t="s">
        <v>339</v>
      </c>
      <c r="F52" s="293"/>
      <c r="G52" s="233">
        <f>'INPUT-Data(HD)'!L15</f>
        <v>9.0200000000000002E-2</v>
      </c>
      <c r="H52" s="22"/>
      <c r="I52" s="295"/>
      <c r="J52" s="233"/>
      <c r="K52" s="233"/>
      <c r="L52" s="233"/>
      <c r="M52" s="233"/>
      <c r="N52" s="233"/>
      <c r="O52" s="233"/>
      <c r="P52" s="233"/>
      <c r="Q52" s="233"/>
      <c r="R52" s="233"/>
      <c r="S52" s="234"/>
      <c r="T52" s="234"/>
      <c r="U52" s="22"/>
      <c r="W52" s="274"/>
    </row>
    <row r="53" spans="2:23" s="139" customFormat="1">
      <c r="B53" s="293"/>
      <c r="C53" s="293"/>
      <c r="D53" s="293"/>
      <c r="E53" s="293"/>
      <c r="F53" s="298" t="s">
        <v>343</v>
      </c>
      <c r="G53" s="233"/>
      <c r="H53" s="294">
        <v>1</v>
      </c>
      <c r="I53" s="295"/>
      <c r="J53" s="233"/>
      <c r="K53" s="233"/>
      <c r="L53" s="233"/>
      <c r="M53" s="233"/>
      <c r="N53" s="233"/>
      <c r="O53" s="233"/>
      <c r="P53" s="233"/>
      <c r="Q53" s="233"/>
      <c r="R53" s="233"/>
      <c r="S53" s="234"/>
      <c r="T53" s="234"/>
      <c r="U53" s="22"/>
      <c r="W53" s="274"/>
    </row>
    <row r="54" spans="2:23" s="139" customFormat="1">
      <c r="B54" s="283" t="str">
        <f>'INPUT-Data(HD)'!B16</f>
        <v>AGRGASH2C01</v>
      </c>
      <c r="C54" s="283" t="str">
        <f>'INPUT-Data(HD)'!C16</f>
        <v>Fuel Tech - H2 Delivery from centralized production to blending (COMP+GSTORB+TR+BLENDING+(nocosNATGASINF))-AGR</v>
      </c>
      <c r="D54" s="283" t="s">
        <v>340</v>
      </c>
      <c r="E54" s="283"/>
      <c r="F54" s="284"/>
      <c r="G54" s="286">
        <f>G50</f>
        <v>0.94</v>
      </c>
      <c r="H54" s="286"/>
      <c r="I54" s="287">
        <f>'INPUT-Data(HD)'!N16</f>
        <v>0.7</v>
      </c>
      <c r="J54" s="288">
        <f>F1*'INPUT-Data(HD)'!O16</f>
        <v>4.5166365458878364</v>
      </c>
      <c r="K54" s="288">
        <f>J54-(3*(J54-L54)/4)</f>
        <v>3.9657538806396708</v>
      </c>
      <c r="L54" s="288">
        <f>F1*'INPUT-Data(HD)'!P16</f>
        <v>3.7821263255569493</v>
      </c>
      <c r="M54" s="288">
        <f>F1*'INPUT-Data(HD)'!Q16</f>
        <v>0.28690138382254782</v>
      </c>
      <c r="N54" s="288">
        <f>M54-(3*(M54-O54)/4)</f>
        <v>0.24360761490103933</v>
      </c>
      <c r="O54" s="288">
        <f>F1*'INPUT-Data(HD)'!R16</f>
        <v>0.22917635859386984</v>
      </c>
      <c r="P54" s="288">
        <f>F1*'INPUT-Data(HD)'!S16</f>
        <v>6.0247844424881826E-2</v>
      </c>
      <c r="Q54" s="288">
        <f>P54-(3*(P54-R54)/4)</f>
        <v>5.0545946013864793E-2</v>
      </c>
      <c r="R54" s="288">
        <f>F1*'INPUT-Data(HD)'!T16</f>
        <v>4.731197987685911E-2</v>
      </c>
      <c r="S54" s="285">
        <f>'INPUT-Data(HD)'!U16</f>
        <v>20</v>
      </c>
      <c r="T54" s="285">
        <f>'INPUT-Data(HD)'!V16</f>
        <v>2015</v>
      </c>
      <c r="U54" s="289">
        <v>1</v>
      </c>
    </row>
    <row r="55" spans="2:23" s="139" customFormat="1">
      <c r="B55" s="283"/>
      <c r="C55" s="283"/>
      <c r="D55" s="290" t="s">
        <v>233</v>
      </c>
      <c r="E55" s="283"/>
      <c r="F55" s="283"/>
      <c r="G55" s="286">
        <f>G51</f>
        <v>0.06</v>
      </c>
      <c r="H55" s="286"/>
      <c r="I55" s="287"/>
      <c r="J55" s="288"/>
      <c r="K55" s="288"/>
      <c r="L55" s="288"/>
      <c r="M55" s="288"/>
      <c r="N55" s="288"/>
      <c r="O55" s="288"/>
      <c r="P55" s="288"/>
      <c r="Q55" s="288"/>
      <c r="R55" s="288"/>
      <c r="S55" s="285"/>
      <c r="T55" s="285"/>
      <c r="U55" s="284"/>
    </row>
    <row r="56" spans="2:23" s="139" customFormat="1">
      <c r="B56" s="283"/>
      <c r="C56" s="283"/>
      <c r="D56" s="283"/>
      <c r="E56" s="283" t="s">
        <v>339</v>
      </c>
      <c r="F56" s="283"/>
      <c r="G56" s="288">
        <f>'INPUT-Data(HD)'!L16</f>
        <v>9.0200000000000002E-2</v>
      </c>
      <c r="H56" s="286"/>
      <c r="I56" s="287"/>
      <c r="J56" s="288"/>
      <c r="K56" s="288"/>
      <c r="L56" s="288"/>
      <c r="M56" s="288"/>
      <c r="N56" s="288"/>
      <c r="O56" s="288"/>
      <c r="P56" s="288"/>
      <c r="Q56" s="288"/>
      <c r="R56" s="288"/>
      <c r="S56" s="285"/>
      <c r="T56" s="285"/>
      <c r="U56" s="284"/>
      <c r="W56" s="274"/>
    </row>
    <row r="57" spans="2:23" s="139" customFormat="1">
      <c r="B57" s="283"/>
      <c r="C57" s="283"/>
      <c r="D57" s="283"/>
      <c r="E57" s="283"/>
      <c r="F57" s="283" t="s">
        <v>604</v>
      </c>
      <c r="G57" s="288"/>
      <c r="H57" s="286">
        <v>1</v>
      </c>
      <c r="I57" s="287"/>
      <c r="J57" s="288"/>
      <c r="K57" s="288"/>
      <c r="L57" s="288"/>
      <c r="M57" s="288"/>
      <c r="N57" s="288"/>
      <c r="O57" s="288"/>
      <c r="P57" s="288"/>
      <c r="Q57" s="288"/>
      <c r="R57" s="288"/>
      <c r="S57" s="285"/>
      <c r="T57" s="285"/>
      <c r="U57" s="284"/>
      <c r="W57" s="274"/>
    </row>
    <row r="58" spans="2:23" s="139" customFormat="1">
      <c r="B58" s="293" t="str">
        <f>'INPUT-Data(HD)'!B17</f>
        <v>TRAGASH2C01</v>
      </c>
      <c r="C58" s="293" t="str">
        <f>'INPUT-Data(HD)'!C17</f>
        <v>Fuel Tech - H2 Delivery from centralized production to blending (COMP+GSTORB+TR+BLENDING+(nocosNATGASINF))-TRA</v>
      </c>
      <c r="D58" s="293" t="s">
        <v>340</v>
      </c>
      <c r="E58" s="293"/>
      <c r="F58" s="22"/>
      <c r="G58" s="294">
        <f>G54</f>
        <v>0.94</v>
      </c>
      <c r="H58" s="294"/>
      <c r="I58" s="295">
        <f>'INPUT-Data(HD)'!N17</f>
        <v>0.7</v>
      </c>
      <c r="J58" s="328">
        <f>F1*'INPUT-Data(HD)'!O17+50</f>
        <v>54.516636545887835</v>
      </c>
      <c r="K58" s="328">
        <f>J58-(3*(J58-L58)/4)</f>
        <v>53.965753880639674</v>
      </c>
      <c r="L58" s="328">
        <f>F1*'INPUT-Data(HD)'!P17+50</f>
        <v>53.782126325556952</v>
      </c>
      <c r="M58" s="233">
        <f>F1*'INPUT-Data(HD)'!Q17</f>
        <v>0.28690138382254782</v>
      </c>
      <c r="N58" s="233">
        <f>M58-(3*(M58-O58)/4)</f>
        <v>0.24360761490103933</v>
      </c>
      <c r="O58" s="233">
        <f>F1*'INPUT-Data(HD)'!R17</f>
        <v>0.22917635859386984</v>
      </c>
      <c r="P58" s="233">
        <f>F1*'INPUT-Data(HD)'!S17</f>
        <v>6.0247844424881826E-2</v>
      </c>
      <c r="Q58" s="233">
        <f>P58-(3*(P58-R58)/4)</f>
        <v>5.0545946013864793E-2</v>
      </c>
      <c r="R58" s="233">
        <f>F1*'INPUT-Data(HD)'!T17</f>
        <v>4.731197987685911E-2</v>
      </c>
      <c r="S58" s="234">
        <f>'INPUT-Data(HD)'!U17</f>
        <v>20</v>
      </c>
      <c r="T58" s="234">
        <f>'INPUT-Data(HD)'!V17</f>
        <v>2015</v>
      </c>
      <c r="U58" s="296">
        <v>1</v>
      </c>
    </row>
    <row r="59" spans="2:23" s="139" customFormat="1">
      <c r="B59" s="293"/>
      <c r="C59" s="293"/>
      <c r="D59" s="298" t="s">
        <v>233</v>
      </c>
      <c r="E59" s="293"/>
      <c r="F59" s="293"/>
      <c r="G59" s="294">
        <f>G55</f>
        <v>0.06</v>
      </c>
      <c r="H59" s="294"/>
      <c r="I59" s="295"/>
      <c r="J59" s="233"/>
      <c r="K59" s="233"/>
      <c r="L59" s="233"/>
      <c r="M59" s="233"/>
      <c r="N59" s="233"/>
      <c r="O59" s="233"/>
      <c r="P59" s="233"/>
      <c r="Q59" s="233"/>
      <c r="R59" s="233"/>
      <c r="S59" s="234"/>
      <c r="T59" s="234"/>
      <c r="U59" s="22"/>
    </row>
    <row r="60" spans="2:23" s="139" customFormat="1">
      <c r="B60" s="293"/>
      <c r="C60" s="293"/>
      <c r="D60" s="22"/>
      <c r="E60" s="293" t="s">
        <v>339</v>
      </c>
      <c r="F60" s="293"/>
      <c r="G60" s="233">
        <f>'INPUT-Data(HD)'!L17</f>
        <v>9.0200000000000002E-2</v>
      </c>
      <c r="H60" s="22"/>
      <c r="I60" s="295"/>
      <c r="J60" s="233"/>
      <c r="K60" s="233"/>
      <c r="L60" s="233"/>
      <c r="M60" s="233"/>
      <c r="N60" s="233"/>
      <c r="O60" s="233"/>
      <c r="P60" s="233"/>
      <c r="Q60" s="233"/>
      <c r="R60" s="233"/>
      <c r="S60" s="234"/>
      <c r="T60" s="234"/>
      <c r="U60" s="22"/>
      <c r="W60" s="274"/>
    </row>
    <row r="61" spans="2:23" s="139" customFormat="1">
      <c r="B61" s="293"/>
      <c r="C61" s="293"/>
      <c r="D61" s="293"/>
      <c r="E61" s="293"/>
      <c r="F61" s="298" t="s">
        <v>344</v>
      </c>
      <c r="G61" s="233"/>
      <c r="H61" s="294">
        <v>1</v>
      </c>
      <c r="I61" s="295"/>
      <c r="J61" s="233"/>
      <c r="K61" s="233"/>
      <c r="L61" s="233"/>
      <c r="M61" s="233"/>
      <c r="N61" s="233"/>
      <c r="O61" s="233"/>
      <c r="P61" s="233"/>
      <c r="Q61" s="233"/>
      <c r="R61" s="233"/>
      <c r="S61" s="234"/>
      <c r="T61" s="234"/>
      <c r="U61" s="22"/>
      <c r="W61" s="274"/>
    </row>
    <row r="62" spans="2:23" s="139" customFormat="1">
      <c r="B62" s="283" t="str">
        <f>'INPUT-Data(HD)'!B18</f>
        <v>INDGASH2C01</v>
      </c>
      <c r="C62" s="283" t="str">
        <f>'INPUT-Data(HD)'!C18</f>
        <v>Fuel Tech - H2 Delivery from centralized production to blending (COMP+GSTORB+TR+BLENDING+(nocosNATGASINF))-IND</v>
      </c>
      <c r="D62" s="283" t="s">
        <v>340</v>
      </c>
      <c r="E62" s="283"/>
      <c r="F62" s="284"/>
      <c r="G62" s="286">
        <f>G58</f>
        <v>0.94</v>
      </c>
      <c r="H62" s="286"/>
      <c r="I62" s="287">
        <f>'INPUT-Data(HD)'!N18</f>
        <v>0.7</v>
      </c>
      <c r="J62" s="288">
        <f>F1*'INPUT-Data(HD)'!O18</f>
        <v>4.5166365458878364</v>
      </c>
      <c r="K62" s="288">
        <f>J62-(3*(J62-L62)/4)</f>
        <v>3.9657538806396708</v>
      </c>
      <c r="L62" s="288">
        <f>F1*'INPUT-Data(HD)'!P18</f>
        <v>3.7821263255569493</v>
      </c>
      <c r="M62" s="288">
        <f>F1*'INPUT-Data(HD)'!Q18</f>
        <v>0.28690138382254782</v>
      </c>
      <c r="N62" s="288">
        <f>M62-(3*(M62-O62)/4)</f>
        <v>0.24360761490103933</v>
      </c>
      <c r="O62" s="288">
        <f>F1*'INPUT-Data(HD)'!R18</f>
        <v>0.22917635859386984</v>
      </c>
      <c r="P62" s="288">
        <f>F1*'INPUT-Data(HD)'!S18</f>
        <v>6.0247844424881826E-2</v>
      </c>
      <c r="Q62" s="288">
        <f>P62-(3*(P62-R62)/4)</f>
        <v>5.0545946013864793E-2</v>
      </c>
      <c r="R62" s="288">
        <f>F1*'INPUT-Data(HD)'!T18</f>
        <v>4.731197987685911E-2</v>
      </c>
      <c r="S62" s="285">
        <f>'INPUT-Data(HD)'!U18</f>
        <v>20</v>
      </c>
      <c r="T62" s="285">
        <f>'INPUT-Data(HD)'!V18</f>
        <v>2015</v>
      </c>
      <c r="U62" s="289">
        <v>1</v>
      </c>
    </row>
    <row r="63" spans="2:23" s="139" customFormat="1">
      <c r="B63" s="283"/>
      <c r="C63" s="283"/>
      <c r="D63" s="290" t="s">
        <v>233</v>
      </c>
      <c r="E63" s="283"/>
      <c r="F63" s="283"/>
      <c r="G63" s="286">
        <f>G59</f>
        <v>0.06</v>
      </c>
      <c r="H63" s="286"/>
      <c r="I63" s="287"/>
      <c r="J63" s="288"/>
      <c r="K63" s="288"/>
      <c r="L63" s="288"/>
      <c r="M63" s="288"/>
      <c r="N63" s="288"/>
      <c r="O63" s="288"/>
      <c r="P63" s="288"/>
      <c r="Q63" s="288"/>
      <c r="R63" s="288"/>
      <c r="S63" s="285"/>
      <c r="T63" s="285"/>
      <c r="U63" s="284"/>
    </row>
    <row r="64" spans="2:23" s="139" customFormat="1">
      <c r="B64" s="283"/>
      <c r="C64" s="283"/>
      <c r="D64" s="283"/>
      <c r="E64" s="283" t="s">
        <v>339</v>
      </c>
      <c r="F64" s="283"/>
      <c r="G64" s="288">
        <f>'INPUT-Data(HD)'!L18</f>
        <v>9.0200000000000002E-2</v>
      </c>
      <c r="H64" s="286"/>
      <c r="I64" s="287"/>
      <c r="J64" s="288"/>
      <c r="K64" s="288"/>
      <c r="L64" s="288"/>
      <c r="M64" s="288"/>
      <c r="N64" s="288"/>
      <c r="O64" s="288"/>
      <c r="P64" s="288"/>
      <c r="Q64" s="288"/>
      <c r="R64" s="288"/>
      <c r="S64" s="285"/>
      <c r="T64" s="285"/>
      <c r="U64" s="284"/>
      <c r="W64" s="274"/>
    </row>
    <row r="65" spans="2:23" s="139" customFormat="1">
      <c r="B65" s="283"/>
      <c r="C65" s="283"/>
      <c r="D65" s="283"/>
      <c r="E65" s="283"/>
      <c r="F65" s="290" t="s">
        <v>345</v>
      </c>
      <c r="G65" s="288"/>
      <c r="H65" s="286">
        <v>1</v>
      </c>
      <c r="I65" s="287"/>
      <c r="J65" s="288"/>
      <c r="K65" s="288"/>
      <c r="L65" s="288"/>
      <c r="M65" s="288"/>
      <c r="N65" s="288"/>
      <c r="O65" s="288"/>
      <c r="P65" s="288"/>
      <c r="Q65" s="288"/>
      <c r="R65" s="288"/>
      <c r="S65" s="285"/>
      <c r="T65" s="285"/>
      <c r="U65" s="284"/>
      <c r="W65" s="274"/>
    </row>
    <row r="66" spans="2:23" s="139" customFormat="1">
      <c r="B66" s="293" t="str">
        <f>'INPUT-Data(HD)'!B19</f>
        <v>ELCGASH2C01</v>
      </c>
      <c r="C66" s="293" t="str">
        <f>'INPUT-Data(HD)'!C19</f>
        <v>Fuel Tech - H2 Delivery from centralized production to blending (COMP+GSTORB+TR+BLENDING+(nocosNATGASINF))-ELC</v>
      </c>
      <c r="D66" s="298" t="s">
        <v>340</v>
      </c>
      <c r="E66" s="293"/>
      <c r="F66" s="22"/>
      <c r="G66" s="297">
        <f>'INPUT-Data(HD)'!J19</f>
        <v>0.94</v>
      </c>
      <c r="H66" s="294"/>
      <c r="I66" s="295">
        <f>'INPUT-Data(HD)'!N19</f>
        <v>0.7</v>
      </c>
      <c r="J66" s="233">
        <f>F1*'INPUT-Data(HD)'!O19</f>
        <v>4.5166365458878364</v>
      </c>
      <c r="K66" s="233">
        <f>J66-(3*(J66-L66)/4)</f>
        <v>3.9657538806396708</v>
      </c>
      <c r="L66" s="233">
        <f>F1*'INPUT-Data(HD)'!P19</f>
        <v>3.7821263255569493</v>
      </c>
      <c r="M66" s="233">
        <f>F1*'INPUT-Data(HD)'!Q19</f>
        <v>0.28690138382254782</v>
      </c>
      <c r="N66" s="233">
        <f>M66-(3*(M66-O66)/4)</f>
        <v>0.24360761490103933</v>
      </c>
      <c r="O66" s="233">
        <f>F1*'INPUT-Data(HD)'!R19</f>
        <v>0.22917635859386984</v>
      </c>
      <c r="P66" s="233">
        <f>F1*'INPUT-Data(HD)'!S19</f>
        <v>6.0247844424881826E-2</v>
      </c>
      <c r="Q66" s="233">
        <f>P66-(3*(P66-R66)/4)</f>
        <v>5.0545946013864793E-2</v>
      </c>
      <c r="R66" s="233">
        <f>F1*'INPUT-Data(HD)'!T19</f>
        <v>4.731197987685911E-2</v>
      </c>
      <c r="S66" s="234">
        <f>'INPUT-Data(HD)'!U19</f>
        <v>20</v>
      </c>
      <c r="T66" s="234">
        <f>'INPUT-Data(HD)'!V19</f>
        <v>2015</v>
      </c>
      <c r="U66" s="296">
        <v>1</v>
      </c>
    </row>
    <row r="67" spans="2:23" s="139" customFormat="1">
      <c r="B67" s="293"/>
      <c r="C67" s="293"/>
      <c r="D67" s="298" t="s">
        <v>233</v>
      </c>
      <c r="E67" s="293"/>
      <c r="F67" s="293"/>
      <c r="G67" s="297">
        <f>IF('INPUT-Data(HD)'!K19=0,"0.0001",'INPUT-Data(HD)'!K19)</f>
        <v>0.06</v>
      </c>
      <c r="H67" s="294"/>
      <c r="I67" s="295"/>
      <c r="J67" s="233"/>
      <c r="K67" s="233"/>
      <c r="L67" s="233"/>
      <c r="M67" s="233"/>
      <c r="N67" s="233"/>
      <c r="O67" s="233"/>
      <c r="P67" s="233"/>
      <c r="Q67" s="233"/>
      <c r="R67" s="233"/>
      <c r="S67" s="234"/>
      <c r="T67" s="234"/>
      <c r="U67" s="22"/>
    </row>
    <row r="68" spans="2:23" s="139" customFormat="1">
      <c r="B68" s="293"/>
      <c r="C68" s="293"/>
      <c r="D68" s="293"/>
      <c r="E68" s="298" t="s">
        <v>339</v>
      </c>
      <c r="F68" s="293"/>
      <c r="G68" s="233">
        <f>'INPUT-Data(HD)'!L19</f>
        <v>9.0200000000000002E-2</v>
      </c>
      <c r="H68" s="294"/>
      <c r="I68" s="295"/>
      <c r="J68" s="233"/>
      <c r="K68" s="233"/>
      <c r="L68" s="233"/>
      <c r="M68" s="233"/>
      <c r="N68" s="233"/>
      <c r="O68" s="233"/>
      <c r="P68" s="233"/>
      <c r="Q68" s="233"/>
      <c r="R68" s="233"/>
      <c r="S68" s="234"/>
      <c r="T68" s="234"/>
      <c r="U68" s="22"/>
    </row>
    <row r="69" spans="2:23" s="139" customFormat="1">
      <c r="B69" s="293"/>
      <c r="C69" s="293"/>
      <c r="D69" s="293"/>
      <c r="E69" s="293"/>
      <c r="F69" s="298" t="s">
        <v>346</v>
      </c>
      <c r="G69" s="233"/>
      <c r="H69" s="294">
        <f>'INPUT-Data(HD)'!M19</f>
        <v>1</v>
      </c>
      <c r="I69" s="295"/>
      <c r="J69" s="233"/>
      <c r="K69" s="233"/>
      <c r="L69" s="233"/>
      <c r="M69" s="233"/>
      <c r="N69" s="233"/>
      <c r="O69" s="233"/>
      <c r="P69" s="233"/>
      <c r="Q69" s="233"/>
      <c r="R69" s="233"/>
      <c r="S69" s="234"/>
      <c r="T69" s="234"/>
      <c r="U69" s="22"/>
    </row>
    <row r="70" spans="2:23" s="139" customFormat="1">
      <c r="B70" s="283" t="str">
        <f>'INPUT-Data(HD)'!B20</f>
        <v>SUPGASH2C01</v>
      </c>
      <c r="C70" s="283" t="str">
        <f>'INPUT-Data(HD)'!C20</f>
        <v>Fuel Tech - H2 Delivery from centralized production to blending (COMP+GSTORB+TR+BLENDING+(nocosNATGASINF))-SUP</v>
      </c>
      <c r="D70" s="283" t="s">
        <v>340</v>
      </c>
      <c r="E70" s="283"/>
      <c r="F70" s="284"/>
      <c r="G70" s="291">
        <f>'INPUT-Data(HD)'!J20</f>
        <v>0.94</v>
      </c>
      <c r="H70" s="286"/>
      <c r="I70" s="287">
        <f>'INPUT-Data(HD)'!N20</f>
        <v>0.7</v>
      </c>
      <c r="J70" s="288">
        <f>F1*'INPUT-Data(HD)'!O20</f>
        <v>4.5166365458878364</v>
      </c>
      <c r="K70" s="288">
        <f>J70-(3*(J70-L70)/4)</f>
        <v>3.9657538806396708</v>
      </c>
      <c r="L70" s="288">
        <f>F1*'INPUT-Data(HD)'!P20</f>
        <v>3.7821263255569493</v>
      </c>
      <c r="M70" s="288">
        <f>F1*'INPUT-Data(HD)'!Q20</f>
        <v>0.28690138382254782</v>
      </c>
      <c r="N70" s="288">
        <f>M70-(3*(M70-O70)/4)</f>
        <v>0.24360761490103933</v>
      </c>
      <c r="O70" s="288">
        <f>F1*'INPUT-Data(HD)'!R20</f>
        <v>0.22917635859386984</v>
      </c>
      <c r="P70" s="288">
        <f>F1*'INPUT-Data(HD)'!S20</f>
        <v>6.0247844424881826E-2</v>
      </c>
      <c r="Q70" s="288">
        <f>P70-(3*(P70-R70)/4)</f>
        <v>5.0545946013864793E-2</v>
      </c>
      <c r="R70" s="288">
        <f>F1*'INPUT-Data(HD)'!T20</f>
        <v>4.731197987685911E-2</v>
      </c>
      <c r="S70" s="285">
        <f>'INPUT-Data(HD)'!U20</f>
        <v>20</v>
      </c>
      <c r="T70" s="285">
        <f>'INPUT-Data(HD)'!V20</f>
        <v>2015</v>
      </c>
      <c r="U70" s="289">
        <v>1</v>
      </c>
    </row>
    <row r="71" spans="2:23" s="139" customFormat="1">
      <c r="B71" s="283"/>
      <c r="C71" s="283"/>
      <c r="D71" s="290" t="s">
        <v>233</v>
      </c>
      <c r="E71" s="283"/>
      <c r="F71" s="283"/>
      <c r="G71" s="291">
        <f>'INPUT-Data(HD)'!K20</f>
        <v>0.06</v>
      </c>
      <c r="H71" s="286"/>
      <c r="I71" s="287"/>
      <c r="J71" s="288"/>
      <c r="K71" s="288"/>
      <c r="L71" s="288"/>
      <c r="M71" s="288"/>
      <c r="N71" s="288"/>
      <c r="O71" s="288"/>
      <c r="P71" s="288"/>
      <c r="Q71" s="288"/>
      <c r="R71" s="288"/>
      <c r="S71" s="285"/>
      <c r="T71" s="285"/>
      <c r="U71" s="284"/>
    </row>
    <row r="72" spans="2:23" s="139" customFormat="1">
      <c r="B72" s="283"/>
      <c r="C72" s="283"/>
      <c r="D72" s="283"/>
      <c r="E72" s="290" t="s">
        <v>339</v>
      </c>
      <c r="F72" s="283"/>
      <c r="G72" s="291">
        <f>'INPUT-Data(HD)'!K20</f>
        <v>0.06</v>
      </c>
      <c r="H72" s="286"/>
      <c r="I72" s="287"/>
      <c r="J72" s="288"/>
      <c r="K72" s="288"/>
      <c r="L72" s="288"/>
      <c r="M72" s="288"/>
      <c r="N72" s="288"/>
      <c r="O72" s="288"/>
      <c r="P72" s="288"/>
      <c r="Q72" s="288"/>
      <c r="R72" s="288"/>
      <c r="S72" s="285"/>
      <c r="T72" s="285"/>
      <c r="U72" s="284"/>
    </row>
    <row r="73" spans="2:23" s="139" customFormat="1">
      <c r="B73" s="56"/>
      <c r="C73" s="56"/>
      <c r="D73" s="56"/>
      <c r="E73" s="56"/>
      <c r="F73" s="301" t="s">
        <v>347</v>
      </c>
      <c r="G73" s="133"/>
      <c r="H73" s="57">
        <f>'INPUT-Data(HD)'!M20</f>
        <v>1</v>
      </c>
      <c r="I73" s="58"/>
      <c r="J73" s="133"/>
      <c r="K73" s="133"/>
      <c r="L73" s="133"/>
      <c r="M73" s="133"/>
      <c r="N73" s="133"/>
      <c r="O73" s="133"/>
      <c r="P73" s="133"/>
      <c r="Q73" s="133"/>
      <c r="R73" s="133"/>
      <c r="S73" s="59"/>
      <c r="T73" s="59"/>
      <c r="U73" s="60"/>
    </row>
    <row r="74" spans="2:23" s="139" customFormat="1">
      <c r="B74" s="293" t="str">
        <f>'INPUT-Data(HD)'!B21</f>
        <v>RSDGH2D01</v>
      </c>
      <c r="C74" s="293" t="str">
        <f>'INPUT-Data(HD)'!C21</f>
        <v>Fuel Tech - H2 Delivery from local production (LOCGSTORB+DP - RSD)</v>
      </c>
      <c r="D74" s="293" t="s">
        <v>537</v>
      </c>
      <c r="E74" s="293"/>
      <c r="F74" s="22"/>
      <c r="G74" s="234">
        <f>'INPUT-Data(HD)'!J21</f>
        <v>1</v>
      </c>
      <c r="H74" s="294"/>
      <c r="I74" s="295">
        <f>'INPUT-Data(HD)'!N21</f>
        <v>0.7</v>
      </c>
      <c r="J74" s="233">
        <f>F1*'INPUT-Data(HD)'!O21</f>
        <v>39.856139067837965</v>
      </c>
      <c r="K74" s="233">
        <f>J74-(3*(J74-L74)/4)</f>
        <v>35.092638272685598</v>
      </c>
      <c r="L74" s="233">
        <f>F1*'INPUT-Data(HD)'!P21</f>
        <v>33.504804674301475</v>
      </c>
      <c r="M74" s="233">
        <f>F1*'INPUT-Data(HD)'!Q21</f>
        <v>1.9199977828567052</v>
      </c>
      <c r="N74" s="233">
        <f>M74-(3*(M74-O74)/4)</f>
        <v>1.6944357092867164</v>
      </c>
      <c r="O74" s="233">
        <f>F1*'INPUT-Data(HD)'!R21</f>
        <v>1.6192483514300535</v>
      </c>
      <c r="P74" s="233">
        <f>F1*'INPUT-Data(HD)'!S21</f>
        <v>0.216538464340397</v>
      </c>
      <c r="Q74" s="233">
        <f>P74-(3*(P74-R74)/4)</f>
        <v>0.20043587185794687</v>
      </c>
      <c r="R74" s="233">
        <f>F1*'INPUT-Data(HD)'!T21</f>
        <v>0.19506834103046347</v>
      </c>
      <c r="S74" s="234">
        <f>'INPUT-Data(HD)'!U21</f>
        <v>20</v>
      </c>
      <c r="T74" s="234">
        <f>'INPUT-Data(HD)'!V21</f>
        <v>2015</v>
      </c>
      <c r="U74" s="296">
        <v>1</v>
      </c>
    </row>
    <row r="75" spans="2:23" s="139" customFormat="1">
      <c r="B75" s="293"/>
      <c r="C75" s="293"/>
      <c r="D75" s="293" t="s">
        <v>339</v>
      </c>
      <c r="E75" s="293"/>
      <c r="F75" s="293"/>
      <c r="G75" s="327">
        <f>'INPUT-Data(HD)'!K21+0.0001</f>
        <v>1E-4</v>
      </c>
      <c r="H75" s="294"/>
      <c r="I75" s="295"/>
      <c r="J75" s="233"/>
      <c r="K75" s="233"/>
      <c r="L75" s="233"/>
      <c r="M75" s="325"/>
      <c r="N75" s="233"/>
      <c r="O75" s="325"/>
      <c r="P75" s="325"/>
      <c r="Q75" s="233"/>
      <c r="R75" s="325"/>
      <c r="S75" s="326"/>
      <c r="T75" s="22"/>
      <c r="U75" s="22"/>
    </row>
    <row r="76" spans="2:23" s="139" customFormat="1">
      <c r="B76" s="293"/>
      <c r="C76" s="293"/>
      <c r="D76" s="22"/>
      <c r="E76" s="22"/>
      <c r="F76" s="298" t="s">
        <v>171</v>
      </c>
      <c r="G76" s="233"/>
      <c r="H76" s="294">
        <f>'INPUT-Data(HD)'!M21</f>
        <v>1</v>
      </c>
      <c r="I76" s="295"/>
      <c r="J76" s="233"/>
      <c r="K76" s="233"/>
      <c r="L76" s="233"/>
      <c r="M76" s="22"/>
      <c r="N76" s="233"/>
      <c r="O76" s="22"/>
      <c r="P76" s="22"/>
      <c r="Q76" s="233"/>
      <c r="R76" s="22"/>
      <c r="S76" s="22"/>
      <c r="T76" s="22"/>
      <c r="U76" s="22"/>
    </row>
    <row r="77" spans="2:23" s="139" customFormat="1">
      <c r="B77" s="283" t="str">
        <f>'INPUT-Data(HD)'!B22</f>
        <v>RSDGH2D02</v>
      </c>
      <c r="C77" s="283" t="str">
        <f>'INPUT-Data(HD)'!C22</f>
        <v>Fuel Tech - H2 Delivery from local production (No need for storage RSD)</v>
      </c>
      <c r="D77" s="283" t="s">
        <v>537</v>
      </c>
      <c r="E77" s="283"/>
      <c r="F77" s="284"/>
      <c r="G77" s="285">
        <f>'INPUT-Data(HD)'!J22</f>
        <v>1</v>
      </c>
      <c r="H77" s="286"/>
      <c r="I77" s="287">
        <f>'INPUT-Data(HD)'!N22</f>
        <v>0.7</v>
      </c>
      <c r="J77" s="288">
        <f>F1*'INPUT-Data(HD)'!O22</f>
        <v>21.653846434039703</v>
      </c>
      <c r="K77" s="288">
        <f>J77-(3*(J77-L77)/4)</f>
        <v>20.043587185794685</v>
      </c>
      <c r="L77" s="288">
        <f>F1*'INPUT-Data(HD)'!P22</f>
        <v>19.506834103046348</v>
      </c>
      <c r="M77" s="288">
        <f>F1*'INPUT-Data(HD)'!Q22</f>
        <v>1.0826923217019853</v>
      </c>
      <c r="N77" s="288">
        <f>M77-(3*(M77-O77)/4)</f>
        <v>1.0021793592897346</v>
      </c>
      <c r="O77" s="288">
        <f>F1*'INPUT-Data(HD)'!R22</f>
        <v>0.97534170515231755</v>
      </c>
      <c r="P77" s="288">
        <f>F1*'INPUT-Data(HD)'!S22</f>
        <v>0.216538464340397</v>
      </c>
      <c r="Q77" s="288">
        <f>P77-(3*(P77-R77)/4)</f>
        <v>0.20043587185794687</v>
      </c>
      <c r="R77" s="288">
        <f>F1*'INPUT-Data(HD)'!T22</f>
        <v>0.19506834103046347</v>
      </c>
      <c r="S77" s="285">
        <f>'INPUT-Data(HD)'!U22</f>
        <v>20</v>
      </c>
      <c r="T77" s="285">
        <f>'INPUT-Data(HD)'!V22</f>
        <v>2015</v>
      </c>
      <c r="U77" s="289">
        <v>1</v>
      </c>
    </row>
    <row r="78" spans="2:23" s="139" customFormat="1">
      <c r="B78" s="283"/>
      <c r="C78" s="283"/>
      <c r="D78" s="283" t="s">
        <v>339</v>
      </c>
      <c r="E78" s="283"/>
      <c r="F78" s="283"/>
      <c r="G78" s="291">
        <f>'INPUT-Data(HD)'!K22+0.0001</f>
        <v>1E-4</v>
      </c>
      <c r="H78" s="286"/>
      <c r="I78" s="287"/>
      <c r="J78" s="288"/>
      <c r="K78" s="288"/>
      <c r="L78" s="288"/>
      <c r="M78" s="299"/>
      <c r="N78" s="288"/>
      <c r="O78" s="299"/>
      <c r="P78" s="299"/>
      <c r="Q78" s="288"/>
      <c r="R78" s="299"/>
      <c r="S78" s="300"/>
      <c r="T78" s="284"/>
      <c r="U78" s="284"/>
    </row>
    <row r="79" spans="2:23" s="139" customFormat="1">
      <c r="B79" s="283"/>
      <c r="C79" s="283"/>
      <c r="D79" s="284"/>
      <c r="E79" s="284"/>
      <c r="F79" s="290" t="s">
        <v>171</v>
      </c>
      <c r="G79" s="288"/>
      <c r="H79" s="286">
        <f>'INPUT-Data(HD)'!M22</f>
        <v>1</v>
      </c>
      <c r="I79" s="287"/>
      <c r="J79" s="288"/>
      <c r="K79" s="288"/>
      <c r="L79" s="288"/>
      <c r="M79" s="284"/>
      <c r="N79" s="288"/>
      <c r="O79" s="284"/>
      <c r="P79" s="284"/>
      <c r="Q79" s="288"/>
      <c r="R79" s="284"/>
      <c r="S79" s="284"/>
      <c r="T79" s="284"/>
      <c r="U79" s="284"/>
    </row>
    <row r="80" spans="2:23" s="139" customFormat="1">
      <c r="B80" s="293" t="str">
        <f>'INPUT-Data(HD)'!B23</f>
        <v>COMGH2D02</v>
      </c>
      <c r="C80" s="293" t="str">
        <f>'INPUT-Data(HD)'!C23</f>
        <v>Fuel Tech - H2 Delivery from local production (No need for storage COM)</v>
      </c>
      <c r="D80" s="293" t="s">
        <v>536</v>
      </c>
      <c r="E80" s="293"/>
      <c r="F80" s="22"/>
      <c r="G80" s="234">
        <f>'INPUT-Data(HD)'!J23</f>
        <v>1</v>
      </c>
      <c r="H80" s="294"/>
      <c r="I80" s="295">
        <f>'INPUT-Data(HD)'!N23</f>
        <v>0.7</v>
      </c>
      <c r="J80" s="233">
        <f>F1*'INPUT-Data(HD)'!O23</f>
        <v>21.653846434039703</v>
      </c>
      <c r="K80" s="233">
        <f>J80-(3*(J80-L80)/4)</f>
        <v>20.043587185794685</v>
      </c>
      <c r="L80" s="233">
        <f>F1*'INPUT-Data(HD)'!P23</f>
        <v>19.506834103046348</v>
      </c>
      <c r="M80" s="233">
        <f>F1*'INPUT-Data(HD)'!Q23</f>
        <v>1.0826923217019853</v>
      </c>
      <c r="N80" s="233">
        <f>M80-(3*(M80-O80)/4)</f>
        <v>1.0021793592897346</v>
      </c>
      <c r="O80" s="233">
        <f>F1*'INPUT-Data(HD)'!R23</f>
        <v>0.97534170515231755</v>
      </c>
      <c r="P80" s="233">
        <f>F1*'INPUT-Data(HD)'!S23</f>
        <v>0.216538464340397</v>
      </c>
      <c r="Q80" s="233">
        <f>P80-(3*(P80-R80)/4)</f>
        <v>0.20043587185794687</v>
      </c>
      <c r="R80" s="233">
        <f>F1*'INPUT-Data(HD)'!T23</f>
        <v>0.19506834103046347</v>
      </c>
      <c r="S80" s="234">
        <f>'INPUT-Data(HD)'!U23</f>
        <v>20</v>
      </c>
      <c r="T80" s="234">
        <f>'INPUT-Data(HD)'!V23</f>
        <v>2015</v>
      </c>
      <c r="U80" s="296">
        <v>1</v>
      </c>
    </row>
    <row r="81" spans="1:21" s="139" customFormat="1">
      <c r="B81" s="293"/>
      <c r="C81" s="293"/>
      <c r="D81" s="293" t="s">
        <v>339</v>
      </c>
      <c r="E81" s="293"/>
      <c r="F81" s="293"/>
      <c r="G81" s="297">
        <f>'INPUT-Data(HD)'!K23</f>
        <v>0</v>
      </c>
      <c r="H81" s="294"/>
      <c r="I81" s="295"/>
      <c r="J81" s="233"/>
      <c r="K81" s="233"/>
      <c r="L81" s="233"/>
      <c r="M81" s="325"/>
      <c r="N81" s="233"/>
      <c r="O81" s="325"/>
      <c r="P81" s="325"/>
      <c r="Q81" s="233"/>
      <c r="R81" s="325"/>
      <c r="S81" s="326"/>
      <c r="T81" s="22"/>
      <c r="U81" s="22"/>
    </row>
    <row r="82" spans="1:21" s="139" customFormat="1">
      <c r="B82" s="293"/>
      <c r="C82" s="293"/>
      <c r="D82" s="22"/>
      <c r="E82" s="22"/>
      <c r="F82" s="298" t="s">
        <v>584</v>
      </c>
      <c r="G82" s="233"/>
      <c r="H82" s="294">
        <f>'INPUT-Data(HD)'!M23</f>
        <v>1</v>
      </c>
      <c r="I82" s="295"/>
      <c r="J82" s="233"/>
      <c r="K82" s="233"/>
      <c r="L82" s="233"/>
      <c r="M82" s="22"/>
      <c r="N82" s="233"/>
      <c r="O82" s="22"/>
      <c r="P82" s="22"/>
      <c r="Q82" s="233"/>
      <c r="R82" s="22"/>
      <c r="S82" s="22"/>
      <c r="T82" s="22"/>
      <c r="U82" s="22"/>
    </row>
    <row r="83" spans="1:21" s="139" customFormat="1">
      <c r="B83" s="283" t="str">
        <f>'INPUT-Data(HD)'!B24</f>
        <v>INDGH2D02</v>
      </c>
      <c r="C83" s="283" t="str">
        <f>'INPUT-Data(HD)'!C24</f>
        <v>Fuel Tech - H2 Delivery from local production (COMP+LOCGSTORB IND)</v>
      </c>
      <c r="D83" s="283" t="s">
        <v>527</v>
      </c>
      <c r="E83" s="283"/>
      <c r="F83" s="284"/>
      <c r="G83" s="285">
        <f>'INPUT-Data(HD)'!J24</f>
        <v>1</v>
      </c>
      <c r="H83" s="286"/>
      <c r="I83" s="287">
        <f>'INPUT-Data(HD)'!N24</f>
        <v>0.7</v>
      </c>
      <c r="J83" s="288">
        <f>F1*'INPUT-Data(HD)'!O24</f>
        <v>19.257996161418507</v>
      </c>
      <c r="K83" s="288">
        <f>J83-(3*(J83-L83)/4)</f>
        <v>15.811239591413678</v>
      </c>
      <c r="L83" s="288">
        <f>F1*'INPUT-Data(HD)'!P24</f>
        <v>14.6623207347454</v>
      </c>
      <c r="M83" s="288">
        <f>F1*'INPUT-Data(HD)'!Q24</f>
        <v>0.98812025081475463</v>
      </c>
      <c r="N83" s="288">
        <f>M83-(3*(M83-O83)/4)</f>
        <v>0.80114042207166269</v>
      </c>
      <c r="O83" s="288">
        <f>F1*'INPUT-Data(HD)'!R24</f>
        <v>0.73881381249063205</v>
      </c>
      <c r="P83" s="288">
        <f>F1*'INPUT-Data(HD)'!S24</f>
        <v>2.5638514242205871E-2</v>
      </c>
      <c r="Q83" s="288">
        <f>P83-(3*(P83-R83)/4)</f>
        <v>1.8510292252695737E-2</v>
      </c>
      <c r="R83" s="288">
        <f>F1*'INPUT-Data(HD)'!T24</f>
        <v>1.6134218256192361E-2</v>
      </c>
      <c r="S83" s="285">
        <f>'INPUT-Data(HD)'!U24</f>
        <v>20</v>
      </c>
      <c r="T83" s="285">
        <f>'INPUT-Data(HD)'!V24</f>
        <v>2015</v>
      </c>
      <c r="U83" s="289">
        <v>1</v>
      </c>
    </row>
    <row r="84" spans="1:21" s="139" customFormat="1">
      <c r="B84" s="283"/>
      <c r="C84" s="283"/>
      <c r="D84" s="283" t="s">
        <v>339</v>
      </c>
      <c r="E84" s="283"/>
      <c r="F84" s="283"/>
      <c r="G84" s="291">
        <f>'INPUT-Data(HD)'!K24+0.0001</f>
        <v>1E-4</v>
      </c>
      <c r="H84" s="286"/>
      <c r="I84" s="287"/>
      <c r="J84" s="288"/>
      <c r="K84" s="288"/>
      <c r="L84" s="288"/>
      <c r="M84" s="299"/>
      <c r="N84" s="288"/>
      <c r="O84" s="299"/>
      <c r="P84" s="299"/>
      <c r="Q84" s="288"/>
      <c r="R84" s="299"/>
      <c r="S84" s="300"/>
      <c r="T84" s="284"/>
      <c r="U84" s="284"/>
    </row>
    <row r="85" spans="1:21" s="139" customFormat="1">
      <c r="B85" s="283"/>
      <c r="C85" s="283"/>
      <c r="D85" s="284"/>
      <c r="E85" s="284"/>
      <c r="F85" s="290" t="s">
        <v>367</v>
      </c>
      <c r="G85" s="288"/>
      <c r="H85" s="286">
        <f>'INPUT-Data(HD)'!M24</f>
        <v>1</v>
      </c>
      <c r="I85" s="287"/>
      <c r="J85" s="288"/>
      <c r="K85" s="288"/>
      <c r="L85" s="288"/>
      <c r="M85" s="284"/>
      <c r="N85" s="288"/>
      <c r="O85" s="284"/>
      <c r="P85" s="284"/>
      <c r="Q85" s="288"/>
      <c r="R85" s="284"/>
      <c r="S85" s="284"/>
      <c r="T85" s="284"/>
      <c r="U85" s="284"/>
    </row>
    <row r="86" spans="1:21" s="69" customFormat="1">
      <c r="B86" s="350" t="s">
        <v>628</v>
      </c>
      <c r="C86" s="350" t="str">
        <f>C83</f>
        <v>Fuel Tech - H2 Delivery from local production (COMP+LOCGSTORB IND)</v>
      </c>
      <c r="D86" s="350" t="s">
        <v>630</v>
      </c>
      <c r="E86" s="350"/>
      <c r="F86" s="346"/>
      <c r="G86" s="351">
        <f>G83</f>
        <v>1</v>
      </c>
      <c r="H86" s="352"/>
      <c r="I86" s="353">
        <f>I83</f>
        <v>0.7</v>
      </c>
      <c r="J86" s="353">
        <f t="shared" ref="J86:U86" si="0">J83</f>
        <v>19.257996161418507</v>
      </c>
      <c r="K86" s="353">
        <f t="shared" si="0"/>
        <v>15.811239591413678</v>
      </c>
      <c r="L86" s="353">
        <f t="shared" si="0"/>
        <v>14.6623207347454</v>
      </c>
      <c r="M86" s="353">
        <f t="shared" si="0"/>
        <v>0.98812025081475463</v>
      </c>
      <c r="N86" s="353">
        <f t="shared" si="0"/>
        <v>0.80114042207166269</v>
      </c>
      <c r="O86" s="353">
        <f t="shared" si="0"/>
        <v>0.73881381249063205</v>
      </c>
      <c r="P86" s="353">
        <f t="shared" si="0"/>
        <v>2.5638514242205871E-2</v>
      </c>
      <c r="Q86" s="353">
        <f t="shared" si="0"/>
        <v>1.8510292252695737E-2</v>
      </c>
      <c r="R86" s="353">
        <f t="shared" si="0"/>
        <v>1.6134218256192361E-2</v>
      </c>
      <c r="S86" s="353">
        <f t="shared" si="0"/>
        <v>20</v>
      </c>
      <c r="T86" s="353">
        <f t="shared" si="0"/>
        <v>2015</v>
      </c>
      <c r="U86" s="353">
        <f t="shared" si="0"/>
        <v>1</v>
      </c>
    </row>
    <row r="87" spans="1:21" s="69" customFormat="1">
      <c r="B87" s="350"/>
      <c r="C87" s="350"/>
      <c r="D87" s="350" t="s">
        <v>339</v>
      </c>
      <c r="E87" s="350"/>
      <c r="F87" s="350"/>
      <c r="G87" s="359">
        <f>G84</f>
        <v>1E-4</v>
      </c>
      <c r="H87" s="352"/>
      <c r="I87" s="354"/>
      <c r="J87" s="355"/>
      <c r="K87" s="355"/>
      <c r="L87" s="355"/>
      <c r="M87" s="356"/>
      <c r="N87" s="355"/>
      <c r="O87" s="356"/>
      <c r="P87" s="356"/>
      <c r="Q87" s="355"/>
      <c r="R87" s="356"/>
      <c r="S87" s="357"/>
      <c r="T87" s="346"/>
      <c r="U87" s="346"/>
    </row>
    <row r="88" spans="1:21" s="69" customFormat="1">
      <c r="B88" s="350"/>
      <c r="C88" s="350"/>
      <c r="D88" s="346"/>
      <c r="E88" s="346"/>
      <c r="F88" s="358" t="s">
        <v>629</v>
      </c>
      <c r="G88" s="355"/>
      <c r="H88" s="352">
        <f>H85</f>
        <v>1</v>
      </c>
      <c r="I88" s="354"/>
      <c r="J88" s="355"/>
      <c r="K88" s="355"/>
      <c r="L88" s="355"/>
      <c r="M88" s="346"/>
      <c r="N88" s="355"/>
      <c r="O88" s="346"/>
      <c r="P88" s="346"/>
      <c r="Q88" s="355"/>
      <c r="R88" s="346"/>
      <c r="S88" s="346"/>
      <c r="T88" s="346"/>
      <c r="U88" s="346"/>
    </row>
    <row r="89" spans="1:21" s="139" customFormat="1">
      <c r="B89" s="293" t="str">
        <f>'INPUT-Data(HD)'!B25</f>
        <v>TRAGH2D01</v>
      </c>
      <c r="C89" s="293" t="str">
        <f>'INPUT-Data(HD)'!C25</f>
        <v>Fuel Tech - H2 Delivery from local production (REFGG (average)+storage in tank)</v>
      </c>
      <c r="D89" s="293" t="s">
        <v>525</v>
      </c>
      <c r="E89" s="293"/>
      <c r="F89" s="22"/>
      <c r="G89" s="234">
        <f>'INPUT-Data(HD)'!J25</f>
        <v>1</v>
      </c>
      <c r="H89" s="294"/>
      <c r="I89" s="295">
        <f>'INPUT-Data(HD)'!N25</f>
        <v>0.7</v>
      </c>
      <c r="J89" s="233">
        <f>F1*'INPUT-Data(HD)'!O25</f>
        <v>30.275677852414237</v>
      </c>
      <c r="K89" s="233">
        <f>J89-(3*(J89-L89)/4)</f>
        <v>23.160469179565286</v>
      </c>
      <c r="L89" s="233">
        <f>F1*'INPUT-Data(HD)'!P25</f>
        <v>20.788732955282303</v>
      </c>
      <c r="M89" s="233">
        <f>F1*'INPUT-Data(HD)'!Q25</f>
        <v>2.4176744580809109</v>
      </c>
      <c r="N89" s="233">
        <f>M89-(3*(M89-O89)/4)</f>
        <v>1.864239196778168</v>
      </c>
      <c r="O89" s="233">
        <f>F1*'INPUT-Data(HD)'!R25</f>
        <v>1.6797607763439204</v>
      </c>
      <c r="P89" s="233">
        <f>F1*'INPUT-Data(HD)'!S25</f>
        <v>9.1910146414727376E-2</v>
      </c>
      <c r="Q89" s="233">
        <f>P89-(3*(P89-R89)/4)</f>
        <v>6.9996679711830281E-2</v>
      </c>
      <c r="R89" s="233">
        <f>F1*'INPUT-Data(HD)'!T25</f>
        <v>6.2692190810864579E-2</v>
      </c>
      <c r="S89" s="234">
        <f>'INPUT-Data(HD)'!U25</f>
        <v>20</v>
      </c>
      <c r="T89" s="234">
        <f>'INPUT-Data(HD)'!V25</f>
        <v>2015</v>
      </c>
      <c r="U89" s="296">
        <v>1</v>
      </c>
    </row>
    <row r="90" spans="1:21" s="139" customFormat="1">
      <c r="B90" s="293"/>
      <c r="C90" s="293"/>
      <c r="D90" s="293" t="s">
        <v>339</v>
      </c>
      <c r="E90" s="293"/>
      <c r="F90" s="293"/>
      <c r="G90" s="297">
        <f>'INPUT-Data(HD)'!K25</f>
        <v>0.125</v>
      </c>
      <c r="H90" s="294"/>
      <c r="I90" s="295"/>
      <c r="J90" s="233"/>
      <c r="K90" s="233"/>
      <c r="L90" s="233"/>
      <c r="M90" s="325"/>
      <c r="N90" s="233"/>
      <c r="O90" s="325"/>
      <c r="P90" s="325"/>
      <c r="Q90" s="233"/>
      <c r="R90" s="325"/>
      <c r="S90" s="326"/>
      <c r="T90" s="22"/>
      <c r="U90" s="22"/>
    </row>
    <row r="91" spans="1:21" s="139" customFormat="1">
      <c r="B91" s="293"/>
      <c r="C91" s="293"/>
      <c r="D91" s="22"/>
      <c r="E91" s="22"/>
      <c r="F91" s="293" t="s">
        <v>164</v>
      </c>
      <c r="G91" s="233"/>
      <c r="H91" s="294">
        <f>'INPUT-Data(HD)'!M25</f>
        <v>1</v>
      </c>
      <c r="I91" s="295"/>
      <c r="J91" s="233"/>
      <c r="K91" s="233"/>
      <c r="L91" s="233"/>
      <c r="M91" s="22"/>
      <c r="N91" s="233"/>
      <c r="O91" s="22"/>
      <c r="P91" s="22"/>
      <c r="Q91" s="233"/>
      <c r="R91" s="22"/>
      <c r="S91" s="22"/>
      <c r="T91" s="22"/>
      <c r="U91" s="22"/>
    </row>
    <row r="92" spans="1:21" s="139" customFormat="1">
      <c r="B92" s="283" t="str">
        <f>'INPUT-Data(HD)'!B26</f>
        <v>TRAGH2D02</v>
      </c>
      <c r="C92" s="283" t="str">
        <f>'INPUT-Data(HD)'!C26</f>
        <v>Fuel Tech - H2 Delivery from local production (REFGG (average)+storage in truck)</v>
      </c>
      <c r="D92" s="283" t="s">
        <v>526</v>
      </c>
      <c r="E92" s="283"/>
      <c r="F92" s="284"/>
      <c r="G92" s="285">
        <f>'INPUT-Data(HD)'!J26</f>
        <v>1</v>
      </c>
      <c r="H92" s="286"/>
      <c r="I92" s="287">
        <f>'INPUT-Data(HD)'!N26</f>
        <v>0.7</v>
      </c>
      <c r="J92" s="288">
        <f>F1*'INPUT-Data(HD)'!O26</f>
        <v>24.381154941420252</v>
      </c>
      <c r="K92" s="288">
        <f>J92-(3*(J92-L92)/4)</f>
        <v>18.995860601145623</v>
      </c>
      <c r="L92" s="288">
        <f>F1*'INPUT-Data(HD)'!P26</f>
        <v>17.200762487720748</v>
      </c>
      <c r="M92" s="288">
        <f>F1*'INPUT-Data(HD)'!Q26</f>
        <v>2.1718984810529443</v>
      </c>
      <c r="N92" s="288">
        <f>M92-(3*(M92-O92)/4)</f>
        <v>1.6761270308360121</v>
      </c>
      <c r="O92" s="288">
        <f>F1*'INPUT-Data(HD)'!R26</f>
        <v>1.5108698807637015</v>
      </c>
      <c r="P92" s="288">
        <f>F1*'INPUT-Data(HD)'!S26</f>
        <v>9.1910146414727376E-2</v>
      </c>
      <c r="Q92" s="288">
        <f>P92-(3*(P92-R92)/4)</f>
        <v>6.9996679711830281E-2</v>
      </c>
      <c r="R92" s="288">
        <f>F1*'INPUT-Data(HD)'!T26</f>
        <v>6.2692190810864579E-2</v>
      </c>
      <c r="S92" s="285">
        <f>'INPUT-Data(HD)'!U26</f>
        <v>20</v>
      </c>
      <c r="T92" s="285">
        <f>'INPUT-Data(HD)'!V26</f>
        <v>2015</v>
      </c>
      <c r="U92" s="289">
        <v>1</v>
      </c>
    </row>
    <row r="93" spans="1:21" s="139" customFormat="1">
      <c r="B93" s="283"/>
      <c r="C93" s="283"/>
      <c r="D93" s="283" t="s">
        <v>339</v>
      </c>
      <c r="E93" s="283"/>
      <c r="F93" s="283"/>
      <c r="G93" s="291">
        <f>'INPUT-Data(HD)'!K26</f>
        <v>0.125</v>
      </c>
      <c r="H93" s="286"/>
      <c r="I93" s="287"/>
      <c r="J93" s="288"/>
      <c r="K93" s="288"/>
      <c r="L93" s="288"/>
      <c r="M93" s="299"/>
      <c r="N93" s="288"/>
      <c r="O93" s="299"/>
      <c r="P93" s="299"/>
      <c r="Q93" s="288"/>
      <c r="R93" s="299"/>
      <c r="S93" s="300"/>
      <c r="T93" s="284"/>
      <c r="U93" s="284"/>
    </row>
    <row r="94" spans="1:21" s="139" customFormat="1">
      <c r="A94" s="130" t="s">
        <v>605</v>
      </c>
      <c r="B94" s="283"/>
      <c r="C94" s="283"/>
      <c r="D94" s="290" t="s">
        <v>595</v>
      </c>
      <c r="E94" s="290"/>
      <c r="F94" s="283"/>
      <c r="G94" s="292">
        <f>IF('INPUT-Data(HD)'!L26=0,"",'INPUT-Data(HD)'!L26)</f>
        <v>3.0000000000000001E-3</v>
      </c>
      <c r="H94" s="286"/>
      <c r="I94" s="287"/>
      <c r="J94" s="288"/>
      <c r="K94" s="288"/>
      <c r="L94" s="288"/>
      <c r="M94" s="299"/>
      <c r="N94" s="288"/>
      <c r="O94" s="299"/>
      <c r="P94" s="299"/>
      <c r="Q94" s="288"/>
      <c r="R94" s="299"/>
      <c r="S94" s="300"/>
      <c r="T94" s="284"/>
      <c r="U94" s="284"/>
    </row>
    <row r="95" spans="1:21" s="139" customFormat="1">
      <c r="B95" s="283"/>
      <c r="C95" s="283"/>
      <c r="D95" s="284"/>
      <c r="E95" s="284"/>
      <c r="F95" s="290" t="s">
        <v>164</v>
      </c>
      <c r="G95" s="288"/>
      <c r="H95" s="286">
        <f>'INPUT-Data(HD)'!M26</f>
        <v>1</v>
      </c>
      <c r="I95" s="287"/>
      <c r="J95" s="288"/>
      <c r="K95" s="288"/>
      <c r="L95" s="288"/>
      <c r="M95" s="284"/>
      <c r="N95" s="288"/>
      <c r="O95" s="284"/>
      <c r="P95" s="284"/>
      <c r="Q95" s="288"/>
      <c r="R95" s="284"/>
      <c r="S95" s="284"/>
      <c r="T95" s="284"/>
      <c r="U95" s="284"/>
    </row>
    <row r="96" spans="1:21" s="130" customFormat="1">
      <c r="B96" s="42"/>
      <c r="C96" s="42"/>
      <c r="F96" s="26"/>
    </row>
    <row r="98" spans="1:18">
      <c r="A98" s="29"/>
      <c r="B98" s="29"/>
      <c r="C98" s="30"/>
      <c r="D98" s="30"/>
      <c r="E98" s="30"/>
      <c r="F98" s="30"/>
      <c r="G98" s="30"/>
      <c r="H98" s="30"/>
      <c r="I98" s="113" t="s">
        <v>476</v>
      </c>
    </row>
    <row r="99" spans="1:18">
      <c r="A99" s="31" t="s">
        <v>7</v>
      </c>
      <c r="B99" s="31" t="s">
        <v>0</v>
      </c>
      <c r="C99" s="31" t="s">
        <v>1</v>
      </c>
      <c r="D99" s="31" t="s">
        <v>9</v>
      </c>
      <c r="E99" s="31" t="s">
        <v>10</v>
      </c>
      <c r="F99" s="31" t="s">
        <v>11</v>
      </c>
      <c r="G99" s="31" t="s">
        <v>12</v>
      </c>
      <c r="I99" s="130" t="s">
        <v>456</v>
      </c>
      <c r="J99" s="130" t="s">
        <v>457</v>
      </c>
      <c r="K99" s="130">
        <v>802.34</v>
      </c>
      <c r="L99" s="130" t="s">
        <v>458</v>
      </c>
      <c r="M99" s="130"/>
    </row>
    <row r="100" spans="1:18" ht="52">
      <c r="A100" s="38" t="s">
        <v>39</v>
      </c>
      <c r="B100" s="38" t="s">
        <v>14</v>
      </c>
      <c r="C100" s="38" t="s">
        <v>15</v>
      </c>
      <c r="D100" s="38" t="s">
        <v>16</v>
      </c>
      <c r="E100" s="38" t="s">
        <v>17</v>
      </c>
      <c r="F100" s="38" t="s">
        <v>27</v>
      </c>
      <c r="G100" s="38" t="s">
        <v>26</v>
      </c>
      <c r="I100" s="130"/>
      <c r="J100" s="130" t="s">
        <v>459</v>
      </c>
      <c r="K100" s="130">
        <v>244</v>
      </c>
      <c r="L100" s="130" t="s">
        <v>458</v>
      </c>
      <c r="M100" s="130"/>
    </row>
    <row r="101" spans="1:18">
      <c r="A101" s="41" t="s">
        <v>37</v>
      </c>
      <c r="B101" s="41" t="str">
        <f>'INPUT-Data(HD)'!B3</f>
        <v>TRALH2C01</v>
      </c>
      <c r="C101" s="41" t="str">
        <f>'INPUT-Data(HD)'!C3</f>
        <v>Fuel Tech - H2 Delivery from centralized production (COMP+USTOR+TR+LIQ+LSTORB+RTS+REFLL(large))</v>
      </c>
      <c r="D101" s="33" t="s">
        <v>23</v>
      </c>
      <c r="E101" s="34" t="s">
        <v>133</v>
      </c>
      <c r="F101" s="33" t="s">
        <v>230</v>
      </c>
      <c r="G101" s="42"/>
      <c r="H101" s="42"/>
      <c r="I101" s="130" t="s">
        <v>460</v>
      </c>
      <c r="J101" s="130" t="s">
        <v>457</v>
      </c>
      <c r="K101" s="130">
        <f>K99/K109</f>
        <v>1226.779988091537</v>
      </c>
      <c r="L101" s="130" t="s">
        <v>286</v>
      </c>
      <c r="M101" s="130"/>
    </row>
    <row r="102" spans="1:18">
      <c r="A102" s="41" t="s">
        <v>37</v>
      </c>
      <c r="B102" s="41" t="str">
        <f>'INPUT-Data(HD)'!B4</f>
        <v>TRAGH2C01</v>
      </c>
      <c r="C102" s="41" t="str">
        <f>'INPUT-Data(HD)'!C4</f>
        <v>Fuel Tech - H2 Delivery from centralized production (COMP+USTOR+TR+LIQ+LSTORB+RTS+REFLG(large))</v>
      </c>
      <c r="D102" s="33" t="s">
        <v>23</v>
      </c>
      <c r="E102" s="34" t="s">
        <v>133</v>
      </c>
      <c r="F102" s="33" t="s">
        <v>230</v>
      </c>
      <c r="G102" s="42"/>
      <c r="H102" s="42"/>
      <c r="I102" s="130"/>
      <c r="J102" s="130" t="s">
        <v>459</v>
      </c>
      <c r="K102" s="130">
        <f>K100/K110</f>
        <v>2984.6131773994571</v>
      </c>
      <c r="L102" s="130" t="s">
        <v>286</v>
      </c>
      <c r="M102" s="130"/>
    </row>
    <row r="103" spans="1:18">
      <c r="A103" s="41" t="s">
        <v>37</v>
      </c>
      <c r="B103" s="41" t="str">
        <f>'INPUT-Data(HD)'!B5</f>
        <v>TRALH2C02</v>
      </c>
      <c r="C103" s="41" t="str">
        <f>'INPUT-Data(HD)'!C5</f>
        <v>Fuel Tech - H2 Delivery from centralized production (COMP+TR+LIQ+LSTORB+RTS+REFLL(large))</v>
      </c>
      <c r="D103" s="33" t="s">
        <v>23</v>
      </c>
      <c r="E103" s="34" t="s">
        <v>133</v>
      </c>
      <c r="F103" s="33" t="s">
        <v>230</v>
      </c>
      <c r="G103" s="42"/>
      <c r="I103" s="130" t="s">
        <v>461</v>
      </c>
      <c r="J103" s="130" t="s">
        <v>457</v>
      </c>
      <c r="K103" s="130">
        <v>16</v>
      </c>
      <c r="L103" s="130" t="s">
        <v>462</v>
      </c>
      <c r="M103" s="130"/>
    </row>
    <row r="104" spans="1:18">
      <c r="A104" s="41" t="s">
        <v>37</v>
      </c>
      <c r="B104" s="41" t="str">
        <f>'INPUT-Data(HD)'!B6</f>
        <v>TRAGH2C02</v>
      </c>
      <c r="C104" s="41" t="str">
        <f>'INPUT-Data(HD)'!C6</f>
        <v>Fuel Tech - H2 Delivery from centralized production (COMP+TR+LIQ+LSTORB+RTS+REFLG(large))</v>
      </c>
      <c r="D104" s="33" t="s">
        <v>23</v>
      </c>
      <c r="E104" s="34" t="s">
        <v>133</v>
      </c>
      <c r="F104" s="33" t="s">
        <v>230</v>
      </c>
      <c r="G104" s="42"/>
      <c r="I104" s="130"/>
      <c r="J104" s="130" t="s">
        <v>459</v>
      </c>
      <c r="K104" s="130">
        <v>2</v>
      </c>
      <c r="L104" s="130" t="s">
        <v>462</v>
      </c>
      <c r="M104" s="130"/>
    </row>
    <row r="105" spans="1:18" s="123" customFormat="1">
      <c r="A105" s="41" t="s">
        <v>37</v>
      </c>
      <c r="B105" s="41" t="str">
        <f>'INPUT-Data(HD)'!B7</f>
        <v>INDGH2C01</v>
      </c>
      <c r="C105" s="41" t="str">
        <f>'INPUT-Data(HD)'!C7</f>
        <v>Fuel Tech - H2 Delivery from centralized production (COMP+TR+DP - Industrial)</v>
      </c>
      <c r="D105" s="33" t="s">
        <v>23</v>
      </c>
      <c r="E105" s="34" t="s">
        <v>133</v>
      </c>
      <c r="F105" s="33" t="s">
        <v>230</v>
      </c>
      <c r="G105" s="42"/>
      <c r="I105" s="130" t="s">
        <v>463</v>
      </c>
      <c r="J105" s="130" t="s">
        <v>457</v>
      </c>
      <c r="K105" s="130">
        <v>0.94</v>
      </c>
      <c r="L105" s="130" t="s">
        <v>464</v>
      </c>
      <c r="M105" s="130"/>
      <c r="N105" s="130"/>
      <c r="O105" s="130"/>
      <c r="Q105" s="130"/>
      <c r="R105" s="130"/>
    </row>
    <row r="106" spans="1:18">
      <c r="A106" s="41" t="s">
        <v>37</v>
      </c>
      <c r="B106" s="41" t="str">
        <f>'INPUT-Data(HD)'!B8</f>
        <v>RSDGH2C01</v>
      </c>
      <c r="C106" s="41" t="str">
        <f>'INPUT-Data(HD)'!C8</f>
        <v>Fuel Tech - H2 Delivery from centralized production (COMP+GSTORB+TR+DP - RSD)</v>
      </c>
      <c r="D106" s="33" t="s">
        <v>23</v>
      </c>
      <c r="E106" s="34" t="s">
        <v>133</v>
      </c>
      <c r="F106" s="33" t="s">
        <v>230</v>
      </c>
      <c r="G106" s="42"/>
      <c r="I106" s="130"/>
      <c r="J106" s="130" t="s">
        <v>459</v>
      </c>
      <c r="K106" s="130">
        <v>1.05</v>
      </c>
      <c r="M106" s="130"/>
    </row>
    <row r="107" spans="1:18">
      <c r="A107" s="41" t="s">
        <v>37</v>
      </c>
      <c r="B107" s="41" t="str">
        <f>'INPUT-Data(HD)'!B9</f>
        <v>COMGH2C01</v>
      </c>
      <c r="C107" s="41" t="str">
        <f>'INPUT-Data(HD)'!C9</f>
        <v>Fuel Tech - H2 Delivery from centralized production (COMP+GSTORB+TR+DP - COM)</v>
      </c>
      <c r="D107" s="33" t="s">
        <v>23</v>
      </c>
      <c r="E107" s="34" t="s">
        <v>133</v>
      </c>
      <c r="F107" s="33" t="s">
        <v>230</v>
      </c>
      <c r="G107" s="42"/>
      <c r="I107" s="130" t="s">
        <v>465</v>
      </c>
      <c r="J107" s="130" t="s">
        <v>457</v>
      </c>
      <c r="K107" s="130">
        <f>10000000*K103*0.001/(K105*8.314*365)</f>
        <v>56.090491350600843</v>
      </c>
      <c r="L107" s="130" t="s">
        <v>466</v>
      </c>
      <c r="M107" s="130" t="s">
        <v>464</v>
      </c>
    </row>
    <row r="108" spans="1:18">
      <c r="A108" s="41" t="s">
        <v>37</v>
      </c>
      <c r="B108" s="41" t="str">
        <f>'INPUT-Data(HD)'!B10</f>
        <v>TRAGH2C03</v>
      </c>
      <c r="C108" s="41" t="str">
        <f>'INPUT-Data(HD)'!C10</f>
        <v>Fuel Tech - H2 Delivery from centralized production (COMP+GSTORB +RTS+REFGG(average) with storage in tanks)</v>
      </c>
      <c r="D108" s="33" t="s">
        <v>23</v>
      </c>
      <c r="E108" s="34" t="s">
        <v>133</v>
      </c>
      <c r="F108" s="33" t="s">
        <v>230</v>
      </c>
      <c r="G108" s="42"/>
      <c r="I108" s="130"/>
      <c r="J108" s="130" t="s">
        <v>459</v>
      </c>
      <c r="K108" s="130">
        <f>10000000*K104*0.001/(K106*8.314*365)</f>
        <v>6.2767930797100933</v>
      </c>
      <c r="L108" s="130" t="s">
        <v>466</v>
      </c>
      <c r="M108" s="130"/>
    </row>
    <row r="109" spans="1:18">
      <c r="A109" s="41" t="s">
        <v>37</v>
      </c>
      <c r="B109" s="41" t="str">
        <f>'INPUT-Data(HD)'!B11</f>
        <v>TRAGH2C04</v>
      </c>
      <c r="C109" s="41" t="str">
        <f>'INPUT-Data(HD)'!C11</f>
        <v>Fuel Tech - H2 Delivery from centralized production (COMP+GSTORB +RTS+REFGG(average) with storage in trucks)</v>
      </c>
      <c r="D109" s="33" t="s">
        <v>23</v>
      </c>
      <c r="E109" s="34" t="s">
        <v>133</v>
      </c>
      <c r="F109" s="33" t="s">
        <v>230</v>
      </c>
      <c r="G109" s="42"/>
      <c r="I109" s="130"/>
      <c r="J109" s="130" t="s">
        <v>457</v>
      </c>
      <c r="K109" s="130">
        <f>101325*K103*0.001/(8.314*298.15)</f>
        <v>0.65402110222565257</v>
      </c>
      <c r="L109" s="130" t="s">
        <v>466</v>
      </c>
      <c r="M109" s="130" t="s">
        <v>467</v>
      </c>
    </row>
    <row r="110" spans="1:18">
      <c r="A110" s="41" t="s">
        <v>37</v>
      </c>
      <c r="B110" s="41" t="str">
        <f>'INPUT-Data(HD)'!B12</f>
        <v>TRAGH2C05</v>
      </c>
      <c r="C110" s="41" t="str">
        <f>'INPUT-Data(HD)'!C12</f>
        <v>Fuel Tech - H2 Delivery from centralized production (COMP+TR+TD+REFGG(average) with storage in tanks)</v>
      </c>
      <c r="D110" s="33" t="s">
        <v>23</v>
      </c>
      <c r="E110" s="34" t="s">
        <v>133</v>
      </c>
      <c r="F110" s="33" t="s">
        <v>230</v>
      </c>
      <c r="G110" s="42"/>
      <c r="I110" s="130"/>
      <c r="J110" s="130" t="s">
        <v>459</v>
      </c>
      <c r="K110" s="130">
        <f>101325*K104*0.001/(8.314*298.15)</f>
        <v>8.1752637778206572E-2</v>
      </c>
      <c r="L110" s="130" t="s">
        <v>466</v>
      </c>
      <c r="M110" s="130"/>
    </row>
    <row r="111" spans="1:18">
      <c r="A111" s="41" t="s">
        <v>37</v>
      </c>
      <c r="B111" s="41" t="str">
        <f>'INPUT-Data(HD)'!B13</f>
        <v>TRAGH2C06</v>
      </c>
      <c r="C111" s="41" t="str">
        <f>'INPUT-Data(HD)'!C13</f>
        <v>Fuel Tech - H2 Delivery from centralized production (COMP+TR+TD+REFGG(average) with storage in trucks)</v>
      </c>
      <c r="D111" s="33" t="s">
        <v>23</v>
      </c>
      <c r="E111" s="34" t="s">
        <v>133</v>
      </c>
      <c r="F111" s="33" t="s">
        <v>230</v>
      </c>
      <c r="G111" s="42"/>
      <c r="I111" s="130"/>
      <c r="J111" s="130" t="s">
        <v>457</v>
      </c>
      <c r="K111" s="130">
        <f>K107/K103*1000</f>
        <v>3505.6557094125528</v>
      </c>
      <c r="L111" s="130" t="s">
        <v>468</v>
      </c>
      <c r="M111" s="130"/>
    </row>
    <row r="112" spans="1:18">
      <c r="A112" s="41" t="s">
        <v>37</v>
      </c>
      <c r="B112" s="41" t="str">
        <f>'INPUT-Data(HD)'!B14</f>
        <v>RSDGASH2C01</v>
      </c>
      <c r="C112" s="41" t="str">
        <f>'INPUT-Data(HD)'!C14</f>
        <v>Fuel Tech - H2 Delivery from centralized production to blending (COMP+GSTORB+TR+BLENDING+(nocosNATGASINF))-RSD</v>
      </c>
      <c r="D112" s="33" t="s">
        <v>23</v>
      </c>
      <c r="E112" s="34" t="s">
        <v>133</v>
      </c>
      <c r="F112" s="33" t="s">
        <v>230</v>
      </c>
      <c r="G112" s="42"/>
      <c r="I112" s="130"/>
      <c r="J112" s="130" t="s">
        <v>459</v>
      </c>
      <c r="K112" s="130">
        <f>K108/K104*1000</f>
        <v>3138.3965398550467</v>
      </c>
      <c r="L112" s="130" t="s">
        <v>468</v>
      </c>
      <c r="M112" s="130"/>
    </row>
    <row r="113" spans="1:13">
      <c r="A113" s="41" t="s">
        <v>37</v>
      </c>
      <c r="B113" s="41" t="str">
        <f>'INPUT-Data(HD)'!B15</f>
        <v>COMGASH2C01</v>
      </c>
      <c r="C113" s="41" t="str">
        <f>'INPUT-Data(HD)'!C15</f>
        <v>Fuel Tech - H2 Delivery from centralized production to blending (COMP+GSTORB+TR+BLENDING+(nocosNATGASINF))-COM</v>
      </c>
      <c r="D113" s="33" t="s">
        <v>23</v>
      </c>
      <c r="E113" s="34" t="s">
        <v>133</v>
      </c>
      <c r="F113" s="33" t="s">
        <v>230</v>
      </c>
      <c r="G113" s="42"/>
      <c r="I113" s="130"/>
      <c r="J113" s="130" t="s">
        <v>469</v>
      </c>
      <c r="M113" s="130"/>
    </row>
    <row r="114" spans="1:13">
      <c r="A114" s="41" t="s">
        <v>37</v>
      </c>
      <c r="B114" s="41" t="str">
        <f>'INPUT-Data(HD)'!B16</f>
        <v>AGRGASH2C01</v>
      </c>
      <c r="C114" s="41" t="str">
        <f>'INPUT-Data(HD)'!C16</f>
        <v>Fuel Tech - H2 Delivery from centralized production to blending (COMP+GSTORB+TR+BLENDING+(nocosNATGASINF))-AGR</v>
      </c>
      <c r="D114" s="33" t="s">
        <v>23</v>
      </c>
      <c r="E114" s="34" t="s">
        <v>133</v>
      </c>
      <c r="F114" s="33" t="s">
        <v>230</v>
      </c>
      <c r="G114" s="42"/>
      <c r="I114" s="130"/>
      <c r="J114" s="206">
        <v>0.15</v>
      </c>
      <c r="M114" s="130"/>
    </row>
    <row r="115" spans="1:13">
      <c r="A115" s="41" t="s">
        <v>37</v>
      </c>
      <c r="B115" s="41" t="str">
        <f>'INPUT-Data(HD)'!B17</f>
        <v>TRAGASH2C01</v>
      </c>
      <c r="C115" s="41" t="str">
        <f>'INPUT-Data(HD)'!C17</f>
        <v>Fuel Tech - H2 Delivery from centralized production to blending (COMP+GSTORB+TR+BLENDING+(nocosNATGASINF))-TRA</v>
      </c>
      <c r="D115" s="33" t="s">
        <v>23</v>
      </c>
      <c r="E115" s="34" t="s">
        <v>133</v>
      </c>
      <c r="F115" s="33" t="s">
        <v>230</v>
      </c>
      <c r="G115" s="42"/>
      <c r="I115" s="130"/>
      <c r="J115" s="130"/>
      <c r="K115" s="130">
        <v>100</v>
      </c>
      <c r="L115" s="130" t="s">
        <v>470</v>
      </c>
      <c r="M115" s="130"/>
    </row>
    <row r="116" spans="1:13">
      <c r="A116" s="41" t="s">
        <v>37</v>
      </c>
      <c r="B116" s="41" t="str">
        <f>'INPUT-Data(HD)'!B18</f>
        <v>INDGASH2C01</v>
      </c>
      <c r="C116" s="41" t="str">
        <f>'INPUT-Data(HD)'!C18</f>
        <v>Fuel Tech - H2 Delivery from centralized production to blending (COMP+GSTORB+TR+BLENDING+(nocosNATGASINF))-IND</v>
      </c>
      <c r="D116" s="33" t="s">
        <v>23</v>
      </c>
      <c r="E116" s="34" t="s">
        <v>133</v>
      </c>
      <c r="F116" s="33" t="s">
        <v>230</v>
      </c>
      <c r="G116" s="42"/>
      <c r="I116" s="130" t="s">
        <v>471</v>
      </c>
      <c r="J116" s="130" t="s">
        <v>457</v>
      </c>
      <c r="K116" s="130">
        <f>K115*(1-J114)</f>
        <v>85</v>
      </c>
      <c r="L116" s="130" t="s">
        <v>470</v>
      </c>
      <c r="M116" s="130"/>
    </row>
    <row r="117" spans="1:13">
      <c r="A117" s="41" t="s">
        <v>37</v>
      </c>
      <c r="B117" s="41" t="str">
        <f>'INPUT-Data(HD)'!B19</f>
        <v>ELCGASH2C01</v>
      </c>
      <c r="C117" s="41" t="str">
        <f>'INPUT-Data(HD)'!C19</f>
        <v>Fuel Tech - H2 Delivery from centralized production to blending (COMP+GSTORB+TR+BLENDING+(nocosNATGASINF))-ELC</v>
      </c>
      <c r="D117" s="33" t="s">
        <v>23</v>
      </c>
      <c r="E117" s="34" t="s">
        <v>133</v>
      </c>
      <c r="F117" s="33" t="s">
        <v>230</v>
      </c>
      <c r="G117" s="42"/>
      <c r="I117" s="130"/>
      <c r="J117" s="130" t="s">
        <v>459</v>
      </c>
      <c r="K117" s="130">
        <f>K115*J114</f>
        <v>15</v>
      </c>
      <c r="L117" s="130" t="s">
        <v>470</v>
      </c>
      <c r="M117" s="130"/>
    </row>
    <row r="118" spans="1:13">
      <c r="A118" s="41" t="s">
        <v>37</v>
      </c>
      <c r="B118" s="41" t="str">
        <f>'INPUT-Data(HD)'!B20</f>
        <v>SUPGASH2C01</v>
      </c>
      <c r="C118" s="41" t="str">
        <f>'INPUT-Data(HD)'!C20</f>
        <v>Fuel Tech - H2 Delivery from centralized production to blending (COMP+GSTORB+TR+BLENDING+(nocosNATGASINF))-SUP</v>
      </c>
      <c r="D118" s="33" t="s">
        <v>23</v>
      </c>
      <c r="E118" s="34" t="s">
        <v>133</v>
      </c>
      <c r="F118" s="33" t="s">
        <v>230</v>
      </c>
      <c r="G118" s="42"/>
      <c r="I118" s="130" t="s">
        <v>472</v>
      </c>
      <c r="J118" s="130" t="s">
        <v>457</v>
      </c>
      <c r="K118" s="130">
        <f>K116*K111*K99*0.001</f>
        <v>239081.86316065578</v>
      </c>
      <c r="L118" s="130" t="s">
        <v>473</v>
      </c>
      <c r="M118" s="130"/>
    </row>
    <row r="119" spans="1:13">
      <c r="A119" s="41" t="s">
        <v>37</v>
      </c>
      <c r="B119" s="41" t="str">
        <f>'INPUT-Data(HD)'!B21</f>
        <v>RSDGH2D01</v>
      </c>
      <c r="C119" s="41" t="str">
        <f>'INPUT-Data(HD)'!C21</f>
        <v>Fuel Tech - H2 Delivery from local production (LOCGSTORB+DP - RSD)</v>
      </c>
      <c r="D119" s="33" t="s">
        <v>23</v>
      </c>
      <c r="E119" s="34" t="s">
        <v>133</v>
      </c>
      <c r="F119" s="33" t="s">
        <v>230</v>
      </c>
      <c r="G119" s="42"/>
      <c r="I119" s="130"/>
      <c r="J119" s="130" t="s">
        <v>459</v>
      </c>
      <c r="K119" s="130">
        <f>K117*K112*K100*0.001</f>
        <v>11486.531335869471</v>
      </c>
      <c r="L119" s="130" t="s">
        <v>473</v>
      </c>
      <c r="M119" s="130"/>
    </row>
    <row r="120" spans="1:13">
      <c r="A120" s="41" t="s">
        <v>37</v>
      </c>
      <c r="B120" s="41" t="str">
        <f>'INPUT-Data(HD)'!B22</f>
        <v>RSDGH2D02</v>
      </c>
      <c r="C120" s="41" t="str">
        <f>'INPUT-Data(HD)'!C22</f>
        <v>Fuel Tech - H2 Delivery from local production (No need for storage RSD)</v>
      </c>
      <c r="D120" s="33" t="s">
        <v>23</v>
      </c>
      <c r="E120" s="34" t="s">
        <v>133</v>
      </c>
      <c r="F120" s="33" t="s">
        <v>230</v>
      </c>
      <c r="G120" s="42"/>
      <c r="I120" s="130"/>
      <c r="J120" s="130" t="s">
        <v>474</v>
      </c>
      <c r="K120" s="206">
        <f>K119/(K118+K119)</f>
        <v>4.5841900208323204E-2</v>
      </c>
      <c r="M120" s="130"/>
    </row>
    <row r="121" spans="1:13">
      <c r="A121" s="41" t="s">
        <v>37</v>
      </c>
      <c r="B121" s="41" t="str">
        <f>'INPUT-Data(HD)'!B23</f>
        <v>COMGH2D02</v>
      </c>
      <c r="C121" s="41" t="str">
        <f>'INPUT-Data(HD)'!C23</f>
        <v>Fuel Tech - H2 Delivery from local production (No need for storage COM)</v>
      </c>
      <c r="D121" s="33" t="s">
        <v>23</v>
      </c>
      <c r="E121" s="34" t="s">
        <v>133</v>
      </c>
      <c r="F121" s="33" t="s">
        <v>230</v>
      </c>
      <c r="G121" s="42"/>
      <c r="I121" s="130" t="s">
        <v>460</v>
      </c>
      <c r="J121" s="130" t="s">
        <v>457</v>
      </c>
      <c r="K121" s="130">
        <f>10000000*K103*0.001*K116/(K105*8.314*365)</f>
        <v>4767.6917648010713</v>
      </c>
      <c r="L121" s="130" t="s">
        <v>475</v>
      </c>
      <c r="M121" s="130"/>
    </row>
    <row r="122" spans="1:13" s="130" customFormat="1">
      <c r="A122" s="41" t="s">
        <v>37</v>
      </c>
      <c r="B122" s="41" t="str">
        <f>'INPUT-Data(HD)'!B24</f>
        <v>INDGH2D02</v>
      </c>
      <c r="C122" s="41" t="str">
        <f>'INPUT-Data(HD)'!C24</f>
        <v>Fuel Tech - H2 Delivery from local production (COMP+LOCGSTORB IND)</v>
      </c>
      <c r="D122" s="33" t="s">
        <v>23</v>
      </c>
      <c r="E122" s="34" t="s">
        <v>133</v>
      </c>
      <c r="F122" s="33" t="s">
        <v>230</v>
      </c>
      <c r="G122" s="42"/>
      <c r="J122" s="130" t="s">
        <v>459</v>
      </c>
      <c r="K122" s="130">
        <f>10000000*K104*0.001*K117/(K106*8.314*365)</f>
        <v>94.151896195651403</v>
      </c>
      <c r="L122" s="130" t="s">
        <v>475</v>
      </c>
    </row>
    <row r="123" spans="1:13" s="130" customFormat="1">
      <c r="A123" s="41" t="s">
        <v>37</v>
      </c>
      <c r="B123" s="41" t="str">
        <f>'INPUT-Data(HD)'!B25</f>
        <v>TRAGH2D01</v>
      </c>
      <c r="C123" s="41" t="str">
        <f>'INPUT-Data(HD)'!C25</f>
        <v>Fuel Tech - H2 Delivery from local production (REFGG (average)+storage in tank)</v>
      </c>
      <c r="D123" s="33" t="s">
        <v>23</v>
      </c>
      <c r="E123" s="34" t="s">
        <v>133</v>
      </c>
      <c r="F123" s="33" t="s">
        <v>230</v>
      </c>
      <c r="G123" s="42"/>
      <c r="J123" s="130" t="s">
        <v>474</v>
      </c>
      <c r="K123" s="130">
        <f>K122/(K121+K122)</f>
        <v>1.9365471775854962E-2</v>
      </c>
    </row>
    <row r="124" spans="1:13" s="130" customFormat="1">
      <c r="A124" s="41" t="s">
        <v>37</v>
      </c>
      <c r="B124" s="41" t="str">
        <f>'INPUT-Data(HD)'!B26</f>
        <v>TRAGH2D02</v>
      </c>
      <c r="C124" s="41" t="str">
        <f>'INPUT-Data(HD)'!C26</f>
        <v>Fuel Tech - H2 Delivery from local production (REFGG (average)+storage in truck)</v>
      </c>
      <c r="D124" s="33" t="s">
        <v>23</v>
      </c>
      <c r="E124" s="34" t="s">
        <v>133</v>
      </c>
      <c r="F124" s="33" t="s">
        <v>230</v>
      </c>
      <c r="G124" s="42"/>
      <c r="K124" s="130">
        <f>K121*K101</f>
        <v>5848908.8464467777</v>
      </c>
      <c r="L124" s="130" t="s">
        <v>473</v>
      </c>
    </row>
    <row r="125" spans="1:13" s="130" customFormat="1">
      <c r="A125" s="41" t="s">
        <v>37</v>
      </c>
      <c r="B125" s="41" t="s">
        <v>628</v>
      </c>
      <c r="C125" s="41" t="s">
        <v>569</v>
      </c>
      <c r="D125" s="33" t="s">
        <v>23</v>
      </c>
      <c r="E125" s="34" t="s">
        <v>133</v>
      </c>
      <c r="F125" s="33" t="s">
        <v>230</v>
      </c>
      <c r="G125" s="42"/>
      <c r="K125" s="130">
        <f>K122*K102</f>
        <v>281006.99006268696</v>
      </c>
      <c r="L125" s="130" t="s">
        <v>473</v>
      </c>
    </row>
    <row r="126" spans="1:13" s="130" customFormat="1">
      <c r="A126" s="41"/>
      <c r="B126" s="41"/>
      <c r="C126" s="41"/>
      <c r="D126" s="33"/>
      <c r="E126" s="34"/>
      <c r="F126" s="33"/>
      <c r="G126" s="42"/>
      <c r="J126" s="130" t="s">
        <v>474</v>
      </c>
      <c r="K126" s="206">
        <f>K125/(K124+K125)</f>
        <v>4.5841900208323211E-2</v>
      </c>
    </row>
    <row r="127" spans="1:13" s="130" customFormat="1">
      <c r="A127" s="41"/>
      <c r="B127" s="41"/>
      <c r="C127" s="41"/>
      <c r="D127" s="33"/>
      <c r="E127" s="34"/>
      <c r="F127" s="33"/>
      <c r="G127" s="42"/>
    </row>
    <row r="128" spans="1:13" s="130" customFormat="1">
      <c r="A128" s="41"/>
      <c r="B128" s="41"/>
      <c r="C128" s="41"/>
      <c r="D128" s="33"/>
      <c r="E128" s="34"/>
      <c r="F128" s="33"/>
      <c r="G128" s="42"/>
    </row>
    <row r="129" spans="1:13" s="130" customFormat="1">
      <c r="A129" s="41"/>
      <c r="B129" s="41"/>
      <c r="C129" s="41"/>
      <c r="D129" s="33"/>
      <c r="E129" s="34"/>
      <c r="F129" s="33"/>
      <c r="G129" s="42"/>
    </row>
    <row r="130" spans="1:13" s="130" customFormat="1">
      <c r="A130" s="41"/>
      <c r="B130" s="41"/>
      <c r="C130" s="41"/>
      <c r="D130" s="33"/>
      <c r="E130" s="34"/>
      <c r="F130" s="33"/>
      <c r="G130" s="42"/>
    </row>
    <row r="131" spans="1:13" s="130" customFormat="1">
      <c r="A131" s="41"/>
      <c r="B131" s="41"/>
      <c r="C131" s="41"/>
      <c r="D131" s="33"/>
      <c r="E131" s="34"/>
      <c r="F131" s="33"/>
      <c r="G131" s="42"/>
    </row>
    <row r="132" spans="1:13" s="130" customFormat="1">
      <c r="A132" s="41"/>
      <c r="B132" s="41"/>
      <c r="C132" s="41"/>
      <c r="D132" s="33"/>
      <c r="E132" s="34"/>
      <c r="F132" s="33"/>
      <c r="G132" s="42"/>
    </row>
    <row r="133" spans="1:13" s="130" customFormat="1">
      <c r="A133" s="41"/>
      <c r="B133" s="41"/>
      <c r="C133" s="41"/>
      <c r="D133" s="33"/>
      <c r="E133" s="34"/>
      <c r="F133" s="33"/>
      <c r="G133" s="42"/>
    </row>
    <row r="134" spans="1:13">
      <c r="I134" s="130"/>
      <c r="M134" s="130"/>
    </row>
    <row r="135" spans="1:13">
      <c r="H135" s="113"/>
      <c r="I135" s="130"/>
      <c r="M135" s="130"/>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949A7-BE0D-4E9D-BBF1-EFD2A3738008}">
  <sheetPr codeName="Sheet11">
    <tabColor theme="4"/>
  </sheetPr>
  <dimension ref="A1:U198"/>
  <sheetViews>
    <sheetView workbookViewId="0">
      <selection activeCell="G19" sqref="G19"/>
    </sheetView>
  </sheetViews>
  <sheetFormatPr defaultColWidth="8.7265625" defaultRowHeight="13"/>
  <cols>
    <col min="1" max="1" width="8.7265625" style="478"/>
    <col min="2" max="2" width="13.7265625" style="478" customWidth="1"/>
    <col min="3" max="3" width="35.54296875" style="478" customWidth="1"/>
    <col min="4" max="4" width="12.86328125" style="478" bestFit="1" customWidth="1"/>
    <col min="5" max="5" width="5.86328125" style="478" customWidth="1"/>
    <col min="6" max="6" width="12.86328125" style="478" bestFit="1" customWidth="1"/>
    <col min="7" max="7" width="13.86328125" style="478" bestFit="1" customWidth="1"/>
    <col min="8" max="8" width="8.7265625" style="478"/>
    <col min="9" max="9" width="9.26953125" style="478" bestFit="1" customWidth="1"/>
    <col min="10" max="10" width="8.86328125" style="478" bestFit="1" customWidth="1"/>
    <col min="11" max="12" width="9.26953125" style="478" bestFit="1" customWidth="1"/>
    <col min="13" max="13" width="8.86328125" style="478" bestFit="1" customWidth="1"/>
    <col min="14" max="15" width="9.26953125" style="478" bestFit="1" customWidth="1"/>
    <col min="16" max="16" width="8.86328125" style="478" bestFit="1" customWidth="1"/>
    <col min="17" max="18" width="9.26953125" style="478" bestFit="1" customWidth="1"/>
    <col min="19" max="19" width="8.86328125" style="478" bestFit="1" customWidth="1"/>
    <col min="20" max="20" width="9.40625" style="478" bestFit="1" customWidth="1"/>
    <col min="21" max="21" width="8.86328125" style="478" bestFit="1" customWidth="1"/>
    <col min="22" max="16384" width="8.7265625" style="478"/>
  </cols>
  <sheetData>
    <row r="1" spans="1:21" ht="23">
      <c r="A1" s="481" t="s">
        <v>132</v>
      </c>
      <c r="D1" s="481" t="s">
        <v>398</v>
      </c>
      <c r="F1" s="478">
        <v>0.76885081447747605</v>
      </c>
      <c r="G1" s="549">
        <v>2000</v>
      </c>
    </row>
    <row r="4" spans="1:21">
      <c r="B4" s="480"/>
      <c r="C4" s="480"/>
      <c r="D4" s="480"/>
      <c r="E4" s="480"/>
      <c r="F4" s="7"/>
      <c r="G4" s="480"/>
      <c r="H4" s="482"/>
      <c r="I4" s="482"/>
      <c r="J4" s="480"/>
      <c r="K4" s="480"/>
      <c r="L4" s="480"/>
      <c r="S4" s="480"/>
      <c r="T4" s="480"/>
    </row>
    <row r="5" spans="1:21" ht="26">
      <c r="B5" s="479" t="s">
        <v>0</v>
      </c>
      <c r="C5" s="31" t="s">
        <v>103</v>
      </c>
      <c r="D5" s="479" t="s">
        <v>2</v>
      </c>
      <c r="E5" s="479" t="s">
        <v>223</v>
      </c>
      <c r="F5" s="479" t="s">
        <v>3</v>
      </c>
      <c r="G5" s="40" t="s">
        <v>28</v>
      </c>
      <c r="H5" s="40" t="s">
        <v>36</v>
      </c>
      <c r="I5" s="40" t="s">
        <v>38</v>
      </c>
      <c r="J5" s="40" t="s">
        <v>22</v>
      </c>
      <c r="K5" s="40" t="s">
        <v>44</v>
      </c>
      <c r="L5" s="40" t="s">
        <v>95</v>
      </c>
      <c r="M5" s="40" t="s">
        <v>4</v>
      </c>
      <c r="N5" s="40" t="s">
        <v>96</v>
      </c>
      <c r="O5" s="40" t="s">
        <v>97</v>
      </c>
      <c r="P5" s="40" t="s">
        <v>21</v>
      </c>
      <c r="Q5" s="40" t="s">
        <v>99</v>
      </c>
      <c r="R5" s="40" t="s">
        <v>100</v>
      </c>
      <c r="S5" s="40" t="s">
        <v>32</v>
      </c>
      <c r="T5" s="40" t="s">
        <v>102</v>
      </c>
      <c r="U5" s="40" t="s">
        <v>31</v>
      </c>
    </row>
    <row r="6" spans="1:21" ht="26">
      <c r="B6" s="217" t="s">
        <v>25</v>
      </c>
      <c r="C6" s="217" t="s">
        <v>15</v>
      </c>
      <c r="D6" s="217" t="s">
        <v>19</v>
      </c>
      <c r="E6" s="217"/>
      <c r="F6" s="217" t="s">
        <v>20</v>
      </c>
      <c r="G6" s="218"/>
      <c r="H6" s="218"/>
      <c r="I6" s="218"/>
      <c r="J6" s="218" t="s">
        <v>397</v>
      </c>
      <c r="K6" s="218" t="s">
        <v>397</v>
      </c>
      <c r="L6" s="218" t="s">
        <v>397</v>
      </c>
      <c r="M6" s="218" t="s">
        <v>397</v>
      </c>
      <c r="N6" s="218" t="s">
        <v>397</v>
      </c>
      <c r="O6" s="218" t="s">
        <v>397</v>
      </c>
      <c r="P6" s="218" t="s">
        <v>35</v>
      </c>
      <c r="Q6" s="218" t="s">
        <v>35</v>
      </c>
      <c r="R6" s="218" t="s">
        <v>35</v>
      </c>
      <c r="S6" s="218" t="s">
        <v>34</v>
      </c>
      <c r="T6" s="218"/>
      <c r="U6" s="218"/>
    </row>
    <row r="7" spans="1:21" s="653" customFormat="1">
      <c r="B7" s="692" t="s">
        <v>162</v>
      </c>
      <c r="C7" s="697" t="s">
        <v>770</v>
      </c>
      <c r="D7" s="697" t="s">
        <v>663</v>
      </c>
      <c r="E7" s="692"/>
      <c r="F7" s="633"/>
      <c r="G7" s="677">
        <f>'INPUT-Data(HD)'!J$10</f>
        <v>1</v>
      </c>
      <c r="H7" s="693"/>
      <c r="I7" s="694">
        <f>'INPUT-Data(HD)'!N4</f>
        <v>0.75</v>
      </c>
      <c r="J7" s="402">
        <f>(1.19+4.37)*F$1</f>
        <v>4.2748105284947675</v>
      </c>
      <c r="K7" s="676"/>
      <c r="L7" s="676"/>
      <c r="M7" s="457">
        <f>(1.19*4%)*F$1+(4.37*1.5%)*F$1</f>
        <v>8.6995469658126406E-2</v>
      </c>
      <c r="N7" s="676"/>
      <c r="O7" s="676"/>
      <c r="P7" s="676"/>
      <c r="Q7" s="676"/>
      <c r="R7" s="676"/>
      <c r="S7" s="439">
        <v>50</v>
      </c>
      <c r="T7" s="677">
        <f>'INPUT-Data(HD)'!V4</f>
        <v>2015</v>
      </c>
      <c r="U7" s="695">
        <v>1</v>
      </c>
    </row>
    <row r="8" spans="1:21" s="653" customFormat="1">
      <c r="B8" s="692"/>
      <c r="C8" s="692"/>
      <c r="D8" s="692" t="s">
        <v>339</v>
      </c>
      <c r="E8" s="692"/>
      <c r="F8" s="692"/>
      <c r="G8" s="696">
        <f>'INPUT-Data(HD)'!K$9</f>
        <v>6.6000000000000003E-2</v>
      </c>
      <c r="H8" s="693"/>
      <c r="I8" s="694"/>
      <c r="J8" s="676"/>
      <c r="K8" s="676"/>
      <c r="L8" s="676"/>
      <c r="M8" s="676"/>
      <c r="N8" s="676"/>
      <c r="O8" s="676"/>
      <c r="P8" s="676"/>
      <c r="Q8" s="676"/>
      <c r="R8" s="676"/>
      <c r="S8" s="677"/>
      <c r="T8" s="677"/>
      <c r="U8" s="633"/>
    </row>
    <row r="9" spans="1:21" s="653" customFormat="1">
      <c r="B9" s="688"/>
      <c r="C9" s="688"/>
      <c r="D9" s="688"/>
      <c r="E9" s="688"/>
      <c r="F9" s="687" t="s">
        <v>164</v>
      </c>
      <c r="G9" s="678"/>
      <c r="H9" s="689">
        <f>'INPUT-Data(HD)'!M4</f>
        <v>1</v>
      </c>
      <c r="I9" s="690"/>
      <c r="J9" s="678"/>
      <c r="K9" s="678"/>
      <c r="L9" s="678"/>
      <c r="M9" s="678"/>
      <c r="N9" s="678"/>
      <c r="O9" s="678"/>
      <c r="P9" s="678"/>
      <c r="Q9" s="678"/>
      <c r="R9" s="678"/>
      <c r="S9" s="679"/>
      <c r="T9" s="679"/>
      <c r="U9" s="691"/>
    </row>
    <row r="10" spans="1:21" s="389" customFormat="1">
      <c r="B10" s="477" t="s">
        <v>167</v>
      </c>
      <c r="C10" s="477" t="s">
        <v>771</v>
      </c>
      <c r="D10" s="477" t="s">
        <v>233</v>
      </c>
      <c r="E10" s="444"/>
      <c r="F10" s="388"/>
      <c r="G10" s="471">
        <f>G7</f>
        <v>1</v>
      </c>
      <c r="H10" s="379"/>
      <c r="I10" s="446">
        <f>'INPUT-Data(HD)'!N10</f>
        <v>0.7</v>
      </c>
      <c r="J10" s="362">
        <f>J7</f>
        <v>4.2748105284947675</v>
      </c>
      <c r="K10" s="417"/>
      <c r="L10" s="417"/>
      <c r="M10" s="360">
        <f>M7</f>
        <v>8.6995469658126406E-2</v>
      </c>
      <c r="N10" s="417"/>
      <c r="O10" s="417"/>
      <c r="P10" s="417"/>
      <c r="Q10" s="417"/>
      <c r="R10" s="417"/>
      <c r="S10" s="378">
        <v>35</v>
      </c>
      <c r="T10" s="418">
        <f>'INPUT-Data(HD)'!V10</f>
        <v>2015</v>
      </c>
      <c r="U10" s="466">
        <v>1</v>
      </c>
    </row>
    <row r="11" spans="1:21" s="389" customFormat="1">
      <c r="B11" s="444"/>
      <c r="C11" s="444"/>
      <c r="D11" s="444" t="s">
        <v>339</v>
      </c>
      <c r="E11" s="444"/>
      <c r="F11" s="444"/>
      <c r="G11" s="471">
        <f>G8</f>
        <v>6.6000000000000003E-2</v>
      </c>
      <c r="H11" s="379"/>
      <c r="I11" s="446"/>
      <c r="J11" s="417"/>
      <c r="K11" s="417"/>
      <c r="L11" s="417"/>
      <c r="M11" s="417"/>
      <c r="N11" s="417"/>
      <c r="O11" s="417"/>
      <c r="P11" s="417"/>
      <c r="Q11" s="417"/>
      <c r="R11" s="417"/>
      <c r="S11" s="418"/>
      <c r="T11" s="418"/>
      <c r="U11" s="388"/>
    </row>
    <row r="12" spans="1:21" s="389" customFormat="1">
      <c r="B12" s="370"/>
      <c r="C12" s="370"/>
      <c r="D12" s="370"/>
      <c r="E12" s="370"/>
      <c r="F12" s="462" t="s">
        <v>164</v>
      </c>
      <c r="G12" s="437"/>
      <c r="H12" s="400">
        <f>'INPUT-Data(HD)'!M10</f>
        <v>1</v>
      </c>
      <c r="I12" s="404"/>
      <c r="J12" s="437"/>
      <c r="K12" s="437"/>
      <c r="L12" s="437"/>
      <c r="M12" s="437"/>
      <c r="N12" s="437"/>
      <c r="O12" s="437"/>
      <c r="P12" s="437"/>
      <c r="Q12" s="437"/>
      <c r="R12" s="437"/>
      <c r="S12" s="422"/>
      <c r="T12" s="422"/>
      <c r="U12" s="361"/>
    </row>
    <row r="13" spans="1:21" s="486" customFormat="1">
      <c r="B13" s="293" t="s">
        <v>585</v>
      </c>
      <c r="C13" s="298" t="s">
        <v>693</v>
      </c>
      <c r="D13" s="298" t="s">
        <v>663</v>
      </c>
      <c r="E13" s="293"/>
      <c r="F13" s="483"/>
      <c r="G13" s="234">
        <f>'INPUT-Data(HD)'!J$10</f>
        <v>1</v>
      </c>
      <c r="H13" s="294"/>
      <c r="I13" s="295">
        <f>'INPUT-Data(HD)'!N10</f>
        <v>0.7</v>
      </c>
      <c r="J13" s="402">
        <f>(1.19+4.37)*F$1</f>
        <v>4.2748105284947675</v>
      </c>
      <c r="K13" s="233"/>
      <c r="L13" s="233"/>
      <c r="M13" s="457">
        <f>(1.19*4%)*F$1+(4.37*1.5%)*F$1</f>
        <v>8.6995469658126406E-2</v>
      </c>
      <c r="N13" s="233"/>
      <c r="O13" s="233"/>
      <c r="P13" s="233"/>
      <c r="Q13" s="233"/>
      <c r="R13" s="233"/>
      <c r="S13" s="439">
        <v>50</v>
      </c>
      <c r="T13" s="234">
        <f>'INPUT-Data(HD)'!V10</f>
        <v>2015</v>
      </c>
      <c r="U13" s="339">
        <v>1</v>
      </c>
    </row>
    <row r="14" spans="1:21" s="486" customFormat="1">
      <c r="B14" s="293"/>
      <c r="C14" s="293"/>
      <c r="D14" s="293" t="s">
        <v>339</v>
      </c>
      <c r="E14" s="293"/>
      <c r="F14" s="293"/>
      <c r="G14" s="297">
        <f>'INPUT-Data(HD)'!K$9</f>
        <v>6.6000000000000003E-2</v>
      </c>
      <c r="H14" s="294"/>
      <c r="I14" s="295"/>
      <c r="J14" s="233"/>
      <c r="K14" s="233"/>
      <c r="L14" s="233"/>
      <c r="M14" s="233"/>
      <c r="N14" s="233"/>
      <c r="O14" s="233"/>
      <c r="P14" s="233"/>
      <c r="Q14" s="233"/>
      <c r="R14" s="233"/>
      <c r="S14" s="234"/>
      <c r="T14" s="234"/>
      <c r="U14" s="483"/>
    </row>
    <row r="15" spans="1:21" s="486" customFormat="1">
      <c r="B15" s="270"/>
      <c r="C15" s="270"/>
      <c r="D15" s="270"/>
      <c r="E15" s="270"/>
      <c r="F15" s="269" t="s">
        <v>584</v>
      </c>
      <c r="G15" s="235"/>
      <c r="H15" s="271">
        <f>'INPUT-Data(HD)'!M10</f>
        <v>1</v>
      </c>
      <c r="I15" s="272"/>
      <c r="J15" s="235"/>
      <c r="K15" s="235"/>
      <c r="L15" s="235"/>
      <c r="M15" s="235"/>
      <c r="N15" s="235"/>
      <c r="O15" s="235"/>
      <c r="P15" s="235"/>
      <c r="Q15" s="235"/>
      <c r="R15" s="235"/>
      <c r="S15" s="236"/>
      <c r="T15" s="236"/>
      <c r="U15" s="273"/>
    </row>
    <row r="16" spans="1:21" s="389" customFormat="1">
      <c r="B16" s="477" t="s">
        <v>664</v>
      </c>
      <c r="C16" s="477" t="s">
        <v>694</v>
      </c>
      <c r="D16" s="477" t="s">
        <v>233</v>
      </c>
      <c r="E16" s="444"/>
      <c r="F16" s="388"/>
      <c r="G16" s="471">
        <f>G13</f>
        <v>1</v>
      </c>
      <c r="H16" s="379"/>
      <c r="I16" s="446">
        <f>'INPUT-Data(HD)'!N16</f>
        <v>0.7</v>
      </c>
      <c r="J16" s="362">
        <f>J13</f>
        <v>4.2748105284947675</v>
      </c>
      <c r="K16" s="417"/>
      <c r="L16" s="417"/>
      <c r="M16" s="360">
        <f>M13</f>
        <v>8.6995469658126406E-2</v>
      </c>
      <c r="N16" s="417"/>
      <c r="O16" s="417"/>
      <c r="P16" s="417"/>
      <c r="Q16" s="417"/>
      <c r="R16" s="417"/>
      <c r="S16" s="378">
        <v>35</v>
      </c>
      <c r="T16" s="418">
        <f>'INPUT-Data(HD)'!V16</f>
        <v>2015</v>
      </c>
      <c r="U16" s="466">
        <v>1</v>
      </c>
    </row>
    <row r="17" spans="2:21" s="389" customFormat="1">
      <c r="B17" s="444"/>
      <c r="C17" s="444"/>
      <c r="D17" s="444" t="s">
        <v>339</v>
      </c>
      <c r="E17" s="444"/>
      <c r="F17" s="444"/>
      <c r="G17" s="471">
        <f>G14</f>
        <v>6.6000000000000003E-2</v>
      </c>
      <c r="H17" s="379"/>
      <c r="I17" s="446"/>
      <c r="J17" s="417"/>
      <c r="K17" s="417"/>
      <c r="L17" s="417"/>
      <c r="M17" s="417"/>
      <c r="N17" s="417"/>
      <c r="O17" s="417"/>
      <c r="P17" s="417"/>
      <c r="Q17" s="417"/>
      <c r="R17" s="417"/>
      <c r="S17" s="418"/>
      <c r="T17" s="418"/>
      <c r="U17" s="388"/>
    </row>
    <row r="18" spans="2:21" s="389" customFormat="1">
      <c r="B18" s="370"/>
      <c r="C18" s="370"/>
      <c r="D18" s="370"/>
      <c r="E18" s="370"/>
      <c r="F18" s="462" t="s">
        <v>584</v>
      </c>
      <c r="G18" s="437"/>
      <c r="H18" s="400">
        <f>'INPUT-Data(HD)'!M16</f>
        <v>1</v>
      </c>
      <c r="I18" s="404"/>
      <c r="J18" s="437"/>
      <c r="K18" s="437"/>
      <c r="L18" s="437"/>
      <c r="M18" s="437"/>
      <c r="N18" s="437"/>
      <c r="O18" s="437"/>
      <c r="P18" s="437"/>
      <c r="Q18" s="437"/>
      <c r="R18" s="437"/>
      <c r="S18" s="422"/>
      <c r="T18" s="422"/>
      <c r="U18" s="361"/>
    </row>
    <row r="19" spans="2:21" s="486" customFormat="1">
      <c r="B19" s="298" t="s">
        <v>665</v>
      </c>
      <c r="C19" s="298" t="s">
        <v>695</v>
      </c>
      <c r="D19" s="298" t="s">
        <v>621</v>
      </c>
      <c r="E19" s="483"/>
      <c r="F19" s="483"/>
      <c r="G19" s="297">
        <f>(10.05*0.94)/((32.56*0.94)+(10.05*0.06))</f>
        <v>0.30269726428576005</v>
      </c>
      <c r="H19" s="294"/>
      <c r="I19" s="295">
        <v>0.7</v>
      </c>
      <c r="J19" s="402"/>
      <c r="K19" s="233"/>
      <c r="L19" s="233"/>
      <c r="M19" s="457">
        <f>(0.64*3%)*F$1+(2.35*2%)*F$1</f>
        <v>5.0897923918408909E-2</v>
      </c>
      <c r="N19" s="233"/>
      <c r="O19" s="233"/>
      <c r="P19" s="233"/>
      <c r="Q19" s="233"/>
      <c r="R19" s="233"/>
      <c r="S19" s="439">
        <v>35</v>
      </c>
      <c r="T19" s="234">
        <v>2015</v>
      </c>
      <c r="U19" s="339">
        <v>1</v>
      </c>
    </row>
    <row r="20" spans="2:21" s="486" customFormat="1">
      <c r="B20" s="298"/>
      <c r="C20" s="298"/>
      <c r="D20" s="298" t="s">
        <v>663</v>
      </c>
      <c r="E20" s="483"/>
      <c r="F20" s="483"/>
      <c r="G20" s="297">
        <f>(10.05*0.06)/((32.56*0.94)+(10.05*0.06))</f>
        <v>1.9321101975686809E-2</v>
      </c>
      <c r="H20" s="294"/>
      <c r="I20" s="295"/>
      <c r="J20" s="402"/>
      <c r="K20" s="233"/>
      <c r="L20" s="233"/>
      <c r="M20" s="457"/>
      <c r="N20" s="233"/>
      <c r="O20" s="233"/>
      <c r="P20" s="233"/>
      <c r="Q20" s="233"/>
      <c r="R20" s="233"/>
      <c r="S20" s="439"/>
      <c r="T20" s="234"/>
      <c r="U20" s="339"/>
    </row>
    <row r="21" spans="2:21" s="486" customFormat="1">
      <c r="B21" s="293"/>
      <c r="C21" s="293"/>
      <c r="D21" s="293" t="s">
        <v>339</v>
      </c>
      <c r="E21" s="483"/>
      <c r="F21" s="293"/>
      <c r="G21" s="233">
        <f>SUP_HT!G$23</f>
        <v>1.0997441860465116E-2</v>
      </c>
      <c r="H21" s="294"/>
      <c r="I21" s="295"/>
      <c r="J21" s="233"/>
      <c r="K21" s="233"/>
      <c r="L21" s="233"/>
      <c r="M21" s="233"/>
      <c r="N21" s="233"/>
      <c r="O21" s="233"/>
      <c r="P21" s="233"/>
      <c r="Q21" s="233"/>
      <c r="R21" s="233"/>
      <c r="S21" s="234"/>
      <c r="T21" s="234"/>
      <c r="U21" s="483"/>
    </row>
    <row r="22" spans="2:21" s="486" customFormat="1">
      <c r="B22" s="270"/>
      <c r="C22" s="270"/>
      <c r="D22" s="270"/>
      <c r="E22" s="270"/>
      <c r="F22" s="273" t="s">
        <v>638</v>
      </c>
      <c r="G22" s="235"/>
      <c r="H22" s="271">
        <v>1</v>
      </c>
      <c r="I22" s="272"/>
      <c r="J22" s="235"/>
      <c r="K22" s="235"/>
      <c r="L22" s="235"/>
      <c r="M22" s="235"/>
      <c r="N22" s="235"/>
      <c r="O22" s="235"/>
      <c r="P22" s="235"/>
      <c r="Q22" s="235"/>
      <c r="R22" s="235"/>
      <c r="S22" s="236"/>
      <c r="T22" s="236"/>
      <c r="U22" s="273"/>
    </row>
    <row r="23" spans="2:21" s="380" customFormat="1">
      <c r="B23" s="455" t="s">
        <v>666</v>
      </c>
      <c r="C23" s="455" t="s">
        <v>696</v>
      </c>
      <c r="D23" s="455" t="s">
        <v>621</v>
      </c>
      <c r="E23" s="409"/>
      <c r="F23" s="366"/>
      <c r="G23" s="401">
        <f>(10.05*0.94)/((32.56*0.94)+(10.05*0.06))</f>
        <v>0.30269726428576005</v>
      </c>
      <c r="H23" s="387"/>
      <c r="I23" s="392">
        <v>0.7</v>
      </c>
      <c r="J23" s="436"/>
      <c r="K23" s="473"/>
      <c r="L23" s="473"/>
      <c r="M23" s="474">
        <f>M19</f>
        <v>5.0897923918408909E-2</v>
      </c>
      <c r="N23" s="473"/>
      <c r="O23" s="473"/>
      <c r="P23" s="473"/>
      <c r="Q23" s="473"/>
      <c r="R23" s="473"/>
      <c r="S23" s="475">
        <v>35</v>
      </c>
      <c r="T23" s="371">
        <v>2015</v>
      </c>
      <c r="U23" s="431">
        <v>1</v>
      </c>
    </row>
    <row r="24" spans="2:21" s="380" customFormat="1">
      <c r="B24" s="455"/>
      <c r="C24" s="455"/>
      <c r="D24" s="455" t="s">
        <v>233</v>
      </c>
      <c r="E24" s="409"/>
      <c r="F24" s="366"/>
      <c r="G24" s="401">
        <f>(10.05*0.06)/((32.56*0.94)+(10.05*0.06))</f>
        <v>1.9321101975686809E-2</v>
      </c>
      <c r="H24" s="387"/>
      <c r="I24" s="392"/>
      <c r="J24" s="436"/>
      <c r="K24" s="473"/>
      <c r="L24" s="473"/>
      <c r="M24" s="474"/>
      <c r="N24" s="473"/>
      <c r="O24" s="473"/>
      <c r="P24" s="473"/>
      <c r="Q24" s="473"/>
      <c r="R24" s="473"/>
      <c r="S24" s="475"/>
      <c r="T24" s="371"/>
      <c r="U24" s="431"/>
    </row>
    <row r="25" spans="2:21" s="380" customFormat="1">
      <c r="B25" s="409"/>
      <c r="C25" s="409"/>
      <c r="D25" s="409" t="s">
        <v>339</v>
      </c>
      <c r="E25" s="409"/>
      <c r="F25" s="409"/>
      <c r="G25" s="473">
        <f t="shared" ref="G25" si="0">G21</f>
        <v>1.0997441860465116E-2</v>
      </c>
      <c r="H25" s="387"/>
      <c r="I25" s="392"/>
      <c r="J25" s="473"/>
      <c r="K25" s="473"/>
      <c r="L25" s="473"/>
      <c r="M25" s="473"/>
      <c r="N25" s="473"/>
      <c r="O25" s="473"/>
      <c r="P25" s="473"/>
      <c r="Q25" s="473"/>
      <c r="R25" s="473"/>
      <c r="S25" s="371"/>
      <c r="T25" s="371"/>
      <c r="U25" s="366"/>
    </row>
    <row r="26" spans="2:21" s="380" customFormat="1">
      <c r="B26" s="363"/>
      <c r="C26" s="363"/>
      <c r="D26" s="363"/>
      <c r="E26" s="363"/>
      <c r="F26" s="412" t="s">
        <v>638</v>
      </c>
      <c r="G26" s="403"/>
      <c r="H26" s="453">
        <v>1</v>
      </c>
      <c r="I26" s="434"/>
      <c r="J26" s="403"/>
      <c r="K26" s="403"/>
      <c r="L26" s="403"/>
      <c r="M26" s="403"/>
      <c r="N26" s="403"/>
      <c r="O26" s="403"/>
      <c r="P26" s="403"/>
      <c r="Q26" s="403"/>
      <c r="R26" s="403"/>
      <c r="S26" s="377"/>
      <c r="T26" s="377"/>
      <c r="U26" s="412"/>
    </row>
    <row r="27" spans="2:21" s="486" customFormat="1">
      <c r="B27" s="298" t="s">
        <v>673</v>
      </c>
      <c r="C27" s="298" t="s">
        <v>697</v>
      </c>
      <c r="D27" s="298" t="s">
        <v>621</v>
      </c>
      <c r="E27" s="293"/>
      <c r="F27" s="483"/>
      <c r="G27" s="297">
        <f>(10.05*0.9)/((32.56*0.9)+(10.05*0.1))</f>
        <v>0.29842621003662284</v>
      </c>
      <c r="H27" s="294"/>
      <c r="I27" s="295">
        <v>0.7</v>
      </c>
      <c r="J27" s="402"/>
      <c r="K27" s="233"/>
      <c r="L27" s="233"/>
      <c r="M27" s="457">
        <f>(0.64*4%)*F$1+(2.35*3%)*F$1</f>
        <v>7.3886563271285455E-2</v>
      </c>
      <c r="N27" s="233"/>
      <c r="O27" s="233"/>
      <c r="P27" s="233"/>
      <c r="Q27" s="233"/>
      <c r="R27" s="233"/>
      <c r="S27" s="439">
        <v>35</v>
      </c>
      <c r="T27" s="234">
        <v>2015</v>
      </c>
      <c r="U27" s="339">
        <v>1</v>
      </c>
    </row>
    <row r="28" spans="2:21" s="486" customFormat="1">
      <c r="B28" s="298"/>
      <c r="C28" s="298"/>
      <c r="D28" s="298" t="s">
        <v>663</v>
      </c>
      <c r="E28" s="293"/>
      <c r="F28" s="483"/>
      <c r="G28" s="297">
        <f>(10.05*0.1)/((32.56*0.9)+(10.05*0.1))</f>
        <v>3.315846778184698E-2</v>
      </c>
      <c r="H28" s="294"/>
      <c r="I28" s="295"/>
      <c r="J28" s="402"/>
      <c r="K28" s="233"/>
      <c r="L28" s="233"/>
      <c r="M28" s="457"/>
      <c r="N28" s="233"/>
      <c r="O28" s="233"/>
      <c r="P28" s="233"/>
      <c r="Q28" s="233"/>
      <c r="R28" s="233"/>
      <c r="S28" s="439"/>
      <c r="T28" s="234"/>
      <c r="U28" s="339"/>
    </row>
    <row r="29" spans="2:21" s="486" customFormat="1">
      <c r="B29" s="293"/>
      <c r="C29" s="293"/>
      <c r="D29" s="293" t="s">
        <v>339</v>
      </c>
      <c r="E29" s="293"/>
      <c r="F29" s="293"/>
      <c r="G29" s="233">
        <f>SUP_HT!G$28</f>
        <v>1.1933720930232559E-2</v>
      </c>
      <c r="H29" s="294"/>
      <c r="I29" s="295"/>
      <c r="J29" s="233"/>
      <c r="K29" s="233"/>
      <c r="L29" s="233"/>
      <c r="M29" s="233"/>
      <c r="N29" s="233"/>
      <c r="O29" s="233"/>
      <c r="P29" s="233"/>
      <c r="Q29" s="233"/>
      <c r="R29" s="233"/>
      <c r="S29" s="234"/>
      <c r="T29" s="234"/>
      <c r="U29" s="483"/>
    </row>
    <row r="30" spans="2:21" s="486" customFormat="1">
      <c r="B30" s="270"/>
      <c r="C30" s="270"/>
      <c r="D30" s="270"/>
      <c r="E30" s="270"/>
      <c r="F30" s="273" t="s">
        <v>643</v>
      </c>
      <c r="G30" s="235"/>
      <c r="H30" s="271">
        <v>1</v>
      </c>
      <c r="I30" s="272"/>
      <c r="J30" s="235"/>
      <c r="K30" s="235"/>
      <c r="L30" s="235"/>
      <c r="M30" s="235"/>
      <c r="N30" s="235"/>
      <c r="O30" s="235"/>
      <c r="P30" s="235"/>
      <c r="Q30" s="235"/>
      <c r="R30" s="235"/>
      <c r="S30" s="236"/>
      <c r="T30" s="236"/>
      <c r="U30" s="273"/>
    </row>
    <row r="31" spans="2:21" s="380" customFormat="1">
      <c r="B31" s="455" t="s">
        <v>674</v>
      </c>
      <c r="C31" s="455" t="s">
        <v>698</v>
      </c>
      <c r="D31" s="455" t="s">
        <v>621</v>
      </c>
      <c r="E31" s="409"/>
      <c r="F31" s="366"/>
      <c r="G31" s="401">
        <f>(10.05*0.9)/((32.56*0.9)+(10.05*0.1))</f>
        <v>0.29842621003662284</v>
      </c>
      <c r="H31" s="387"/>
      <c r="I31" s="392">
        <v>0.7</v>
      </c>
      <c r="J31" s="436"/>
      <c r="K31" s="473"/>
      <c r="L31" s="473"/>
      <c r="M31" s="474">
        <f>M27</f>
        <v>7.3886563271285455E-2</v>
      </c>
      <c r="N31" s="473"/>
      <c r="O31" s="473"/>
      <c r="P31" s="473"/>
      <c r="Q31" s="473"/>
      <c r="R31" s="473"/>
      <c r="S31" s="475">
        <v>35</v>
      </c>
      <c r="T31" s="371">
        <v>2015</v>
      </c>
      <c r="U31" s="431">
        <v>1</v>
      </c>
    </row>
    <row r="32" spans="2:21" s="380" customFormat="1">
      <c r="B32" s="455"/>
      <c r="C32" s="455"/>
      <c r="D32" s="455" t="s">
        <v>233</v>
      </c>
      <c r="E32" s="409"/>
      <c r="F32" s="366"/>
      <c r="G32" s="401">
        <f>(10.05*0.1)/((32.56*0.9)+(10.05*0.1))</f>
        <v>3.315846778184698E-2</v>
      </c>
      <c r="H32" s="387"/>
      <c r="I32" s="392"/>
      <c r="J32" s="436"/>
      <c r="K32" s="473"/>
      <c r="L32" s="473"/>
      <c r="M32" s="474"/>
      <c r="N32" s="473"/>
      <c r="O32" s="473"/>
      <c r="P32" s="473"/>
      <c r="Q32" s="473"/>
      <c r="R32" s="473"/>
      <c r="S32" s="475"/>
      <c r="T32" s="371"/>
      <c r="U32" s="431"/>
    </row>
    <row r="33" spans="2:21" s="380" customFormat="1">
      <c r="B33" s="409"/>
      <c r="C33" s="409"/>
      <c r="D33" s="409" t="s">
        <v>339</v>
      </c>
      <c r="E33" s="409"/>
      <c r="F33" s="409"/>
      <c r="G33" s="473">
        <f t="shared" ref="G33" si="1">G29</f>
        <v>1.1933720930232559E-2</v>
      </c>
      <c r="H33" s="387"/>
      <c r="I33" s="392"/>
      <c r="J33" s="473"/>
      <c r="K33" s="473"/>
      <c r="L33" s="473"/>
      <c r="M33" s="473"/>
      <c r="N33" s="473"/>
      <c r="O33" s="473"/>
      <c r="P33" s="473"/>
      <c r="Q33" s="473"/>
      <c r="R33" s="473"/>
      <c r="S33" s="371"/>
      <c r="T33" s="371"/>
      <c r="U33" s="366"/>
    </row>
    <row r="34" spans="2:21" s="380" customFormat="1">
      <c r="B34" s="363"/>
      <c r="C34" s="363"/>
      <c r="D34" s="363"/>
      <c r="E34" s="363"/>
      <c r="F34" s="412" t="s">
        <v>643</v>
      </c>
      <c r="G34" s="403"/>
      <c r="H34" s="453">
        <v>1</v>
      </c>
      <c r="I34" s="434"/>
      <c r="J34" s="403"/>
      <c r="K34" s="403"/>
      <c r="L34" s="403"/>
      <c r="M34" s="403"/>
      <c r="N34" s="403"/>
      <c r="O34" s="403"/>
      <c r="P34" s="403"/>
      <c r="Q34" s="403"/>
      <c r="R34" s="403"/>
      <c r="S34" s="377"/>
      <c r="T34" s="377"/>
      <c r="U34" s="412"/>
    </row>
    <row r="35" spans="2:21" s="486" customFormat="1">
      <c r="B35" s="298" t="s">
        <v>675</v>
      </c>
      <c r="C35" s="298" t="s">
        <v>699</v>
      </c>
      <c r="D35" s="298" t="s">
        <v>621</v>
      </c>
      <c r="E35" s="293"/>
      <c r="F35" s="483"/>
      <c r="G35" s="297">
        <f>(10.05*0.8)/((32.56*0.8)+(10.05*0.2))</f>
        <v>0.2865492907548649</v>
      </c>
      <c r="H35" s="294"/>
      <c r="I35" s="295">
        <v>0.7</v>
      </c>
      <c r="J35" s="402"/>
      <c r="K35" s="233"/>
      <c r="L35" s="233"/>
      <c r="M35" s="457">
        <f>(0.64*5%)*F$1+(2.35*4%)*F$1</f>
        <v>9.687520262416198E-2</v>
      </c>
      <c r="N35" s="233"/>
      <c r="O35" s="233"/>
      <c r="P35" s="233"/>
      <c r="Q35" s="233"/>
      <c r="R35" s="233"/>
      <c r="S35" s="439">
        <v>35</v>
      </c>
      <c r="T35" s="234">
        <v>2015</v>
      </c>
      <c r="U35" s="339">
        <v>1</v>
      </c>
    </row>
    <row r="36" spans="2:21" s="486" customFormat="1">
      <c r="B36" s="298"/>
      <c r="C36" s="298"/>
      <c r="D36" s="298" t="s">
        <v>663</v>
      </c>
      <c r="E36" s="293"/>
      <c r="F36" s="483"/>
      <c r="G36" s="297">
        <f>(10.05*0.2)/((32.56*0.8)+(10.05*0.2))</f>
        <v>7.1637322688716226E-2</v>
      </c>
      <c r="H36" s="294"/>
      <c r="I36" s="295"/>
      <c r="J36" s="402"/>
      <c r="K36" s="233"/>
      <c r="L36" s="233"/>
      <c r="M36" s="457"/>
      <c r="N36" s="233"/>
      <c r="O36" s="233"/>
      <c r="P36" s="233"/>
      <c r="Q36" s="233"/>
      <c r="R36" s="233"/>
      <c r="S36" s="439"/>
      <c r="T36" s="234"/>
      <c r="U36" s="339"/>
    </row>
    <row r="37" spans="2:21" s="486" customFormat="1">
      <c r="B37" s="293"/>
      <c r="C37" s="293"/>
      <c r="D37" s="293" t="s">
        <v>339</v>
      </c>
      <c r="E37" s="293"/>
      <c r="F37" s="293"/>
      <c r="G37" s="233">
        <f>SUP_HT!G$33</f>
        <v>1.4274418604651165E-2</v>
      </c>
      <c r="H37" s="294"/>
      <c r="I37" s="295"/>
      <c r="J37" s="233"/>
      <c r="K37" s="233"/>
      <c r="L37" s="233"/>
      <c r="M37" s="233"/>
      <c r="N37" s="233"/>
      <c r="O37" s="233"/>
      <c r="P37" s="233"/>
      <c r="Q37" s="233"/>
      <c r="R37" s="233"/>
      <c r="S37" s="234"/>
      <c r="T37" s="234"/>
      <c r="U37" s="483"/>
    </row>
    <row r="38" spans="2:21" s="486" customFormat="1">
      <c r="B38" s="270"/>
      <c r="C38" s="270"/>
      <c r="D38" s="270"/>
      <c r="E38" s="270"/>
      <c r="F38" s="273" t="s">
        <v>620</v>
      </c>
      <c r="G38" s="235"/>
      <c r="H38" s="271">
        <v>1</v>
      </c>
      <c r="I38" s="272"/>
      <c r="J38" s="235"/>
      <c r="K38" s="235"/>
      <c r="L38" s="235"/>
      <c r="M38" s="235"/>
      <c r="N38" s="235"/>
      <c r="O38" s="235"/>
      <c r="P38" s="235"/>
      <c r="Q38" s="235"/>
      <c r="R38" s="235"/>
      <c r="S38" s="236"/>
      <c r="T38" s="236"/>
      <c r="U38" s="273"/>
    </row>
    <row r="39" spans="2:21" s="380" customFormat="1">
      <c r="B39" s="455" t="s">
        <v>676</v>
      </c>
      <c r="C39" s="455" t="s">
        <v>700</v>
      </c>
      <c r="D39" s="455" t="s">
        <v>621</v>
      </c>
      <c r="E39" s="409"/>
      <c r="F39" s="366"/>
      <c r="G39" s="401">
        <f>(10.05*0.8)/((32.56*0.8)+(10.05*0.2))</f>
        <v>0.2865492907548649</v>
      </c>
      <c r="H39" s="387"/>
      <c r="I39" s="392">
        <v>0.7</v>
      </c>
      <c r="J39" s="436"/>
      <c r="K39" s="473"/>
      <c r="L39" s="473"/>
      <c r="M39" s="474">
        <f>M35</f>
        <v>9.687520262416198E-2</v>
      </c>
      <c r="N39" s="473"/>
      <c r="O39" s="473"/>
      <c r="P39" s="473"/>
      <c r="Q39" s="473"/>
      <c r="R39" s="473"/>
      <c r="S39" s="475">
        <v>35</v>
      </c>
      <c r="T39" s="371">
        <v>2015</v>
      </c>
      <c r="U39" s="431">
        <v>1</v>
      </c>
    </row>
    <row r="40" spans="2:21" s="380" customFormat="1">
      <c r="B40" s="455"/>
      <c r="C40" s="455"/>
      <c r="D40" s="455" t="s">
        <v>233</v>
      </c>
      <c r="E40" s="409"/>
      <c r="F40" s="366"/>
      <c r="G40" s="401">
        <f>(10.05*0.2)/((32.56*0.8)+(10.05*0.2))</f>
        <v>7.1637322688716226E-2</v>
      </c>
      <c r="H40" s="387"/>
      <c r="I40" s="392"/>
      <c r="J40" s="436"/>
      <c r="K40" s="473"/>
      <c r="L40" s="473"/>
      <c r="M40" s="474"/>
      <c r="N40" s="473"/>
      <c r="O40" s="473"/>
      <c r="P40" s="473"/>
      <c r="Q40" s="473"/>
      <c r="R40" s="473"/>
      <c r="S40" s="475"/>
      <c r="T40" s="371"/>
      <c r="U40" s="431"/>
    </row>
    <row r="41" spans="2:21" s="380" customFormat="1">
      <c r="B41" s="409"/>
      <c r="C41" s="409"/>
      <c r="D41" s="409" t="s">
        <v>339</v>
      </c>
      <c r="E41" s="409"/>
      <c r="F41" s="409"/>
      <c r="G41" s="473">
        <f t="shared" ref="G41" si="2">G37</f>
        <v>1.4274418604651165E-2</v>
      </c>
      <c r="H41" s="387"/>
      <c r="I41" s="392"/>
      <c r="J41" s="473"/>
      <c r="K41" s="473"/>
      <c r="L41" s="473"/>
      <c r="M41" s="473"/>
      <c r="N41" s="473"/>
      <c r="O41" s="473"/>
      <c r="P41" s="473"/>
      <c r="Q41" s="473"/>
      <c r="R41" s="473"/>
      <c r="S41" s="371"/>
      <c r="T41" s="371"/>
      <c r="U41" s="366"/>
    </row>
    <row r="42" spans="2:21" s="380" customFormat="1">
      <c r="B42" s="363"/>
      <c r="C42" s="363"/>
      <c r="D42" s="363"/>
      <c r="E42" s="363"/>
      <c r="F42" s="412" t="s">
        <v>620</v>
      </c>
      <c r="G42" s="403"/>
      <c r="H42" s="453">
        <v>1</v>
      </c>
      <c r="I42" s="434"/>
      <c r="J42" s="403"/>
      <c r="K42" s="403"/>
      <c r="L42" s="403"/>
      <c r="M42" s="403"/>
      <c r="N42" s="403"/>
      <c r="O42" s="403"/>
      <c r="P42" s="403"/>
      <c r="Q42" s="403"/>
      <c r="R42" s="403"/>
      <c r="S42" s="377"/>
      <c r="T42" s="377"/>
      <c r="U42" s="412"/>
    </row>
    <row r="43" spans="2:21" s="408" customFormat="1">
      <c r="B43" s="470" t="s">
        <v>677</v>
      </c>
      <c r="C43" s="470" t="s">
        <v>701</v>
      </c>
      <c r="D43" s="470" t="s">
        <v>232</v>
      </c>
      <c r="E43" s="368"/>
      <c r="F43" s="411"/>
      <c r="G43" s="450">
        <f>'INPUT-Data(HD)'!J$10</f>
        <v>1</v>
      </c>
      <c r="H43" s="372"/>
      <c r="I43" s="445">
        <v>0.7</v>
      </c>
      <c r="J43" s="424">
        <f>(4.37)*F$1</f>
        <v>3.3598780592665705</v>
      </c>
      <c r="K43" s="427"/>
      <c r="L43" s="427"/>
      <c r="M43" s="467">
        <f>(4.37*1.5%)*F$1</f>
        <v>5.0398170888998554E-2</v>
      </c>
      <c r="N43" s="427"/>
      <c r="O43" s="427"/>
      <c r="P43" s="427"/>
      <c r="Q43" s="427"/>
      <c r="R43" s="427"/>
      <c r="S43" s="447">
        <v>50</v>
      </c>
      <c r="T43" s="391">
        <f>'INPUT-Data(HD)'!V40</f>
        <v>0</v>
      </c>
      <c r="U43" s="416">
        <v>1</v>
      </c>
    </row>
    <row r="44" spans="2:21" s="408" customFormat="1">
      <c r="B44" s="368"/>
      <c r="C44" s="368"/>
      <c r="D44" s="368" t="s">
        <v>339</v>
      </c>
      <c r="E44" s="368"/>
      <c r="F44" s="368"/>
      <c r="G44" s="450">
        <f>'INPUT-Data(HD)'!K$9</f>
        <v>6.6000000000000003E-2</v>
      </c>
      <c r="H44" s="372"/>
      <c r="I44" s="445"/>
      <c r="J44" s="427"/>
      <c r="K44" s="427"/>
      <c r="L44" s="427"/>
      <c r="M44" s="427"/>
      <c r="N44" s="427"/>
      <c r="O44" s="427"/>
      <c r="P44" s="427"/>
      <c r="Q44" s="427"/>
      <c r="R44" s="427"/>
      <c r="S44" s="391"/>
      <c r="T44" s="391"/>
      <c r="U44" s="411"/>
    </row>
    <row r="45" spans="2:21" s="408" customFormat="1">
      <c r="B45" s="438"/>
      <c r="C45" s="438"/>
      <c r="D45" s="438"/>
      <c r="E45" s="438"/>
      <c r="F45" s="369" t="s">
        <v>584</v>
      </c>
      <c r="G45" s="414"/>
      <c r="H45" s="454">
        <v>1</v>
      </c>
      <c r="I45" s="460"/>
      <c r="J45" s="374"/>
      <c r="K45" s="374"/>
      <c r="L45" s="374"/>
      <c r="M45" s="374"/>
      <c r="N45" s="374"/>
      <c r="O45" s="374"/>
      <c r="P45" s="374"/>
      <c r="Q45" s="374"/>
      <c r="R45" s="374"/>
      <c r="S45" s="364"/>
      <c r="T45" s="364"/>
      <c r="U45" s="429"/>
    </row>
    <row r="46" spans="2:21" s="408" customFormat="1">
      <c r="B46" s="470" t="s">
        <v>563</v>
      </c>
      <c r="C46" s="470" t="s">
        <v>702</v>
      </c>
      <c r="D46" s="470" t="s">
        <v>621</v>
      </c>
      <c r="E46" s="368"/>
      <c r="F46" s="411"/>
      <c r="G46" s="450">
        <f>(10.05*0.94)/((32.56*0.94)+(10.05*0.06))</f>
        <v>0.30269726428576005</v>
      </c>
      <c r="H46" s="372"/>
      <c r="I46" s="445">
        <v>0.7</v>
      </c>
      <c r="J46" s="424"/>
      <c r="K46" s="427"/>
      <c r="L46" s="427"/>
      <c r="M46" s="467">
        <f>(2.35*2%)*F$1</f>
        <v>3.6135988280441372E-2</v>
      </c>
      <c r="N46" s="427"/>
      <c r="O46" s="427"/>
      <c r="P46" s="427"/>
      <c r="Q46" s="427"/>
      <c r="R46" s="427"/>
      <c r="S46" s="447">
        <v>50</v>
      </c>
      <c r="T46" s="391">
        <f>'INPUT-Data(HD)'!V46</f>
        <v>0</v>
      </c>
      <c r="U46" s="416">
        <v>1</v>
      </c>
    </row>
    <row r="47" spans="2:21" s="408" customFormat="1">
      <c r="B47" s="470"/>
      <c r="C47" s="470"/>
      <c r="D47" s="385" t="s">
        <v>232</v>
      </c>
      <c r="E47" s="368"/>
      <c r="F47" s="411"/>
      <c r="G47" s="450">
        <f>(10.05*0.06)/((32.56*0.94)+(10.05*0.06))</f>
        <v>1.9321101975686809E-2</v>
      </c>
      <c r="H47" s="372"/>
      <c r="I47" s="445"/>
      <c r="J47" s="424"/>
      <c r="K47" s="427"/>
      <c r="L47" s="427"/>
      <c r="M47" s="467"/>
      <c r="N47" s="427"/>
      <c r="O47" s="427"/>
      <c r="P47" s="427"/>
      <c r="Q47" s="427"/>
      <c r="R47" s="427"/>
      <c r="S47" s="447"/>
      <c r="T47" s="391"/>
      <c r="U47" s="416"/>
    </row>
    <row r="48" spans="2:21" s="408" customFormat="1">
      <c r="B48" s="368"/>
      <c r="C48" s="368"/>
      <c r="D48" s="368" t="s">
        <v>339</v>
      </c>
      <c r="E48" s="368"/>
      <c r="F48" s="368"/>
      <c r="G48" s="450">
        <f>SUP_HT!G$23</f>
        <v>1.0997441860465116E-2</v>
      </c>
      <c r="H48" s="372"/>
      <c r="I48" s="445"/>
      <c r="J48" s="427"/>
      <c r="K48" s="427"/>
      <c r="L48" s="427"/>
      <c r="M48" s="427"/>
      <c r="N48" s="427"/>
      <c r="O48" s="427"/>
      <c r="P48" s="427"/>
      <c r="Q48" s="427"/>
      <c r="R48" s="427"/>
      <c r="S48" s="391"/>
      <c r="T48" s="391"/>
      <c r="U48" s="411"/>
    </row>
    <row r="49" spans="2:21" s="408" customFormat="1">
      <c r="B49" s="438"/>
      <c r="C49" s="438"/>
      <c r="D49" s="438"/>
      <c r="E49" s="438"/>
      <c r="F49" s="369" t="s">
        <v>638</v>
      </c>
      <c r="G49" s="414"/>
      <c r="H49" s="454">
        <v>1</v>
      </c>
      <c r="I49" s="460"/>
      <c r="J49" s="374"/>
      <c r="K49" s="374"/>
      <c r="L49" s="374"/>
      <c r="M49" s="374"/>
      <c r="N49" s="374"/>
      <c r="O49" s="374"/>
      <c r="P49" s="374"/>
      <c r="Q49" s="374"/>
      <c r="R49" s="374"/>
      <c r="S49" s="364"/>
      <c r="T49" s="364"/>
      <c r="U49" s="429"/>
    </row>
    <row r="50" spans="2:21" s="408" customFormat="1">
      <c r="B50" s="470" t="s">
        <v>678</v>
      </c>
      <c r="C50" s="470" t="s">
        <v>703</v>
      </c>
      <c r="D50" s="470" t="s">
        <v>621</v>
      </c>
      <c r="E50" s="368"/>
      <c r="F50" s="411"/>
      <c r="G50" s="450">
        <f>(10.05*0.9)/((32.56*0.9)+(10.05*0.1))</f>
        <v>0.29842621003662284</v>
      </c>
      <c r="H50" s="372"/>
      <c r="I50" s="445">
        <v>0.7</v>
      </c>
      <c r="J50" s="424"/>
      <c r="K50" s="427"/>
      <c r="L50" s="427"/>
      <c r="M50" s="467">
        <f>(2.35*3%)*F$1</f>
        <v>5.4203982420662059E-2</v>
      </c>
      <c r="N50" s="427"/>
      <c r="O50" s="427"/>
      <c r="P50" s="427"/>
      <c r="Q50" s="427"/>
      <c r="R50" s="427"/>
      <c r="S50" s="447">
        <v>50</v>
      </c>
      <c r="T50" s="391">
        <f>'INPUT-Data(HD)'!V49</f>
        <v>0</v>
      </c>
      <c r="U50" s="416">
        <v>1</v>
      </c>
    </row>
    <row r="51" spans="2:21" s="408" customFormat="1">
      <c r="B51" s="470"/>
      <c r="C51" s="470"/>
      <c r="D51" s="385" t="s">
        <v>232</v>
      </c>
      <c r="E51" s="368"/>
      <c r="F51" s="411"/>
      <c r="G51" s="450">
        <f>(10.05*0.1)/((32.56*0.9)+(10.05*0.1))</f>
        <v>3.315846778184698E-2</v>
      </c>
      <c r="H51" s="372"/>
      <c r="I51" s="445"/>
      <c r="J51" s="424"/>
      <c r="K51" s="427"/>
      <c r="L51" s="427"/>
      <c r="M51" s="467"/>
      <c r="N51" s="427"/>
      <c r="O51" s="427"/>
      <c r="P51" s="427"/>
      <c r="Q51" s="427"/>
      <c r="R51" s="427"/>
      <c r="S51" s="447"/>
      <c r="T51" s="391"/>
      <c r="U51" s="416"/>
    </row>
    <row r="52" spans="2:21" s="408" customFormat="1">
      <c r="B52" s="368"/>
      <c r="C52" s="368"/>
      <c r="D52" s="368" t="s">
        <v>339</v>
      </c>
      <c r="E52" s="368"/>
      <c r="F52" s="368"/>
      <c r="G52" s="450">
        <f>SUP_HT!G$28</f>
        <v>1.1933720930232559E-2</v>
      </c>
      <c r="H52" s="372"/>
      <c r="I52" s="445"/>
      <c r="J52" s="427"/>
      <c r="K52" s="427"/>
      <c r="L52" s="427"/>
      <c r="M52" s="427"/>
      <c r="N52" s="427"/>
      <c r="O52" s="427"/>
      <c r="P52" s="427"/>
      <c r="Q52" s="427"/>
      <c r="R52" s="427"/>
      <c r="S52" s="391"/>
      <c r="T52" s="391"/>
      <c r="U52" s="411"/>
    </row>
    <row r="53" spans="2:21" s="408" customFormat="1">
      <c r="B53" s="438"/>
      <c r="C53" s="438"/>
      <c r="D53" s="438"/>
      <c r="E53" s="438"/>
      <c r="F53" s="369" t="s">
        <v>643</v>
      </c>
      <c r="G53" s="414"/>
      <c r="H53" s="454">
        <v>1</v>
      </c>
      <c r="I53" s="460"/>
      <c r="J53" s="374"/>
      <c r="K53" s="374"/>
      <c r="L53" s="374"/>
      <c r="M53" s="374"/>
      <c r="N53" s="374"/>
      <c r="O53" s="374"/>
      <c r="P53" s="374"/>
      <c r="Q53" s="374"/>
      <c r="R53" s="374"/>
      <c r="S53" s="364"/>
      <c r="T53" s="364"/>
      <c r="U53" s="429"/>
    </row>
    <row r="54" spans="2:21" s="408" customFormat="1">
      <c r="B54" s="470" t="s">
        <v>679</v>
      </c>
      <c r="C54" s="470" t="s">
        <v>704</v>
      </c>
      <c r="D54" s="470" t="s">
        <v>621</v>
      </c>
      <c r="E54" s="368"/>
      <c r="F54" s="411"/>
      <c r="G54" s="450">
        <f>(10.05*0.8)/((32.56*0.8)+(10.05*0.2))</f>
        <v>0.2865492907548649</v>
      </c>
      <c r="H54" s="372"/>
      <c r="I54" s="445">
        <v>0.7</v>
      </c>
      <c r="J54" s="424"/>
      <c r="K54" s="427"/>
      <c r="L54" s="427"/>
      <c r="M54" s="467">
        <f>(2.35*4%)*F$1</f>
        <v>7.2271976560882745E-2</v>
      </c>
      <c r="N54" s="427"/>
      <c r="O54" s="427"/>
      <c r="P54" s="427"/>
      <c r="Q54" s="427"/>
      <c r="R54" s="427"/>
      <c r="S54" s="447">
        <v>50</v>
      </c>
      <c r="T54" s="391">
        <f>'INPUT-Data(HD)'!V52</f>
        <v>0</v>
      </c>
      <c r="U54" s="416">
        <v>1</v>
      </c>
    </row>
    <row r="55" spans="2:21" s="408" customFormat="1">
      <c r="B55" s="470"/>
      <c r="C55" s="470"/>
      <c r="D55" s="385" t="s">
        <v>232</v>
      </c>
      <c r="E55" s="368"/>
      <c r="F55" s="411"/>
      <c r="G55" s="450">
        <f>(10.05*0.2)/((32.56*0.8)+(10.05*0.2))</f>
        <v>7.1637322688716226E-2</v>
      </c>
      <c r="H55" s="372"/>
      <c r="I55" s="445"/>
      <c r="J55" s="424"/>
      <c r="K55" s="427"/>
      <c r="L55" s="427"/>
      <c r="M55" s="467"/>
      <c r="N55" s="427"/>
      <c r="O55" s="427"/>
      <c r="P55" s="427"/>
      <c r="Q55" s="427"/>
      <c r="R55" s="427"/>
      <c r="S55" s="447"/>
      <c r="T55" s="391"/>
      <c r="U55" s="416"/>
    </row>
    <row r="56" spans="2:21" s="408" customFormat="1">
      <c r="B56" s="368"/>
      <c r="C56" s="368"/>
      <c r="D56" s="368" t="s">
        <v>339</v>
      </c>
      <c r="E56" s="368"/>
      <c r="F56" s="368"/>
      <c r="G56" s="450">
        <f>SUP_HT!G$33</f>
        <v>1.4274418604651165E-2</v>
      </c>
      <c r="H56" s="372"/>
      <c r="I56" s="445"/>
      <c r="J56" s="427"/>
      <c r="K56" s="427"/>
      <c r="L56" s="427"/>
      <c r="M56" s="427"/>
      <c r="N56" s="427"/>
      <c r="O56" s="427"/>
      <c r="P56" s="427"/>
      <c r="Q56" s="427"/>
      <c r="R56" s="427"/>
      <c r="S56" s="391"/>
      <c r="T56" s="391"/>
      <c r="U56" s="411"/>
    </row>
    <row r="57" spans="2:21" s="408" customFormat="1">
      <c r="B57" s="438"/>
      <c r="C57" s="438"/>
      <c r="D57" s="438"/>
      <c r="E57" s="438"/>
      <c r="F57" s="369" t="s">
        <v>620</v>
      </c>
      <c r="G57" s="374"/>
      <c r="H57" s="454">
        <v>1</v>
      </c>
      <c r="I57" s="460"/>
      <c r="J57" s="374"/>
      <c r="K57" s="374"/>
      <c r="L57" s="374"/>
      <c r="M57" s="374"/>
      <c r="N57" s="374"/>
      <c r="O57" s="374"/>
      <c r="P57" s="374"/>
      <c r="Q57" s="374"/>
      <c r="R57" s="374"/>
      <c r="S57" s="364"/>
      <c r="T57" s="364"/>
      <c r="U57" s="429"/>
    </row>
    <row r="58" spans="2:21" s="376" customFormat="1">
      <c r="B58" s="421" t="s">
        <v>169</v>
      </c>
      <c r="C58" s="413" t="s">
        <v>705</v>
      </c>
      <c r="D58" s="470" t="s">
        <v>621</v>
      </c>
      <c r="E58" s="421"/>
      <c r="F58" s="396"/>
      <c r="G58" s="469">
        <f>'INPUT-Data(HD)'!J$10</f>
        <v>1</v>
      </c>
      <c r="H58" s="433"/>
      <c r="I58" s="386">
        <f>'INPUT-Data(HD)'!N55</f>
        <v>0</v>
      </c>
      <c r="J58" s="420">
        <f>(1.19+4.37)*F$1</f>
        <v>4.2748105284947675</v>
      </c>
      <c r="K58" s="382"/>
      <c r="L58" s="382"/>
      <c r="M58" s="373">
        <f>(1.19*4%)*F$1+(4.37*1.5%)*F$1</f>
        <v>8.6995469658126406E-2</v>
      </c>
      <c r="N58" s="382"/>
      <c r="O58" s="382"/>
      <c r="P58" s="382"/>
      <c r="Q58" s="382"/>
      <c r="R58" s="382"/>
      <c r="S58" s="395">
        <v>50</v>
      </c>
      <c r="T58" s="469">
        <f>'INPUT-Data(HD)'!V55</f>
        <v>0</v>
      </c>
      <c r="U58" s="452">
        <v>1</v>
      </c>
    </row>
    <row r="59" spans="2:21" s="376" customFormat="1">
      <c r="B59" s="421"/>
      <c r="C59" s="413"/>
      <c r="D59" s="385" t="s">
        <v>233</v>
      </c>
      <c r="E59" s="421"/>
      <c r="F59" s="396"/>
      <c r="G59" s="469"/>
      <c r="H59" s="433"/>
      <c r="I59" s="386"/>
      <c r="J59" s="420"/>
      <c r="K59" s="382"/>
      <c r="L59" s="382"/>
      <c r="M59" s="373"/>
      <c r="N59" s="382"/>
      <c r="O59" s="382"/>
      <c r="P59" s="382"/>
      <c r="Q59" s="382"/>
      <c r="R59" s="382"/>
      <c r="S59" s="395"/>
      <c r="T59" s="469"/>
      <c r="U59" s="452"/>
    </row>
    <row r="60" spans="2:21" s="376" customFormat="1">
      <c r="B60" s="421"/>
      <c r="C60" s="421"/>
      <c r="D60" s="368" t="s">
        <v>339</v>
      </c>
      <c r="E60" s="421"/>
      <c r="F60" s="421"/>
      <c r="G60" s="381">
        <f>'INPUT-Data(HD)'!K$9</f>
        <v>6.6000000000000003E-2</v>
      </c>
      <c r="H60" s="433"/>
      <c r="I60" s="386"/>
      <c r="J60" s="382"/>
      <c r="K60" s="382"/>
      <c r="L60" s="382"/>
      <c r="M60" s="382"/>
      <c r="N60" s="382"/>
      <c r="O60" s="382"/>
      <c r="P60" s="382"/>
      <c r="Q60" s="382"/>
      <c r="R60" s="382"/>
      <c r="S60" s="469"/>
      <c r="T60" s="469"/>
      <c r="U60" s="396"/>
    </row>
    <row r="61" spans="2:21" s="376" customFormat="1">
      <c r="B61" s="432"/>
      <c r="C61" s="432"/>
      <c r="D61" s="432"/>
      <c r="E61" s="432"/>
      <c r="F61" s="367" t="s">
        <v>171</v>
      </c>
      <c r="G61" s="463"/>
      <c r="H61" s="375">
        <v>1</v>
      </c>
      <c r="I61" s="407"/>
      <c r="J61" s="463"/>
      <c r="K61" s="463"/>
      <c r="L61" s="463"/>
      <c r="M61" s="463"/>
      <c r="N61" s="463"/>
      <c r="O61" s="463"/>
      <c r="P61" s="463"/>
      <c r="Q61" s="463"/>
      <c r="R61" s="463"/>
      <c r="S61" s="449"/>
      <c r="T61" s="449"/>
      <c r="U61" s="430"/>
    </row>
    <row r="62" spans="2:21" s="451" customFormat="1">
      <c r="B62" s="442" t="s">
        <v>667</v>
      </c>
      <c r="C62" s="442" t="s">
        <v>706</v>
      </c>
      <c r="D62" s="470" t="s">
        <v>621</v>
      </c>
      <c r="E62" s="435"/>
      <c r="F62" s="441"/>
      <c r="G62" s="476">
        <f>G58</f>
        <v>1</v>
      </c>
      <c r="H62" s="394"/>
      <c r="I62" s="365">
        <f>'INPUT-Data(HD)'!N61</f>
        <v>0</v>
      </c>
      <c r="J62" s="440">
        <f>J58</f>
        <v>4.2748105284947675</v>
      </c>
      <c r="K62" s="461"/>
      <c r="L62" s="461"/>
      <c r="M62" s="428">
        <f>M58</f>
        <v>8.6995469658126406E-2</v>
      </c>
      <c r="N62" s="461"/>
      <c r="O62" s="461"/>
      <c r="P62" s="461"/>
      <c r="Q62" s="461"/>
      <c r="R62" s="461"/>
      <c r="S62" s="468">
        <v>35</v>
      </c>
      <c r="T62" s="406">
        <f>'INPUT-Data(HD)'!V61</f>
        <v>0</v>
      </c>
      <c r="U62" s="398">
        <v>1</v>
      </c>
    </row>
    <row r="63" spans="2:21" s="451" customFormat="1">
      <c r="B63" s="442"/>
      <c r="C63" s="442"/>
      <c r="D63" s="385" t="s">
        <v>233</v>
      </c>
      <c r="E63" s="435"/>
      <c r="F63" s="441"/>
      <c r="G63" s="476"/>
      <c r="H63" s="394"/>
      <c r="I63" s="365"/>
      <c r="J63" s="440"/>
      <c r="K63" s="461"/>
      <c r="L63" s="461"/>
      <c r="M63" s="428"/>
      <c r="N63" s="461"/>
      <c r="O63" s="461"/>
      <c r="P63" s="461"/>
      <c r="Q63" s="461"/>
      <c r="R63" s="461"/>
      <c r="S63" s="468"/>
      <c r="T63" s="406"/>
      <c r="U63" s="398"/>
    </row>
    <row r="64" spans="2:21" s="451" customFormat="1">
      <c r="B64" s="435"/>
      <c r="C64" s="435"/>
      <c r="D64" s="368" t="s">
        <v>339</v>
      </c>
      <c r="E64" s="435"/>
      <c r="F64" s="435"/>
      <c r="G64" s="476">
        <f>G60</f>
        <v>6.6000000000000003E-2</v>
      </c>
      <c r="H64" s="394"/>
      <c r="I64" s="365"/>
      <c r="J64" s="461"/>
      <c r="K64" s="461"/>
      <c r="L64" s="461"/>
      <c r="M64" s="461"/>
      <c r="N64" s="461"/>
      <c r="O64" s="461"/>
      <c r="P64" s="461"/>
      <c r="Q64" s="461"/>
      <c r="R64" s="461"/>
      <c r="S64" s="406"/>
      <c r="T64" s="406"/>
      <c r="U64" s="441"/>
    </row>
    <row r="65" spans="2:21" s="451" customFormat="1">
      <c r="B65" s="397"/>
      <c r="C65" s="397"/>
      <c r="D65" s="397"/>
      <c r="E65" s="397"/>
      <c r="F65" s="405" t="s">
        <v>171</v>
      </c>
      <c r="G65" s="415"/>
      <c r="H65" s="410">
        <v>1</v>
      </c>
      <c r="I65" s="384"/>
      <c r="J65" s="415"/>
      <c r="K65" s="415"/>
      <c r="L65" s="415"/>
      <c r="M65" s="415"/>
      <c r="N65" s="415"/>
      <c r="O65" s="415"/>
      <c r="P65" s="415"/>
      <c r="Q65" s="415"/>
      <c r="R65" s="415"/>
      <c r="S65" s="472"/>
      <c r="T65" s="472"/>
      <c r="U65" s="399"/>
    </row>
    <row r="66" spans="2:21" s="376" customFormat="1">
      <c r="B66" s="413" t="s">
        <v>668</v>
      </c>
      <c r="C66" s="413" t="s">
        <v>707</v>
      </c>
      <c r="D66" s="470" t="s">
        <v>621</v>
      </c>
      <c r="E66" s="396"/>
      <c r="F66" s="396"/>
      <c r="G66" s="381">
        <f>(10.05*0.94)/((32.56*0.94)+(10.05*0.06))</f>
        <v>0.30269726428576005</v>
      </c>
      <c r="H66" s="433"/>
      <c r="I66" s="386">
        <v>0.7</v>
      </c>
      <c r="J66" s="420"/>
      <c r="K66" s="382"/>
      <c r="L66" s="382"/>
      <c r="M66" s="373">
        <f>(0.64*3%)*F$1+(2.35*2%)*F$1</f>
        <v>5.0897923918408909E-2</v>
      </c>
      <c r="N66" s="382"/>
      <c r="O66" s="382"/>
      <c r="P66" s="382"/>
      <c r="Q66" s="382"/>
      <c r="R66" s="382"/>
      <c r="S66" s="395">
        <v>35</v>
      </c>
      <c r="T66" s="469">
        <v>2015</v>
      </c>
      <c r="U66" s="452">
        <v>1</v>
      </c>
    </row>
    <row r="67" spans="2:21" s="376" customFormat="1">
      <c r="B67" s="413"/>
      <c r="C67" s="413"/>
      <c r="D67" s="385" t="s">
        <v>233</v>
      </c>
      <c r="E67" s="396"/>
      <c r="F67" s="396"/>
      <c r="G67" s="381">
        <f>(10.05*0.06)/((32.56*0.94)+(10.05*0.06))</f>
        <v>1.9321101975686809E-2</v>
      </c>
      <c r="H67" s="433"/>
      <c r="I67" s="386"/>
      <c r="J67" s="420"/>
      <c r="K67" s="382"/>
      <c r="L67" s="382"/>
      <c r="M67" s="373"/>
      <c r="N67" s="382"/>
      <c r="O67" s="382"/>
      <c r="P67" s="382"/>
      <c r="Q67" s="382"/>
      <c r="R67" s="382"/>
      <c r="S67" s="395"/>
      <c r="T67" s="469"/>
      <c r="U67" s="452"/>
    </row>
    <row r="68" spans="2:21" s="376" customFormat="1">
      <c r="B68" s="421"/>
      <c r="C68" s="421"/>
      <c r="D68" s="368" t="s">
        <v>339</v>
      </c>
      <c r="E68" s="396"/>
      <c r="F68" s="421"/>
      <c r="G68" s="381">
        <f>SUP_HT!G$23</f>
        <v>1.0997441860465116E-2</v>
      </c>
      <c r="H68" s="433"/>
      <c r="I68" s="386"/>
      <c r="J68" s="382"/>
      <c r="K68" s="382"/>
      <c r="L68" s="382"/>
      <c r="M68" s="382"/>
      <c r="N68" s="382"/>
      <c r="O68" s="382"/>
      <c r="P68" s="382"/>
      <c r="Q68" s="382"/>
      <c r="R68" s="382"/>
      <c r="S68" s="469"/>
      <c r="T68" s="469"/>
      <c r="U68" s="396"/>
    </row>
    <row r="69" spans="2:21" s="376" customFormat="1">
      <c r="B69" s="432"/>
      <c r="C69" s="432"/>
      <c r="D69" s="432"/>
      <c r="E69" s="432"/>
      <c r="F69" s="430" t="s">
        <v>639</v>
      </c>
      <c r="G69" s="463"/>
      <c r="H69" s="375">
        <v>1</v>
      </c>
      <c r="I69" s="407"/>
      <c r="J69" s="463"/>
      <c r="K69" s="463"/>
      <c r="L69" s="463"/>
      <c r="M69" s="463"/>
      <c r="N69" s="463"/>
      <c r="O69" s="463"/>
      <c r="P69" s="463"/>
      <c r="Q69" s="463"/>
      <c r="R69" s="463"/>
      <c r="S69" s="449"/>
      <c r="T69" s="449"/>
      <c r="U69" s="430"/>
    </row>
    <row r="70" spans="2:21" s="451" customFormat="1">
      <c r="B70" s="442" t="s">
        <v>669</v>
      </c>
      <c r="C70" s="442" t="s">
        <v>708</v>
      </c>
      <c r="D70" s="470" t="s">
        <v>621</v>
      </c>
      <c r="E70" s="435"/>
      <c r="F70" s="441"/>
      <c r="G70" s="443">
        <f>(10.05*0.94)/((32.56*0.94)+(10.05*0.06))</f>
        <v>0.30269726428576005</v>
      </c>
      <c r="H70" s="394"/>
      <c r="I70" s="365">
        <v>0.7</v>
      </c>
      <c r="J70" s="440"/>
      <c r="K70" s="461"/>
      <c r="L70" s="461"/>
      <c r="M70" s="428">
        <f>M66</f>
        <v>5.0897923918408909E-2</v>
      </c>
      <c r="N70" s="461"/>
      <c r="O70" s="461"/>
      <c r="P70" s="461"/>
      <c r="Q70" s="461"/>
      <c r="R70" s="461"/>
      <c r="S70" s="468">
        <v>35</v>
      </c>
      <c r="T70" s="406">
        <v>2015</v>
      </c>
      <c r="U70" s="398">
        <v>1</v>
      </c>
    </row>
    <row r="71" spans="2:21" s="451" customFormat="1">
      <c r="B71" s="442"/>
      <c r="C71" s="442"/>
      <c r="D71" s="385" t="s">
        <v>233</v>
      </c>
      <c r="E71" s="435"/>
      <c r="F71" s="441"/>
      <c r="G71" s="443">
        <f>(10.05*0.06)/((32.56*0.94)+(10.05*0.06))</f>
        <v>1.9321101975686809E-2</v>
      </c>
      <c r="H71" s="394"/>
      <c r="I71" s="365"/>
      <c r="J71" s="440"/>
      <c r="K71" s="461"/>
      <c r="L71" s="461"/>
      <c r="M71" s="428"/>
      <c r="N71" s="461"/>
      <c r="O71" s="461"/>
      <c r="P71" s="461"/>
      <c r="Q71" s="461"/>
      <c r="R71" s="461"/>
      <c r="S71" s="468"/>
      <c r="T71" s="406"/>
      <c r="U71" s="398"/>
    </row>
    <row r="72" spans="2:21" s="451" customFormat="1">
      <c r="B72" s="435"/>
      <c r="C72" s="435"/>
      <c r="D72" s="368" t="s">
        <v>339</v>
      </c>
      <c r="E72" s="435"/>
      <c r="F72" s="435"/>
      <c r="G72" s="461">
        <f t="shared" ref="G72" si="3">G68</f>
        <v>1.0997441860465116E-2</v>
      </c>
      <c r="H72" s="394"/>
      <c r="I72" s="365"/>
      <c r="J72" s="461"/>
      <c r="K72" s="461"/>
      <c r="L72" s="461"/>
      <c r="M72" s="461"/>
      <c r="N72" s="461"/>
      <c r="O72" s="461"/>
      <c r="P72" s="461"/>
      <c r="Q72" s="461"/>
      <c r="R72" s="461"/>
      <c r="S72" s="406"/>
      <c r="T72" s="406"/>
      <c r="U72" s="441"/>
    </row>
    <row r="73" spans="2:21" s="451" customFormat="1">
      <c r="B73" s="397"/>
      <c r="C73" s="397"/>
      <c r="D73" s="397"/>
      <c r="E73" s="397"/>
      <c r="F73" s="399" t="s">
        <v>639</v>
      </c>
      <c r="G73" s="415"/>
      <c r="H73" s="410">
        <v>1</v>
      </c>
      <c r="I73" s="384"/>
      <c r="J73" s="415"/>
      <c r="K73" s="415"/>
      <c r="L73" s="415"/>
      <c r="M73" s="415"/>
      <c r="N73" s="415"/>
      <c r="O73" s="415"/>
      <c r="P73" s="415"/>
      <c r="Q73" s="415"/>
      <c r="R73" s="415"/>
      <c r="S73" s="472"/>
      <c r="T73" s="472"/>
      <c r="U73" s="399"/>
    </row>
    <row r="74" spans="2:21" s="376" customFormat="1">
      <c r="B74" s="413" t="s">
        <v>680</v>
      </c>
      <c r="C74" s="413" t="s">
        <v>709</v>
      </c>
      <c r="D74" s="470" t="s">
        <v>621</v>
      </c>
      <c r="E74" s="421"/>
      <c r="F74" s="396"/>
      <c r="G74" s="381">
        <f>(10.05*0.9)/((32.56*0.9)+(10.05*0.1))</f>
        <v>0.29842621003662284</v>
      </c>
      <c r="H74" s="433"/>
      <c r="I74" s="386">
        <v>0.7</v>
      </c>
      <c r="J74" s="420"/>
      <c r="K74" s="382"/>
      <c r="L74" s="382"/>
      <c r="M74" s="373">
        <f>(0.64*4%)*F$1+(2.35*3%)*F$1</f>
        <v>7.3886563271285455E-2</v>
      </c>
      <c r="N74" s="382"/>
      <c r="O74" s="382"/>
      <c r="P74" s="382"/>
      <c r="Q74" s="382"/>
      <c r="R74" s="382"/>
      <c r="S74" s="395">
        <v>35</v>
      </c>
      <c r="T74" s="469">
        <v>2015</v>
      </c>
      <c r="U74" s="452">
        <v>1</v>
      </c>
    </row>
    <row r="75" spans="2:21" s="376" customFormat="1">
      <c r="B75" s="413"/>
      <c r="C75" s="413"/>
      <c r="D75" s="385" t="s">
        <v>233</v>
      </c>
      <c r="E75" s="421"/>
      <c r="F75" s="396"/>
      <c r="G75" s="381">
        <f>(10.05*0.1)/((32.56*0.9)+(10.05*0.1))</f>
        <v>3.315846778184698E-2</v>
      </c>
      <c r="H75" s="433"/>
      <c r="I75" s="386"/>
      <c r="J75" s="420"/>
      <c r="K75" s="382"/>
      <c r="L75" s="382"/>
      <c r="M75" s="373"/>
      <c r="N75" s="382"/>
      <c r="O75" s="382"/>
      <c r="P75" s="382"/>
      <c r="Q75" s="382"/>
      <c r="R75" s="382"/>
      <c r="S75" s="395"/>
      <c r="T75" s="469"/>
      <c r="U75" s="452"/>
    </row>
    <row r="76" spans="2:21" s="376" customFormat="1">
      <c r="B76" s="421"/>
      <c r="C76" s="421"/>
      <c r="D76" s="368" t="s">
        <v>339</v>
      </c>
      <c r="E76" s="421"/>
      <c r="F76" s="421"/>
      <c r="G76" s="382">
        <f>SUP_HT!G$28</f>
        <v>1.1933720930232559E-2</v>
      </c>
      <c r="H76" s="433"/>
      <c r="I76" s="386"/>
      <c r="J76" s="382"/>
      <c r="K76" s="382"/>
      <c r="L76" s="382"/>
      <c r="M76" s="382"/>
      <c r="N76" s="382"/>
      <c r="O76" s="382"/>
      <c r="P76" s="382"/>
      <c r="Q76" s="382"/>
      <c r="R76" s="382"/>
      <c r="S76" s="469"/>
      <c r="T76" s="469"/>
      <c r="U76" s="396"/>
    </row>
    <row r="77" spans="2:21" s="376" customFormat="1">
      <c r="B77" s="432"/>
      <c r="C77" s="432"/>
      <c r="D77" s="432"/>
      <c r="E77" s="432"/>
      <c r="F77" s="430" t="s">
        <v>644</v>
      </c>
      <c r="G77" s="463"/>
      <c r="H77" s="375">
        <v>1</v>
      </c>
      <c r="I77" s="407"/>
      <c r="J77" s="463"/>
      <c r="K77" s="463"/>
      <c r="L77" s="463"/>
      <c r="M77" s="463"/>
      <c r="N77" s="463"/>
      <c r="O77" s="463"/>
      <c r="P77" s="463"/>
      <c r="Q77" s="463"/>
      <c r="R77" s="463"/>
      <c r="S77" s="449"/>
      <c r="T77" s="449"/>
      <c r="U77" s="430"/>
    </row>
    <row r="78" spans="2:21" s="451" customFormat="1">
      <c r="B78" s="442" t="s">
        <v>681</v>
      </c>
      <c r="C78" s="442" t="s">
        <v>710</v>
      </c>
      <c r="D78" s="470" t="s">
        <v>621</v>
      </c>
      <c r="E78" s="435"/>
      <c r="F78" s="441"/>
      <c r="G78" s="443">
        <f>(10.05*0.9)/((32.56*0.9)+(10.05*0.1))</f>
        <v>0.29842621003662284</v>
      </c>
      <c r="H78" s="394"/>
      <c r="I78" s="365">
        <v>0.7</v>
      </c>
      <c r="J78" s="440"/>
      <c r="K78" s="461"/>
      <c r="L78" s="461"/>
      <c r="M78" s="428">
        <f>M74</f>
        <v>7.3886563271285455E-2</v>
      </c>
      <c r="N78" s="461"/>
      <c r="O78" s="461"/>
      <c r="P78" s="461"/>
      <c r="Q78" s="461"/>
      <c r="R78" s="461"/>
      <c r="S78" s="468">
        <v>35</v>
      </c>
      <c r="T78" s="406">
        <v>2015</v>
      </c>
      <c r="U78" s="398">
        <v>1</v>
      </c>
    </row>
    <row r="79" spans="2:21" s="451" customFormat="1">
      <c r="B79" s="442"/>
      <c r="C79" s="442"/>
      <c r="D79" s="385" t="s">
        <v>233</v>
      </c>
      <c r="E79" s="435"/>
      <c r="F79" s="441"/>
      <c r="G79" s="443">
        <f>(10.05*0.1)/((32.56*0.9)+(10.05*0.1))</f>
        <v>3.315846778184698E-2</v>
      </c>
      <c r="H79" s="394"/>
      <c r="I79" s="365"/>
      <c r="J79" s="440"/>
      <c r="K79" s="461"/>
      <c r="L79" s="461"/>
      <c r="M79" s="428"/>
      <c r="N79" s="461"/>
      <c r="O79" s="461"/>
      <c r="P79" s="461"/>
      <c r="Q79" s="461"/>
      <c r="R79" s="461"/>
      <c r="S79" s="468"/>
      <c r="T79" s="406"/>
      <c r="U79" s="398"/>
    </row>
    <row r="80" spans="2:21" s="451" customFormat="1">
      <c r="B80" s="435"/>
      <c r="C80" s="435"/>
      <c r="D80" s="368" t="s">
        <v>339</v>
      </c>
      <c r="E80" s="435"/>
      <c r="F80" s="435"/>
      <c r="G80" s="461">
        <f t="shared" ref="G80" si="4">G76</f>
        <v>1.1933720930232559E-2</v>
      </c>
      <c r="H80" s="394"/>
      <c r="I80" s="365"/>
      <c r="J80" s="461"/>
      <c r="K80" s="461"/>
      <c r="L80" s="461"/>
      <c r="M80" s="461"/>
      <c r="N80" s="461"/>
      <c r="O80" s="461"/>
      <c r="P80" s="461"/>
      <c r="Q80" s="461"/>
      <c r="R80" s="461"/>
      <c r="S80" s="406"/>
      <c r="T80" s="406"/>
      <c r="U80" s="441"/>
    </row>
    <row r="81" spans="2:21" s="451" customFormat="1">
      <c r="B81" s="397"/>
      <c r="C81" s="397"/>
      <c r="D81" s="397"/>
      <c r="E81" s="397"/>
      <c r="F81" s="399" t="s">
        <v>644</v>
      </c>
      <c r="G81" s="415"/>
      <c r="H81" s="410">
        <v>1</v>
      </c>
      <c r="I81" s="384"/>
      <c r="J81" s="415"/>
      <c r="K81" s="415"/>
      <c r="L81" s="415"/>
      <c r="M81" s="415"/>
      <c r="N81" s="415"/>
      <c r="O81" s="415"/>
      <c r="P81" s="415"/>
      <c r="Q81" s="415"/>
      <c r="R81" s="415"/>
      <c r="S81" s="472"/>
      <c r="T81" s="472"/>
      <c r="U81" s="399"/>
    </row>
    <row r="82" spans="2:21" s="376" customFormat="1">
      <c r="B82" s="413" t="s">
        <v>682</v>
      </c>
      <c r="C82" s="413" t="s">
        <v>711</v>
      </c>
      <c r="D82" s="470" t="s">
        <v>621</v>
      </c>
      <c r="E82" s="421"/>
      <c r="F82" s="396"/>
      <c r="G82" s="381">
        <f>(10.05*0.8)/((32.56*0.8)+(10.05*0.2))</f>
        <v>0.2865492907548649</v>
      </c>
      <c r="H82" s="433"/>
      <c r="I82" s="386">
        <v>0.7</v>
      </c>
      <c r="J82" s="420"/>
      <c r="K82" s="382"/>
      <c r="L82" s="382"/>
      <c r="M82" s="373">
        <f>(0.64*5%)*F$1+(2.35*4%)*F$1</f>
        <v>9.687520262416198E-2</v>
      </c>
      <c r="N82" s="382"/>
      <c r="O82" s="382"/>
      <c r="P82" s="382"/>
      <c r="Q82" s="382"/>
      <c r="R82" s="382"/>
      <c r="S82" s="395">
        <v>35</v>
      </c>
      <c r="T82" s="469">
        <v>2015</v>
      </c>
      <c r="U82" s="452">
        <v>1</v>
      </c>
    </row>
    <row r="83" spans="2:21" s="376" customFormat="1">
      <c r="B83" s="413"/>
      <c r="C83" s="413"/>
      <c r="D83" s="385" t="s">
        <v>233</v>
      </c>
      <c r="E83" s="421"/>
      <c r="F83" s="396"/>
      <c r="G83" s="381">
        <f>(10.05*0.2)/((32.56*0.8)+(10.05*0.2))</f>
        <v>7.1637322688716226E-2</v>
      </c>
      <c r="H83" s="433"/>
      <c r="I83" s="386"/>
      <c r="J83" s="420"/>
      <c r="K83" s="382"/>
      <c r="L83" s="382"/>
      <c r="M83" s="373"/>
      <c r="N83" s="382"/>
      <c r="O83" s="382"/>
      <c r="P83" s="382"/>
      <c r="Q83" s="382"/>
      <c r="R83" s="382"/>
      <c r="S83" s="395"/>
      <c r="T83" s="469"/>
      <c r="U83" s="452"/>
    </row>
    <row r="84" spans="2:21" s="376" customFormat="1">
      <c r="B84" s="421"/>
      <c r="C84" s="421"/>
      <c r="D84" s="368" t="s">
        <v>339</v>
      </c>
      <c r="E84" s="421"/>
      <c r="F84" s="421"/>
      <c r="G84" s="382">
        <f>SUP_HT!G$33</f>
        <v>1.4274418604651165E-2</v>
      </c>
      <c r="H84" s="433"/>
      <c r="I84" s="386"/>
      <c r="J84" s="382"/>
      <c r="K84" s="382"/>
      <c r="L84" s="382"/>
      <c r="M84" s="382"/>
      <c r="N84" s="382"/>
      <c r="O84" s="382"/>
      <c r="P84" s="382"/>
      <c r="Q84" s="382"/>
      <c r="R84" s="382"/>
      <c r="S84" s="469"/>
      <c r="T84" s="469"/>
      <c r="U84" s="396"/>
    </row>
    <row r="85" spans="2:21" s="376" customFormat="1">
      <c r="B85" s="432"/>
      <c r="C85" s="432"/>
      <c r="D85" s="432"/>
      <c r="E85" s="432"/>
      <c r="F85" s="430" t="s">
        <v>623</v>
      </c>
      <c r="G85" s="463"/>
      <c r="H85" s="375">
        <v>1</v>
      </c>
      <c r="I85" s="407"/>
      <c r="J85" s="463"/>
      <c r="K85" s="463"/>
      <c r="L85" s="463"/>
      <c r="M85" s="463"/>
      <c r="N85" s="463"/>
      <c r="O85" s="463"/>
      <c r="P85" s="463"/>
      <c r="Q85" s="463"/>
      <c r="R85" s="463"/>
      <c r="S85" s="449"/>
      <c r="T85" s="449"/>
      <c r="U85" s="430"/>
    </row>
    <row r="86" spans="2:21" s="451" customFormat="1">
      <c r="B86" s="442" t="s">
        <v>683</v>
      </c>
      <c r="C86" s="442" t="s">
        <v>712</v>
      </c>
      <c r="D86" s="470" t="s">
        <v>621</v>
      </c>
      <c r="E86" s="435"/>
      <c r="F86" s="441"/>
      <c r="G86" s="443">
        <f>(10.05*0.8)/((32.56*0.8)+(10.05*0.2))</f>
        <v>0.2865492907548649</v>
      </c>
      <c r="H86" s="394"/>
      <c r="I86" s="365">
        <v>0.7</v>
      </c>
      <c r="J86" s="440"/>
      <c r="K86" s="461"/>
      <c r="L86" s="461"/>
      <c r="M86" s="428">
        <f>M82</f>
        <v>9.687520262416198E-2</v>
      </c>
      <c r="N86" s="461"/>
      <c r="O86" s="461"/>
      <c r="P86" s="461"/>
      <c r="Q86" s="461"/>
      <c r="R86" s="461"/>
      <c r="S86" s="468">
        <v>35</v>
      </c>
      <c r="T86" s="406">
        <v>2015</v>
      </c>
      <c r="U86" s="398">
        <v>1</v>
      </c>
    </row>
    <row r="87" spans="2:21" s="451" customFormat="1">
      <c r="B87" s="442"/>
      <c r="C87" s="442"/>
      <c r="D87" s="385" t="s">
        <v>233</v>
      </c>
      <c r="E87" s="435"/>
      <c r="F87" s="441"/>
      <c r="G87" s="443">
        <f>(10.05*0.2)/((32.56*0.8)+(10.05*0.2))</f>
        <v>7.1637322688716226E-2</v>
      </c>
      <c r="H87" s="394"/>
      <c r="I87" s="365"/>
      <c r="J87" s="440"/>
      <c r="K87" s="461"/>
      <c r="L87" s="461"/>
      <c r="M87" s="428"/>
      <c r="N87" s="461"/>
      <c r="O87" s="461"/>
      <c r="P87" s="461"/>
      <c r="Q87" s="461"/>
      <c r="R87" s="461"/>
      <c r="S87" s="468"/>
      <c r="T87" s="406"/>
      <c r="U87" s="398"/>
    </row>
    <row r="88" spans="2:21" s="451" customFormat="1">
      <c r="B88" s="435"/>
      <c r="C88" s="435"/>
      <c r="D88" s="368" t="s">
        <v>339</v>
      </c>
      <c r="E88" s="435"/>
      <c r="F88" s="435"/>
      <c r="G88" s="461">
        <f t="shared" ref="G88" si="5">G84</f>
        <v>1.4274418604651165E-2</v>
      </c>
      <c r="H88" s="394"/>
      <c r="I88" s="365"/>
      <c r="J88" s="461"/>
      <c r="K88" s="461"/>
      <c r="L88" s="461"/>
      <c r="M88" s="461"/>
      <c r="N88" s="461"/>
      <c r="O88" s="461"/>
      <c r="P88" s="461"/>
      <c r="Q88" s="461"/>
      <c r="R88" s="461"/>
      <c r="S88" s="406"/>
      <c r="T88" s="406"/>
      <c r="U88" s="441"/>
    </row>
    <row r="89" spans="2:21" s="451" customFormat="1">
      <c r="B89" s="397"/>
      <c r="C89" s="397"/>
      <c r="D89" s="397"/>
      <c r="E89" s="397"/>
      <c r="F89" s="399" t="s">
        <v>623</v>
      </c>
      <c r="G89" s="415"/>
      <c r="H89" s="410">
        <v>1</v>
      </c>
      <c r="I89" s="384"/>
      <c r="J89" s="415"/>
      <c r="K89" s="415"/>
      <c r="L89" s="415"/>
      <c r="M89" s="415"/>
      <c r="N89" s="415"/>
      <c r="O89" s="415"/>
      <c r="P89" s="415"/>
      <c r="Q89" s="415"/>
      <c r="R89" s="415"/>
      <c r="S89" s="472"/>
      <c r="T89" s="472"/>
      <c r="U89" s="399"/>
    </row>
    <row r="90" spans="2:21" s="376" customFormat="1">
      <c r="B90" s="413" t="s">
        <v>184</v>
      </c>
      <c r="C90" s="413" t="s">
        <v>713</v>
      </c>
      <c r="D90" s="470" t="s">
        <v>621</v>
      </c>
      <c r="E90" s="421"/>
      <c r="F90" s="396"/>
      <c r="G90" s="381">
        <f>'INPUT-Data(HD)'!J$10</f>
        <v>1</v>
      </c>
      <c r="H90" s="433"/>
      <c r="I90" s="386">
        <v>0.7</v>
      </c>
      <c r="J90" s="420">
        <f>(4.37)*F$1</f>
        <v>3.3598780592665705</v>
      </c>
      <c r="K90" s="382"/>
      <c r="L90" s="382"/>
      <c r="M90" s="373">
        <f>(4.37*1.5%)*F$1</f>
        <v>5.0398170888998554E-2</v>
      </c>
      <c r="N90" s="382"/>
      <c r="O90" s="382"/>
      <c r="P90" s="382"/>
      <c r="Q90" s="382"/>
      <c r="R90" s="382"/>
      <c r="S90" s="395">
        <v>50</v>
      </c>
      <c r="T90" s="469">
        <f>'INPUT-Data(HD)'!V85</f>
        <v>0</v>
      </c>
      <c r="U90" s="452">
        <v>1</v>
      </c>
    </row>
    <row r="91" spans="2:21" s="376" customFormat="1">
      <c r="B91" s="421"/>
      <c r="C91" s="421"/>
      <c r="D91" s="385" t="s">
        <v>232</v>
      </c>
      <c r="E91" s="421"/>
      <c r="F91" s="421"/>
      <c r="G91" s="381">
        <f>'INPUT-Data(HD)'!K$9</f>
        <v>6.6000000000000003E-2</v>
      </c>
      <c r="H91" s="433"/>
      <c r="I91" s="386"/>
      <c r="J91" s="382"/>
      <c r="K91" s="382"/>
      <c r="L91" s="382"/>
      <c r="M91" s="382"/>
      <c r="N91" s="382"/>
      <c r="O91" s="382"/>
      <c r="P91" s="382"/>
      <c r="Q91" s="382"/>
      <c r="R91" s="382"/>
      <c r="S91" s="469"/>
      <c r="T91" s="469"/>
      <c r="U91" s="396"/>
    </row>
    <row r="92" spans="2:21" s="376" customFormat="1">
      <c r="B92" s="432"/>
      <c r="C92" s="432"/>
      <c r="D92" s="368" t="s">
        <v>339</v>
      </c>
      <c r="E92" s="432"/>
      <c r="G92" s="423"/>
      <c r="H92" s="375">
        <v>1</v>
      </c>
      <c r="I92" s="407"/>
      <c r="J92" s="463"/>
      <c r="K92" s="463"/>
      <c r="L92" s="463"/>
      <c r="M92" s="463"/>
      <c r="N92" s="463"/>
      <c r="O92" s="463"/>
      <c r="P92" s="463"/>
      <c r="Q92" s="463"/>
      <c r="R92" s="463"/>
      <c r="S92" s="449"/>
      <c r="T92" s="449"/>
      <c r="U92" s="430"/>
    </row>
    <row r="93" spans="2:21" s="376" customFormat="1">
      <c r="B93" s="421"/>
      <c r="C93" s="421"/>
      <c r="D93" s="368"/>
      <c r="E93" s="421"/>
      <c r="F93" s="367" t="s">
        <v>171</v>
      </c>
      <c r="G93" s="381"/>
      <c r="H93" s="433"/>
      <c r="I93" s="386"/>
      <c r="J93" s="382"/>
      <c r="K93" s="382"/>
      <c r="L93" s="382"/>
      <c r="M93" s="382"/>
      <c r="N93" s="382"/>
      <c r="O93" s="382"/>
      <c r="P93" s="382"/>
      <c r="Q93" s="382"/>
      <c r="R93" s="382"/>
      <c r="S93" s="469"/>
      <c r="T93" s="469"/>
      <c r="U93" s="396"/>
    </row>
    <row r="94" spans="2:21" s="376" customFormat="1">
      <c r="B94" s="413" t="s">
        <v>562</v>
      </c>
      <c r="C94" s="413" t="s">
        <v>714</v>
      </c>
      <c r="D94" s="470" t="s">
        <v>621</v>
      </c>
      <c r="E94" s="421"/>
      <c r="F94" s="396"/>
      <c r="G94" s="381">
        <f>(10.05*0.94)/((32.56*0.94)+(10.05*0.06))</f>
        <v>0.30269726428576005</v>
      </c>
      <c r="H94" s="433"/>
      <c r="I94" s="386">
        <v>0.7</v>
      </c>
      <c r="J94" s="420"/>
      <c r="K94" s="382"/>
      <c r="L94" s="382"/>
      <c r="M94" s="373">
        <f>(2.35*2%)*F$1</f>
        <v>3.6135988280441372E-2</v>
      </c>
      <c r="N94" s="382"/>
      <c r="O94" s="382"/>
      <c r="P94" s="382"/>
      <c r="Q94" s="382"/>
      <c r="R94" s="382"/>
      <c r="S94" s="395">
        <v>50</v>
      </c>
      <c r="T94" s="469">
        <f>'INPUT-Data(HD)'!V91</f>
        <v>0</v>
      </c>
      <c r="U94" s="452">
        <v>1</v>
      </c>
    </row>
    <row r="95" spans="2:21" s="376" customFormat="1">
      <c r="B95" s="413"/>
      <c r="C95" s="413"/>
      <c r="D95" s="385" t="s">
        <v>232</v>
      </c>
      <c r="E95" s="421"/>
      <c r="F95" s="396"/>
      <c r="G95" s="381">
        <f>(10.05*0.06)/((32.56*0.94)+(10.05*0.06))</f>
        <v>1.9321101975686809E-2</v>
      </c>
      <c r="H95" s="433"/>
      <c r="I95" s="386"/>
      <c r="J95" s="420"/>
      <c r="K95" s="382"/>
      <c r="L95" s="382"/>
      <c r="M95" s="373"/>
      <c r="N95" s="382"/>
      <c r="O95" s="382"/>
      <c r="P95" s="382"/>
      <c r="Q95" s="382"/>
      <c r="R95" s="382"/>
      <c r="S95" s="395"/>
      <c r="T95" s="469"/>
      <c r="U95" s="452"/>
    </row>
    <row r="96" spans="2:21" s="376" customFormat="1">
      <c r="B96" s="421"/>
      <c r="C96" s="421"/>
      <c r="D96" s="368" t="s">
        <v>339</v>
      </c>
      <c r="E96" s="421"/>
      <c r="F96" s="421"/>
      <c r="G96" s="381">
        <f>SUP_HT!G$23</f>
        <v>1.0997441860465116E-2</v>
      </c>
      <c r="H96" s="433"/>
      <c r="I96" s="386"/>
      <c r="J96" s="382"/>
      <c r="K96" s="382"/>
      <c r="L96" s="382"/>
      <c r="M96" s="382"/>
      <c r="N96" s="382"/>
      <c r="O96" s="382"/>
      <c r="P96" s="382"/>
      <c r="Q96" s="382"/>
      <c r="R96" s="382"/>
      <c r="S96" s="469"/>
      <c r="T96" s="469"/>
      <c r="U96" s="396"/>
    </row>
    <row r="97" spans="2:21" s="376" customFormat="1">
      <c r="B97" s="432"/>
      <c r="C97" s="432"/>
      <c r="D97" s="432"/>
      <c r="E97" s="432"/>
      <c r="F97" s="367" t="s">
        <v>639</v>
      </c>
      <c r="G97" s="423"/>
      <c r="H97" s="375">
        <v>1</v>
      </c>
      <c r="I97" s="407"/>
      <c r="J97" s="463"/>
      <c r="K97" s="463"/>
      <c r="L97" s="463"/>
      <c r="M97" s="463"/>
      <c r="N97" s="463"/>
      <c r="O97" s="463"/>
      <c r="P97" s="463"/>
      <c r="Q97" s="463"/>
      <c r="R97" s="463"/>
      <c r="S97" s="449"/>
      <c r="T97" s="449"/>
      <c r="U97" s="430"/>
    </row>
    <row r="98" spans="2:21" s="376" customFormat="1">
      <c r="B98" s="413" t="s">
        <v>684</v>
      </c>
      <c r="C98" s="413" t="s">
        <v>715</v>
      </c>
      <c r="D98" s="470" t="s">
        <v>621</v>
      </c>
      <c r="E98" s="421"/>
      <c r="F98" s="396"/>
      <c r="G98" s="381">
        <f>(10.05*0.9)/((32.56*0.9)+(10.05*0.1))</f>
        <v>0.29842621003662284</v>
      </c>
      <c r="H98" s="433"/>
      <c r="I98" s="386">
        <v>0.7</v>
      </c>
      <c r="J98" s="420"/>
      <c r="K98" s="382"/>
      <c r="L98" s="382"/>
      <c r="M98" s="373">
        <f>(2.35*3%)*F$1</f>
        <v>5.4203982420662059E-2</v>
      </c>
      <c r="N98" s="382"/>
      <c r="O98" s="382"/>
      <c r="P98" s="382"/>
      <c r="Q98" s="382"/>
      <c r="R98" s="382"/>
      <c r="S98" s="395">
        <v>50</v>
      </c>
      <c r="T98" s="469">
        <f>'INPUT-Data(HD)'!V94</f>
        <v>0</v>
      </c>
      <c r="U98" s="452">
        <v>1</v>
      </c>
    </row>
    <row r="99" spans="2:21" s="376" customFormat="1">
      <c r="B99" s="413"/>
      <c r="C99" s="413"/>
      <c r="D99" s="385" t="s">
        <v>232</v>
      </c>
      <c r="E99" s="421"/>
      <c r="F99" s="396"/>
      <c r="G99" s="381">
        <f>(10.05*0.1)/((32.56*0.9)+(10.05*0.1))</f>
        <v>3.315846778184698E-2</v>
      </c>
      <c r="H99" s="433"/>
      <c r="I99" s="386"/>
      <c r="J99" s="420"/>
      <c r="K99" s="382"/>
      <c r="L99" s="382"/>
      <c r="M99" s="373"/>
      <c r="N99" s="382"/>
      <c r="O99" s="382"/>
      <c r="P99" s="382"/>
      <c r="Q99" s="382"/>
      <c r="R99" s="382"/>
      <c r="S99" s="395"/>
      <c r="T99" s="469"/>
      <c r="U99" s="452"/>
    </row>
    <row r="100" spans="2:21" s="376" customFormat="1">
      <c r="B100" s="421"/>
      <c r="C100" s="421"/>
      <c r="D100" s="368" t="s">
        <v>339</v>
      </c>
      <c r="E100" s="421"/>
      <c r="F100" s="421"/>
      <c r="G100" s="381">
        <f>SUP_HT!G$28</f>
        <v>1.1933720930232559E-2</v>
      </c>
      <c r="H100" s="433"/>
      <c r="I100" s="386"/>
      <c r="J100" s="382"/>
      <c r="K100" s="382"/>
      <c r="L100" s="382"/>
      <c r="M100" s="382"/>
      <c r="N100" s="382"/>
      <c r="O100" s="382"/>
      <c r="P100" s="382"/>
      <c r="Q100" s="382"/>
      <c r="R100" s="382"/>
      <c r="S100" s="469"/>
      <c r="T100" s="469"/>
      <c r="U100" s="396"/>
    </row>
    <row r="101" spans="2:21" s="376" customFormat="1">
      <c r="B101" s="432"/>
      <c r="C101" s="432"/>
      <c r="D101" s="432"/>
      <c r="E101" s="432"/>
      <c r="F101" s="367" t="s">
        <v>644</v>
      </c>
      <c r="G101" s="423"/>
      <c r="H101" s="375">
        <v>1</v>
      </c>
      <c r="I101" s="407"/>
      <c r="J101" s="463"/>
      <c r="K101" s="463"/>
      <c r="L101" s="463"/>
      <c r="M101" s="463"/>
      <c r="N101" s="463"/>
      <c r="O101" s="463"/>
      <c r="P101" s="463"/>
      <c r="Q101" s="463"/>
      <c r="R101" s="463"/>
      <c r="S101" s="449"/>
      <c r="T101" s="449"/>
      <c r="U101" s="430"/>
    </row>
    <row r="102" spans="2:21" s="376" customFormat="1">
      <c r="B102" s="413" t="s">
        <v>685</v>
      </c>
      <c r="C102" s="413" t="s">
        <v>716</v>
      </c>
      <c r="D102" s="470" t="s">
        <v>621</v>
      </c>
      <c r="E102" s="421"/>
      <c r="F102" s="396"/>
      <c r="G102" s="381">
        <f>(10.05*0.8)/((32.56*0.8)+(10.05*0.2))</f>
        <v>0.2865492907548649</v>
      </c>
      <c r="H102" s="433"/>
      <c r="I102" s="386">
        <v>0.7</v>
      </c>
      <c r="J102" s="420"/>
      <c r="K102" s="382"/>
      <c r="L102" s="382"/>
      <c r="M102" s="373">
        <f>(2.35*4%)*F$1</f>
        <v>7.2271976560882745E-2</v>
      </c>
      <c r="N102" s="382"/>
      <c r="O102" s="382"/>
      <c r="P102" s="382"/>
      <c r="Q102" s="382"/>
      <c r="R102" s="382"/>
      <c r="S102" s="395">
        <v>50</v>
      </c>
      <c r="T102" s="469">
        <f>'INPUT-Data(HD)'!V97</f>
        <v>0</v>
      </c>
      <c r="U102" s="452">
        <v>1</v>
      </c>
    </row>
    <row r="103" spans="2:21" s="376" customFormat="1">
      <c r="B103" s="413"/>
      <c r="C103" s="413"/>
      <c r="D103" s="385" t="s">
        <v>232</v>
      </c>
      <c r="E103" s="421"/>
      <c r="F103" s="396"/>
      <c r="G103" s="381">
        <f>(10.05*0.2)/((32.56*0.8)+(10.05*0.2))</f>
        <v>7.1637322688716226E-2</v>
      </c>
      <c r="H103" s="433"/>
      <c r="I103" s="386"/>
      <c r="J103" s="420"/>
      <c r="K103" s="382"/>
      <c r="L103" s="382"/>
      <c r="M103" s="373"/>
      <c r="N103" s="382"/>
      <c r="O103" s="382"/>
      <c r="P103" s="382"/>
      <c r="Q103" s="382"/>
      <c r="R103" s="382"/>
      <c r="S103" s="395"/>
      <c r="T103" s="469"/>
      <c r="U103" s="452"/>
    </row>
    <row r="104" spans="2:21" s="376" customFormat="1">
      <c r="B104" s="421"/>
      <c r="C104" s="421"/>
      <c r="D104" s="368" t="s">
        <v>339</v>
      </c>
      <c r="E104" s="421"/>
      <c r="F104" s="421"/>
      <c r="G104" s="381">
        <f>SUP_HT!G$33</f>
        <v>1.4274418604651165E-2</v>
      </c>
      <c r="H104" s="433"/>
      <c r="I104" s="386"/>
      <c r="J104" s="382"/>
      <c r="K104" s="382"/>
      <c r="L104" s="382"/>
      <c r="M104" s="382"/>
      <c r="N104" s="382"/>
      <c r="O104" s="382"/>
      <c r="P104" s="382"/>
      <c r="Q104" s="382"/>
      <c r="R104" s="382"/>
      <c r="S104" s="469"/>
      <c r="T104" s="469"/>
      <c r="U104" s="396"/>
    </row>
    <row r="105" spans="2:21" s="376" customFormat="1">
      <c r="B105" s="432"/>
      <c r="C105" s="432"/>
      <c r="D105" s="432"/>
      <c r="E105" s="432"/>
      <c r="F105" s="367" t="s">
        <v>623</v>
      </c>
      <c r="G105" s="463"/>
      <c r="H105" s="375">
        <v>1</v>
      </c>
      <c r="I105" s="407"/>
      <c r="J105" s="463"/>
      <c r="K105" s="463"/>
      <c r="L105" s="463"/>
      <c r="M105" s="463"/>
      <c r="N105" s="463"/>
      <c r="O105" s="463"/>
      <c r="P105" s="463"/>
      <c r="Q105" s="463"/>
      <c r="R105" s="463"/>
      <c r="S105" s="449"/>
      <c r="T105" s="449"/>
      <c r="U105" s="430"/>
    </row>
    <row r="106" spans="2:21" s="486" customFormat="1">
      <c r="B106" s="293" t="s">
        <v>364</v>
      </c>
      <c r="C106" s="298" t="s">
        <v>717</v>
      </c>
      <c r="D106" s="298" t="s">
        <v>663</v>
      </c>
      <c r="E106" s="293"/>
      <c r="F106" s="483"/>
      <c r="G106" s="234">
        <f>'INPUT-Data(HD)'!J$10</f>
        <v>1</v>
      </c>
      <c r="H106" s="294"/>
      <c r="I106" s="295">
        <f>'INPUT-Data(HD)'!N100</f>
        <v>0</v>
      </c>
      <c r="J106" s="402">
        <f>(1.19+4.37)*F$1</f>
        <v>4.2748105284947675</v>
      </c>
      <c r="K106" s="233"/>
      <c r="L106" s="233"/>
      <c r="M106" s="457">
        <f>(1.19*4%)*F$1+(4.37*1.5%)*F$1</f>
        <v>8.6995469658126406E-2</v>
      </c>
      <c r="N106" s="233"/>
      <c r="O106" s="233"/>
      <c r="P106" s="233"/>
      <c r="Q106" s="233"/>
      <c r="R106" s="233"/>
      <c r="S106" s="439">
        <v>50</v>
      </c>
      <c r="T106" s="234">
        <f>'INPUT-Data(HD)'!V100</f>
        <v>0</v>
      </c>
      <c r="U106" s="339">
        <v>1</v>
      </c>
    </row>
    <row r="107" spans="2:21" s="486" customFormat="1">
      <c r="B107" s="293"/>
      <c r="C107" s="293"/>
      <c r="D107" s="293" t="s">
        <v>339</v>
      </c>
      <c r="E107" s="293"/>
      <c r="F107" s="293"/>
      <c r="G107" s="297">
        <f>'INPUT-Data(HD)'!K$9</f>
        <v>6.6000000000000003E-2</v>
      </c>
      <c r="H107" s="294"/>
      <c r="I107" s="295"/>
      <c r="J107" s="233"/>
      <c r="K107" s="233"/>
      <c r="L107" s="233"/>
      <c r="M107" s="233"/>
      <c r="N107" s="233"/>
      <c r="O107" s="233"/>
      <c r="P107" s="233"/>
      <c r="Q107" s="233"/>
      <c r="R107" s="233"/>
      <c r="S107" s="234"/>
      <c r="T107" s="234"/>
      <c r="U107" s="483"/>
    </row>
    <row r="108" spans="2:21" s="653" customFormat="1">
      <c r="B108" s="692"/>
      <c r="C108" s="692"/>
      <c r="D108" s="692"/>
      <c r="E108" s="692"/>
      <c r="F108" s="692"/>
      <c r="G108" s="696"/>
      <c r="H108" s="693"/>
      <c r="I108" s="694"/>
      <c r="J108" s="676"/>
      <c r="K108" s="676"/>
      <c r="L108" s="676"/>
      <c r="M108" s="676"/>
      <c r="N108" s="676"/>
      <c r="O108" s="676"/>
      <c r="P108" s="676"/>
      <c r="Q108" s="676"/>
      <c r="R108" s="676"/>
      <c r="S108" s="677"/>
      <c r="T108" s="677"/>
      <c r="U108" s="633"/>
    </row>
    <row r="109" spans="2:21" s="486" customFormat="1">
      <c r="B109" s="270"/>
      <c r="C109" s="270"/>
      <c r="D109" s="270"/>
      <c r="E109" s="270"/>
      <c r="F109" s="269" t="s">
        <v>367</v>
      </c>
      <c r="G109" s="235"/>
      <c r="H109" s="271">
        <v>1</v>
      </c>
      <c r="I109" s="272"/>
      <c r="J109" s="235"/>
      <c r="K109" s="235"/>
      <c r="L109" s="235"/>
      <c r="M109" s="235"/>
      <c r="N109" s="235"/>
      <c r="O109" s="235"/>
      <c r="P109" s="235"/>
      <c r="Q109" s="235"/>
      <c r="R109" s="235"/>
      <c r="S109" s="236"/>
      <c r="T109" s="236"/>
      <c r="U109" s="273"/>
    </row>
    <row r="110" spans="2:21" s="389" customFormat="1">
      <c r="B110" s="477" t="s">
        <v>670</v>
      </c>
      <c r="C110" s="477" t="s">
        <v>718</v>
      </c>
      <c r="D110" s="477" t="s">
        <v>233</v>
      </c>
      <c r="E110" s="444"/>
      <c r="F110" s="388"/>
      <c r="G110" s="471">
        <f>G106</f>
        <v>1</v>
      </c>
      <c r="H110" s="379"/>
      <c r="I110" s="446">
        <f>'INPUT-Data(HD)'!N106</f>
        <v>0</v>
      </c>
      <c r="J110" s="362">
        <f>J106</f>
        <v>4.2748105284947675</v>
      </c>
      <c r="K110" s="417"/>
      <c r="L110" s="417"/>
      <c r="M110" s="360">
        <f>M106</f>
        <v>8.6995469658126406E-2</v>
      </c>
      <c r="N110" s="417"/>
      <c r="O110" s="417"/>
      <c r="P110" s="417"/>
      <c r="Q110" s="417"/>
      <c r="R110" s="417"/>
      <c r="S110" s="378">
        <v>35</v>
      </c>
      <c r="T110" s="418">
        <f>'INPUT-Data(HD)'!V106</f>
        <v>0</v>
      </c>
      <c r="U110" s="466">
        <v>1</v>
      </c>
    </row>
    <row r="111" spans="2:21" s="389" customFormat="1">
      <c r="B111" s="444"/>
      <c r="C111" s="444"/>
      <c r="D111" s="444" t="s">
        <v>339</v>
      </c>
      <c r="E111" s="444"/>
      <c r="F111" s="444"/>
      <c r="G111" s="471">
        <f>G107</f>
        <v>6.6000000000000003E-2</v>
      </c>
      <c r="H111" s="379"/>
      <c r="I111" s="446"/>
      <c r="J111" s="417"/>
      <c r="K111" s="417"/>
      <c r="L111" s="417"/>
      <c r="M111" s="417"/>
      <c r="N111" s="417"/>
      <c r="O111" s="417"/>
      <c r="P111" s="417"/>
      <c r="Q111" s="417"/>
      <c r="R111" s="417"/>
      <c r="S111" s="418"/>
      <c r="T111" s="418"/>
      <c r="U111" s="388"/>
    </row>
    <row r="112" spans="2:21" s="389" customFormat="1">
      <c r="B112" s="444"/>
      <c r="C112" s="444"/>
      <c r="D112" s="444"/>
      <c r="E112" s="444"/>
      <c r="F112" s="444"/>
      <c r="G112" s="471"/>
      <c r="H112" s="379"/>
      <c r="I112" s="446"/>
      <c r="J112" s="417"/>
      <c r="K112" s="417"/>
      <c r="L112" s="417"/>
      <c r="M112" s="417"/>
      <c r="N112" s="417"/>
      <c r="O112" s="417"/>
      <c r="P112" s="417"/>
      <c r="Q112" s="417"/>
      <c r="R112" s="417"/>
      <c r="S112" s="418"/>
      <c r="T112" s="418"/>
      <c r="U112" s="388"/>
    </row>
    <row r="113" spans="2:21" s="389" customFormat="1">
      <c r="B113" s="370"/>
      <c r="C113" s="370"/>
      <c r="D113" s="370"/>
      <c r="E113" s="370"/>
      <c r="F113" s="462" t="s">
        <v>367</v>
      </c>
      <c r="G113" s="437"/>
      <c r="H113" s="400">
        <v>1</v>
      </c>
      <c r="I113" s="404"/>
      <c r="J113" s="437"/>
      <c r="K113" s="437"/>
      <c r="L113" s="437"/>
      <c r="M113" s="437"/>
      <c r="N113" s="437"/>
      <c r="O113" s="437"/>
      <c r="P113" s="437"/>
      <c r="Q113" s="437"/>
      <c r="R113" s="437"/>
      <c r="S113" s="422"/>
      <c r="T113" s="422"/>
      <c r="U113" s="361"/>
    </row>
    <row r="114" spans="2:21" s="486" customFormat="1">
      <c r="B114" s="298" t="s">
        <v>671</v>
      </c>
      <c r="C114" s="298" t="s">
        <v>719</v>
      </c>
      <c r="D114" s="298" t="s">
        <v>621</v>
      </c>
      <c r="E114" s="483"/>
      <c r="F114" s="483"/>
      <c r="G114" s="297">
        <f>(10.05*0.94)/((32.56*0.94)+(10.05*0.06))</f>
        <v>0.30269726428576005</v>
      </c>
      <c r="H114" s="294"/>
      <c r="I114" s="295">
        <v>0.7</v>
      </c>
      <c r="J114" s="402"/>
      <c r="K114" s="233"/>
      <c r="L114" s="233"/>
      <c r="M114" s="457">
        <f>(0.64*3%)*F$1+(2.35*2%)*F$1</f>
        <v>5.0897923918408909E-2</v>
      </c>
      <c r="N114" s="233"/>
      <c r="O114" s="233"/>
      <c r="P114" s="233"/>
      <c r="Q114" s="233"/>
      <c r="R114" s="233"/>
      <c r="S114" s="439">
        <v>35</v>
      </c>
      <c r="T114" s="234">
        <v>2015</v>
      </c>
      <c r="U114" s="339">
        <v>1</v>
      </c>
    </row>
    <row r="115" spans="2:21" s="486" customFormat="1">
      <c r="B115" s="298"/>
      <c r="C115" s="298"/>
      <c r="D115" s="298" t="s">
        <v>663</v>
      </c>
      <c r="E115" s="483"/>
      <c r="F115" s="483"/>
      <c r="G115" s="297">
        <f>(10.05*0.06)/((32.56*0.94)+(10.05*0.06))</f>
        <v>1.9321101975686809E-2</v>
      </c>
      <c r="H115" s="294"/>
      <c r="I115" s="295"/>
      <c r="J115" s="402"/>
      <c r="K115" s="233"/>
      <c r="L115" s="233"/>
      <c r="M115" s="457"/>
      <c r="N115" s="233"/>
      <c r="O115" s="233"/>
      <c r="P115" s="233"/>
      <c r="Q115" s="233"/>
      <c r="R115" s="233"/>
      <c r="S115" s="439"/>
      <c r="T115" s="234"/>
      <c r="U115" s="339"/>
    </row>
    <row r="116" spans="2:21" s="486" customFormat="1">
      <c r="B116" s="293"/>
      <c r="C116" s="293"/>
      <c r="D116" s="293" t="s">
        <v>339</v>
      </c>
      <c r="E116" s="483"/>
      <c r="F116" s="293"/>
      <c r="G116" s="233">
        <f>SUP_HT!G$23</f>
        <v>1.0997441860465116E-2</v>
      </c>
      <c r="H116" s="294"/>
      <c r="I116" s="295"/>
      <c r="J116" s="233"/>
      <c r="K116" s="233"/>
      <c r="L116" s="233"/>
      <c r="M116" s="233"/>
      <c r="N116" s="233"/>
      <c r="O116" s="233"/>
      <c r="P116" s="233"/>
      <c r="Q116" s="233"/>
      <c r="R116" s="233"/>
      <c r="S116" s="234"/>
      <c r="T116" s="234"/>
      <c r="U116" s="483"/>
    </row>
    <row r="117" spans="2:21" s="486" customFormat="1">
      <c r="B117" s="270"/>
      <c r="C117" s="270"/>
      <c r="D117" s="270"/>
      <c r="E117" s="270"/>
      <c r="F117" s="273" t="s">
        <v>640</v>
      </c>
      <c r="G117" s="235"/>
      <c r="H117" s="271">
        <v>1</v>
      </c>
      <c r="I117" s="272"/>
      <c r="J117" s="235"/>
      <c r="K117" s="235"/>
      <c r="L117" s="235"/>
      <c r="M117" s="235"/>
      <c r="N117" s="235"/>
      <c r="O117" s="235"/>
      <c r="P117" s="235"/>
      <c r="Q117" s="235"/>
      <c r="R117" s="235"/>
      <c r="S117" s="236"/>
      <c r="T117" s="236"/>
      <c r="U117" s="273"/>
    </row>
    <row r="118" spans="2:21" s="380" customFormat="1">
      <c r="B118" s="455" t="s">
        <v>672</v>
      </c>
      <c r="C118" s="455" t="s">
        <v>720</v>
      </c>
      <c r="D118" s="455" t="s">
        <v>621</v>
      </c>
      <c r="E118" s="409"/>
      <c r="F118" s="366"/>
      <c r="G118" s="401">
        <f>(10.05*0.94)/((32.56*0.94)+(10.05*0.06))</f>
        <v>0.30269726428576005</v>
      </c>
      <c r="H118" s="387"/>
      <c r="I118" s="392">
        <v>0.7</v>
      </c>
      <c r="J118" s="436"/>
      <c r="K118" s="473"/>
      <c r="L118" s="473"/>
      <c r="M118" s="474">
        <f>M114</f>
        <v>5.0897923918408909E-2</v>
      </c>
      <c r="N118" s="473"/>
      <c r="O118" s="473"/>
      <c r="P118" s="473"/>
      <c r="Q118" s="473"/>
      <c r="R118" s="473"/>
      <c r="S118" s="475">
        <v>35</v>
      </c>
      <c r="T118" s="371">
        <v>2015</v>
      </c>
      <c r="U118" s="431">
        <v>1</v>
      </c>
    </row>
    <row r="119" spans="2:21" s="380" customFormat="1">
      <c r="B119" s="455"/>
      <c r="C119" s="455"/>
      <c r="D119" s="455" t="s">
        <v>233</v>
      </c>
      <c r="E119" s="409"/>
      <c r="F119" s="366"/>
      <c r="G119" s="401">
        <f>(10.05*0.06)/((32.56*0.94)+(10.05*0.06))</f>
        <v>1.9321101975686809E-2</v>
      </c>
      <c r="H119" s="387"/>
      <c r="I119" s="392"/>
      <c r="J119" s="436"/>
      <c r="K119" s="473"/>
      <c r="L119" s="473"/>
      <c r="M119" s="474"/>
      <c r="N119" s="473"/>
      <c r="O119" s="473"/>
      <c r="P119" s="473"/>
      <c r="Q119" s="473"/>
      <c r="R119" s="473"/>
      <c r="S119" s="475"/>
      <c r="T119" s="371"/>
      <c r="U119" s="431"/>
    </row>
    <row r="120" spans="2:21" s="380" customFormat="1">
      <c r="B120" s="409"/>
      <c r="C120" s="409"/>
      <c r="D120" s="409" t="s">
        <v>339</v>
      </c>
      <c r="E120" s="409"/>
      <c r="F120" s="409"/>
      <c r="G120" s="473">
        <f t="shared" ref="G120" si="6">G116</f>
        <v>1.0997441860465116E-2</v>
      </c>
      <c r="H120" s="387"/>
      <c r="I120" s="392"/>
      <c r="J120" s="473"/>
      <c r="K120" s="473"/>
      <c r="L120" s="473"/>
      <c r="M120" s="473"/>
      <c r="N120" s="473"/>
      <c r="O120" s="473"/>
      <c r="P120" s="473"/>
      <c r="Q120" s="473"/>
      <c r="R120" s="473"/>
      <c r="S120" s="371"/>
      <c r="T120" s="371"/>
      <c r="U120" s="366"/>
    </row>
    <row r="121" spans="2:21" s="380" customFormat="1">
      <c r="B121" s="363"/>
      <c r="C121" s="363"/>
      <c r="D121" s="363"/>
      <c r="E121" s="363"/>
      <c r="F121" s="412" t="s">
        <v>640</v>
      </c>
      <c r="G121" s="403"/>
      <c r="H121" s="453">
        <v>1</v>
      </c>
      <c r="I121" s="434"/>
      <c r="J121" s="403"/>
      <c r="K121" s="403"/>
      <c r="L121" s="403"/>
      <c r="M121" s="403"/>
      <c r="N121" s="403"/>
      <c r="O121" s="403"/>
      <c r="P121" s="403"/>
      <c r="Q121" s="403"/>
      <c r="R121" s="403"/>
      <c r="S121" s="377"/>
      <c r="T121" s="377"/>
      <c r="U121" s="412"/>
    </row>
    <row r="122" spans="2:21" s="486" customFormat="1">
      <c r="B122" s="298" t="s">
        <v>686</v>
      </c>
      <c r="C122" s="298" t="s">
        <v>721</v>
      </c>
      <c r="D122" s="298" t="s">
        <v>621</v>
      </c>
      <c r="E122" s="293"/>
      <c r="F122" s="483"/>
      <c r="G122" s="297">
        <f>(10.05*0.9)/((32.56*0.9)+(10.05*0.1))</f>
        <v>0.29842621003662284</v>
      </c>
      <c r="H122" s="294"/>
      <c r="I122" s="295">
        <v>0.7</v>
      </c>
      <c r="J122" s="402"/>
      <c r="K122" s="233"/>
      <c r="L122" s="233"/>
      <c r="M122" s="457">
        <f>(0.64*4%)*F$1+(2.35*3%)*F$1</f>
        <v>7.3886563271285455E-2</v>
      </c>
      <c r="N122" s="233"/>
      <c r="O122" s="233"/>
      <c r="P122" s="233"/>
      <c r="Q122" s="233"/>
      <c r="R122" s="233"/>
      <c r="S122" s="439">
        <v>35</v>
      </c>
      <c r="T122" s="234">
        <v>2015</v>
      </c>
      <c r="U122" s="339">
        <v>1</v>
      </c>
    </row>
    <row r="123" spans="2:21" s="486" customFormat="1">
      <c r="B123" s="298"/>
      <c r="C123" s="298"/>
      <c r="D123" s="298" t="s">
        <v>663</v>
      </c>
      <c r="E123" s="293"/>
      <c r="F123" s="483"/>
      <c r="G123" s="297">
        <f>(10.05*0.1)/((32.56*0.9)+(10.05*0.1))</f>
        <v>3.315846778184698E-2</v>
      </c>
      <c r="H123" s="294"/>
      <c r="I123" s="295"/>
      <c r="J123" s="402"/>
      <c r="K123" s="233"/>
      <c r="L123" s="233"/>
      <c r="M123" s="457"/>
      <c r="N123" s="233"/>
      <c r="O123" s="233"/>
      <c r="P123" s="233"/>
      <c r="Q123" s="233"/>
      <c r="R123" s="233"/>
      <c r="S123" s="439"/>
      <c r="T123" s="234"/>
      <c r="U123" s="339"/>
    </row>
    <row r="124" spans="2:21" s="486" customFormat="1">
      <c r="B124" s="293"/>
      <c r="C124" s="293"/>
      <c r="D124" s="293" t="s">
        <v>339</v>
      </c>
      <c r="E124" s="293"/>
      <c r="F124" s="293"/>
      <c r="G124" s="233">
        <f>SUP_HT!G$28</f>
        <v>1.1933720930232559E-2</v>
      </c>
      <c r="H124" s="294"/>
      <c r="I124" s="295"/>
      <c r="J124" s="233"/>
      <c r="K124" s="233"/>
      <c r="L124" s="233"/>
      <c r="M124" s="233"/>
      <c r="N124" s="233"/>
      <c r="O124" s="233"/>
      <c r="P124" s="233"/>
      <c r="Q124" s="233"/>
      <c r="R124" s="233"/>
      <c r="S124" s="234"/>
      <c r="T124" s="234"/>
      <c r="U124" s="483"/>
    </row>
    <row r="125" spans="2:21" s="486" customFormat="1">
      <c r="B125" s="270"/>
      <c r="C125" s="270"/>
      <c r="D125" s="270"/>
      <c r="E125" s="270"/>
      <c r="F125" s="273" t="s">
        <v>645</v>
      </c>
      <c r="G125" s="235"/>
      <c r="H125" s="271">
        <v>1</v>
      </c>
      <c r="I125" s="272"/>
      <c r="J125" s="235"/>
      <c r="K125" s="235"/>
      <c r="L125" s="235"/>
      <c r="M125" s="235"/>
      <c r="N125" s="235"/>
      <c r="O125" s="235"/>
      <c r="P125" s="235"/>
      <c r="Q125" s="235"/>
      <c r="R125" s="235"/>
      <c r="S125" s="236"/>
      <c r="T125" s="236"/>
      <c r="U125" s="273"/>
    </row>
    <row r="126" spans="2:21" s="380" customFormat="1">
      <c r="B126" s="455" t="s">
        <v>687</v>
      </c>
      <c r="C126" s="455" t="s">
        <v>722</v>
      </c>
      <c r="D126" s="455" t="s">
        <v>621</v>
      </c>
      <c r="E126" s="409"/>
      <c r="F126" s="366"/>
      <c r="G126" s="401">
        <f>(10.05*0.9)/((32.56*0.9)+(10.05*0.1))</f>
        <v>0.29842621003662284</v>
      </c>
      <c r="H126" s="387"/>
      <c r="I126" s="392">
        <v>0.7</v>
      </c>
      <c r="J126" s="436"/>
      <c r="K126" s="473"/>
      <c r="L126" s="473"/>
      <c r="M126" s="474">
        <f>M122</f>
        <v>7.3886563271285455E-2</v>
      </c>
      <c r="N126" s="473"/>
      <c r="O126" s="473"/>
      <c r="P126" s="473"/>
      <c r="Q126" s="473"/>
      <c r="R126" s="473"/>
      <c r="S126" s="475">
        <v>35</v>
      </c>
      <c r="T126" s="371">
        <v>2015</v>
      </c>
      <c r="U126" s="431">
        <v>1</v>
      </c>
    </row>
    <row r="127" spans="2:21" s="380" customFormat="1">
      <c r="B127" s="455"/>
      <c r="C127" s="455"/>
      <c r="D127" s="455" t="s">
        <v>233</v>
      </c>
      <c r="E127" s="409"/>
      <c r="F127" s="366"/>
      <c r="G127" s="401">
        <f>(10.05*0.1)/((32.56*0.9)+(10.05*0.1))</f>
        <v>3.315846778184698E-2</v>
      </c>
      <c r="H127" s="387"/>
      <c r="I127" s="392"/>
      <c r="J127" s="436"/>
      <c r="K127" s="473"/>
      <c r="L127" s="473"/>
      <c r="M127" s="474"/>
      <c r="N127" s="473"/>
      <c r="O127" s="473"/>
      <c r="P127" s="473"/>
      <c r="Q127" s="473"/>
      <c r="R127" s="473"/>
      <c r="S127" s="475"/>
      <c r="T127" s="371"/>
      <c r="U127" s="431"/>
    </row>
    <row r="128" spans="2:21" s="380" customFormat="1">
      <c r="B128" s="409"/>
      <c r="C128" s="409"/>
      <c r="D128" s="409" t="s">
        <v>339</v>
      </c>
      <c r="E128" s="409"/>
      <c r="F128" s="409"/>
      <c r="G128" s="473">
        <f t="shared" ref="G128" si="7">G124</f>
        <v>1.1933720930232559E-2</v>
      </c>
      <c r="H128" s="387"/>
      <c r="I128" s="392"/>
      <c r="J128" s="473"/>
      <c r="K128" s="473"/>
      <c r="L128" s="473"/>
      <c r="M128" s="473"/>
      <c r="N128" s="473"/>
      <c r="O128" s="473"/>
      <c r="P128" s="473"/>
      <c r="Q128" s="473"/>
      <c r="R128" s="473"/>
      <c r="S128" s="371"/>
      <c r="T128" s="371"/>
      <c r="U128" s="366"/>
    </row>
    <row r="129" spans="2:21" s="380" customFormat="1">
      <c r="B129" s="363"/>
      <c r="C129" s="363"/>
      <c r="D129" s="363"/>
      <c r="E129" s="363"/>
      <c r="F129" s="412" t="s">
        <v>645</v>
      </c>
      <c r="G129" s="403"/>
      <c r="H129" s="453">
        <v>1</v>
      </c>
      <c r="I129" s="434"/>
      <c r="J129" s="403"/>
      <c r="K129" s="403"/>
      <c r="L129" s="403"/>
      <c r="M129" s="403"/>
      <c r="N129" s="403"/>
      <c r="O129" s="403"/>
      <c r="P129" s="403"/>
      <c r="Q129" s="403"/>
      <c r="R129" s="403"/>
      <c r="S129" s="377"/>
      <c r="T129" s="377"/>
      <c r="U129" s="412"/>
    </row>
    <row r="130" spans="2:21" s="486" customFormat="1">
      <c r="B130" s="298" t="s">
        <v>688</v>
      </c>
      <c r="C130" s="298" t="s">
        <v>723</v>
      </c>
      <c r="D130" s="298" t="s">
        <v>621</v>
      </c>
      <c r="E130" s="293"/>
      <c r="F130" s="483"/>
      <c r="G130" s="297">
        <f>(10.05*0.8)/((32.56*0.8)+(10.05*0.2))</f>
        <v>0.2865492907548649</v>
      </c>
      <c r="H130" s="294"/>
      <c r="I130" s="295">
        <v>0.7</v>
      </c>
      <c r="J130" s="402"/>
      <c r="K130" s="233"/>
      <c r="L130" s="233"/>
      <c r="M130" s="457">
        <f>(0.64*5%)*F$1+(2.35*4%)*F$1</f>
        <v>9.687520262416198E-2</v>
      </c>
      <c r="N130" s="233"/>
      <c r="O130" s="233"/>
      <c r="P130" s="233"/>
      <c r="Q130" s="233"/>
      <c r="R130" s="233"/>
      <c r="S130" s="439">
        <v>35</v>
      </c>
      <c r="T130" s="234">
        <v>2015</v>
      </c>
      <c r="U130" s="339">
        <v>1</v>
      </c>
    </row>
    <row r="131" spans="2:21" s="486" customFormat="1">
      <c r="B131" s="298"/>
      <c r="C131" s="298"/>
      <c r="D131" s="298" t="s">
        <v>663</v>
      </c>
      <c r="E131" s="293"/>
      <c r="F131" s="483"/>
      <c r="G131" s="297">
        <f>(10.05*0.2)/((32.56*0.8)+(10.05*0.2))</f>
        <v>7.1637322688716226E-2</v>
      </c>
      <c r="H131" s="294"/>
      <c r="I131" s="295"/>
      <c r="J131" s="402"/>
      <c r="K131" s="233"/>
      <c r="L131" s="233"/>
      <c r="M131" s="457"/>
      <c r="N131" s="233"/>
      <c r="O131" s="233"/>
      <c r="P131" s="233"/>
      <c r="Q131" s="233"/>
      <c r="R131" s="233"/>
      <c r="S131" s="439"/>
      <c r="T131" s="234"/>
      <c r="U131" s="339"/>
    </row>
    <row r="132" spans="2:21" s="486" customFormat="1">
      <c r="B132" s="293"/>
      <c r="C132" s="293"/>
      <c r="D132" s="293" t="s">
        <v>339</v>
      </c>
      <c r="E132" s="293"/>
      <c r="F132" s="293"/>
      <c r="G132" s="233">
        <f>SUP_HT!G$33</f>
        <v>1.4274418604651165E-2</v>
      </c>
      <c r="H132" s="294"/>
      <c r="I132" s="295"/>
      <c r="J132" s="233"/>
      <c r="K132" s="233"/>
      <c r="L132" s="233"/>
      <c r="M132" s="233"/>
      <c r="N132" s="233"/>
      <c r="O132" s="233"/>
      <c r="P132" s="233"/>
      <c r="Q132" s="233"/>
      <c r="R132" s="233"/>
      <c r="S132" s="234"/>
      <c r="T132" s="234"/>
      <c r="U132" s="483"/>
    </row>
    <row r="133" spans="2:21" s="486" customFormat="1">
      <c r="B133" s="270"/>
      <c r="C133" s="270"/>
      <c r="D133" s="270"/>
      <c r="E133" s="270"/>
      <c r="F133" s="273" t="s">
        <v>625</v>
      </c>
      <c r="G133" s="235"/>
      <c r="H133" s="271">
        <v>1</v>
      </c>
      <c r="I133" s="272"/>
      <c r="J133" s="235"/>
      <c r="K133" s="235"/>
      <c r="L133" s="235"/>
      <c r="M133" s="235"/>
      <c r="N133" s="235"/>
      <c r="O133" s="235"/>
      <c r="P133" s="235"/>
      <c r="Q133" s="235"/>
      <c r="R133" s="235"/>
      <c r="S133" s="236"/>
      <c r="T133" s="236"/>
      <c r="U133" s="273"/>
    </row>
    <row r="134" spans="2:21" s="380" customFormat="1">
      <c r="B134" s="455" t="s">
        <v>689</v>
      </c>
      <c r="C134" s="455" t="s">
        <v>724</v>
      </c>
      <c r="D134" s="455" t="s">
        <v>621</v>
      </c>
      <c r="E134" s="409"/>
      <c r="F134" s="366"/>
      <c r="G134" s="401">
        <f>(10.05*0.8)/((32.56*0.8)+(10.05*0.2))</f>
        <v>0.2865492907548649</v>
      </c>
      <c r="H134" s="387"/>
      <c r="I134" s="392">
        <v>0.7</v>
      </c>
      <c r="J134" s="436"/>
      <c r="K134" s="473"/>
      <c r="L134" s="473"/>
      <c r="M134" s="474">
        <f>M130</f>
        <v>9.687520262416198E-2</v>
      </c>
      <c r="N134" s="473"/>
      <c r="O134" s="473"/>
      <c r="P134" s="473"/>
      <c r="Q134" s="473"/>
      <c r="R134" s="473"/>
      <c r="S134" s="475">
        <v>35</v>
      </c>
      <c r="T134" s="371">
        <v>2015</v>
      </c>
      <c r="U134" s="431">
        <v>1</v>
      </c>
    </row>
    <row r="135" spans="2:21" s="380" customFormat="1">
      <c r="B135" s="455"/>
      <c r="C135" s="455"/>
      <c r="D135" s="455" t="s">
        <v>233</v>
      </c>
      <c r="E135" s="409"/>
      <c r="F135" s="366"/>
      <c r="G135" s="401">
        <f>(10.05*0.2)/((32.56*0.8)+(10.05*0.2))</f>
        <v>7.1637322688716226E-2</v>
      </c>
      <c r="H135" s="387"/>
      <c r="I135" s="392"/>
      <c r="J135" s="436"/>
      <c r="K135" s="473"/>
      <c r="L135" s="473"/>
      <c r="M135" s="474"/>
      <c r="N135" s="473"/>
      <c r="O135" s="473"/>
      <c r="P135" s="473"/>
      <c r="Q135" s="473"/>
      <c r="R135" s="473"/>
      <c r="S135" s="475"/>
      <c r="T135" s="371"/>
      <c r="U135" s="431"/>
    </row>
    <row r="136" spans="2:21" s="380" customFormat="1">
      <c r="B136" s="409"/>
      <c r="C136" s="409"/>
      <c r="D136" s="409" t="s">
        <v>339</v>
      </c>
      <c r="E136" s="409"/>
      <c r="F136" s="409"/>
      <c r="G136" s="473">
        <f t="shared" ref="G136" si="8">G132</f>
        <v>1.4274418604651165E-2</v>
      </c>
      <c r="H136" s="387"/>
      <c r="I136" s="392"/>
      <c r="J136" s="473"/>
      <c r="K136" s="473"/>
      <c r="L136" s="473"/>
      <c r="M136" s="473"/>
      <c r="N136" s="473"/>
      <c r="O136" s="473"/>
      <c r="P136" s="473"/>
      <c r="Q136" s="473"/>
      <c r="R136" s="473"/>
      <c r="S136" s="371"/>
      <c r="T136" s="371"/>
      <c r="U136" s="366"/>
    </row>
    <row r="137" spans="2:21" s="380" customFormat="1">
      <c r="B137" s="363"/>
      <c r="C137" s="363"/>
      <c r="D137" s="363"/>
      <c r="E137" s="363"/>
      <c r="F137" s="412" t="s">
        <v>625</v>
      </c>
      <c r="G137" s="403"/>
      <c r="H137" s="453">
        <v>1</v>
      </c>
      <c r="I137" s="434"/>
      <c r="J137" s="403"/>
      <c r="K137" s="403"/>
      <c r="L137" s="403"/>
      <c r="M137" s="403"/>
      <c r="N137" s="403"/>
      <c r="O137" s="403"/>
      <c r="P137" s="403"/>
      <c r="Q137" s="403"/>
      <c r="R137" s="403"/>
      <c r="S137" s="377"/>
      <c r="T137" s="377"/>
      <c r="U137" s="412"/>
    </row>
    <row r="138" spans="2:21" s="408" customFormat="1">
      <c r="B138" s="470" t="s">
        <v>690</v>
      </c>
      <c r="C138" s="470" t="s">
        <v>725</v>
      </c>
      <c r="D138" s="470" t="s">
        <v>232</v>
      </c>
      <c r="E138" s="368"/>
      <c r="F138" s="411"/>
      <c r="G138" s="450">
        <f>'INPUT-Data(HD)'!J$10</f>
        <v>1</v>
      </c>
      <c r="H138" s="372"/>
      <c r="I138" s="445">
        <v>0.7</v>
      </c>
      <c r="J138" s="424">
        <f>(4.37)*F$1</f>
        <v>3.3598780592665705</v>
      </c>
      <c r="K138" s="427"/>
      <c r="L138" s="427"/>
      <c r="M138" s="467">
        <f>(4.37*1.5%)*F$1</f>
        <v>5.0398170888998554E-2</v>
      </c>
      <c r="N138" s="427"/>
      <c r="O138" s="427"/>
      <c r="P138" s="427"/>
      <c r="Q138" s="427"/>
      <c r="R138" s="427"/>
      <c r="S138" s="447">
        <v>50</v>
      </c>
      <c r="T138" s="391">
        <f>'INPUT-Data(HD)'!V130</f>
        <v>0</v>
      </c>
      <c r="U138" s="416">
        <v>1</v>
      </c>
    </row>
    <row r="139" spans="2:21" s="408" customFormat="1">
      <c r="B139" s="368"/>
      <c r="C139" s="368"/>
      <c r="D139" s="368" t="s">
        <v>339</v>
      </c>
      <c r="E139" s="368"/>
      <c r="F139" s="368"/>
      <c r="G139" s="450">
        <f>'INPUT-Data(HD)'!K$9</f>
        <v>6.6000000000000003E-2</v>
      </c>
      <c r="H139" s="372"/>
      <c r="I139" s="445"/>
      <c r="J139" s="427"/>
      <c r="K139" s="427"/>
      <c r="L139" s="427"/>
      <c r="M139" s="427"/>
      <c r="N139" s="427"/>
      <c r="O139" s="427"/>
      <c r="P139" s="427"/>
      <c r="Q139" s="427"/>
      <c r="R139" s="427"/>
      <c r="S139" s="391"/>
      <c r="T139" s="391"/>
      <c r="U139" s="411"/>
    </row>
    <row r="140" spans="2:21" s="408" customFormat="1">
      <c r="B140" s="368"/>
      <c r="C140" s="368"/>
      <c r="D140" s="368"/>
      <c r="E140" s="368"/>
      <c r="F140" s="368"/>
      <c r="G140" s="450"/>
      <c r="H140" s="372"/>
      <c r="I140" s="445"/>
      <c r="J140" s="427"/>
      <c r="K140" s="427"/>
      <c r="L140" s="427"/>
      <c r="M140" s="427"/>
      <c r="N140" s="427"/>
      <c r="O140" s="427"/>
      <c r="P140" s="427"/>
      <c r="Q140" s="427"/>
      <c r="R140" s="427"/>
      <c r="S140" s="391"/>
      <c r="T140" s="391"/>
      <c r="U140" s="411"/>
    </row>
    <row r="141" spans="2:21" s="408" customFormat="1">
      <c r="B141" s="438"/>
      <c r="C141" s="438"/>
      <c r="D141" s="438"/>
      <c r="E141" s="438"/>
      <c r="F141" s="369" t="s">
        <v>367</v>
      </c>
      <c r="G141" s="414"/>
      <c r="H141" s="454">
        <v>1</v>
      </c>
      <c r="I141" s="460"/>
      <c r="J141" s="374"/>
      <c r="K141" s="374"/>
      <c r="L141" s="374"/>
      <c r="M141" s="374"/>
      <c r="N141" s="374"/>
      <c r="O141" s="374"/>
      <c r="P141" s="374"/>
      <c r="Q141" s="374"/>
      <c r="R141" s="374"/>
      <c r="S141" s="364"/>
      <c r="T141" s="364"/>
      <c r="U141" s="429"/>
    </row>
    <row r="142" spans="2:21" s="408" customFormat="1">
      <c r="B142" s="470" t="s">
        <v>567</v>
      </c>
      <c r="C142" s="470" t="s">
        <v>726</v>
      </c>
      <c r="D142" s="470" t="s">
        <v>621</v>
      </c>
      <c r="E142" s="368"/>
      <c r="F142" s="411"/>
      <c r="G142" s="450">
        <f>(10.05*0.94)/((32.56*0.94)+(10.05*0.06))</f>
        <v>0.30269726428576005</v>
      </c>
      <c r="H142" s="372"/>
      <c r="I142" s="445">
        <v>0.7</v>
      </c>
      <c r="J142" s="424"/>
      <c r="K142" s="427"/>
      <c r="L142" s="427"/>
      <c r="M142" s="467">
        <f>(2.35*2%)*F$1</f>
        <v>3.6135988280441372E-2</v>
      </c>
      <c r="N142" s="427"/>
      <c r="O142" s="427"/>
      <c r="P142" s="427"/>
      <c r="Q142" s="427"/>
      <c r="R142" s="427"/>
      <c r="S142" s="447">
        <v>50</v>
      </c>
      <c r="T142" s="391">
        <f>'INPUT-Data(HD)'!V136</f>
        <v>0</v>
      </c>
      <c r="U142" s="416">
        <v>1</v>
      </c>
    </row>
    <row r="143" spans="2:21" s="408" customFormat="1">
      <c r="B143" s="470"/>
      <c r="C143" s="470"/>
      <c r="D143" s="385" t="s">
        <v>232</v>
      </c>
      <c r="E143" s="368"/>
      <c r="F143" s="411"/>
      <c r="G143" s="450">
        <f>(10.05*0.06)/((32.56*0.94)+(10.05*0.06))</f>
        <v>1.9321101975686809E-2</v>
      </c>
      <c r="H143" s="372"/>
      <c r="I143" s="445"/>
      <c r="J143" s="424"/>
      <c r="K143" s="427"/>
      <c r="L143" s="427"/>
      <c r="M143" s="467"/>
      <c r="N143" s="427"/>
      <c r="O143" s="427"/>
      <c r="P143" s="427"/>
      <c r="Q143" s="427"/>
      <c r="R143" s="427"/>
      <c r="S143" s="447"/>
      <c r="T143" s="391"/>
      <c r="U143" s="416"/>
    </row>
    <row r="144" spans="2:21" s="408" customFormat="1">
      <c r="B144" s="368"/>
      <c r="C144" s="368"/>
      <c r="D144" s="368" t="s">
        <v>339</v>
      </c>
      <c r="E144" s="368"/>
      <c r="F144" s="368"/>
      <c r="G144" s="450">
        <f>SUP_HT!G$23</f>
        <v>1.0997441860465116E-2</v>
      </c>
      <c r="H144" s="372"/>
      <c r="I144" s="445"/>
      <c r="J144" s="427"/>
      <c r="K144" s="427"/>
      <c r="L144" s="427"/>
      <c r="M144" s="427"/>
      <c r="N144" s="427"/>
      <c r="O144" s="427"/>
      <c r="P144" s="427"/>
      <c r="Q144" s="427"/>
      <c r="R144" s="427"/>
      <c r="S144" s="391"/>
      <c r="T144" s="391"/>
      <c r="U144" s="411"/>
    </row>
    <row r="145" spans="1:21" s="408" customFormat="1">
      <c r="B145" s="438"/>
      <c r="C145" s="438"/>
      <c r="D145" s="438"/>
      <c r="E145" s="438"/>
      <c r="F145" s="369" t="s">
        <v>640</v>
      </c>
      <c r="G145" s="414"/>
      <c r="H145" s="454">
        <v>1</v>
      </c>
      <c r="I145" s="460"/>
      <c r="J145" s="374"/>
      <c r="K145" s="374"/>
      <c r="L145" s="374"/>
      <c r="M145" s="374"/>
      <c r="N145" s="374"/>
      <c r="O145" s="374"/>
      <c r="P145" s="374"/>
      <c r="Q145" s="374"/>
      <c r="R145" s="374"/>
      <c r="S145" s="364"/>
      <c r="T145" s="364"/>
      <c r="U145" s="429"/>
    </row>
    <row r="146" spans="1:21" s="408" customFormat="1">
      <c r="B146" s="470" t="s">
        <v>691</v>
      </c>
      <c r="C146" s="470" t="s">
        <v>727</v>
      </c>
      <c r="D146" s="470" t="s">
        <v>621</v>
      </c>
      <c r="E146" s="368"/>
      <c r="F146" s="411"/>
      <c r="G146" s="450">
        <f>(10.05*0.9)/((32.56*0.9)+(10.05*0.1))</f>
        <v>0.29842621003662284</v>
      </c>
      <c r="H146" s="372"/>
      <c r="I146" s="445">
        <v>0.7</v>
      </c>
      <c r="J146" s="424"/>
      <c r="K146" s="427"/>
      <c r="L146" s="427"/>
      <c r="M146" s="467">
        <f>(2.35*3%)*F$1</f>
        <v>5.4203982420662059E-2</v>
      </c>
      <c r="N146" s="427"/>
      <c r="O146" s="427"/>
      <c r="P146" s="427"/>
      <c r="Q146" s="427"/>
      <c r="R146" s="427"/>
      <c r="S146" s="447">
        <v>50</v>
      </c>
      <c r="T146" s="391">
        <f>'INPUT-Data(HD)'!V139</f>
        <v>0</v>
      </c>
      <c r="U146" s="416">
        <v>1</v>
      </c>
    </row>
    <row r="147" spans="1:21" s="408" customFormat="1">
      <c r="B147" s="470"/>
      <c r="C147" s="470"/>
      <c r="D147" s="385" t="s">
        <v>232</v>
      </c>
      <c r="E147" s="368"/>
      <c r="F147" s="411"/>
      <c r="G147" s="450">
        <f>(10.05*0.1)/((32.56*0.9)+(10.05*0.1))</f>
        <v>3.315846778184698E-2</v>
      </c>
      <c r="H147" s="372"/>
      <c r="I147" s="445"/>
      <c r="J147" s="424"/>
      <c r="K147" s="427"/>
      <c r="L147" s="427"/>
      <c r="M147" s="467"/>
      <c r="N147" s="427"/>
      <c r="O147" s="427"/>
      <c r="P147" s="427"/>
      <c r="Q147" s="427"/>
      <c r="R147" s="427"/>
      <c r="S147" s="447"/>
      <c r="T147" s="391"/>
      <c r="U147" s="416"/>
    </row>
    <row r="148" spans="1:21" s="408" customFormat="1">
      <c r="B148" s="368"/>
      <c r="C148" s="368"/>
      <c r="D148" s="368" t="s">
        <v>339</v>
      </c>
      <c r="E148" s="368"/>
      <c r="F148" s="368"/>
      <c r="G148" s="450">
        <f>SUP_HT!G$28</f>
        <v>1.1933720930232559E-2</v>
      </c>
      <c r="H148" s="372"/>
      <c r="I148" s="445"/>
      <c r="J148" s="427"/>
      <c r="K148" s="427"/>
      <c r="L148" s="427"/>
      <c r="M148" s="427"/>
      <c r="N148" s="427"/>
      <c r="O148" s="427"/>
      <c r="P148" s="427"/>
      <c r="Q148" s="427"/>
      <c r="R148" s="427"/>
      <c r="S148" s="391"/>
      <c r="T148" s="391"/>
      <c r="U148" s="411"/>
    </row>
    <row r="149" spans="1:21" s="408" customFormat="1">
      <c r="B149" s="438"/>
      <c r="C149" s="438"/>
      <c r="D149" s="438"/>
      <c r="E149" s="438"/>
      <c r="F149" s="369" t="s">
        <v>645</v>
      </c>
      <c r="G149" s="414"/>
      <c r="H149" s="454">
        <v>1</v>
      </c>
      <c r="I149" s="460"/>
      <c r="J149" s="374"/>
      <c r="K149" s="374"/>
      <c r="L149" s="374"/>
      <c r="M149" s="374"/>
      <c r="N149" s="374"/>
      <c r="O149" s="374"/>
      <c r="P149" s="374"/>
      <c r="Q149" s="374"/>
      <c r="R149" s="374"/>
      <c r="S149" s="364"/>
      <c r="T149" s="364"/>
      <c r="U149" s="429"/>
    </row>
    <row r="150" spans="1:21" s="408" customFormat="1">
      <c r="B150" s="470" t="s">
        <v>692</v>
      </c>
      <c r="C150" s="470" t="s">
        <v>728</v>
      </c>
      <c r="D150" s="470" t="s">
        <v>621</v>
      </c>
      <c r="E150" s="368"/>
      <c r="F150" s="411"/>
      <c r="G150" s="450">
        <f>(10.05*0.8)/((32.56*0.8)+(10.05*0.2))</f>
        <v>0.2865492907548649</v>
      </c>
      <c r="H150" s="372"/>
      <c r="I150" s="445">
        <v>0.7</v>
      </c>
      <c r="J150" s="424"/>
      <c r="K150" s="427"/>
      <c r="L150" s="427"/>
      <c r="M150" s="467">
        <f>(2.35*4%)*F$1</f>
        <v>7.2271976560882745E-2</v>
      </c>
      <c r="N150" s="427"/>
      <c r="O150" s="427"/>
      <c r="P150" s="427"/>
      <c r="Q150" s="427"/>
      <c r="R150" s="427"/>
      <c r="S150" s="447">
        <v>50</v>
      </c>
      <c r="T150" s="391">
        <f>'INPUT-Data(HD)'!V142</f>
        <v>0</v>
      </c>
      <c r="U150" s="416">
        <v>1</v>
      </c>
    </row>
    <row r="151" spans="1:21" s="408" customFormat="1">
      <c r="B151" s="470"/>
      <c r="C151" s="470"/>
      <c r="D151" s="385" t="s">
        <v>232</v>
      </c>
      <c r="E151" s="368"/>
      <c r="F151" s="411"/>
      <c r="G151" s="450">
        <f>(10.05*0.2)/((32.56*0.8)+(10.05*0.2))</f>
        <v>7.1637322688716226E-2</v>
      </c>
      <c r="H151" s="372"/>
      <c r="I151" s="445"/>
      <c r="J151" s="424"/>
      <c r="K151" s="427"/>
      <c r="L151" s="427"/>
      <c r="M151" s="467"/>
      <c r="N151" s="427"/>
      <c r="O151" s="427"/>
      <c r="P151" s="427"/>
      <c r="Q151" s="427"/>
      <c r="R151" s="427"/>
      <c r="S151" s="447"/>
      <c r="T151" s="391"/>
      <c r="U151" s="416"/>
    </row>
    <row r="152" spans="1:21" s="408" customFormat="1">
      <c r="B152" s="368"/>
      <c r="C152" s="368"/>
      <c r="D152" s="368" t="s">
        <v>339</v>
      </c>
      <c r="E152" s="368"/>
      <c r="F152" s="368"/>
      <c r="G152" s="450">
        <f>SUP_HT!G$33</f>
        <v>1.4274418604651165E-2</v>
      </c>
      <c r="H152" s="372"/>
      <c r="I152" s="445"/>
      <c r="J152" s="427"/>
      <c r="K152" s="427"/>
      <c r="L152" s="427"/>
      <c r="M152" s="427"/>
      <c r="N152" s="427"/>
      <c r="O152" s="427"/>
      <c r="P152" s="427"/>
      <c r="Q152" s="427"/>
      <c r="R152" s="427"/>
      <c r="S152" s="391"/>
      <c r="T152" s="391"/>
      <c r="U152" s="411"/>
    </row>
    <row r="153" spans="1:21" s="408" customFormat="1">
      <c r="B153" s="438"/>
      <c r="C153" s="438"/>
      <c r="D153" s="438"/>
      <c r="E153" s="438"/>
      <c r="F153" s="369" t="s">
        <v>625</v>
      </c>
      <c r="G153" s="374"/>
      <c r="H153" s="454">
        <v>1</v>
      </c>
      <c r="I153" s="460"/>
      <c r="J153" s="374"/>
      <c r="K153" s="374"/>
      <c r="L153" s="374"/>
      <c r="M153" s="374"/>
      <c r="N153" s="374"/>
      <c r="O153" s="374"/>
      <c r="P153" s="374"/>
      <c r="Q153" s="374"/>
      <c r="R153" s="374"/>
      <c r="S153" s="364"/>
      <c r="T153" s="364"/>
      <c r="U153" s="429"/>
    </row>
    <row r="154" spans="1:21" s="486" customFormat="1">
      <c r="B154" s="293"/>
      <c r="C154" s="293"/>
      <c r="D154" s="293"/>
      <c r="E154" s="293"/>
      <c r="F154" s="483"/>
      <c r="G154" s="233"/>
      <c r="H154" s="294"/>
      <c r="I154" s="295"/>
      <c r="J154" s="233"/>
      <c r="K154" s="233"/>
      <c r="L154" s="233"/>
      <c r="M154" s="233"/>
      <c r="N154" s="233"/>
      <c r="O154" s="233"/>
      <c r="P154" s="233"/>
      <c r="Q154" s="233"/>
      <c r="R154" s="233"/>
      <c r="S154" s="234"/>
      <c r="T154" s="234"/>
      <c r="U154" s="483"/>
    </row>
    <row r="155" spans="1:21">
      <c r="B155" s="42"/>
      <c r="C155" s="42"/>
      <c r="F155" s="26"/>
    </row>
    <row r="157" spans="1:21">
      <c r="A157" s="29" t="s">
        <v>8</v>
      </c>
      <c r="B157" s="29"/>
      <c r="C157" s="30"/>
      <c r="D157" s="30"/>
      <c r="E157" s="30"/>
      <c r="F157" s="30"/>
      <c r="G157" s="30"/>
      <c r="H157" s="30"/>
      <c r="I157" s="113" t="s">
        <v>476</v>
      </c>
    </row>
    <row r="158" spans="1:21">
      <c r="A158" s="31" t="s">
        <v>7</v>
      </c>
      <c r="B158" s="31" t="s">
        <v>0</v>
      </c>
      <c r="C158" s="31" t="s">
        <v>1</v>
      </c>
      <c r="D158" s="31" t="s">
        <v>9</v>
      </c>
      <c r="E158" s="31" t="s">
        <v>10</v>
      </c>
      <c r="F158" s="31" t="s">
        <v>11</v>
      </c>
      <c r="G158" s="31" t="s">
        <v>12</v>
      </c>
      <c r="I158" s="478" t="s">
        <v>456</v>
      </c>
      <c r="J158" s="478" t="s">
        <v>457</v>
      </c>
      <c r="K158" s="478">
        <v>802.34</v>
      </c>
      <c r="L158" s="478" t="s">
        <v>458</v>
      </c>
    </row>
    <row r="159" spans="1:21" ht="52">
      <c r="A159" s="38" t="s">
        <v>39</v>
      </c>
      <c r="B159" s="38" t="s">
        <v>14</v>
      </c>
      <c r="C159" s="38" t="s">
        <v>15</v>
      </c>
      <c r="D159" s="38" t="s">
        <v>16</v>
      </c>
      <c r="E159" s="38" t="s">
        <v>17</v>
      </c>
      <c r="F159" s="38" t="s">
        <v>27</v>
      </c>
      <c r="G159" s="38" t="s">
        <v>26</v>
      </c>
      <c r="J159" s="478" t="s">
        <v>459</v>
      </c>
      <c r="K159" s="478">
        <v>244</v>
      </c>
      <c r="L159" s="478" t="s">
        <v>458</v>
      </c>
    </row>
    <row r="160" spans="1:21" s="622" customFormat="1">
      <c r="A160" s="641" t="s">
        <v>37</v>
      </c>
      <c r="B160" s="692" t="s">
        <v>162</v>
      </c>
      <c r="C160" s="697" t="s">
        <v>770</v>
      </c>
      <c r="D160" s="637" t="s">
        <v>23</v>
      </c>
      <c r="E160" s="638" t="s">
        <v>133</v>
      </c>
      <c r="F160" s="637" t="s">
        <v>230</v>
      </c>
      <c r="G160" s="642"/>
      <c r="H160" s="642"/>
      <c r="I160" s="622" t="s">
        <v>460</v>
      </c>
      <c r="J160" s="622" t="s">
        <v>457</v>
      </c>
      <c r="K160" s="622">
        <f>K156/K168</f>
        <v>0</v>
      </c>
      <c r="L160" s="622" t="s">
        <v>286</v>
      </c>
    </row>
    <row r="161" spans="1:13" s="622" customFormat="1">
      <c r="A161" s="641" t="s">
        <v>37</v>
      </c>
      <c r="B161" s="692" t="s">
        <v>167</v>
      </c>
      <c r="C161" s="477" t="s">
        <v>771</v>
      </c>
      <c r="D161" s="637" t="s">
        <v>23</v>
      </c>
      <c r="E161" s="638" t="s">
        <v>133</v>
      </c>
      <c r="F161" s="637" t="s">
        <v>230</v>
      </c>
      <c r="G161" s="642"/>
      <c r="H161" s="642"/>
      <c r="J161" s="622" t="s">
        <v>459</v>
      </c>
      <c r="K161" s="622">
        <f>K157/K169</f>
        <v>0</v>
      </c>
      <c r="L161" s="622" t="s">
        <v>286</v>
      </c>
    </row>
    <row r="162" spans="1:13">
      <c r="A162" s="41" t="s">
        <v>37</v>
      </c>
      <c r="B162" s="293" t="s">
        <v>585</v>
      </c>
      <c r="C162" s="298" t="s">
        <v>693</v>
      </c>
      <c r="D162" s="33" t="s">
        <v>23</v>
      </c>
      <c r="E162" s="34" t="s">
        <v>133</v>
      </c>
      <c r="F162" s="33" t="s">
        <v>230</v>
      </c>
      <c r="G162" s="42"/>
      <c r="H162" s="42"/>
      <c r="I162" s="478" t="s">
        <v>460</v>
      </c>
      <c r="J162" s="478" t="s">
        <v>457</v>
      </c>
      <c r="K162" s="478">
        <f>K158/K170</f>
        <v>1226.779988091537</v>
      </c>
      <c r="L162" s="478" t="s">
        <v>286</v>
      </c>
    </row>
    <row r="163" spans="1:13">
      <c r="A163" s="41" t="s">
        <v>37</v>
      </c>
      <c r="B163" s="293" t="s">
        <v>664</v>
      </c>
      <c r="C163" s="477" t="s">
        <v>694</v>
      </c>
      <c r="D163" s="33" t="s">
        <v>23</v>
      </c>
      <c r="E163" s="34" t="s">
        <v>133</v>
      </c>
      <c r="F163" s="33" t="s">
        <v>230</v>
      </c>
      <c r="G163" s="42"/>
      <c r="H163" s="42"/>
      <c r="J163" s="478" t="s">
        <v>459</v>
      </c>
      <c r="K163" s="478">
        <f>K159/K171</f>
        <v>2984.6131773994571</v>
      </c>
      <c r="L163" s="478" t="s">
        <v>286</v>
      </c>
    </row>
    <row r="164" spans="1:13">
      <c r="A164" s="41" t="s">
        <v>37</v>
      </c>
      <c r="B164" s="293" t="s">
        <v>665</v>
      </c>
      <c r="C164" s="298" t="s">
        <v>695</v>
      </c>
      <c r="D164" s="33" t="s">
        <v>23</v>
      </c>
      <c r="E164" s="34" t="s">
        <v>133</v>
      </c>
      <c r="F164" s="33" t="s">
        <v>230</v>
      </c>
      <c r="G164" s="42"/>
      <c r="I164" s="478" t="s">
        <v>461</v>
      </c>
      <c r="J164" s="478" t="s">
        <v>457</v>
      </c>
      <c r="K164" s="478">
        <v>16</v>
      </c>
      <c r="L164" s="478" t="s">
        <v>462</v>
      </c>
    </row>
    <row r="165" spans="1:13">
      <c r="A165" s="41" t="s">
        <v>37</v>
      </c>
      <c r="B165" s="293" t="s">
        <v>666</v>
      </c>
      <c r="C165" s="455" t="s">
        <v>696</v>
      </c>
      <c r="D165" s="33" t="s">
        <v>23</v>
      </c>
      <c r="E165" s="34" t="s">
        <v>133</v>
      </c>
      <c r="F165" s="33" t="s">
        <v>230</v>
      </c>
      <c r="G165" s="42"/>
      <c r="J165" s="478" t="s">
        <v>459</v>
      </c>
      <c r="K165" s="478">
        <v>2</v>
      </c>
      <c r="L165" s="478" t="s">
        <v>462</v>
      </c>
    </row>
    <row r="166" spans="1:13">
      <c r="A166" s="41" t="s">
        <v>37</v>
      </c>
      <c r="B166" s="293" t="s">
        <v>673</v>
      </c>
      <c r="C166" s="298" t="s">
        <v>697</v>
      </c>
      <c r="D166" s="33" t="s">
        <v>23</v>
      </c>
      <c r="E166" s="34" t="s">
        <v>133</v>
      </c>
      <c r="F166" s="33" t="s">
        <v>230</v>
      </c>
      <c r="G166" s="42"/>
      <c r="I166" s="478" t="s">
        <v>463</v>
      </c>
      <c r="J166" s="478" t="s">
        <v>457</v>
      </c>
      <c r="K166" s="478">
        <v>0.94</v>
      </c>
      <c r="L166" s="478" t="s">
        <v>464</v>
      </c>
    </row>
    <row r="167" spans="1:13">
      <c r="A167" s="41" t="s">
        <v>37</v>
      </c>
      <c r="B167" s="293" t="s">
        <v>674</v>
      </c>
      <c r="C167" s="455" t="s">
        <v>698</v>
      </c>
      <c r="D167" s="33" t="s">
        <v>23</v>
      </c>
      <c r="E167" s="34" t="s">
        <v>133</v>
      </c>
      <c r="F167" s="33" t="s">
        <v>230</v>
      </c>
      <c r="G167" s="42"/>
      <c r="J167" s="478" t="s">
        <v>459</v>
      </c>
      <c r="K167" s="478">
        <v>1.05</v>
      </c>
    </row>
    <row r="168" spans="1:13">
      <c r="A168" s="41" t="s">
        <v>37</v>
      </c>
      <c r="B168" s="293" t="s">
        <v>675</v>
      </c>
      <c r="C168" s="298" t="s">
        <v>699</v>
      </c>
      <c r="D168" s="33" t="s">
        <v>23</v>
      </c>
      <c r="E168" s="34" t="s">
        <v>133</v>
      </c>
      <c r="F168" s="33" t="s">
        <v>230</v>
      </c>
      <c r="G168" s="42"/>
      <c r="I168" s="478" t="s">
        <v>465</v>
      </c>
      <c r="J168" s="478" t="s">
        <v>457</v>
      </c>
      <c r="K168" s="478">
        <f>10000000*K164*0.001/(K166*8.314*365)</f>
        <v>56.090491350600843</v>
      </c>
      <c r="L168" s="478" t="s">
        <v>466</v>
      </c>
      <c r="M168" s="478" t="s">
        <v>464</v>
      </c>
    </row>
    <row r="169" spans="1:13">
      <c r="A169" s="41" t="s">
        <v>37</v>
      </c>
      <c r="B169" s="293" t="s">
        <v>676</v>
      </c>
      <c r="C169" s="455" t="s">
        <v>700</v>
      </c>
      <c r="D169" s="33" t="s">
        <v>23</v>
      </c>
      <c r="E169" s="34" t="s">
        <v>133</v>
      </c>
      <c r="F169" s="33" t="s">
        <v>230</v>
      </c>
      <c r="G169" s="42"/>
      <c r="J169" s="478" t="s">
        <v>459</v>
      </c>
      <c r="K169" s="478">
        <f>10000000*K165*0.001/(K167*8.314*365)</f>
        <v>6.2767930797100933</v>
      </c>
      <c r="L169" s="478" t="s">
        <v>466</v>
      </c>
    </row>
    <row r="170" spans="1:13">
      <c r="A170" s="41" t="s">
        <v>37</v>
      </c>
      <c r="B170" s="298" t="s">
        <v>677</v>
      </c>
      <c r="C170" s="470" t="s">
        <v>701</v>
      </c>
      <c r="D170" s="33" t="s">
        <v>23</v>
      </c>
      <c r="E170" s="34" t="s">
        <v>133</v>
      </c>
      <c r="F170" s="33" t="s">
        <v>230</v>
      </c>
      <c r="G170" s="42"/>
      <c r="J170" s="478" t="s">
        <v>457</v>
      </c>
      <c r="K170" s="478">
        <f>101325*K164*0.001/(8.314*298.15)</f>
        <v>0.65402110222565257</v>
      </c>
      <c r="L170" s="478" t="s">
        <v>466</v>
      </c>
      <c r="M170" s="478" t="s">
        <v>467</v>
      </c>
    </row>
    <row r="171" spans="1:13">
      <c r="A171" s="41" t="s">
        <v>37</v>
      </c>
      <c r="B171" s="298" t="s">
        <v>563</v>
      </c>
      <c r="C171" s="470" t="s">
        <v>702</v>
      </c>
      <c r="D171" s="33" t="s">
        <v>23</v>
      </c>
      <c r="E171" s="34" t="s">
        <v>133</v>
      </c>
      <c r="F171" s="33" t="s">
        <v>230</v>
      </c>
      <c r="G171" s="42"/>
      <c r="J171" s="478" t="s">
        <v>459</v>
      </c>
      <c r="K171" s="478">
        <f>101325*K165*0.001/(8.314*298.15)</f>
        <v>8.1752637778206572E-2</v>
      </c>
      <c r="L171" s="478" t="s">
        <v>466</v>
      </c>
    </row>
    <row r="172" spans="1:13">
      <c r="A172" s="41" t="s">
        <v>37</v>
      </c>
      <c r="B172" s="298" t="s">
        <v>678</v>
      </c>
      <c r="C172" s="470" t="s">
        <v>703</v>
      </c>
      <c r="D172" s="33" t="s">
        <v>23</v>
      </c>
      <c r="E172" s="34" t="s">
        <v>133</v>
      </c>
      <c r="F172" s="33" t="s">
        <v>230</v>
      </c>
      <c r="G172" s="42"/>
      <c r="J172" s="478" t="s">
        <v>457</v>
      </c>
      <c r="K172" s="478">
        <f>K168/K164*1000</f>
        <v>3505.6557094125528</v>
      </c>
      <c r="L172" s="478" t="s">
        <v>468</v>
      </c>
    </row>
    <row r="173" spans="1:13">
      <c r="A173" s="41" t="s">
        <v>37</v>
      </c>
      <c r="B173" s="298" t="s">
        <v>679</v>
      </c>
      <c r="C173" s="470" t="s">
        <v>704</v>
      </c>
      <c r="D173" s="33" t="s">
        <v>23</v>
      </c>
      <c r="E173" s="34" t="s">
        <v>133</v>
      </c>
      <c r="F173" s="33" t="s">
        <v>230</v>
      </c>
      <c r="G173" s="42"/>
      <c r="J173" s="478" t="s">
        <v>459</v>
      </c>
      <c r="K173" s="478">
        <f>K169/K165*1000</f>
        <v>3138.3965398550467</v>
      </c>
      <c r="L173" s="478" t="s">
        <v>468</v>
      </c>
    </row>
    <row r="174" spans="1:13">
      <c r="A174" s="41" t="s">
        <v>37</v>
      </c>
      <c r="B174" s="298" t="s">
        <v>169</v>
      </c>
      <c r="C174" s="298" t="s">
        <v>705</v>
      </c>
      <c r="D174" s="33" t="s">
        <v>23</v>
      </c>
      <c r="E174" s="34" t="s">
        <v>133</v>
      </c>
      <c r="F174" s="33" t="s">
        <v>230</v>
      </c>
      <c r="G174" s="42"/>
      <c r="J174" s="478" t="s">
        <v>469</v>
      </c>
    </row>
    <row r="175" spans="1:13">
      <c r="A175" s="41" t="s">
        <v>37</v>
      </c>
      <c r="B175" s="293" t="s">
        <v>667</v>
      </c>
      <c r="C175" s="477" t="s">
        <v>706</v>
      </c>
      <c r="D175" s="33" t="s">
        <v>23</v>
      </c>
      <c r="E175" s="34" t="s">
        <v>133</v>
      </c>
      <c r="F175" s="33" t="s">
        <v>230</v>
      </c>
      <c r="G175" s="42"/>
      <c r="J175" s="206">
        <v>0.15</v>
      </c>
    </row>
    <row r="176" spans="1:13">
      <c r="A176" s="41" t="s">
        <v>37</v>
      </c>
      <c r="B176" s="293" t="s">
        <v>668</v>
      </c>
      <c r="C176" s="298" t="s">
        <v>707</v>
      </c>
      <c r="D176" s="33" t="s">
        <v>23</v>
      </c>
      <c r="E176" s="34" t="s">
        <v>133</v>
      </c>
      <c r="F176" s="33" t="s">
        <v>230</v>
      </c>
      <c r="G176" s="42"/>
      <c r="K176" s="478">
        <v>100</v>
      </c>
      <c r="L176" s="478" t="s">
        <v>470</v>
      </c>
    </row>
    <row r="177" spans="1:12">
      <c r="A177" s="41" t="s">
        <v>37</v>
      </c>
      <c r="B177" s="293" t="s">
        <v>669</v>
      </c>
      <c r="C177" s="455" t="s">
        <v>708</v>
      </c>
      <c r="D177" s="33" t="s">
        <v>23</v>
      </c>
      <c r="E177" s="34" t="s">
        <v>133</v>
      </c>
      <c r="F177" s="33" t="s">
        <v>230</v>
      </c>
      <c r="G177" s="42"/>
      <c r="I177" s="478" t="s">
        <v>471</v>
      </c>
      <c r="J177" s="478" t="s">
        <v>457</v>
      </c>
      <c r="K177" s="478">
        <f>K176*(1-J175)</f>
        <v>85</v>
      </c>
      <c r="L177" s="478" t="s">
        <v>470</v>
      </c>
    </row>
    <row r="178" spans="1:12">
      <c r="A178" s="41" t="s">
        <v>37</v>
      </c>
      <c r="B178" s="293" t="s">
        <v>680</v>
      </c>
      <c r="C178" s="298" t="s">
        <v>709</v>
      </c>
      <c r="D178" s="33" t="s">
        <v>23</v>
      </c>
      <c r="E178" s="34" t="s">
        <v>133</v>
      </c>
      <c r="F178" s="33" t="s">
        <v>230</v>
      </c>
      <c r="G178" s="42"/>
      <c r="J178" s="478" t="s">
        <v>459</v>
      </c>
      <c r="K178" s="478">
        <f>K176*J175</f>
        <v>15</v>
      </c>
      <c r="L178" s="478" t="s">
        <v>470</v>
      </c>
    </row>
    <row r="179" spans="1:12">
      <c r="A179" s="41" t="s">
        <v>37</v>
      </c>
      <c r="B179" s="293" t="s">
        <v>681</v>
      </c>
      <c r="C179" s="455" t="s">
        <v>710</v>
      </c>
      <c r="D179" s="33" t="s">
        <v>23</v>
      </c>
      <c r="E179" s="34" t="s">
        <v>133</v>
      </c>
      <c r="F179" s="33" t="s">
        <v>230</v>
      </c>
      <c r="G179" s="42"/>
      <c r="I179" s="478" t="s">
        <v>472</v>
      </c>
      <c r="J179" s="478" t="s">
        <v>457</v>
      </c>
      <c r="K179" s="478">
        <f>K177*K172*K158*0.001</f>
        <v>239081.86316065578</v>
      </c>
      <c r="L179" s="478" t="s">
        <v>473</v>
      </c>
    </row>
    <row r="180" spans="1:12">
      <c r="A180" s="41" t="s">
        <v>37</v>
      </c>
      <c r="B180" s="293" t="s">
        <v>682</v>
      </c>
      <c r="C180" s="298" t="s">
        <v>711</v>
      </c>
      <c r="D180" s="33" t="s">
        <v>23</v>
      </c>
      <c r="E180" s="34" t="s">
        <v>133</v>
      </c>
      <c r="F180" s="33" t="s">
        <v>230</v>
      </c>
      <c r="G180" s="42"/>
    </row>
    <row r="181" spans="1:12">
      <c r="A181" s="41" t="s">
        <v>37</v>
      </c>
      <c r="B181" s="293" t="s">
        <v>683</v>
      </c>
      <c r="C181" s="455" t="s">
        <v>712</v>
      </c>
      <c r="D181" s="33" t="s">
        <v>23</v>
      </c>
      <c r="E181" s="34" t="s">
        <v>133</v>
      </c>
      <c r="F181" s="33" t="s">
        <v>230</v>
      </c>
      <c r="G181" s="42"/>
      <c r="J181" s="478" t="s">
        <v>459</v>
      </c>
      <c r="K181" s="478">
        <f>K178*K173*K159*0.001</f>
        <v>11486.531335869471</v>
      </c>
      <c r="L181" s="478" t="s">
        <v>473</v>
      </c>
    </row>
    <row r="182" spans="1:12">
      <c r="A182" s="41" t="s">
        <v>37</v>
      </c>
      <c r="B182" s="298" t="s">
        <v>184</v>
      </c>
      <c r="C182" s="470" t="s">
        <v>713</v>
      </c>
      <c r="D182" s="33" t="s">
        <v>23</v>
      </c>
      <c r="E182" s="34" t="s">
        <v>133</v>
      </c>
      <c r="F182" s="33" t="s">
        <v>230</v>
      </c>
      <c r="G182" s="42"/>
      <c r="J182" s="478" t="s">
        <v>474</v>
      </c>
      <c r="K182" s="206">
        <f>K181/(K179+K181)</f>
        <v>4.5841900208323204E-2</v>
      </c>
    </row>
    <row r="183" spans="1:12">
      <c r="A183" s="41" t="s">
        <v>37</v>
      </c>
      <c r="B183" s="298" t="s">
        <v>562</v>
      </c>
      <c r="C183" s="470" t="s">
        <v>714</v>
      </c>
      <c r="D183" s="33" t="s">
        <v>23</v>
      </c>
      <c r="E183" s="34" t="s">
        <v>133</v>
      </c>
      <c r="F183" s="33" t="s">
        <v>230</v>
      </c>
      <c r="G183" s="42"/>
      <c r="I183" s="478" t="s">
        <v>460</v>
      </c>
      <c r="J183" s="478" t="s">
        <v>457</v>
      </c>
      <c r="K183" s="478">
        <f>10000000*K164*0.001*K177/(K166*8.314*365)</f>
        <v>4767.6917648010713</v>
      </c>
      <c r="L183" s="478" t="s">
        <v>475</v>
      </c>
    </row>
    <row r="184" spans="1:12">
      <c r="A184" s="41" t="s">
        <v>37</v>
      </c>
      <c r="B184" s="298" t="s">
        <v>684</v>
      </c>
      <c r="C184" s="470" t="s">
        <v>715</v>
      </c>
      <c r="D184" s="33" t="s">
        <v>23</v>
      </c>
      <c r="E184" s="34" t="s">
        <v>133</v>
      </c>
      <c r="F184" s="33" t="s">
        <v>230</v>
      </c>
      <c r="G184" s="42"/>
      <c r="J184" s="478" t="s">
        <v>459</v>
      </c>
      <c r="K184" s="478">
        <f>10000000*K165*0.001*K178/(K167*8.314*365)</f>
        <v>94.151896195651403</v>
      </c>
      <c r="L184" s="478" t="s">
        <v>475</v>
      </c>
    </row>
    <row r="185" spans="1:12">
      <c r="A185" s="41" t="s">
        <v>37</v>
      </c>
      <c r="B185" s="298" t="s">
        <v>685</v>
      </c>
      <c r="C185" s="470" t="s">
        <v>716</v>
      </c>
      <c r="D185" s="33" t="s">
        <v>23</v>
      </c>
      <c r="E185" s="34" t="s">
        <v>133</v>
      </c>
      <c r="F185" s="33" t="s">
        <v>230</v>
      </c>
      <c r="G185" s="42"/>
      <c r="J185" s="478" t="s">
        <v>474</v>
      </c>
      <c r="K185" s="478">
        <f>K184/(K183+K184)</f>
        <v>1.9365471775854962E-2</v>
      </c>
    </row>
    <row r="186" spans="1:12">
      <c r="A186" s="41" t="s">
        <v>37</v>
      </c>
      <c r="B186" s="298" t="s">
        <v>364</v>
      </c>
      <c r="C186" s="298" t="s">
        <v>717</v>
      </c>
      <c r="D186" s="33" t="s">
        <v>23</v>
      </c>
      <c r="E186" s="34" t="s">
        <v>133</v>
      </c>
      <c r="F186" s="33" t="s">
        <v>230</v>
      </c>
      <c r="G186" s="42"/>
      <c r="K186" s="478">
        <f>K183*K162</f>
        <v>5848908.8464467777</v>
      </c>
      <c r="L186" s="478" t="s">
        <v>473</v>
      </c>
    </row>
    <row r="187" spans="1:12">
      <c r="A187" s="41" t="s">
        <v>37</v>
      </c>
      <c r="B187" s="298" t="s">
        <v>670</v>
      </c>
      <c r="C187" s="477" t="s">
        <v>718</v>
      </c>
      <c r="D187" s="33" t="s">
        <v>23</v>
      </c>
      <c r="E187" s="34" t="s">
        <v>133</v>
      </c>
      <c r="F187" s="33" t="s">
        <v>230</v>
      </c>
      <c r="G187" s="42"/>
      <c r="K187" s="478">
        <f>K184*K163</f>
        <v>281006.99006268696</v>
      </c>
      <c r="L187" s="478" t="s">
        <v>473</v>
      </c>
    </row>
    <row r="188" spans="1:12">
      <c r="A188" s="41" t="s">
        <v>37</v>
      </c>
      <c r="B188" s="298" t="s">
        <v>671</v>
      </c>
      <c r="C188" s="298" t="s">
        <v>719</v>
      </c>
      <c r="D188" s="33" t="s">
        <v>23</v>
      </c>
      <c r="E188" s="34" t="s">
        <v>133</v>
      </c>
      <c r="F188" s="33" t="s">
        <v>230</v>
      </c>
      <c r="G188" s="42"/>
      <c r="J188" s="478" t="s">
        <v>474</v>
      </c>
      <c r="K188" s="206">
        <f>K187/(K186+K187)</f>
        <v>4.5841900208323211E-2</v>
      </c>
    </row>
    <row r="189" spans="1:12">
      <c r="A189" s="41" t="s">
        <v>37</v>
      </c>
      <c r="B189" s="298" t="s">
        <v>672</v>
      </c>
      <c r="C189" s="455" t="s">
        <v>720</v>
      </c>
      <c r="D189" s="33" t="s">
        <v>23</v>
      </c>
      <c r="E189" s="34" t="s">
        <v>133</v>
      </c>
      <c r="F189" s="33" t="s">
        <v>230</v>
      </c>
      <c r="G189" s="42"/>
    </row>
    <row r="190" spans="1:12">
      <c r="A190" s="41" t="s">
        <v>37</v>
      </c>
      <c r="B190" s="298" t="s">
        <v>686</v>
      </c>
      <c r="C190" s="298" t="s">
        <v>721</v>
      </c>
      <c r="D190" s="33" t="s">
        <v>23</v>
      </c>
      <c r="E190" s="34" t="s">
        <v>133</v>
      </c>
      <c r="F190" s="33" t="s">
        <v>230</v>
      </c>
      <c r="G190" s="42"/>
    </row>
    <row r="191" spans="1:12">
      <c r="A191" s="41" t="s">
        <v>37</v>
      </c>
      <c r="B191" s="298" t="s">
        <v>687</v>
      </c>
      <c r="C191" s="455" t="s">
        <v>722</v>
      </c>
      <c r="D191" s="33" t="s">
        <v>23</v>
      </c>
      <c r="E191" s="34" t="s">
        <v>133</v>
      </c>
      <c r="F191" s="33" t="s">
        <v>230</v>
      </c>
      <c r="G191" s="42"/>
    </row>
    <row r="192" spans="1:12">
      <c r="A192" s="41" t="s">
        <v>37</v>
      </c>
      <c r="B192" s="298" t="s">
        <v>688</v>
      </c>
      <c r="C192" s="298" t="s">
        <v>723</v>
      </c>
      <c r="D192" s="33" t="s">
        <v>23</v>
      </c>
      <c r="E192" s="34" t="s">
        <v>133</v>
      </c>
      <c r="F192" s="33" t="s">
        <v>230</v>
      </c>
      <c r="G192" s="42"/>
    </row>
    <row r="193" spans="1:8">
      <c r="A193" s="41" t="s">
        <v>37</v>
      </c>
      <c r="B193" s="298" t="s">
        <v>689</v>
      </c>
      <c r="C193" s="455" t="s">
        <v>724</v>
      </c>
      <c r="D193" s="33" t="s">
        <v>23</v>
      </c>
      <c r="E193" s="34" t="s">
        <v>133</v>
      </c>
      <c r="F193" s="33" t="s">
        <v>230</v>
      </c>
      <c r="G193" s="42"/>
    </row>
    <row r="194" spans="1:8">
      <c r="A194" s="41" t="s">
        <v>37</v>
      </c>
      <c r="B194" s="298" t="s">
        <v>690</v>
      </c>
      <c r="C194" s="470" t="s">
        <v>725</v>
      </c>
      <c r="D194" s="33" t="s">
        <v>23</v>
      </c>
      <c r="E194" s="34" t="s">
        <v>133</v>
      </c>
      <c r="F194" s="33" t="s">
        <v>230</v>
      </c>
      <c r="G194" s="42"/>
    </row>
    <row r="195" spans="1:8">
      <c r="A195" s="41" t="s">
        <v>37</v>
      </c>
      <c r="B195" s="298" t="s">
        <v>567</v>
      </c>
      <c r="C195" s="470" t="s">
        <v>726</v>
      </c>
      <c r="D195" s="33" t="s">
        <v>23</v>
      </c>
      <c r="E195" s="34" t="s">
        <v>133</v>
      </c>
      <c r="F195" s="33" t="s">
        <v>230</v>
      </c>
      <c r="G195" s="42"/>
    </row>
    <row r="196" spans="1:8">
      <c r="A196" s="41" t="s">
        <v>37</v>
      </c>
      <c r="B196" s="298" t="s">
        <v>691</v>
      </c>
      <c r="C196" s="470" t="s">
        <v>727</v>
      </c>
      <c r="D196" s="33" t="s">
        <v>23</v>
      </c>
      <c r="E196" s="34" t="s">
        <v>133</v>
      </c>
      <c r="F196" s="33" t="s">
        <v>230</v>
      </c>
      <c r="G196" s="42"/>
    </row>
    <row r="197" spans="1:8">
      <c r="A197" s="41" t="s">
        <v>37</v>
      </c>
      <c r="B197" s="298" t="s">
        <v>692</v>
      </c>
      <c r="C197" s="470" t="s">
        <v>728</v>
      </c>
      <c r="D197" s="33" t="s">
        <v>23</v>
      </c>
      <c r="E197" s="34" t="s">
        <v>133</v>
      </c>
      <c r="F197" s="33" t="s">
        <v>230</v>
      </c>
    </row>
    <row r="198" spans="1:8">
      <c r="H198" s="113"/>
    </row>
  </sheetData>
  <phoneticPr fontId="9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B3:Z50"/>
  <sheetViews>
    <sheetView topLeftCell="C1" workbookViewId="0">
      <selection activeCell="F9" sqref="F9"/>
    </sheetView>
  </sheetViews>
  <sheetFormatPr defaultColWidth="9.1328125" defaultRowHeight="13"/>
  <cols>
    <col min="1" max="1" width="9.1328125" style="130"/>
    <col min="2" max="2" width="38.54296875" style="130" bestFit="1" customWidth="1"/>
    <col min="3" max="3" width="39.1328125" style="130" customWidth="1"/>
    <col min="4" max="4" width="50.54296875" style="130" customWidth="1"/>
    <col min="5" max="5" width="10.86328125" style="130" customWidth="1"/>
    <col min="6" max="6" width="12.86328125" style="130" bestFit="1" customWidth="1"/>
    <col min="7" max="16384" width="9.1328125" style="130"/>
  </cols>
  <sheetData>
    <row r="3" spans="2:26" ht="23">
      <c r="B3" s="4" t="s">
        <v>400</v>
      </c>
      <c r="C3" s="131"/>
      <c r="D3" s="131"/>
      <c r="E3" s="131"/>
      <c r="F3" s="131"/>
      <c r="G3" s="131"/>
      <c r="H3" s="131"/>
      <c r="I3" s="131"/>
      <c r="J3" s="131"/>
      <c r="K3" s="131"/>
      <c r="L3" s="131"/>
      <c r="M3" s="131"/>
      <c r="N3" s="131"/>
      <c r="P3" s="131"/>
      <c r="Q3" s="131"/>
      <c r="R3" s="131"/>
      <c r="T3" s="131"/>
      <c r="U3" s="131"/>
      <c r="V3" s="131"/>
      <c r="X3" s="131"/>
      <c r="Y3" s="131"/>
    </row>
    <row r="4" spans="2:26" ht="15.5">
      <c r="B4" s="5"/>
      <c r="C4" s="131"/>
      <c r="D4" s="131"/>
      <c r="E4" s="131"/>
      <c r="F4" s="131"/>
      <c r="G4" s="131"/>
      <c r="H4" s="131"/>
      <c r="I4" s="131"/>
      <c r="J4" s="131"/>
      <c r="K4" s="131"/>
      <c r="L4" s="131"/>
      <c r="M4" s="131"/>
      <c r="N4" s="131"/>
      <c r="P4" s="131"/>
      <c r="Q4" s="131"/>
      <c r="R4" s="131"/>
      <c r="T4" s="131"/>
      <c r="U4" s="131"/>
      <c r="V4" s="131"/>
      <c r="X4" s="131"/>
      <c r="Y4" s="131"/>
    </row>
    <row r="5" spans="2:26">
      <c r="B5" s="131"/>
      <c r="C5" s="131"/>
      <c r="D5" s="131"/>
      <c r="E5" s="7" t="s">
        <v>556</v>
      </c>
      <c r="F5" s="131"/>
      <c r="G5" s="6"/>
      <c r="H5" s="6"/>
      <c r="I5" s="6"/>
      <c r="J5" s="6"/>
      <c r="K5" s="6"/>
      <c r="L5" s="6"/>
      <c r="M5" s="131"/>
      <c r="N5" s="131"/>
      <c r="O5" s="131"/>
      <c r="P5" s="131"/>
      <c r="R5" s="131"/>
      <c r="S5" s="131"/>
      <c r="V5" s="131"/>
      <c r="W5" s="131"/>
    </row>
    <row r="6" spans="2:26" ht="26">
      <c r="B6" s="1" t="s">
        <v>0</v>
      </c>
      <c r="C6" s="31" t="s">
        <v>103</v>
      </c>
      <c r="D6" s="1" t="s">
        <v>2</v>
      </c>
      <c r="E6" s="1" t="s">
        <v>3</v>
      </c>
      <c r="F6" s="136" t="s">
        <v>401</v>
      </c>
      <c r="G6" s="136" t="s">
        <v>402</v>
      </c>
      <c r="H6" s="136" t="s">
        <v>403</v>
      </c>
      <c r="I6" s="136" t="s">
        <v>404</v>
      </c>
      <c r="J6" s="136" t="s">
        <v>405</v>
      </c>
      <c r="K6" s="136" t="s">
        <v>38</v>
      </c>
      <c r="L6" s="136" t="s">
        <v>406</v>
      </c>
      <c r="M6" s="136" t="s">
        <v>44</v>
      </c>
      <c r="N6" s="136" t="s">
        <v>94</v>
      </c>
      <c r="O6" s="136" t="s">
        <v>407</v>
      </c>
      <c r="P6" s="136" t="s">
        <v>236</v>
      </c>
      <c r="Q6" s="136" t="s">
        <v>408</v>
      </c>
      <c r="R6" s="136" t="s">
        <v>99</v>
      </c>
      <c r="S6" s="136" t="s">
        <v>101</v>
      </c>
      <c r="T6" s="136" t="s">
        <v>409</v>
      </c>
      <c r="U6" s="136" t="s">
        <v>238</v>
      </c>
      <c r="V6" s="136" t="s">
        <v>32</v>
      </c>
      <c r="W6" s="136" t="s">
        <v>102</v>
      </c>
      <c r="X6" s="136" t="s">
        <v>31</v>
      </c>
    </row>
    <row r="7" spans="2:26" ht="26">
      <c r="B7" s="137" t="s">
        <v>25</v>
      </c>
      <c r="C7" s="137" t="s">
        <v>15</v>
      </c>
      <c r="D7" s="137" t="s">
        <v>19</v>
      </c>
      <c r="E7" s="137" t="s">
        <v>20</v>
      </c>
      <c r="F7" s="138"/>
      <c r="G7" s="138"/>
      <c r="H7" s="138"/>
      <c r="I7" s="138"/>
      <c r="J7" s="138"/>
      <c r="K7" s="138"/>
      <c r="L7" s="138" t="s">
        <v>33</v>
      </c>
      <c r="M7" s="138" t="s">
        <v>33</v>
      </c>
      <c r="N7" s="138" t="s">
        <v>33</v>
      </c>
      <c r="O7" s="138" t="s">
        <v>33</v>
      </c>
      <c r="P7" s="138" t="s">
        <v>33</v>
      </c>
      <c r="Q7" s="138" t="s">
        <v>35</v>
      </c>
      <c r="R7" s="138" t="s">
        <v>35</v>
      </c>
      <c r="S7" s="138" t="s">
        <v>35</v>
      </c>
      <c r="T7" s="138" t="s">
        <v>35</v>
      </c>
      <c r="U7" s="138" t="s">
        <v>35</v>
      </c>
      <c r="V7" s="138" t="s">
        <v>34</v>
      </c>
      <c r="W7" s="138"/>
      <c r="X7" s="138"/>
    </row>
    <row r="8" spans="2:26">
      <c r="B8" s="35" t="str">
        <f>C15</f>
        <v>EUH2FCPEM</v>
      </c>
      <c r="C8" s="35" t="str">
        <f>D15</f>
        <v>PEM fuel cell system running on hydrogen 100 kW based</v>
      </c>
      <c r="D8" s="35" t="s">
        <v>663</v>
      </c>
      <c r="E8" s="34" t="s">
        <v>339</v>
      </c>
      <c r="F8" s="15">
        <f>D25/100</f>
        <v>0.44</v>
      </c>
      <c r="G8" s="15">
        <f>E25/100</f>
        <v>0.45</v>
      </c>
      <c r="H8" s="15">
        <f>F25/100</f>
        <v>0.46</v>
      </c>
      <c r="I8" s="15">
        <f>G25/100</f>
        <v>0.47</v>
      </c>
      <c r="J8" s="15">
        <f>H25/100</f>
        <v>0.47</v>
      </c>
      <c r="K8" s="21">
        <v>0.9</v>
      </c>
      <c r="L8" s="20">
        <f>D34*J34</f>
        <v>3027.5160000000001</v>
      </c>
      <c r="M8" s="20">
        <f>E34*J34</f>
        <v>2270.6369999999997</v>
      </c>
      <c r="N8" s="20">
        <f>F34*J34</f>
        <v>1513.758</v>
      </c>
      <c r="O8" s="20">
        <f>G34*J34</f>
        <v>1135.3184999999999</v>
      </c>
      <c r="P8" s="20">
        <f>H34*J34</f>
        <v>756.87900000000002</v>
      </c>
      <c r="Q8" s="20">
        <f>I40*J34</f>
        <v>27.331741666666662</v>
      </c>
      <c r="R8" s="20">
        <f>J40*J34</f>
        <v>22.075637499999996</v>
      </c>
      <c r="S8" s="20">
        <f>K40*J34</f>
        <v>16.819533333333332</v>
      </c>
      <c r="T8" s="20">
        <f>L40*J34</f>
        <v>13.665870833333331</v>
      </c>
      <c r="U8" s="20">
        <f>M40*J34</f>
        <v>12.614650000000001</v>
      </c>
      <c r="V8" s="20">
        <v>15</v>
      </c>
      <c r="W8" s="20">
        <v>2010</v>
      </c>
      <c r="X8" s="23">
        <v>31.536000000000001</v>
      </c>
      <c r="Z8" s="139"/>
    </row>
    <row r="9" spans="2:26">
      <c r="B9" s="14"/>
      <c r="C9" s="14"/>
      <c r="D9" s="35" t="s">
        <v>233</v>
      </c>
      <c r="E9" s="19"/>
      <c r="F9" s="15"/>
      <c r="G9" s="15"/>
      <c r="H9" s="15"/>
      <c r="I9" s="23"/>
      <c r="J9" s="23"/>
      <c r="K9" s="14"/>
      <c r="L9" s="53"/>
      <c r="M9" s="53"/>
      <c r="N9" s="53"/>
      <c r="O9" s="54"/>
      <c r="P9" s="54"/>
      <c r="Q9" s="14"/>
      <c r="R9" s="14"/>
      <c r="S9" s="22"/>
      <c r="T9" s="14"/>
      <c r="U9" s="14"/>
      <c r="V9" s="14"/>
      <c r="W9" s="22"/>
      <c r="X9" s="14"/>
      <c r="Z9" s="139"/>
    </row>
    <row r="10" spans="2:26">
      <c r="B10" s="14"/>
      <c r="C10" s="14"/>
      <c r="D10" s="35" t="s">
        <v>232</v>
      </c>
      <c r="F10" s="15"/>
      <c r="G10" s="15"/>
      <c r="H10" s="15"/>
      <c r="I10" s="15"/>
      <c r="J10" s="15"/>
      <c r="K10" s="14"/>
      <c r="L10" s="53"/>
      <c r="M10" s="53"/>
      <c r="N10" s="53"/>
      <c r="O10" s="54"/>
      <c r="P10" s="54"/>
      <c r="Q10" s="14"/>
      <c r="R10" s="14"/>
      <c r="S10" s="22"/>
      <c r="T10" s="14"/>
      <c r="U10" s="14"/>
      <c r="V10" s="14"/>
      <c r="W10" s="22"/>
      <c r="X10" s="14"/>
      <c r="Z10" s="139"/>
    </row>
    <row r="11" spans="2:26">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139"/>
    </row>
    <row r="12" spans="2:26">
      <c r="B12" s="29" t="s">
        <v>8</v>
      </c>
      <c r="C12" s="29"/>
      <c r="D12" s="30"/>
      <c r="E12" s="30"/>
      <c r="F12" s="30"/>
      <c r="G12" s="30"/>
      <c r="H12" s="30"/>
      <c r="I12" s="30"/>
    </row>
    <row r="13" spans="2:26">
      <c r="B13" s="31" t="s">
        <v>7</v>
      </c>
      <c r="C13" s="31" t="s">
        <v>0</v>
      </c>
      <c r="D13" s="31" t="s">
        <v>1</v>
      </c>
      <c r="E13" s="31" t="s">
        <v>9</v>
      </c>
      <c r="F13" s="31" t="s">
        <v>10</v>
      </c>
      <c r="G13" s="31" t="s">
        <v>11</v>
      </c>
      <c r="H13" s="31" t="s">
        <v>12</v>
      </c>
      <c r="I13" s="31" t="s">
        <v>13</v>
      </c>
    </row>
    <row r="14" spans="2:26" ht="39">
      <c r="B14" s="140" t="s">
        <v>39</v>
      </c>
      <c r="C14" s="140" t="s">
        <v>14</v>
      </c>
      <c r="D14" s="140" t="s">
        <v>15</v>
      </c>
      <c r="E14" s="140" t="s">
        <v>16</v>
      </c>
      <c r="F14" s="140" t="s">
        <v>17</v>
      </c>
      <c r="G14" s="140" t="s">
        <v>27</v>
      </c>
      <c r="H14" s="140" t="s">
        <v>26</v>
      </c>
      <c r="I14" s="140" t="s">
        <v>18</v>
      </c>
    </row>
    <row r="15" spans="2:26">
      <c r="B15" s="141" t="s">
        <v>410</v>
      </c>
      <c r="C15" s="32" t="s">
        <v>411</v>
      </c>
      <c r="D15" s="141" t="s">
        <v>412</v>
      </c>
      <c r="E15" s="33" t="s">
        <v>23</v>
      </c>
      <c r="F15" s="34" t="s">
        <v>30</v>
      </c>
      <c r="G15" s="33" t="s">
        <v>24</v>
      </c>
      <c r="H15" s="33"/>
      <c r="I15" s="33" t="s">
        <v>46</v>
      </c>
    </row>
    <row r="16" spans="2:26">
      <c r="B16" s="19"/>
      <c r="C16" s="37"/>
      <c r="D16" s="37"/>
      <c r="E16" s="19"/>
      <c r="F16" s="19"/>
      <c r="G16" s="19"/>
      <c r="H16" s="14"/>
      <c r="I16" s="19"/>
    </row>
    <row r="17" spans="2:26">
      <c r="C17" s="139"/>
      <c r="D17" s="139"/>
      <c r="E17" s="139"/>
      <c r="F17" s="139"/>
      <c r="G17" s="139"/>
      <c r="H17" s="139"/>
      <c r="I17" s="139"/>
      <c r="J17" s="139"/>
      <c r="K17" s="139"/>
      <c r="L17" s="139"/>
      <c r="M17" s="139"/>
      <c r="N17" s="139"/>
      <c r="O17" s="139"/>
      <c r="P17" s="139"/>
      <c r="Q17" s="139"/>
      <c r="R17" s="139"/>
      <c r="S17" s="139"/>
      <c r="T17" s="139"/>
      <c r="U17" s="139"/>
      <c r="V17" s="139"/>
      <c r="W17" s="139"/>
      <c r="X17" s="139"/>
      <c r="Y17" s="139"/>
      <c r="Z17" s="139"/>
    </row>
    <row r="20" spans="2:26" ht="13.75" thickBot="1">
      <c r="B20" s="26" t="s">
        <v>413</v>
      </c>
    </row>
    <row r="21" spans="2:26" ht="15.5" thickBot="1">
      <c r="B21" s="142"/>
      <c r="C21" s="143" t="s">
        <v>5</v>
      </c>
      <c r="D21" s="143">
        <v>2010</v>
      </c>
      <c r="E21" s="143">
        <v>2020</v>
      </c>
      <c r="F21" s="143">
        <v>2030</v>
      </c>
      <c r="G21" s="143">
        <v>2040</v>
      </c>
      <c r="H21" s="143">
        <v>2050</v>
      </c>
    </row>
    <row r="22" spans="2:26" ht="16.25" thickTop="1" thickBot="1">
      <c r="B22" s="1606" t="s">
        <v>414</v>
      </c>
      <c r="C22" s="1607"/>
      <c r="D22" s="1607"/>
      <c r="E22" s="1607"/>
      <c r="F22" s="1607"/>
      <c r="G22" s="1607"/>
      <c r="H22" s="1608"/>
    </row>
    <row r="23" spans="2:26" ht="15.5" thickBot="1">
      <c r="B23" s="144" t="s">
        <v>415</v>
      </c>
      <c r="C23" s="145" t="s">
        <v>416</v>
      </c>
      <c r="D23" s="146">
        <v>0.1</v>
      </c>
      <c r="E23" s="146">
        <v>0.1</v>
      </c>
      <c r="F23" s="146">
        <v>0.1</v>
      </c>
      <c r="G23" s="146">
        <v>0.1</v>
      </c>
      <c r="H23" s="146">
        <v>0.1</v>
      </c>
    </row>
    <row r="24" spans="2:26" ht="15.5" thickBot="1">
      <c r="B24" s="144" t="s">
        <v>417</v>
      </c>
      <c r="C24" s="147" t="s">
        <v>416</v>
      </c>
      <c r="D24" s="148" t="s">
        <v>29</v>
      </c>
      <c r="E24" s="148" t="s">
        <v>29</v>
      </c>
      <c r="F24" s="148" t="s">
        <v>29</v>
      </c>
      <c r="G24" s="148" t="s">
        <v>29</v>
      </c>
      <c r="H24" s="148" t="s">
        <v>29</v>
      </c>
    </row>
    <row r="25" spans="2:26" ht="15.5" thickBot="1">
      <c r="B25" s="144" t="s">
        <v>418</v>
      </c>
      <c r="C25" s="149" t="s">
        <v>227</v>
      </c>
      <c r="D25" s="150">
        <v>44</v>
      </c>
      <c r="E25" s="150">
        <v>45</v>
      </c>
      <c r="F25" s="150">
        <v>46</v>
      </c>
      <c r="G25" s="150">
        <v>47</v>
      </c>
      <c r="H25" s="150">
        <v>47</v>
      </c>
    </row>
    <row r="26" spans="2:26" ht="15.5" thickBot="1">
      <c r="B26" s="144" t="s">
        <v>419</v>
      </c>
      <c r="C26" s="147" t="s">
        <v>227</v>
      </c>
      <c r="D26" s="148" t="s">
        <v>29</v>
      </c>
      <c r="E26" s="148" t="s">
        <v>29</v>
      </c>
      <c r="F26" s="148" t="s">
        <v>29</v>
      </c>
      <c r="G26" s="148" t="s">
        <v>29</v>
      </c>
      <c r="H26" s="148" t="s">
        <v>29</v>
      </c>
    </row>
    <row r="27" spans="2:26" ht="15.5" thickBot="1">
      <c r="B27" s="144" t="s">
        <v>420</v>
      </c>
      <c r="C27" s="149" t="s">
        <v>227</v>
      </c>
      <c r="D27" s="150" t="s">
        <v>29</v>
      </c>
      <c r="E27" s="150" t="s">
        <v>29</v>
      </c>
      <c r="F27" s="150" t="s">
        <v>29</v>
      </c>
      <c r="G27" s="150" t="s">
        <v>29</v>
      </c>
      <c r="H27" s="150" t="s">
        <v>29</v>
      </c>
    </row>
    <row r="28" spans="2:26" ht="15.5" thickBot="1">
      <c r="B28" s="144" t="s">
        <v>421</v>
      </c>
      <c r="C28" s="147">
        <v>1</v>
      </c>
      <c r="D28" s="148" t="s">
        <v>29</v>
      </c>
      <c r="E28" s="148" t="s">
        <v>29</v>
      </c>
      <c r="F28" s="148" t="s">
        <v>29</v>
      </c>
      <c r="G28" s="148" t="s">
        <v>29</v>
      </c>
      <c r="H28" s="148" t="s">
        <v>29</v>
      </c>
    </row>
    <row r="29" spans="2:26" ht="15.5" thickBot="1">
      <c r="B29" s="144" t="s">
        <v>422</v>
      </c>
      <c r="C29" s="149" t="s">
        <v>227</v>
      </c>
      <c r="D29" s="150">
        <v>100</v>
      </c>
      <c r="E29" s="150">
        <v>100</v>
      </c>
      <c r="F29" s="150">
        <v>100</v>
      </c>
      <c r="G29" s="150">
        <v>100</v>
      </c>
      <c r="H29" s="150">
        <v>100</v>
      </c>
    </row>
    <row r="30" spans="2:26" ht="15.5" thickBot="1">
      <c r="B30" s="144" t="s">
        <v>423</v>
      </c>
      <c r="C30" s="147" t="s">
        <v>227</v>
      </c>
      <c r="D30" s="148" t="s">
        <v>29</v>
      </c>
      <c r="E30" s="148" t="s">
        <v>29</v>
      </c>
      <c r="F30" s="148" t="s">
        <v>29</v>
      </c>
      <c r="G30" s="148" t="s">
        <v>29</v>
      </c>
      <c r="H30" s="148" t="s">
        <v>29</v>
      </c>
    </row>
    <row r="31" spans="2:26" ht="15.5" thickBot="1">
      <c r="B31" s="144" t="s">
        <v>424</v>
      </c>
      <c r="C31" s="149" t="s">
        <v>425</v>
      </c>
      <c r="D31" s="150">
        <v>3.3</v>
      </c>
      <c r="E31" s="150">
        <v>3.3</v>
      </c>
      <c r="F31" s="150">
        <v>5</v>
      </c>
      <c r="G31" s="150">
        <v>7.5</v>
      </c>
      <c r="H31" s="150">
        <v>10</v>
      </c>
    </row>
    <row r="32" spans="2:26" ht="15.5" thickBot="1">
      <c r="B32" s="144" t="s">
        <v>426</v>
      </c>
      <c r="C32" s="151" t="s">
        <v>425</v>
      </c>
      <c r="D32" s="152">
        <v>10</v>
      </c>
      <c r="E32" s="152">
        <v>10</v>
      </c>
      <c r="F32" s="152">
        <v>15</v>
      </c>
      <c r="G32" s="152">
        <v>15</v>
      </c>
      <c r="H32" s="152">
        <v>15</v>
      </c>
    </row>
    <row r="33" spans="2:13" ht="15.5" thickBot="1">
      <c r="B33" s="1609" t="s">
        <v>427</v>
      </c>
      <c r="C33" s="1610"/>
      <c r="D33" s="1610"/>
      <c r="E33" s="1610"/>
      <c r="F33" s="1610"/>
      <c r="G33" s="1610"/>
      <c r="H33" s="1611"/>
      <c r="J33" s="26" t="s">
        <v>612</v>
      </c>
    </row>
    <row r="34" spans="2:13" ht="16.25" thickBot="1">
      <c r="B34" s="144" t="s">
        <v>428</v>
      </c>
      <c r="C34" s="145" t="s">
        <v>429</v>
      </c>
      <c r="D34" s="146">
        <v>4000</v>
      </c>
      <c r="E34" s="146">
        <v>3000</v>
      </c>
      <c r="F34" s="146">
        <v>2000</v>
      </c>
      <c r="G34" s="146">
        <v>1500</v>
      </c>
      <c r="H34" s="146">
        <v>1000</v>
      </c>
      <c r="J34" s="336">
        <v>0.75687899999999997</v>
      </c>
    </row>
    <row r="35" spans="2:13" ht="16.25" thickBot="1">
      <c r="B35" s="144" t="s">
        <v>430</v>
      </c>
      <c r="C35" s="147" t="s">
        <v>429</v>
      </c>
      <c r="D35" s="148"/>
      <c r="E35" s="148"/>
      <c r="F35" s="148"/>
      <c r="G35" s="148"/>
      <c r="H35" s="148"/>
    </row>
    <row r="36" spans="2:13" ht="16.25" thickBot="1">
      <c r="B36" s="144" t="s">
        <v>431</v>
      </c>
      <c r="C36" s="149" t="s">
        <v>429</v>
      </c>
      <c r="D36" s="150"/>
      <c r="E36" s="150"/>
      <c r="F36" s="150"/>
      <c r="G36" s="150"/>
      <c r="H36" s="150"/>
    </row>
    <row r="37" spans="2:13" ht="15.5" thickBot="1">
      <c r="B37" s="144" t="s">
        <v>432</v>
      </c>
      <c r="C37" s="147"/>
      <c r="D37" s="1612" t="s">
        <v>433</v>
      </c>
      <c r="E37" s="1613"/>
      <c r="F37" s="1613"/>
      <c r="G37" s="1613"/>
      <c r="H37" s="1614"/>
    </row>
    <row r="38" spans="2:13" ht="15.5" thickBot="1">
      <c r="B38" s="144" t="s">
        <v>434</v>
      </c>
      <c r="C38" s="149" t="s">
        <v>227</v>
      </c>
      <c r="D38" s="150" t="s">
        <v>29</v>
      </c>
      <c r="E38" s="150" t="s">
        <v>29</v>
      </c>
      <c r="F38" s="150" t="s">
        <v>29</v>
      </c>
      <c r="G38" s="150" t="s">
        <v>29</v>
      </c>
      <c r="H38" s="150" t="s">
        <v>29</v>
      </c>
      <c r="I38" s="153" t="s">
        <v>435</v>
      </c>
    </row>
    <row r="39" spans="2:13" ht="15.5" thickBot="1">
      <c r="B39" s="144" t="s">
        <v>436</v>
      </c>
      <c r="C39" s="147" t="s">
        <v>437</v>
      </c>
      <c r="D39" s="148">
        <v>0</v>
      </c>
      <c r="E39" s="148">
        <v>0</v>
      </c>
      <c r="F39" s="148">
        <v>0</v>
      </c>
      <c r="G39" s="148">
        <v>0</v>
      </c>
      <c r="H39" s="148">
        <v>0</v>
      </c>
      <c r="I39" s="26" t="s">
        <v>438</v>
      </c>
    </row>
    <row r="40" spans="2:13" ht="16.25" thickBot="1">
      <c r="B40" s="144" t="s">
        <v>439</v>
      </c>
      <c r="C40" s="149" t="s">
        <v>440</v>
      </c>
      <c r="D40" s="150">
        <v>130</v>
      </c>
      <c r="E40" s="150">
        <v>105</v>
      </c>
      <c r="F40" s="150">
        <v>80</v>
      </c>
      <c r="G40" s="150">
        <v>65</v>
      </c>
      <c r="H40" s="150">
        <v>60</v>
      </c>
      <c r="I40" s="132">
        <f>D40/3.6</f>
        <v>36.111111111111107</v>
      </c>
      <c r="J40" s="132">
        <f t="shared" ref="J40:M40" si="0">E40/3.6</f>
        <v>29.166666666666664</v>
      </c>
      <c r="K40" s="132">
        <f t="shared" si="0"/>
        <v>22.222222222222221</v>
      </c>
      <c r="L40" s="132">
        <f t="shared" si="0"/>
        <v>18.055555555555554</v>
      </c>
      <c r="M40" s="132">
        <f t="shared" si="0"/>
        <v>16.666666666666668</v>
      </c>
    </row>
    <row r="41" spans="2:13" ht="15.5" thickBot="1">
      <c r="B41" s="1609" t="s">
        <v>441</v>
      </c>
      <c r="C41" s="1610"/>
      <c r="D41" s="1610"/>
      <c r="E41" s="1610"/>
      <c r="F41" s="1610"/>
      <c r="G41" s="1610"/>
      <c r="H41" s="1611"/>
    </row>
    <row r="42" spans="2:13" ht="16.25" thickBot="1">
      <c r="B42" s="144" t="s">
        <v>442</v>
      </c>
      <c r="C42" s="145" t="s">
        <v>443</v>
      </c>
      <c r="D42" s="146" t="s">
        <v>29</v>
      </c>
      <c r="E42" s="146" t="s">
        <v>29</v>
      </c>
      <c r="F42" s="146" t="s">
        <v>29</v>
      </c>
      <c r="G42" s="146" t="s">
        <v>29</v>
      </c>
      <c r="H42" s="146" t="s">
        <v>29</v>
      </c>
    </row>
    <row r="43" spans="2:13" ht="16.25" thickBot="1">
      <c r="B43" s="144" t="s">
        <v>444</v>
      </c>
      <c r="C43" s="147" t="s">
        <v>443</v>
      </c>
      <c r="D43" s="148" t="s">
        <v>29</v>
      </c>
      <c r="E43" s="148" t="s">
        <v>29</v>
      </c>
      <c r="F43" s="148" t="s">
        <v>29</v>
      </c>
      <c r="G43" s="148" t="s">
        <v>29</v>
      </c>
      <c r="H43" s="148" t="s">
        <v>29</v>
      </c>
    </row>
    <row r="44" spans="2:13" ht="15.5" thickBot="1">
      <c r="B44" s="144" t="s">
        <v>445</v>
      </c>
      <c r="C44" s="149" t="s">
        <v>446</v>
      </c>
      <c r="D44" s="150" t="s">
        <v>29</v>
      </c>
      <c r="E44" s="150" t="s">
        <v>29</v>
      </c>
      <c r="F44" s="150" t="s">
        <v>29</v>
      </c>
      <c r="G44" s="150" t="s">
        <v>29</v>
      </c>
      <c r="H44" s="150" t="s">
        <v>29</v>
      </c>
    </row>
    <row r="45" spans="2:13" ht="15.5" thickBot="1">
      <c r="B45" s="154" t="s">
        <v>447</v>
      </c>
      <c r="C45" s="147" t="s">
        <v>446</v>
      </c>
      <c r="D45" s="148" t="s">
        <v>29</v>
      </c>
      <c r="E45" s="148" t="s">
        <v>29</v>
      </c>
      <c r="F45" s="148" t="s">
        <v>29</v>
      </c>
      <c r="G45" s="148" t="s">
        <v>29</v>
      </c>
      <c r="H45" s="148" t="s">
        <v>29</v>
      </c>
    </row>
    <row r="50" spans="2:9">
      <c r="B50" s="30"/>
      <c r="C50" s="30"/>
      <c r="D50" s="30"/>
      <c r="E50" s="30"/>
      <c r="F50" s="30"/>
      <c r="G50" s="30"/>
      <c r="H50" s="30"/>
      <c r="I50" s="30"/>
    </row>
  </sheetData>
  <mergeCells count="4">
    <mergeCell ref="B22:H22"/>
    <mergeCell ref="B33:H33"/>
    <mergeCell ref="D37:H37"/>
    <mergeCell ref="B41:H41"/>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B11"/>
  <sheetViews>
    <sheetView workbookViewId="0"/>
  </sheetViews>
  <sheetFormatPr defaultColWidth="9.1328125" defaultRowHeight="13.5"/>
  <cols>
    <col min="1" max="16384" width="9.1328125" style="39"/>
  </cols>
  <sheetData>
    <row r="1" spans="1:2" ht="14.75">
      <c r="A1" s="27" t="s">
        <v>45</v>
      </c>
    </row>
    <row r="2" spans="1:2">
      <c r="A2" s="39" t="s">
        <v>40</v>
      </c>
      <c r="B2" s="39" t="s">
        <v>117</v>
      </c>
    </row>
    <row r="3" spans="1:2">
      <c r="A3" s="39" t="s">
        <v>41</v>
      </c>
      <c r="B3" s="39" t="s">
        <v>118</v>
      </c>
    </row>
    <row r="4" spans="1:2">
      <c r="A4" s="39" t="s">
        <v>42</v>
      </c>
      <c r="B4" s="39" t="s">
        <v>119</v>
      </c>
    </row>
    <row r="5" spans="1:2">
      <c r="A5" s="39" t="s">
        <v>43</v>
      </c>
      <c r="B5" s="39" t="s">
        <v>120</v>
      </c>
    </row>
    <row r="6" spans="1:2">
      <c r="A6" s="39" t="s">
        <v>302</v>
      </c>
      <c r="B6" s="39" t="s">
        <v>303</v>
      </c>
    </row>
    <row r="7" spans="1:2">
      <c r="A7" s="39" t="s">
        <v>493</v>
      </c>
      <c r="B7" s="39" t="s">
        <v>561</v>
      </c>
    </row>
    <row r="8" spans="1:2">
      <c r="A8" s="39" t="s">
        <v>506</v>
      </c>
      <c r="B8" s="39" t="s">
        <v>560</v>
      </c>
    </row>
    <row r="9" spans="1:2">
      <c r="A9" s="39" t="s">
        <v>516</v>
      </c>
      <c r="B9" s="39" t="s">
        <v>559</v>
      </c>
    </row>
    <row r="10" spans="1:2" ht="14.75">
      <c r="A10" s="39" t="s">
        <v>515</v>
      </c>
      <c r="B10" s="102" t="s">
        <v>558</v>
      </c>
    </row>
    <row r="11" spans="1:2">
      <c r="A11" s="39" t="s">
        <v>524</v>
      </c>
      <c r="B11" s="39" t="s">
        <v>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INPUT-Data(HP)</vt:lpstr>
      <vt:lpstr>EDP_Data</vt:lpstr>
      <vt:lpstr>INPUT-Data(HS)</vt:lpstr>
      <vt:lpstr>INPUT-Data(HD)</vt:lpstr>
      <vt:lpstr>SUP_HP</vt:lpstr>
      <vt:lpstr>ELC_H2</vt:lpstr>
      <vt:lpstr>SUP_HS</vt:lpstr>
      <vt:lpstr>SUP_HT</vt:lpstr>
      <vt:lpstr>SUP_HD_TRA</vt:lpstr>
      <vt:lpstr>SUP_HD RSD</vt:lpstr>
      <vt:lpstr>SUP_HD_COM</vt:lpstr>
      <vt:lpstr>SUP_HD_IND</vt:lpstr>
      <vt:lpstr>H2 matriz</vt:lpstr>
      <vt:lpstr>SUP_HD</vt:lpstr>
      <vt:lpstr>SUP_HD (2)</vt:lpstr>
      <vt:lpstr>SUP_HFC</vt:lpstr>
      <vt:lpstr>List_of_References</vt:lpstr>
      <vt:lpstr>'INPUT-Data(HD)'!OLE_LINK1</vt:lpstr>
      <vt:lpstr>'INPUT-Data(HP)'!OLE_LINK1</vt:lpstr>
    </vt:vector>
  </TitlesOfParts>
  <Company>KanORS Consulting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Sofia Simoes</dc:creator>
  <cp:lastModifiedBy>TIMES Portugal</cp:lastModifiedBy>
  <dcterms:created xsi:type="dcterms:W3CDTF">2005-06-03T09:41:13Z</dcterms:created>
  <dcterms:modified xsi:type="dcterms:W3CDTF">2021-12-27T11:54:03Z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158794641494750</vt:r8>
  </property>
</Properties>
</file>