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0" i="2" l="1"/>
  <c r="T61" i="2"/>
  <c r="T62" i="2"/>
  <c r="T52" i="2"/>
  <c r="V53" i="2"/>
  <c r="V54" i="2"/>
  <c r="V55" i="2"/>
  <c r="V52" i="2"/>
  <c r="V60" i="2"/>
  <c r="V61" i="2"/>
  <c r="V62" i="2"/>
  <c r="V59" i="2"/>
  <c r="T59" i="2"/>
  <c r="T53" i="2"/>
  <c r="T54" i="2"/>
  <c r="T55" i="2"/>
  <c r="P213" i="2" l="1"/>
  <c r="P214" i="2"/>
  <c r="P215" i="2"/>
  <c r="O213" i="2"/>
  <c r="O214" i="2"/>
  <c r="O215" i="2"/>
  <c r="K213" i="2"/>
  <c r="K214" i="2"/>
  <c r="K215" i="2"/>
  <c r="J213" i="2"/>
  <c r="J214" i="2"/>
  <c r="J215" i="2"/>
  <c r="F213" i="2"/>
  <c r="F214" i="2"/>
  <c r="F215" i="2"/>
  <c r="E213" i="2"/>
  <c r="E214" i="2"/>
  <c r="E215" i="2"/>
  <c r="F221" i="2"/>
  <c r="F219" i="2"/>
  <c r="F220" i="2"/>
  <c r="E219" i="2"/>
  <c r="E220" i="2"/>
  <c r="E221" i="2"/>
  <c r="K219" i="2"/>
  <c r="K220" i="2"/>
  <c r="K221" i="2"/>
  <c r="J219" i="2"/>
  <c r="J220" i="2"/>
  <c r="J221" i="2"/>
  <c r="P219" i="2"/>
  <c r="P220" i="2"/>
  <c r="P221" i="2"/>
  <c r="O219" i="2"/>
  <c r="O220" i="2"/>
  <c r="O221" i="2"/>
  <c r="U219" i="2"/>
  <c r="U220" i="2"/>
  <c r="U221" i="2"/>
  <c r="T219" i="2"/>
  <c r="T220" i="2"/>
  <c r="T221" i="2"/>
  <c r="U213" i="2"/>
  <c r="U214" i="2"/>
  <c r="U215" i="2"/>
  <c r="T213" i="2"/>
  <c r="T214" i="2"/>
  <c r="T215" i="2"/>
  <c r="U207" i="2"/>
  <c r="U208" i="2"/>
  <c r="U209" i="2"/>
  <c r="T207" i="2"/>
  <c r="T208" i="2"/>
  <c r="T209" i="2"/>
  <c r="P207" i="2"/>
  <c r="P208" i="2"/>
  <c r="P209" i="2"/>
  <c r="O207" i="2"/>
  <c r="O208" i="2"/>
  <c r="O209" i="2"/>
  <c r="K207" i="2"/>
  <c r="K208" i="2"/>
  <c r="K209" i="2"/>
  <c r="Y208" i="2" s="1"/>
  <c r="J207" i="2"/>
  <c r="J208" i="2"/>
  <c r="J209" i="2"/>
  <c r="F207" i="2"/>
  <c r="Y206" i="2" s="1"/>
  <c r="F208" i="2"/>
  <c r="Y207" i="2" s="1"/>
  <c r="F209" i="2"/>
  <c r="U218" i="2"/>
  <c r="T218" i="2"/>
  <c r="P218" i="2"/>
  <c r="O218" i="2"/>
  <c r="K218" i="2"/>
  <c r="J218" i="2"/>
  <c r="F218" i="2"/>
  <c r="E218" i="2"/>
  <c r="U212" i="2"/>
  <c r="T212" i="2"/>
  <c r="P212" i="2"/>
  <c r="O212" i="2"/>
  <c r="K212" i="2"/>
  <c r="J212" i="2"/>
  <c r="F212" i="2"/>
  <c r="E212" i="2"/>
  <c r="U206" i="2"/>
  <c r="T206" i="2"/>
  <c r="P206" i="2"/>
  <c r="O206" i="2"/>
  <c r="K206" i="2"/>
  <c r="J206" i="2"/>
  <c r="F206" i="2"/>
  <c r="Y205" i="2" s="1"/>
  <c r="E207" i="2"/>
  <c r="X206" i="2" s="1"/>
  <c r="E208" i="2"/>
  <c r="X207" i="2" s="1"/>
  <c r="E209" i="2"/>
  <c r="X208" i="2" s="1"/>
  <c r="E206" i="2"/>
  <c r="X205" i="2" s="1"/>
  <c r="L184" i="1"/>
  <c r="L185" i="1"/>
  <c r="L186" i="1"/>
  <c r="L169" i="1"/>
  <c r="L170" i="1"/>
  <c r="L171" i="1"/>
  <c r="L154" i="1"/>
  <c r="L155" i="1"/>
  <c r="L156" i="1"/>
  <c r="L183" i="1"/>
  <c r="L168" i="1"/>
  <c r="L153" i="1"/>
  <c r="L92" i="1"/>
  <c r="L93" i="1"/>
  <c r="L94" i="1"/>
  <c r="L75" i="1"/>
  <c r="L76" i="1"/>
  <c r="L77" i="1"/>
  <c r="L60" i="1"/>
  <c r="L61" i="1"/>
  <c r="L62" i="1"/>
  <c r="L91" i="1"/>
  <c r="L74" i="1"/>
  <c r="L59" i="1"/>
  <c r="AL65" i="2" l="1"/>
  <c r="AL62" i="2"/>
  <c r="AH63" i="2"/>
  <c r="AJ63" i="2" s="1"/>
  <c r="AH64" i="2"/>
  <c r="AJ64" i="2" s="1"/>
  <c r="AH65" i="2"/>
  <c r="AK65" i="2" s="1"/>
  <c r="AH62" i="2"/>
  <c r="AJ62" i="2" s="1"/>
  <c r="AI63" i="2"/>
  <c r="AL63" i="2" s="1"/>
  <c r="AI64" i="2"/>
  <c r="AI65" i="2"/>
  <c r="AI62" i="2"/>
  <c r="Q75" i="1"/>
  <c r="Q76" i="1"/>
  <c r="Q77" i="1"/>
  <c r="Q74" i="1"/>
  <c r="AK62" i="2" l="1"/>
  <c r="AJ65" i="2"/>
  <c r="AK64" i="2"/>
  <c r="AK63" i="2"/>
  <c r="AL64" i="2"/>
  <c r="AL46" i="2"/>
  <c r="AI40" i="2"/>
  <c r="AJ40" i="2"/>
  <c r="AK40" i="2"/>
  <c r="AI41" i="2"/>
  <c r="AL41" i="2" s="1"/>
  <c r="AJ41" i="2"/>
  <c r="AK41" i="2"/>
  <c r="AI42" i="2"/>
  <c r="AL42" i="2" s="1"/>
  <c r="AJ42" i="2"/>
  <c r="AK42" i="2"/>
  <c r="AI54" i="2"/>
  <c r="AJ54" i="2"/>
  <c r="AK54" i="2"/>
  <c r="AI55" i="2"/>
  <c r="AJ55" i="2"/>
  <c r="AK55" i="2"/>
  <c r="AI56" i="2"/>
  <c r="AL56" i="2" s="1"/>
  <c r="AJ56" i="2"/>
  <c r="AK56" i="2"/>
  <c r="AI47" i="2"/>
  <c r="AL47" i="2" s="1"/>
  <c r="AJ47" i="2"/>
  <c r="AK47" i="2"/>
  <c r="AI48" i="2"/>
  <c r="AJ48" i="2"/>
  <c r="AK48" i="2"/>
  <c r="AI49" i="2"/>
  <c r="AL49" i="2" s="1"/>
  <c r="AJ49" i="2"/>
  <c r="AK49" i="2"/>
  <c r="AK53" i="2"/>
  <c r="AJ53" i="2"/>
  <c r="AI53" i="2"/>
  <c r="AK46" i="2"/>
  <c r="AJ46" i="2"/>
  <c r="AI46" i="2"/>
  <c r="AK39" i="2"/>
  <c r="AJ39" i="2"/>
  <c r="AI39" i="2"/>
  <c r="AL39" i="2" s="1"/>
  <c r="AD54" i="2"/>
  <c r="AE54" i="2"/>
  <c r="AF54" i="2"/>
  <c r="AD55" i="2"/>
  <c r="AG55" i="2" s="1"/>
  <c r="AE55" i="2"/>
  <c r="AF55" i="2"/>
  <c r="AD56" i="2"/>
  <c r="AE56" i="2"/>
  <c r="AF56" i="2"/>
  <c r="AF53" i="2"/>
  <c r="AE53" i="2"/>
  <c r="AD53" i="2"/>
  <c r="AG53" i="2" s="1"/>
  <c r="AG42" i="2"/>
  <c r="AF47" i="2"/>
  <c r="AF48" i="2"/>
  <c r="AF49" i="2"/>
  <c r="AE47" i="2"/>
  <c r="AE48" i="2"/>
  <c r="AE49" i="2"/>
  <c r="AD47" i="2"/>
  <c r="AD48" i="2"/>
  <c r="AD49" i="2"/>
  <c r="AG49" i="2" s="1"/>
  <c r="AF46" i="2"/>
  <c r="AE46" i="2"/>
  <c r="AD46" i="2"/>
  <c r="AG46" i="2" s="1"/>
  <c r="AF40" i="2"/>
  <c r="AG40" i="2" s="1"/>
  <c r="AF41" i="2"/>
  <c r="AF42" i="2"/>
  <c r="AE40" i="2"/>
  <c r="AE41" i="2"/>
  <c r="AE42" i="2"/>
  <c r="AD40" i="2"/>
  <c r="AD41" i="2"/>
  <c r="AD42" i="2"/>
  <c r="AF39" i="2"/>
  <c r="AE39" i="2"/>
  <c r="AD39" i="2"/>
  <c r="AL55" i="2" l="1"/>
  <c r="AL40" i="2"/>
  <c r="AG54" i="2"/>
  <c r="AG39" i="2"/>
  <c r="AG48" i="2"/>
  <c r="AG47" i="2"/>
  <c r="AG56" i="2"/>
  <c r="AG41" i="2"/>
  <c r="AL54" i="2"/>
  <c r="AL48" i="2"/>
  <c r="AL53" i="2"/>
  <c r="E190" i="2"/>
  <c r="F190" i="2"/>
  <c r="G190" i="2"/>
  <c r="E191" i="2"/>
  <c r="F191" i="2"/>
  <c r="G191" i="2"/>
  <c r="E192" i="2"/>
  <c r="F192" i="2"/>
  <c r="G192" i="2"/>
  <c r="E193" i="2"/>
  <c r="F193" i="2"/>
  <c r="G193" i="2"/>
  <c r="E194" i="2"/>
  <c r="F194" i="2"/>
  <c r="G194" i="2"/>
  <c r="E195" i="2"/>
  <c r="F195" i="2"/>
  <c r="G195" i="2"/>
  <c r="E196" i="2"/>
  <c r="F196" i="2"/>
  <c r="G196" i="2"/>
  <c r="E197" i="2"/>
  <c r="F197" i="2"/>
  <c r="G197" i="2"/>
  <c r="E198" i="2"/>
  <c r="F198" i="2"/>
  <c r="G198" i="2"/>
  <c r="E199" i="2"/>
  <c r="F199" i="2"/>
  <c r="G199" i="2"/>
  <c r="E200" i="2"/>
  <c r="F200" i="2"/>
  <c r="G200" i="2"/>
  <c r="W174" i="2"/>
  <c r="X174" i="2"/>
  <c r="Y174" i="2"/>
  <c r="W175" i="2"/>
  <c r="X175" i="2"/>
  <c r="Y175" i="2"/>
  <c r="W176" i="2"/>
  <c r="X176" i="2"/>
  <c r="Y176" i="2"/>
  <c r="W177" i="2"/>
  <c r="X177" i="2"/>
  <c r="Y177" i="2"/>
  <c r="W178" i="2"/>
  <c r="X178" i="2"/>
  <c r="Y178" i="2"/>
  <c r="W179" i="2"/>
  <c r="X179" i="2"/>
  <c r="Y179" i="2"/>
  <c r="W180" i="2"/>
  <c r="X180" i="2"/>
  <c r="Y180" i="2"/>
  <c r="W181" i="2"/>
  <c r="X181" i="2"/>
  <c r="Y181" i="2"/>
  <c r="W182" i="2"/>
  <c r="X182" i="2"/>
  <c r="Y182" i="2"/>
  <c r="W183" i="2"/>
  <c r="X183" i="2"/>
  <c r="Y183" i="2"/>
  <c r="W184" i="2"/>
  <c r="X184" i="2"/>
  <c r="Y184" i="2"/>
  <c r="N174" i="2"/>
  <c r="O174" i="2"/>
  <c r="P174" i="2"/>
  <c r="N175" i="2"/>
  <c r="O175" i="2"/>
  <c r="P175" i="2"/>
  <c r="N176" i="2"/>
  <c r="O176" i="2"/>
  <c r="P176" i="2"/>
  <c r="N177" i="2"/>
  <c r="O177" i="2"/>
  <c r="P177" i="2"/>
  <c r="N178" i="2"/>
  <c r="O178" i="2"/>
  <c r="P178" i="2"/>
  <c r="N179" i="2"/>
  <c r="O179" i="2"/>
  <c r="P179" i="2"/>
  <c r="N180" i="2"/>
  <c r="O180" i="2"/>
  <c r="P180" i="2"/>
  <c r="N181" i="2"/>
  <c r="O181" i="2"/>
  <c r="P181" i="2"/>
  <c r="N182" i="2"/>
  <c r="O182" i="2"/>
  <c r="P182" i="2"/>
  <c r="N183" i="2"/>
  <c r="O183" i="2"/>
  <c r="P183" i="2"/>
  <c r="N184" i="2"/>
  <c r="O184" i="2"/>
  <c r="P184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E178" i="2"/>
  <c r="F178" i="2"/>
  <c r="G178" i="2"/>
  <c r="E179" i="2"/>
  <c r="F179" i="2"/>
  <c r="G179" i="2"/>
  <c r="E180" i="2"/>
  <c r="F180" i="2"/>
  <c r="G180" i="2"/>
  <c r="E181" i="2"/>
  <c r="F181" i="2"/>
  <c r="G181" i="2"/>
  <c r="E182" i="2"/>
  <c r="F182" i="2"/>
  <c r="G182" i="2"/>
  <c r="E183" i="2"/>
  <c r="F183" i="2"/>
  <c r="G183" i="2"/>
  <c r="E184" i="2"/>
  <c r="F184" i="2"/>
  <c r="G184" i="2"/>
  <c r="G189" i="2"/>
  <c r="F189" i="2"/>
  <c r="E189" i="2"/>
  <c r="Y173" i="2"/>
  <c r="X173" i="2"/>
  <c r="W173" i="2"/>
  <c r="P173" i="2"/>
  <c r="O173" i="2"/>
  <c r="N173" i="2"/>
  <c r="G173" i="2"/>
  <c r="F173" i="2"/>
  <c r="E173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W122" i="2"/>
  <c r="X122" i="2"/>
  <c r="Y122" i="2"/>
  <c r="W123" i="2"/>
  <c r="X123" i="2"/>
  <c r="Y123" i="2"/>
  <c r="W124" i="2"/>
  <c r="X124" i="2"/>
  <c r="Y124" i="2"/>
  <c r="W125" i="2"/>
  <c r="X125" i="2"/>
  <c r="Y125" i="2"/>
  <c r="W126" i="2"/>
  <c r="X126" i="2"/>
  <c r="Y126" i="2"/>
  <c r="W127" i="2"/>
  <c r="X127" i="2"/>
  <c r="Y127" i="2"/>
  <c r="W128" i="2"/>
  <c r="X128" i="2"/>
  <c r="Y128" i="2"/>
  <c r="W129" i="2"/>
  <c r="X129" i="2"/>
  <c r="Y129" i="2"/>
  <c r="W130" i="2"/>
  <c r="X130" i="2"/>
  <c r="Y130" i="2"/>
  <c r="W131" i="2"/>
  <c r="X131" i="2"/>
  <c r="Y131" i="2"/>
  <c r="W132" i="2"/>
  <c r="X132" i="2"/>
  <c r="Y132" i="2"/>
  <c r="N122" i="2"/>
  <c r="O122" i="2"/>
  <c r="P122" i="2"/>
  <c r="N123" i="2"/>
  <c r="O123" i="2"/>
  <c r="P123" i="2"/>
  <c r="N124" i="2"/>
  <c r="O124" i="2"/>
  <c r="P124" i="2"/>
  <c r="N125" i="2"/>
  <c r="O125" i="2"/>
  <c r="P125" i="2"/>
  <c r="N126" i="2"/>
  <c r="O126" i="2"/>
  <c r="P126" i="2"/>
  <c r="N127" i="2"/>
  <c r="O127" i="2"/>
  <c r="P127" i="2"/>
  <c r="N128" i="2"/>
  <c r="O128" i="2"/>
  <c r="P128" i="2"/>
  <c r="N129" i="2"/>
  <c r="O129" i="2"/>
  <c r="P129" i="2"/>
  <c r="N130" i="2"/>
  <c r="O130" i="2"/>
  <c r="P130" i="2"/>
  <c r="N131" i="2"/>
  <c r="O131" i="2"/>
  <c r="P131" i="2"/>
  <c r="N132" i="2"/>
  <c r="O132" i="2"/>
  <c r="P132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E130" i="2"/>
  <c r="F130" i="2"/>
  <c r="G130" i="2"/>
  <c r="E131" i="2"/>
  <c r="F131" i="2"/>
  <c r="G131" i="2"/>
  <c r="E132" i="2"/>
  <c r="F132" i="2"/>
  <c r="G132" i="2"/>
  <c r="G137" i="2"/>
  <c r="F137" i="2"/>
  <c r="E137" i="2"/>
  <c r="Y121" i="2"/>
  <c r="X121" i="2"/>
  <c r="W121" i="2"/>
  <c r="P121" i="2"/>
  <c r="O121" i="2"/>
  <c r="N121" i="2"/>
  <c r="G121" i="2"/>
  <c r="F121" i="2"/>
  <c r="E121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G87" i="2"/>
  <c r="F87" i="2"/>
  <c r="E87" i="2"/>
  <c r="W72" i="2"/>
  <c r="X72" i="2"/>
  <c r="Y72" i="2"/>
  <c r="W73" i="2"/>
  <c r="X73" i="2"/>
  <c r="Y73" i="2"/>
  <c r="W74" i="2"/>
  <c r="X74" i="2"/>
  <c r="Y74" i="2"/>
  <c r="W75" i="2"/>
  <c r="X75" i="2"/>
  <c r="Y75" i="2"/>
  <c r="W76" i="2"/>
  <c r="X76" i="2"/>
  <c r="Y76" i="2"/>
  <c r="W77" i="2"/>
  <c r="X77" i="2"/>
  <c r="Y77" i="2"/>
  <c r="W78" i="2"/>
  <c r="X78" i="2"/>
  <c r="Y78" i="2"/>
  <c r="W79" i="2"/>
  <c r="X79" i="2"/>
  <c r="Y79" i="2"/>
  <c r="W80" i="2"/>
  <c r="X80" i="2"/>
  <c r="Y80" i="2"/>
  <c r="W81" i="2"/>
  <c r="X81" i="2"/>
  <c r="Y81" i="2"/>
  <c r="W82" i="2"/>
  <c r="X82" i="2"/>
  <c r="Y82" i="2"/>
  <c r="Y71" i="2"/>
  <c r="X71" i="2"/>
  <c r="W71" i="2"/>
  <c r="P72" i="2"/>
  <c r="P73" i="2"/>
  <c r="P74" i="2"/>
  <c r="P75" i="2"/>
  <c r="P76" i="2"/>
  <c r="P77" i="2"/>
  <c r="P78" i="2"/>
  <c r="P79" i="2"/>
  <c r="P80" i="2"/>
  <c r="P81" i="2"/>
  <c r="P82" i="2"/>
  <c r="O72" i="2"/>
  <c r="O73" i="2"/>
  <c r="O74" i="2"/>
  <c r="O75" i="2"/>
  <c r="O76" i="2"/>
  <c r="O77" i="2"/>
  <c r="O78" i="2"/>
  <c r="O79" i="2"/>
  <c r="O80" i="2"/>
  <c r="O81" i="2"/>
  <c r="O82" i="2"/>
  <c r="N72" i="2"/>
  <c r="N73" i="2"/>
  <c r="N74" i="2"/>
  <c r="N75" i="2"/>
  <c r="N76" i="2"/>
  <c r="N77" i="2"/>
  <c r="N78" i="2"/>
  <c r="N79" i="2"/>
  <c r="N80" i="2"/>
  <c r="N81" i="2"/>
  <c r="N82" i="2"/>
  <c r="P71" i="2"/>
  <c r="O71" i="2"/>
  <c r="N71" i="2"/>
  <c r="G72" i="2"/>
  <c r="G73" i="2"/>
  <c r="G74" i="2"/>
  <c r="G75" i="2"/>
  <c r="G76" i="2"/>
  <c r="G77" i="2"/>
  <c r="G78" i="2"/>
  <c r="G79" i="2"/>
  <c r="G80" i="2"/>
  <c r="G81" i="2"/>
  <c r="G82" i="2"/>
  <c r="G71" i="2"/>
  <c r="F72" i="2"/>
  <c r="F73" i="2"/>
  <c r="F74" i="2"/>
  <c r="F75" i="2"/>
  <c r="F76" i="2"/>
  <c r="F77" i="2"/>
  <c r="F78" i="2"/>
  <c r="F79" i="2"/>
  <c r="F80" i="2"/>
  <c r="F81" i="2"/>
  <c r="F82" i="2"/>
  <c r="E72" i="2"/>
  <c r="E73" i="2"/>
  <c r="E74" i="2"/>
  <c r="E75" i="2"/>
  <c r="E76" i="2"/>
  <c r="E77" i="2"/>
  <c r="E78" i="2"/>
  <c r="E79" i="2"/>
  <c r="E80" i="2"/>
  <c r="E81" i="2"/>
  <c r="E82" i="2"/>
  <c r="F71" i="2"/>
  <c r="E71" i="2"/>
  <c r="AE23" i="2"/>
  <c r="AE24" i="2"/>
  <c r="AE25" i="2"/>
  <c r="AE26" i="2"/>
  <c r="AE27" i="2"/>
  <c r="AE28" i="2"/>
  <c r="AE29" i="2"/>
  <c r="AE30" i="2"/>
  <c r="AE31" i="2"/>
  <c r="AE32" i="2"/>
  <c r="AE33" i="2"/>
  <c r="AE22" i="2"/>
  <c r="AD23" i="2"/>
  <c r="AD24" i="2"/>
  <c r="AD25" i="2"/>
  <c r="AD26" i="2"/>
  <c r="AD27" i="2"/>
  <c r="AD28" i="2"/>
  <c r="AD29" i="2"/>
  <c r="AD30" i="2"/>
  <c r="AD31" i="2"/>
  <c r="AD32" i="2"/>
  <c r="AD33" i="2"/>
  <c r="AD22" i="2"/>
  <c r="AB23" i="2"/>
  <c r="AB24" i="2"/>
  <c r="AB25" i="2"/>
  <c r="AB26" i="2"/>
  <c r="AB27" i="2"/>
  <c r="AB28" i="2"/>
  <c r="AB29" i="2"/>
  <c r="AB30" i="2"/>
  <c r="AB31" i="2"/>
  <c r="AB32" i="2"/>
  <c r="AB33" i="2"/>
  <c r="AB22" i="2"/>
  <c r="Q173" i="2" l="1"/>
  <c r="Z71" i="2"/>
  <c r="Z124" i="2"/>
  <c r="Z176" i="2"/>
  <c r="H121" i="2"/>
  <c r="H140" i="2"/>
  <c r="H192" i="2"/>
  <c r="H127" i="2"/>
  <c r="AF25" i="2"/>
  <c r="H87" i="2"/>
  <c r="Q71" i="2"/>
  <c r="H71" i="2"/>
  <c r="AF22" i="2"/>
  <c r="AF28" i="2"/>
  <c r="H74" i="2"/>
  <c r="Q77" i="2"/>
  <c r="H124" i="2"/>
  <c r="H176" i="2"/>
  <c r="H179" i="2"/>
  <c r="H173" i="2"/>
  <c r="Q179" i="2"/>
  <c r="H143" i="2"/>
  <c r="Q176" i="2"/>
  <c r="Z173" i="2"/>
  <c r="Q74" i="2"/>
  <c r="Q121" i="2"/>
  <c r="H195" i="2"/>
  <c r="H77" i="2"/>
  <c r="Q124" i="2"/>
  <c r="Z179" i="2"/>
  <c r="H189" i="2"/>
  <c r="H137" i="2"/>
  <c r="Z121" i="2"/>
  <c r="Z127" i="2"/>
  <c r="Q127" i="2"/>
  <c r="H90" i="2"/>
  <c r="H93" i="2"/>
  <c r="Z74" i="2"/>
  <c r="Z77" i="2"/>
  <c r="AE7" i="2"/>
  <c r="AE8" i="2"/>
  <c r="AE9" i="2"/>
  <c r="AE10" i="2"/>
  <c r="AE11" i="2"/>
  <c r="AE12" i="2"/>
  <c r="AE13" i="2"/>
  <c r="AE14" i="2"/>
  <c r="AE15" i="2"/>
  <c r="AE16" i="2"/>
  <c r="AE17" i="2"/>
  <c r="AE6" i="2"/>
  <c r="AD7" i="2"/>
  <c r="AD8" i="2"/>
  <c r="AD9" i="2"/>
  <c r="AD10" i="2"/>
  <c r="AD11" i="2"/>
  <c r="AD12" i="2"/>
  <c r="AD13" i="2"/>
  <c r="AD14" i="2"/>
  <c r="AD15" i="2"/>
  <c r="AD16" i="2"/>
  <c r="AD17" i="2"/>
  <c r="AD6" i="2"/>
  <c r="AB7" i="2"/>
  <c r="AB8" i="2"/>
  <c r="AB9" i="2"/>
  <c r="AB10" i="2"/>
  <c r="AB11" i="2"/>
  <c r="AB12" i="2"/>
  <c r="AB13" i="2"/>
  <c r="AB14" i="2"/>
  <c r="AB15" i="2"/>
  <c r="AB16" i="2"/>
  <c r="AB17" i="2"/>
  <c r="AB6" i="2"/>
  <c r="AF9" i="2" l="1"/>
  <c r="AF6" i="2"/>
  <c r="AF12" i="2"/>
  <c r="AD200" i="1"/>
  <c r="AD202" i="1"/>
  <c r="AA200" i="1"/>
  <c r="AB200" i="1"/>
  <c r="AC200" i="1"/>
  <c r="AA201" i="1"/>
  <c r="AB201" i="1"/>
  <c r="AC201" i="1"/>
  <c r="AA202" i="1"/>
  <c r="AB202" i="1"/>
  <c r="AC202" i="1"/>
  <c r="Z200" i="1"/>
  <c r="Z201" i="1"/>
  <c r="Z202" i="1"/>
  <c r="Y200" i="1"/>
  <c r="Y201" i="1"/>
  <c r="Y202" i="1"/>
  <c r="X200" i="1"/>
  <c r="X201" i="1"/>
  <c r="X202" i="1"/>
  <c r="AC199" i="1"/>
  <c r="AB199" i="1"/>
  <c r="AA199" i="1"/>
  <c r="Z199" i="1"/>
  <c r="Y199" i="1"/>
  <c r="X199" i="1"/>
  <c r="W200" i="1"/>
  <c r="W201" i="1"/>
  <c r="AD201" i="1" s="1"/>
  <c r="W202" i="1"/>
  <c r="W199" i="1"/>
  <c r="AD199" i="1" s="1"/>
  <c r="M400" i="1" l="1"/>
  <c r="M399" i="1"/>
  <c r="M398" i="1"/>
  <c r="O393" i="1" l="1"/>
  <c r="O392" i="1"/>
  <c r="O391" i="1"/>
  <c r="O390" i="1"/>
  <c r="M393" i="1"/>
  <c r="M392" i="1"/>
  <c r="M391" i="1"/>
  <c r="M390" i="1"/>
  <c r="L393" i="1"/>
  <c r="L392" i="1"/>
  <c r="L391" i="1"/>
  <c r="L390" i="1"/>
  <c r="I404" i="1"/>
  <c r="I405" i="1"/>
  <c r="I406" i="1"/>
  <c r="I403" i="1"/>
  <c r="G404" i="1"/>
  <c r="G405" i="1"/>
  <c r="G406" i="1"/>
  <c r="H403" i="1"/>
  <c r="H405" i="1"/>
  <c r="H406" i="1"/>
  <c r="H404" i="1"/>
  <c r="G403" i="1"/>
  <c r="I396" i="1"/>
  <c r="I397" i="1"/>
  <c r="I398" i="1"/>
  <c r="I395" i="1"/>
  <c r="H396" i="1"/>
  <c r="H397" i="1"/>
  <c r="H398" i="1"/>
  <c r="H395" i="1"/>
  <c r="G396" i="1"/>
  <c r="G397" i="1"/>
  <c r="G398" i="1"/>
  <c r="G395" i="1"/>
  <c r="H391" i="1"/>
  <c r="H390" i="1"/>
  <c r="P88" i="1" l="1"/>
  <c r="V71" i="1"/>
  <c r="X373" i="1" l="1"/>
  <c r="W373" i="1"/>
  <c r="V373" i="1"/>
  <c r="U373" i="1"/>
  <c r="R373" i="1"/>
  <c r="Q373" i="1"/>
  <c r="P373" i="1"/>
  <c r="O373" i="1"/>
  <c r="X372" i="1"/>
  <c r="W372" i="1"/>
  <c r="V372" i="1"/>
  <c r="U372" i="1"/>
  <c r="R372" i="1"/>
  <c r="Q372" i="1"/>
  <c r="P372" i="1"/>
  <c r="O372" i="1"/>
  <c r="X371" i="1"/>
  <c r="W371" i="1"/>
  <c r="V371" i="1"/>
  <c r="U371" i="1"/>
  <c r="R371" i="1"/>
  <c r="Q371" i="1"/>
  <c r="P371" i="1"/>
  <c r="O371" i="1"/>
  <c r="X370" i="1"/>
  <c r="W370" i="1"/>
  <c r="V370" i="1"/>
  <c r="U370" i="1"/>
  <c r="R370" i="1"/>
  <c r="Q370" i="1"/>
  <c r="P370" i="1"/>
  <c r="O370" i="1"/>
  <c r="X368" i="1"/>
  <c r="W368" i="1"/>
  <c r="V368" i="1"/>
  <c r="U368" i="1"/>
  <c r="R368" i="1"/>
  <c r="Q368" i="1"/>
  <c r="P368" i="1"/>
  <c r="O368" i="1"/>
  <c r="X367" i="1"/>
  <c r="W367" i="1"/>
  <c r="V367" i="1"/>
  <c r="U367" i="1"/>
  <c r="R367" i="1"/>
  <c r="Q367" i="1"/>
  <c r="P367" i="1"/>
  <c r="O367" i="1"/>
  <c r="X366" i="1"/>
  <c r="W366" i="1"/>
  <c r="V366" i="1"/>
  <c r="U366" i="1"/>
  <c r="R366" i="1"/>
  <c r="Q366" i="1"/>
  <c r="P366" i="1"/>
  <c r="O366" i="1"/>
  <c r="X365" i="1"/>
  <c r="W365" i="1"/>
  <c r="V365" i="1"/>
  <c r="U365" i="1"/>
  <c r="R365" i="1"/>
  <c r="Q365" i="1"/>
  <c r="P365" i="1"/>
  <c r="O365" i="1"/>
  <c r="X363" i="1"/>
  <c r="W363" i="1"/>
  <c r="V363" i="1"/>
  <c r="U363" i="1"/>
  <c r="R363" i="1"/>
  <c r="Q363" i="1"/>
  <c r="P363" i="1"/>
  <c r="O363" i="1"/>
  <c r="X362" i="1"/>
  <c r="W362" i="1"/>
  <c r="V362" i="1"/>
  <c r="U362" i="1"/>
  <c r="R362" i="1"/>
  <c r="Q362" i="1"/>
  <c r="P362" i="1"/>
  <c r="O362" i="1"/>
  <c r="X361" i="1"/>
  <c r="W361" i="1"/>
  <c r="V361" i="1"/>
  <c r="U361" i="1"/>
  <c r="R361" i="1"/>
  <c r="Q361" i="1"/>
  <c r="P361" i="1"/>
  <c r="O361" i="1"/>
  <c r="X360" i="1"/>
  <c r="W360" i="1"/>
  <c r="V360" i="1"/>
  <c r="U360" i="1"/>
  <c r="R360" i="1"/>
  <c r="Q360" i="1"/>
  <c r="P360" i="1"/>
  <c r="O360" i="1"/>
  <c r="X354" i="1"/>
  <c r="W354" i="1"/>
  <c r="V354" i="1"/>
  <c r="U354" i="1"/>
  <c r="R354" i="1"/>
  <c r="O354" i="1"/>
  <c r="X353" i="1"/>
  <c r="W353" i="1"/>
  <c r="V353" i="1"/>
  <c r="U353" i="1"/>
  <c r="R353" i="1"/>
  <c r="O353" i="1"/>
  <c r="X352" i="1"/>
  <c r="W352" i="1"/>
  <c r="V352" i="1"/>
  <c r="U352" i="1"/>
  <c r="X351" i="1"/>
  <c r="W351" i="1"/>
  <c r="V351" i="1"/>
  <c r="U351" i="1"/>
  <c r="R350" i="1"/>
  <c r="X349" i="1"/>
  <c r="W349" i="1"/>
  <c r="V349" i="1"/>
  <c r="U349" i="1"/>
  <c r="R349" i="1"/>
  <c r="O349" i="1"/>
  <c r="X348" i="1"/>
  <c r="W348" i="1"/>
  <c r="V348" i="1"/>
  <c r="U348" i="1"/>
  <c r="X347" i="1"/>
  <c r="W347" i="1"/>
  <c r="V347" i="1"/>
  <c r="U347" i="1"/>
  <c r="X346" i="1"/>
  <c r="W346" i="1"/>
  <c r="V346" i="1"/>
  <c r="U346" i="1"/>
  <c r="R346" i="1"/>
  <c r="O346" i="1"/>
  <c r="R345" i="1"/>
  <c r="O345" i="1"/>
  <c r="X344" i="1"/>
  <c r="W344" i="1"/>
  <c r="V344" i="1"/>
  <c r="U344" i="1"/>
  <c r="X343" i="1"/>
  <c r="W343" i="1"/>
  <c r="V343" i="1"/>
  <c r="U343" i="1"/>
  <c r="X342" i="1"/>
  <c r="W342" i="1"/>
  <c r="V342" i="1"/>
  <c r="U342" i="1"/>
  <c r="X341" i="1"/>
  <c r="W341" i="1"/>
  <c r="V341" i="1"/>
  <c r="U341" i="1"/>
  <c r="X291" i="1"/>
  <c r="X292" i="1"/>
  <c r="X293" i="1"/>
  <c r="X290" i="1"/>
  <c r="W291" i="1"/>
  <c r="W292" i="1"/>
  <c r="W293" i="1"/>
  <c r="W290" i="1"/>
  <c r="X296" i="1"/>
  <c r="X297" i="1"/>
  <c r="X298" i="1"/>
  <c r="W296" i="1"/>
  <c r="W297" i="1"/>
  <c r="W298" i="1"/>
  <c r="V296" i="1"/>
  <c r="V297" i="1"/>
  <c r="V298" i="1"/>
  <c r="U296" i="1"/>
  <c r="U297" i="1"/>
  <c r="U298" i="1"/>
  <c r="V291" i="1"/>
  <c r="V292" i="1"/>
  <c r="V293" i="1"/>
  <c r="U291" i="1"/>
  <c r="U292" i="1"/>
  <c r="U293" i="1"/>
  <c r="X286" i="1"/>
  <c r="X287" i="1"/>
  <c r="X288" i="1"/>
  <c r="W286" i="1"/>
  <c r="W287" i="1"/>
  <c r="W288" i="1"/>
  <c r="V286" i="1"/>
  <c r="V287" i="1"/>
  <c r="V288" i="1"/>
  <c r="U286" i="1"/>
  <c r="U287" i="1"/>
  <c r="U288" i="1"/>
  <c r="X295" i="1"/>
  <c r="W295" i="1"/>
  <c r="V295" i="1"/>
  <c r="U295" i="1"/>
  <c r="V290" i="1"/>
  <c r="U290" i="1"/>
  <c r="X285" i="1"/>
  <c r="W285" i="1"/>
  <c r="V285" i="1"/>
  <c r="U285" i="1"/>
  <c r="R296" i="1"/>
  <c r="R297" i="1"/>
  <c r="R298" i="1"/>
  <c r="Q296" i="1"/>
  <c r="Q297" i="1"/>
  <c r="Q298" i="1"/>
  <c r="P296" i="1"/>
  <c r="P297" i="1"/>
  <c r="P298" i="1"/>
  <c r="O296" i="1"/>
  <c r="O297" i="1"/>
  <c r="O298" i="1"/>
  <c r="R291" i="1"/>
  <c r="R292" i="1"/>
  <c r="R293" i="1"/>
  <c r="Q291" i="1"/>
  <c r="Q292" i="1"/>
  <c r="Q293" i="1"/>
  <c r="P291" i="1"/>
  <c r="P292" i="1"/>
  <c r="P293" i="1"/>
  <c r="O291" i="1"/>
  <c r="O292" i="1"/>
  <c r="O293" i="1"/>
  <c r="R286" i="1"/>
  <c r="R287" i="1"/>
  <c r="R288" i="1"/>
  <c r="Q286" i="1"/>
  <c r="Q287" i="1"/>
  <c r="Q288" i="1"/>
  <c r="P286" i="1"/>
  <c r="P287" i="1"/>
  <c r="P288" i="1"/>
  <c r="O286" i="1"/>
  <c r="O287" i="1"/>
  <c r="O288" i="1"/>
  <c r="R295" i="1"/>
  <c r="Q295" i="1"/>
  <c r="P295" i="1"/>
  <c r="O295" i="1"/>
  <c r="R290" i="1"/>
  <c r="Q290" i="1"/>
  <c r="P290" i="1"/>
  <c r="O290" i="1"/>
  <c r="R285" i="1"/>
  <c r="Q285" i="1"/>
  <c r="P285" i="1"/>
  <c r="O285" i="1"/>
  <c r="X277" i="1"/>
  <c r="X278" i="1"/>
  <c r="X279" i="1"/>
  <c r="W277" i="1"/>
  <c r="W278" i="1"/>
  <c r="W279" i="1"/>
  <c r="V277" i="1"/>
  <c r="V278" i="1"/>
  <c r="V279" i="1"/>
  <c r="U277" i="1"/>
  <c r="U278" i="1"/>
  <c r="U279" i="1"/>
  <c r="X272" i="1"/>
  <c r="X273" i="1"/>
  <c r="X274" i="1"/>
  <c r="W272" i="1"/>
  <c r="W273" i="1"/>
  <c r="W274" i="1"/>
  <c r="V272" i="1"/>
  <c r="V273" i="1"/>
  <c r="V274" i="1"/>
  <c r="U272" i="1"/>
  <c r="U273" i="1"/>
  <c r="U274" i="1"/>
  <c r="X269" i="1"/>
  <c r="X267" i="1"/>
  <c r="X268" i="1"/>
  <c r="W267" i="1"/>
  <c r="W268" i="1"/>
  <c r="W269" i="1"/>
  <c r="V267" i="1"/>
  <c r="V268" i="1"/>
  <c r="V269" i="1"/>
  <c r="U267" i="1"/>
  <c r="U268" i="1"/>
  <c r="U269" i="1"/>
  <c r="X276" i="1"/>
  <c r="W276" i="1"/>
  <c r="V276" i="1"/>
  <c r="U276" i="1"/>
  <c r="X271" i="1"/>
  <c r="W271" i="1"/>
  <c r="V271" i="1"/>
  <c r="U271" i="1"/>
  <c r="X266" i="1"/>
  <c r="W266" i="1"/>
  <c r="V266" i="1"/>
  <c r="U266" i="1"/>
  <c r="R279" i="1"/>
  <c r="Q279" i="1"/>
  <c r="P279" i="1"/>
  <c r="O279" i="1"/>
  <c r="R275" i="1"/>
  <c r="Q275" i="1"/>
  <c r="P275" i="1"/>
  <c r="O275" i="1"/>
  <c r="R278" i="1"/>
  <c r="Q278" i="1"/>
  <c r="P278" i="1"/>
  <c r="O278" i="1"/>
  <c r="R274" i="1"/>
  <c r="Q274" i="1"/>
  <c r="P274" i="1"/>
  <c r="O274" i="1"/>
  <c r="R271" i="1"/>
  <c r="Q271" i="1"/>
  <c r="P271" i="1"/>
  <c r="O271" i="1"/>
  <c r="Q270" i="1"/>
  <c r="R270" i="1"/>
  <c r="P270" i="1"/>
  <c r="O270" i="1"/>
  <c r="K371" i="1"/>
  <c r="K372" i="1"/>
  <c r="K373" i="1"/>
  <c r="J371" i="1"/>
  <c r="J372" i="1"/>
  <c r="J373" i="1"/>
  <c r="I371" i="1"/>
  <c r="I372" i="1"/>
  <c r="I373" i="1"/>
  <c r="K356" i="1"/>
  <c r="K357" i="1"/>
  <c r="K358" i="1"/>
  <c r="J356" i="1"/>
  <c r="J357" i="1"/>
  <c r="J358" i="1"/>
  <c r="I356" i="1"/>
  <c r="I357" i="1"/>
  <c r="I358" i="1"/>
  <c r="K341" i="1"/>
  <c r="K342" i="1"/>
  <c r="K343" i="1"/>
  <c r="J341" i="1"/>
  <c r="J342" i="1"/>
  <c r="J343" i="1"/>
  <c r="I341" i="1"/>
  <c r="I342" i="1"/>
  <c r="I343" i="1"/>
  <c r="K370" i="1"/>
  <c r="J370" i="1"/>
  <c r="I370" i="1"/>
  <c r="K355" i="1"/>
  <c r="J355" i="1"/>
  <c r="I355" i="1"/>
  <c r="K340" i="1"/>
  <c r="J340" i="1"/>
  <c r="I340" i="1"/>
  <c r="K296" i="1"/>
  <c r="K297" i="1"/>
  <c r="K298" i="1"/>
  <c r="J296" i="1"/>
  <c r="J297" i="1"/>
  <c r="J298" i="1"/>
  <c r="I296" i="1"/>
  <c r="I297" i="1"/>
  <c r="I298" i="1"/>
  <c r="K295" i="1"/>
  <c r="J295" i="1"/>
  <c r="I295" i="1"/>
  <c r="K281" i="1"/>
  <c r="K282" i="1"/>
  <c r="K283" i="1"/>
  <c r="J281" i="1"/>
  <c r="J282" i="1"/>
  <c r="J283" i="1"/>
  <c r="I281" i="1"/>
  <c r="I282" i="1"/>
  <c r="I283" i="1"/>
  <c r="K280" i="1"/>
  <c r="J280" i="1"/>
  <c r="I280" i="1"/>
  <c r="K266" i="1"/>
  <c r="K267" i="1"/>
  <c r="K268" i="1"/>
  <c r="J266" i="1"/>
  <c r="J267" i="1"/>
  <c r="J268" i="1"/>
  <c r="I266" i="1"/>
  <c r="I267" i="1"/>
  <c r="I268" i="1"/>
  <c r="K265" i="1"/>
  <c r="J265" i="1"/>
  <c r="I265" i="1"/>
  <c r="S65" i="1" l="1"/>
  <c r="P117" i="1"/>
  <c r="S117" i="1"/>
  <c r="S116" i="1"/>
  <c r="Q117" i="1"/>
  <c r="Q116" i="1"/>
  <c r="R117" i="1"/>
  <c r="R116" i="1"/>
  <c r="L217" i="1"/>
  <c r="L218" i="1"/>
  <c r="L219" i="1"/>
  <c r="L216" i="1"/>
  <c r="M212" i="1"/>
  <c r="M213" i="1"/>
  <c r="M214" i="1"/>
  <c r="L212" i="1"/>
  <c r="L213" i="1"/>
  <c r="L214" i="1"/>
  <c r="L211" i="1"/>
  <c r="K212" i="1"/>
  <c r="K213" i="1"/>
  <c r="K214" i="1"/>
  <c r="K211" i="1"/>
  <c r="W93" i="1"/>
  <c r="W94" i="1"/>
  <c r="W95" i="1"/>
  <c r="W92" i="1"/>
  <c r="Y72" i="1"/>
  <c r="Y73" i="1"/>
  <c r="Y74" i="1"/>
  <c r="Y71" i="1"/>
  <c r="X72" i="1"/>
  <c r="X73" i="1"/>
  <c r="X74" i="1"/>
  <c r="X71" i="1"/>
  <c r="W72" i="1"/>
  <c r="W73" i="1"/>
  <c r="W74" i="1"/>
  <c r="W71" i="1"/>
  <c r="V72" i="1"/>
  <c r="V73" i="1"/>
  <c r="V74" i="1"/>
  <c r="Y69" i="1"/>
  <c r="X69" i="1"/>
  <c r="J183" i="1" l="1"/>
  <c r="T219" i="1"/>
  <c r="T220" i="1"/>
  <c r="T221" i="1"/>
  <c r="S219" i="1"/>
  <c r="S220" i="1"/>
  <c r="S221" i="1"/>
  <c r="R219" i="1"/>
  <c r="R220" i="1"/>
  <c r="R221" i="1"/>
  <c r="Q219" i="1"/>
  <c r="Q220" i="1"/>
  <c r="Q221" i="1"/>
  <c r="T214" i="1"/>
  <c r="T215" i="1"/>
  <c r="T216" i="1"/>
  <c r="S214" i="1"/>
  <c r="S215" i="1"/>
  <c r="S216" i="1"/>
  <c r="R214" i="1"/>
  <c r="R215" i="1"/>
  <c r="R216" i="1"/>
  <c r="Q214" i="1"/>
  <c r="Q215" i="1"/>
  <c r="Q216" i="1"/>
  <c r="T218" i="1"/>
  <c r="S218" i="1"/>
  <c r="R218" i="1"/>
  <c r="Q218" i="1"/>
  <c r="T213" i="1"/>
  <c r="S213" i="1"/>
  <c r="R213" i="1"/>
  <c r="Q213" i="1"/>
  <c r="Y181" i="1"/>
  <c r="Y182" i="1"/>
  <c r="Y183" i="1"/>
  <c r="X181" i="1"/>
  <c r="X182" i="1"/>
  <c r="X183" i="1"/>
  <c r="W181" i="1"/>
  <c r="W182" i="1"/>
  <c r="W183" i="1"/>
  <c r="V181" i="1"/>
  <c r="V182" i="1"/>
  <c r="V183" i="1"/>
  <c r="Y176" i="1"/>
  <c r="Y177" i="1"/>
  <c r="Y178" i="1"/>
  <c r="X176" i="1"/>
  <c r="X177" i="1"/>
  <c r="X178" i="1"/>
  <c r="W176" i="1"/>
  <c r="W177" i="1"/>
  <c r="W178" i="1"/>
  <c r="V176" i="1"/>
  <c r="V177" i="1"/>
  <c r="V178" i="1"/>
  <c r="Y171" i="1"/>
  <c r="Y172" i="1"/>
  <c r="Y173" i="1"/>
  <c r="X171" i="1"/>
  <c r="X172" i="1"/>
  <c r="X173" i="1"/>
  <c r="W171" i="1"/>
  <c r="W172" i="1"/>
  <c r="W173" i="1"/>
  <c r="V171" i="1"/>
  <c r="V172" i="1"/>
  <c r="V173" i="1"/>
  <c r="Y180" i="1"/>
  <c r="Y175" i="1"/>
  <c r="Y170" i="1"/>
  <c r="X180" i="1"/>
  <c r="X175" i="1"/>
  <c r="X170" i="1"/>
  <c r="W180" i="1"/>
  <c r="W175" i="1"/>
  <c r="W170" i="1"/>
  <c r="V180" i="1"/>
  <c r="V175" i="1"/>
  <c r="V170" i="1"/>
  <c r="V132" i="1"/>
  <c r="Y133" i="1"/>
  <c r="Y134" i="1"/>
  <c r="Y135" i="1"/>
  <c r="X133" i="1"/>
  <c r="X134" i="1"/>
  <c r="X135" i="1"/>
  <c r="W133" i="1"/>
  <c r="W134" i="1"/>
  <c r="W135" i="1"/>
  <c r="V133" i="1"/>
  <c r="V134" i="1"/>
  <c r="V135" i="1"/>
  <c r="Y128" i="1"/>
  <c r="Y129" i="1"/>
  <c r="Y130" i="1"/>
  <c r="X128" i="1"/>
  <c r="X129" i="1"/>
  <c r="X130" i="1"/>
  <c r="W128" i="1"/>
  <c r="W129" i="1"/>
  <c r="W130" i="1"/>
  <c r="V128" i="1"/>
  <c r="V129" i="1"/>
  <c r="V130" i="1"/>
  <c r="Y123" i="1"/>
  <c r="Y124" i="1"/>
  <c r="Y125" i="1"/>
  <c r="X123" i="1"/>
  <c r="X124" i="1"/>
  <c r="X125" i="1"/>
  <c r="W123" i="1"/>
  <c r="W124" i="1"/>
  <c r="W125" i="1"/>
  <c r="V123" i="1"/>
  <c r="V124" i="1"/>
  <c r="V125" i="1"/>
  <c r="Y132" i="1"/>
  <c r="Y127" i="1"/>
  <c r="Y122" i="1"/>
  <c r="X132" i="1"/>
  <c r="X127" i="1"/>
  <c r="X122" i="1"/>
  <c r="W132" i="1"/>
  <c r="W127" i="1"/>
  <c r="W122" i="1"/>
  <c r="V127" i="1"/>
  <c r="V122" i="1"/>
  <c r="Y93" i="1"/>
  <c r="Y94" i="1"/>
  <c r="Y95" i="1"/>
  <c r="X93" i="1"/>
  <c r="X94" i="1"/>
  <c r="X95" i="1"/>
  <c r="V93" i="1"/>
  <c r="V94" i="1"/>
  <c r="V95" i="1"/>
  <c r="Y88" i="1"/>
  <c r="Y89" i="1"/>
  <c r="Y90" i="1"/>
  <c r="X88" i="1"/>
  <c r="X89" i="1"/>
  <c r="X90" i="1"/>
  <c r="W88" i="1"/>
  <c r="W89" i="1"/>
  <c r="W90" i="1"/>
  <c r="V88" i="1"/>
  <c r="V89" i="1"/>
  <c r="V90" i="1"/>
  <c r="Y83" i="1"/>
  <c r="Y84" i="1"/>
  <c r="Y85" i="1"/>
  <c r="X83" i="1"/>
  <c r="X84" i="1"/>
  <c r="X85" i="1"/>
  <c r="W83" i="1"/>
  <c r="W84" i="1"/>
  <c r="W85" i="1"/>
  <c r="V83" i="1"/>
  <c r="V84" i="1"/>
  <c r="V85" i="1"/>
  <c r="Y92" i="1"/>
  <c r="Y87" i="1"/>
  <c r="Y82" i="1"/>
  <c r="X92" i="1"/>
  <c r="R92" i="1"/>
  <c r="X87" i="1"/>
  <c r="X82" i="1"/>
  <c r="W87" i="1"/>
  <c r="W82" i="1"/>
  <c r="V92" i="1"/>
  <c r="V87" i="1"/>
  <c r="V82" i="1"/>
  <c r="P82" i="1"/>
  <c r="S181" i="1"/>
  <c r="S182" i="1"/>
  <c r="S183" i="1"/>
  <c r="R181" i="1"/>
  <c r="R182" i="1"/>
  <c r="R183" i="1"/>
  <c r="Q181" i="1"/>
  <c r="Q182" i="1"/>
  <c r="Q183" i="1"/>
  <c r="P181" i="1"/>
  <c r="P182" i="1"/>
  <c r="P183" i="1"/>
  <c r="S176" i="1"/>
  <c r="S177" i="1"/>
  <c r="S178" i="1"/>
  <c r="R176" i="1"/>
  <c r="R177" i="1"/>
  <c r="R178" i="1"/>
  <c r="Q176" i="1"/>
  <c r="Q177" i="1"/>
  <c r="Q178" i="1"/>
  <c r="P176" i="1"/>
  <c r="P177" i="1"/>
  <c r="P178" i="1"/>
  <c r="S171" i="1"/>
  <c r="S172" i="1"/>
  <c r="S173" i="1"/>
  <c r="R171" i="1"/>
  <c r="R172" i="1"/>
  <c r="R173" i="1"/>
  <c r="Q171" i="1"/>
  <c r="Q172" i="1"/>
  <c r="Q173" i="1"/>
  <c r="P171" i="1"/>
  <c r="P172" i="1"/>
  <c r="P173" i="1"/>
  <c r="M217" i="1"/>
  <c r="M218" i="1"/>
  <c r="M219" i="1"/>
  <c r="K217" i="1"/>
  <c r="K218" i="1"/>
  <c r="K219" i="1"/>
  <c r="J217" i="1"/>
  <c r="J218" i="1"/>
  <c r="J219" i="1"/>
  <c r="J212" i="1"/>
  <c r="J213" i="1"/>
  <c r="J214" i="1"/>
  <c r="M216" i="1"/>
  <c r="K216" i="1"/>
  <c r="J216" i="1"/>
  <c r="M211" i="1"/>
  <c r="J211" i="1"/>
  <c r="S180" i="1"/>
  <c r="S175" i="1"/>
  <c r="S170" i="1"/>
  <c r="R180" i="1"/>
  <c r="R175" i="1"/>
  <c r="R170" i="1"/>
  <c r="Q180" i="1"/>
  <c r="Q175" i="1"/>
  <c r="Q170" i="1"/>
  <c r="P180" i="1"/>
  <c r="P175" i="1"/>
  <c r="P170" i="1"/>
  <c r="P122" i="1"/>
  <c r="S133" i="1"/>
  <c r="S134" i="1"/>
  <c r="S135" i="1"/>
  <c r="R133" i="1"/>
  <c r="R134" i="1"/>
  <c r="R135" i="1"/>
  <c r="Q133" i="1"/>
  <c r="Q134" i="1"/>
  <c r="Q135" i="1"/>
  <c r="P133" i="1"/>
  <c r="P134" i="1"/>
  <c r="P135" i="1"/>
  <c r="S128" i="1"/>
  <c r="S129" i="1"/>
  <c r="S130" i="1"/>
  <c r="R128" i="1"/>
  <c r="R129" i="1"/>
  <c r="R130" i="1"/>
  <c r="Q128" i="1"/>
  <c r="Q129" i="1"/>
  <c r="Q130" i="1"/>
  <c r="P128" i="1"/>
  <c r="P129" i="1"/>
  <c r="P130" i="1"/>
  <c r="S123" i="1"/>
  <c r="S124" i="1"/>
  <c r="S125" i="1"/>
  <c r="R123" i="1"/>
  <c r="R124" i="1"/>
  <c r="R125" i="1"/>
  <c r="Q123" i="1"/>
  <c r="Q124" i="1"/>
  <c r="Q125" i="1"/>
  <c r="P123" i="1"/>
  <c r="P124" i="1"/>
  <c r="P125" i="1"/>
  <c r="Q132" i="1"/>
  <c r="S132" i="1"/>
  <c r="S127" i="1"/>
  <c r="S122" i="1"/>
  <c r="R132" i="1"/>
  <c r="R127" i="1"/>
  <c r="R122" i="1"/>
  <c r="Q127" i="1"/>
  <c r="Q122" i="1"/>
  <c r="P132" i="1"/>
  <c r="P127" i="1"/>
  <c r="S93" i="1"/>
  <c r="S94" i="1"/>
  <c r="S95" i="1"/>
  <c r="R93" i="1"/>
  <c r="R94" i="1"/>
  <c r="R95" i="1"/>
  <c r="Q93" i="1"/>
  <c r="Q94" i="1"/>
  <c r="Q95" i="1"/>
  <c r="P93" i="1"/>
  <c r="P94" i="1"/>
  <c r="P95" i="1"/>
  <c r="S88" i="1"/>
  <c r="S89" i="1"/>
  <c r="S90" i="1"/>
  <c r="R88" i="1"/>
  <c r="R89" i="1"/>
  <c r="R90" i="1"/>
  <c r="Q88" i="1"/>
  <c r="Q89" i="1"/>
  <c r="Q90" i="1"/>
  <c r="P89" i="1"/>
  <c r="P90" i="1"/>
  <c r="S83" i="1"/>
  <c r="S84" i="1"/>
  <c r="S85" i="1"/>
  <c r="R83" i="1"/>
  <c r="R84" i="1"/>
  <c r="R85" i="1"/>
  <c r="Q83" i="1"/>
  <c r="Q84" i="1"/>
  <c r="Q85" i="1"/>
  <c r="P83" i="1"/>
  <c r="P84" i="1"/>
  <c r="P85" i="1"/>
  <c r="S92" i="1"/>
  <c r="S87" i="1"/>
  <c r="S82" i="1"/>
  <c r="R87" i="1"/>
  <c r="R82" i="1"/>
  <c r="Q92" i="1"/>
  <c r="Q87" i="1"/>
  <c r="Q82" i="1"/>
  <c r="P92" i="1"/>
  <c r="P87" i="1"/>
  <c r="T206" i="1"/>
  <c r="T207" i="1"/>
  <c r="T208" i="1"/>
  <c r="S206" i="1"/>
  <c r="S207" i="1"/>
  <c r="S208" i="1"/>
  <c r="R206" i="1"/>
  <c r="R207" i="1"/>
  <c r="R208" i="1"/>
  <c r="Q206" i="1"/>
  <c r="Q207" i="1"/>
  <c r="Q208" i="1"/>
  <c r="T201" i="1"/>
  <c r="T202" i="1"/>
  <c r="T203" i="1"/>
  <c r="S201" i="1"/>
  <c r="S202" i="1"/>
  <c r="S203" i="1"/>
  <c r="R201" i="1"/>
  <c r="R202" i="1"/>
  <c r="R203" i="1"/>
  <c r="Q201" i="1"/>
  <c r="Q202" i="1"/>
  <c r="Q203" i="1"/>
  <c r="T205" i="1"/>
  <c r="S205" i="1"/>
  <c r="R205" i="1"/>
  <c r="Q205" i="1"/>
  <c r="T200" i="1"/>
  <c r="S200" i="1"/>
  <c r="R200" i="1"/>
  <c r="Q200" i="1"/>
  <c r="Y162" i="1"/>
  <c r="Y163" i="1"/>
  <c r="Y164" i="1"/>
  <c r="X162" i="1"/>
  <c r="X163" i="1"/>
  <c r="X164" i="1"/>
  <c r="W162" i="1"/>
  <c r="W163" i="1"/>
  <c r="W164" i="1"/>
  <c r="V162" i="1"/>
  <c r="V163" i="1"/>
  <c r="V164" i="1"/>
  <c r="Y157" i="1"/>
  <c r="Y158" i="1"/>
  <c r="Y159" i="1"/>
  <c r="X157" i="1"/>
  <c r="X158" i="1"/>
  <c r="X159" i="1"/>
  <c r="W157" i="1"/>
  <c r="W158" i="1"/>
  <c r="W159" i="1"/>
  <c r="V157" i="1"/>
  <c r="V158" i="1"/>
  <c r="V159" i="1"/>
  <c r="Y152" i="1"/>
  <c r="Y153" i="1"/>
  <c r="Y154" i="1"/>
  <c r="X152" i="1"/>
  <c r="X153" i="1"/>
  <c r="X154" i="1"/>
  <c r="W152" i="1"/>
  <c r="W153" i="1"/>
  <c r="W154" i="1"/>
  <c r="V152" i="1"/>
  <c r="V153" i="1"/>
  <c r="V154" i="1"/>
  <c r="Y161" i="1"/>
  <c r="X161" i="1"/>
  <c r="W161" i="1"/>
  <c r="V161" i="1"/>
  <c r="Y156" i="1"/>
  <c r="X156" i="1"/>
  <c r="W156" i="1"/>
  <c r="V156" i="1"/>
  <c r="Y151" i="1"/>
  <c r="X151" i="1"/>
  <c r="W151" i="1"/>
  <c r="V151" i="1"/>
  <c r="Y115" i="1"/>
  <c r="Y116" i="1"/>
  <c r="Y117" i="1"/>
  <c r="X115" i="1"/>
  <c r="X116" i="1"/>
  <c r="X117" i="1"/>
  <c r="W115" i="1"/>
  <c r="W116" i="1"/>
  <c r="W117" i="1"/>
  <c r="V115" i="1"/>
  <c r="V116" i="1"/>
  <c r="V117" i="1"/>
  <c r="Y110" i="1"/>
  <c r="Y111" i="1"/>
  <c r="Y112" i="1"/>
  <c r="X110" i="1"/>
  <c r="X111" i="1"/>
  <c r="X112" i="1"/>
  <c r="W110" i="1"/>
  <c r="W111" i="1"/>
  <c r="W112" i="1"/>
  <c r="V110" i="1"/>
  <c r="V111" i="1"/>
  <c r="V112" i="1"/>
  <c r="Y105" i="1"/>
  <c r="Y106" i="1"/>
  <c r="Y107" i="1"/>
  <c r="X105" i="1"/>
  <c r="X106" i="1"/>
  <c r="X107" i="1"/>
  <c r="W105" i="1"/>
  <c r="W106" i="1"/>
  <c r="W107" i="1"/>
  <c r="V105" i="1"/>
  <c r="V106" i="1"/>
  <c r="V107" i="1"/>
  <c r="Y114" i="1"/>
  <c r="X114" i="1"/>
  <c r="W114" i="1"/>
  <c r="V114" i="1"/>
  <c r="Y109" i="1"/>
  <c r="X109" i="1"/>
  <c r="W109" i="1"/>
  <c r="V109" i="1"/>
  <c r="Y104" i="1"/>
  <c r="X104" i="1"/>
  <c r="W104" i="1"/>
  <c r="V104" i="1"/>
  <c r="Y67" i="1"/>
  <c r="Y68" i="1"/>
  <c r="X67" i="1"/>
  <c r="X68" i="1"/>
  <c r="W67" i="1"/>
  <c r="W68" i="1"/>
  <c r="W69" i="1"/>
  <c r="V67" i="1"/>
  <c r="V68" i="1"/>
  <c r="V69" i="1"/>
  <c r="Y66" i="1"/>
  <c r="X66" i="1"/>
  <c r="W66" i="1"/>
  <c r="V66" i="1"/>
  <c r="Y62" i="1"/>
  <c r="Y63" i="1"/>
  <c r="Y64" i="1"/>
  <c r="Y61" i="1"/>
  <c r="X62" i="1"/>
  <c r="X63" i="1"/>
  <c r="X64" i="1"/>
  <c r="X61" i="1"/>
  <c r="W62" i="1"/>
  <c r="W63" i="1"/>
  <c r="W64" i="1"/>
  <c r="W61" i="1"/>
  <c r="V62" i="1"/>
  <c r="V63" i="1"/>
  <c r="V64" i="1"/>
  <c r="V61" i="1"/>
  <c r="L200" i="1"/>
  <c r="K201" i="1"/>
  <c r="K200" i="1"/>
  <c r="J201" i="1"/>
  <c r="J200" i="1"/>
  <c r="S164" i="1"/>
  <c r="R164" i="1"/>
  <c r="Q164" i="1"/>
  <c r="S163" i="1"/>
  <c r="R163" i="1"/>
  <c r="Q163" i="1"/>
  <c r="S70" i="1"/>
  <c r="R70" i="1"/>
  <c r="Q70" i="1"/>
  <c r="P70" i="1"/>
  <c r="S69" i="1"/>
  <c r="R69" i="1"/>
  <c r="Q69" i="1"/>
  <c r="P69" i="1"/>
  <c r="S66" i="1"/>
  <c r="R66" i="1"/>
  <c r="R65" i="1"/>
  <c r="Q66" i="1"/>
  <c r="S62" i="1"/>
  <c r="R62" i="1"/>
  <c r="J77" i="1" l="1"/>
  <c r="J76" i="1"/>
  <c r="I61" i="1"/>
  <c r="K168" i="1"/>
  <c r="J168" i="1"/>
  <c r="I183" i="1"/>
  <c r="I168" i="1"/>
  <c r="K107" i="1"/>
  <c r="I107" i="1"/>
  <c r="L107" i="1" s="1"/>
  <c r="K91" i="1"/>
  <c r="K74" i="1"/>
  <c r="K59" i="1"/>
  <c r="J59" i="1"/>
  <c r="I59" i="1"/>
  <c r="K183" i="1"/>
  <c r="K153" i="1"/>
  <c r="J153" i="1"/>
  <c r="I153" i="1"/>
  <c r="I154" i="1"/>
  <c r="K137" i="1"/>
  <c r="J137" i="1"/>
  <c r="I137" i="1"/>
  <c r="L137" i="1" s="1"/>
  <c r="K122" i="1"/>
  <c r="J122" i="1"/>
  <c r="I122" i="1"/>
  <c r="J107" i="1"/>
  <c r="J91" i="1"/>
  <c r="I91" i="1"/>
  <c r="J74" i="1"/>
  <c r="I74" i="1"/>
  <c r="J139" i="1"/>
  <c r="J140" i="1"/>
  <c r="J138" i="1"/>
  <c r="K169" i="1"/>
  <c r="K154" i="1"/>
  <c r="J154" i="1"/>
  <c r="I169" i="1"/>
  <c r="K185" i="1"/>
  <c r="K186" i="1"/>
  <c r="J185" i="1"/>
  <c r="J186" i="1"/>
  <c r="I185" i="1"/>
  <c r="I186" i="1"/>
  <c r="K170" i="1"/>
  <c r="K171" i="1"/>
  <c r="J170" i="1"/>
  <c r="J171" i="1"/>
  <c r="I170" i="1"/>
  <c r="I171" i="1"/>
  <c r="K184" i="1"/>
  <c r="J184" i="1"/>
  <c r="I184" i="1"/>
  <c r="J169" i="1"/>
  <c r="K155" i="1"/>
  <c r="K156" i="1"/>
  <c r="J155" i="1"/>
  <c r="J156" i="1"/>
  <c r="I155" i="1"/>
  <c r="I156" i="1"/>
  <c r="K124" i="1"/>
  <c r="K125" i="1"/>
  <c r="K123" i="1"/>
  <c r="J124" i="1"/>
  <c r="J125" i="1"/>
  <c r="J123" i="1"/>
  <c r="I124" i="1"/>
  <c r="I125" i="1"/>
  <c r="L125" i="1" s="1"/>
  <c r="I123" i="1"/>
  <c r="L123" i="1" s="1"/>
  <c r="K109" i="1"/>
  <c r="K110" i="1"/>
  <c r="K108" i="1"/>
  <c r="J109" i="1"/>
  <c r="J110" i="1"/>
  <c r="J108" i="1"/>
  <c r="I109" i="1"/>
  <c r="I110" i="1"/>
  <c r="I108" i="1"/>
  <c r="K139" i="1"/>
  <c r="K140" i="1"/>
  <c r="K138" i="1"/>
  <c r="I139" i="1"/>
  <c r="L139" i="1" s="1"/>
  <c r="I140" i="1"/>
  <c r="L140" i="1" s="1"/>
  <c r="I138" i="1"/>
  <c r="L138" i="1" s="1"/>
  <c r="L124" i="1" l="1"/>
  <c r="L108" i="1"/>
  <c r="L110" i="1"/>
  <c r="L109" i="1"/>
  <c r="L122" i="1"/>
  <c r="K93" i="1"/>
  <c r="K94" i="1"/>
  <c r="K92" i="1"/>
  <c r="J93" i="1"/>
  <c r="J94" i="1"/>
  <c r="J92" i="1"/>
  <c r="I93" i="1"/>
  <c r="I94" i="1"/>
  <c r="I92" i="1"/>
  <c r="K76" i="1"/>
  <c r="K77" i="1"/>
  <c r="K75" i="1"/>
  <c r="J75" i="1"/>
  <c r="I76" i="1"/>
  <c r="I77" i="1"/>
  <c r="I75" i="1"/>
  <c r="K61" i="1"/>
  <c r="K62" i="1"/>
  <c r="K60" i="1"/>
  <c r="J61" i="1"/>
  <c r="J62" i="1"/>
  <c r="J60" i="1"/>
  <c r="I60" i="1"/>
  <c r="I62" i="1"/>
</calcChain>
</file>

<file path=xl/sharedStrings.xml><?xml version="1.0" encoding="utf-8"?>
<sst xmlns="http://schemas.openxmlformats.org/spreadsheetml/2006/main" count="2526" uniqueCount="271">
  <si>
    <t>File Name</t>
  </si>
  <si>
    <t>Actual Size (MB)</t>
  </si>
  <si>
    <t># inputs</t>
  </si>
  <si>
    <t># Same lines</t>
  </si>
  <si>
    <t>chemical-gene.txt</t>
  </si>
  <si>
    <t>gene-disease.txt</t>
  </si>
  <si>
    <t>chemical-gene-mix.txt</t>
  </si>
  <si>
    <t>chemical-gene2.txt</t>
  </si>
  <si>
    <t>gene-disease-mix.txt</t>
  </si>
  <si>
    <t>gene-disease2.txt</t>
  </si>
  <si>
    <t>gene-gene.txt</t>
  </si>
  <si>
    <t>gene-gene-mix.txt</t>
  </si>
  <si>
    <t>gene-gene2.txt</t>
  </si>
  <si>
    <t>180MB</t>
  </si>
  <si>
    <t>360MB</t>
  </si>
  <si>
    <t>540MB</t>
  </si>
  <si>
    <t>Million line files</t>
  </si>
  <si>
    <t>720MB</t>
  </si>
  <si>
    <t>10IDkmer8.txt</t>
  </si>
  <si>
    <t>10IDkmer8-mix.txt</t>
  </si>
  <si>
    <t>10IDkmer8-2.txt</t>
  </si>
  <si>
    <t>20IDkmer8.txt</t>
  </si>
  <si>
    <t>20IDkmer8-mix.txt</t>
  </si>
  <si>
    <t>20IDkmer8-2.txt</t>
  </si>
  <si>
    <t>30IDkmer8.txt</t>
  </si>
  <si>
    <t>30IDkmer8-mix.txt</t>
  </si>
  <si>
    <t>30IDkmer8-2.txt</t>
  </si>
  <si>
    <t>40IDkmer8.txt</t>
  </si>
  <si>
    <t>40IDkmer8-mix.txt</t>
  </si>
  <si>
    <t>40IDkmer8-2.txt</t>
  </si>
  <si>
    <t>Sequence Length</t>
  </si>
  <si>
    <t>10IDkmer15.txt</t>
  </si>
  <si>
    <t>10IDkmer15-mix.txt</t>
  </si>
  <si>
    <t>10IDkmer15-2.txt</t>
  </si>
  <si>
    <t>20IDkmer15.txt</t>
  </si>
  <si>
    <t>20IDkmer15-mix.txt</t>
  </si>
  <si>
    <t>20IDkmer15-2.txt</t>
  </si>
  <si>
    <t>30IDkmer15.txt</t>
  </si>
  <si>
    <t>30IDkmer15-mix.txt</t>
  </si>
  <si>
    <t>30IDkmer15-2.txt</t>
  </si>
  <si>
    <t>40IDkmer15.txt</t>
  </si>
  <si>
    <t>40IDkmer15-mix.txt</t>
  </si>
  <si>
    <t>40IDkmer15-2.txt</t>
  </si>
  <si>
    <t>1000 ~1GB</t>
  </si>
  <si>
    <t>10IDkmer20.txt</t>
  </si>
  <si>
    <t>10IDkmer20-mix.txt</t>
  </si>
  <si>
    <t>10IDkmer20-2.txt</t>
  </si>
  <si>
    <t>20IDkmer20.txt</t>
  </si>
  <si>
    <t>20IDkmer20-mix.txt</t>
  </si>
  <si>
    <t>20IDkmer20-2.txt</t>
  </si>
  <si>
    <t>30IDkmer20.txt</t>
  </si>
  <si>
    <t>30IDkmer20-mix.txt</t>
  </si>
  <si>
    <t>30IDkmer20-2.txt</t>
  </si>
  <si>
    <t>40IDkmer20.txt</t>
  </si>
  <si>
    <t>40IDkmer20-mix.txt</t>
  </si>
  <si>
    <t>40IDkmer20-2.txt</t>
  </si>
  <si>
    <t>1200 ~1.2GB</t>
  </si>
  <si>
    <t xml:space="preserve">Bionetwork Dataset </t>
  </si>
  <si>
    <t>154 MB</t>
  </si>
  <si>
    <t>135 MB</t>
  </si>
  <si>
    <t>116 MB</t>
  </si>
  <si>
    <t>Operations</t>
  </si>
  <si>
    <t>Time</t>
  </si>
  <si>
    <t>Lines</t>
  </si>
  <si>
    <t>FPP</t>
  </si>
  <si>
    <t xml:space="preserve">Lines </t>
  </si>
  <si>
    <t>Insertion</t>
  </si>
  <si>
    <t>Same</t>
  </si>
  <si>
    <t>Mixed</t>
  </si>
  <si>
    <t>Disjoint</t>
  </si>
  <si>
    <t>Determine the K value</t>
  </si>
  <si>
    <t>File: 30IDKer15</t>
  </si>
  <si>
    <t>File: 40IDKer15</t>
  </si>
  <si>
    <t>k=1, rDBF size: 1301 x 1303, murmur len=12</t>
  </si>
  <si>
    <t>k=2, rDBF size: 1301 x 1303, murmur len=12</t>
  </si>
  <si>
    <t>k=3, rDBF size: 1301 x 1303, murmur len=12</t>
  </si>
  <si>
    <t>k=5, 40IDKmer20</t>
  </si>
  <si>
    <t>k=9, 40IDKmer20</t>
  </si>
  <si>
    <t>k=4  to 11, rDBF size: 1301 x 1303, murmur len=12</t>
  </si>
  <si>
    <r>
      <t>2.01X10</t>
    </r>
    <r>
      <rPr>
        <vertAlign val="superscript"/>
        <sz val="11"/>
        <rFont val="Calibri"/>
        <family val="2"/>
        <scheme val="minor"/>
      </rPr>
      <t>-5</t>
    </r>
  </si>
  <si>
    <r>
      <t>4.43X10</t>
    </r>
    <r>
      <rPr>
        <vertAlign val="superscript"/>
        <sz val="11"/>
        <rFont val="Calibri"/>
        <family val="2"/>
        <scheme val="minor"/>
      </rPr>
      <t>-5</t>
    </r>
  </si>
  <si>
    <r>
      <t>0.37X10</t>
    </r>
    <r>
      <rPr>
        <vertAlign val="superscript"/>
        <sz val="11"/>
        <color theme="1"/>
        <rFont val="Calibri"/>
        <family val="2"/>
        <scheme val="minor"/>
      </rPr>
      <t>-5</t>
    </r>
  </si>
  <si>
    <r>
      <t>0.81X10</t>
    </r>
    <r>
      <rPr>
        <vertAlign val="superscript"/>
        <sz val="11"/>
        <color theme="1"/>
        <rFont val="Calibri"/>
        <family val="2"/>
        <scheme val="minor"/>
      </rPr>
      <t>-5</t>
    </r>
  </si>
  <si>
    <r>
      <t>0.12X10</t>
    </r>
    <r>
      <rPr>
        <vertAlign val="superscript"/>
        <sz val="11"/>
        <rFont val="Calibri"/>
        <family val="2"/>
        <scheme val="minor"/>
      </rPr>
      <t>-5</t>
    </r>
  </si>
  <si>
    <r>
      <t>0.15X10</t>
    </r>
    <r>
      <rPr>
        <vertAlign val="superscript"/>
        <sz val="11"/>
        <rFont val="Calibri"/>
        <family val="2"/>
        <scheme val="minor"/>
      </rPr>
      <t>-5</t>
    </r>
  </si>
  <si>
    <r>
      <t>0.045X10</t>
    </r>
    <r>
      <rPr>
        <vertAlign val="superscript"/>
        <sz val="11"/>
        <rFont val="Calibri"/>
        <family val="2"/>
        <scheme val="minor"/>
      </rPr>
      <t>-5</t>
    </r>
  </si>
  <si>
    <t>k=8, File: 40IDKmer20</t>
  </si>
  <si>
    <t>k=7, File: 40IDKmer20</t>
  </si>
  <si>
    <t>k=6, File: 40IDKmer20</t>
  </si>
  <si>
    <t>k=4, File: 40IDKmer20</t>
  </si>
  <si>
    <t>k=10, File: 40IDKmer20</t>
  </si>
  <si>
    <t>k=11, File: 40IDKmer20</t>
  </si>
  <si>
    <t>Cuckoo Filter</t>
  </si>
  <si>
    <t>File: 40IDKmer20</t>
  </si>
  <si>
    <t>File: 30IDKmer20</t>
  </si>
  <si>
    <t>File: 20IDKmer20</t>
  </si>
  <si>
    <t>File: 10IDKmer20</t>
  </si>
  <si>
    <t>File: 10IDKmer15</t>
  </si>
  <si>
    <t>File: 20IDKmer15</t>
  </si>
  <si>
    <t>File: 40IDKmer8</t>
  </si>
  <si>
    <t>File: 30IDKmer8</t>
  </si>
  <si>
    <t>File: 10IDKmer8</t>
  </si>
  <si>
    <t>File: 20IDKmer8</t>
  </si>
  <si>
    <t>File: 30IDKmer15</t>
  </si>
  <si>
    <t>File: 40IDKmer15</t>
  </si>
  <si>
    <t>Total Lines: 15000000</t>
  </si>
  <si>
    <t>Total Lines: 20000000</t>
  </si>
  <si>
    <t>Total Lines: 30000000</t>
  </si>
  <si>
    <t>Total Lines: 40000000</t>
  </si>
  <si>
    <t>Bionetwork Dataset</t>
  </si>
  <si>
    <t>File: chemical-gene</t>
  </si>
  <si>
    <t>File: gene-disease</t>
  </si>
  <si>
    <t>File: gene-gene</t>
  </si>
  <si>
    <r>
      <t>0.027x10</t>
    </r>
    <r>
      <rPr>
        <vertAlign val="superscript"/>
        <sz val="11"/>
        <rFont val="Calibri"/>
        <family val="2"/>
        <scheme val="minor"/>
      </rPr>
      <t>-5</t>
    </r>
  </si>
  <si>
    <t>Libbloom</t>
  </si>
  <si>
    <r>
      <t>12.6X10</t>
    </r>
    <r>
      <rPr>
        <vertAlign val="superscript"/>
        <sz val="14"/>
        <rFont val="Calibri"/>
        <family val="2"/>
        <scheme val="minor"/>
      </rPr>
      <t>-5</t>
    </r>
  </si>
  <si>
    <r>
      <t>6.3X10</t>
    </r>
    <r>
      <rPr>
        <vertAlign val="superscript"/>
        <sz val="14"/>
        <rFont val="Calibri"/>
        <family val="2"/>
        <scheme val="minor"/>
      </rPr>
      <t>-5</t>
    </r>
  </si>
  <si>
    <r>
      <t>0.26X10</t>
    </r>
    <r>
      <rPr>
        <vertAlign val="superscript"/>
        <sz val="14"/>
        <color theme="1"/>
        <rFont val="Calibri"/>
        <family val="2"/>
        <scheme val="minor"/>
      </rPr>
      <t>-5</t>
    </r>
  </si>
  <si>
    <r>
      <t>0.44X10</t>
    </r>
    <r>
      <rPr>
        <vertAlign val="superscript"/>
        <sz val="14"/>
        <color theme="1"/>
        <rFont val="Calibri"/>
        <family val="2"/>
        <scheme val="minor"/>
      </rPr>
      <t>-5</t>
    </r>
  </si>
  <si>
    <r>
      <t>0.27X10</t>
    </r>
    <r>
      <rPr>
        <vertAlign val="superscript"/>
        <sz val="14"/>
        <color theme="1"/>
        <rFont val="Calibri"/>
        <family val="2"/>
        <scheme val="minor"/>
      </rPr>
      <t>-5</t>
    </r>
  </si>
  <si>
    <r>
      <t>0.52X10</t>
    </r>
    <r>
      <rPr>
        <vertAlign val="superscript"/>
        <sz val="14"/>
        <color theme="1"/>
        <rFont val="Calibri"/>
        <family val="2"/>
        <scheme val="minor"/>
      </rPr>
      <t>-5</t>
    </r>
  </si>
  <si>
    <r>
      <t>12.7X10</t>
    </r>
    <r>
      <rPr>
        <vertAlign val="superscript"/>
        <sz val="14"/>
        <rFont val="Calibri"/>
        <family val="2"/>
        <scheme val="minor"/>
      </rPr>
      <t>-5</t>
    </r>
  </si>
  <si>
    <r>
      <t>0.46X10</t>
    </r>
    <r>
      <rPr>
        <vertAlign val="superscript"/>
        <sz val="14"/>
        <color theme="1"/>
        <rFont val="Calibri"/>
        <family val="2"/>
        <scheme val="minor"/>
      </rPr>
      <t>-5</t>
    </r>
  </si>
  <si>
    <r>
      <t>6X10</t>
    </r>
    <r>
      <rPr>
        <vertAlign val="superscript"/>
        <sz val="14"/>
        <rFont val="Calibri"/>
        <family val="2"/>
        <scheme val="minor"/>
      </rPr>
      <t>-5</t>
    </r>
  </si>
  <si>
    <r>
      <t>12X10</t>
    </r>
    <r>
      <rPr>
        <vertAlign val="superscript"/>
        <sz val="14"/>
        <rFont val="Calibri"/>
        <family val="2"/>
        <scheme val="minor"/>
      </rPr>
      <t>-5</t>
    </r>
  </si>
  <si>
    <t xml:space="preserve"> </t>
  </si>
  <si>
    <r>
      <t>0.2X10</t>
    </r>
    <r>
      <rPr>
        <vertAlign val="superscript"/>
        <sz val="14"/>
        <color theme="1"/>
        <rFont val="Calibri"/>
        <family val="2"/>
        <scheme val="minor"/>
      </rPr>
      <t>-5</t>
    </r>
  </si>
  <si>
    <t>TIME20-TIME10</t>
  </si>
  <si>
    <t>TIME30-TIME20</t>
  </si>
  <si>
    <t>TIME40-TIME30</t>
  </si>
  <si>
    <t>10IDKmer20</t>
  </si>
  <si>
    <t>20IDKmer20</t>
  </si>
  <si>
    <t>40IDKmer20</t>
  </si>
  <si>
    <t>30IDKmer20</t>
  </si>
  <si>
    <t>10IDKmer8</t>
  </si>
  <si>
    <t>20IDKmer8</t>
  </si>
  <si>
    <t>30IDKmer8</t>
  </si>
  <si>
    <t>40IDKmer8</t>
  </si>
  <si>
    <t>10IDKmer15</t>
  </si>
  <si>
    <t>20IDKmer15</t>
  </si>
  <si>
    <t>30IDKmer15</t>
  </si>
  <si>
    <t>40IDKmer15</t>
  </si>
  <si>
    <t>k=1, Accuracy (1-FPP)</t>
  </si>
  <si>
    <t>k=3, Accuracy (1-FPP)</t>
  </si>
  <si>
    <t>k=4 to 10, Accuracy (1-FPP), IDKmer20</t>
  </si>
  <si>
    <t>k=4</t>
  </si>
  <si>
    <t>k=5</t>
  </si>
  <si>
    <t>k=6</t>
  </si>
  <si>
    <t>k=7</t>
  </si>
  <si>
    <t>k=8</t>
  </si>
  <si>
    <t>k=9</t>
  </si>
  <si>
    <t>k=10</t>
  </si>
  <si>
    <t>k=11</t>
  </si>
  <si>
    <t>10 million</t>
  </si>
  <si>
    <t>20 million</t>
  </si>
  <si>
    <t>30 million</t>
  </si>
  <si>
    <t>40 million</t>
  </si>
  <si>
    <t>Bits/item</t>
  </si>
  <si>
    <t>k=2, Accuracy (1-FPP)</t>
  </si>
  <si>
    <t>k=1, MBPS (MB/Time)</t>
  </si>
  <si>
    <t>k=2, MBPS (MB/Time)</t>
  </si>
  <si>
    <t>k=3, MBPS (MB/Time)</t>
  </si>
  <si>
    <t>k=4 to 10, MBPS (MB/Time)</t>
  </si>
  <si>
    <t>Cuckoo, Accuracy (1-FPP)</t>
  </si>
  <si>
    <t>Cuckoo, MBPS (MB/Time)</t>
  </si>
  <si>
    <t>k=2, Million operation/sec (MOPS) (Items/sec)</t>
  </si>
  <si>
    <t>k=1, Million operations/sec (MOPS) (Items/sec)</t>
  </si>
  <si>
    <t>k=3, Million operations/sec (MOPS) (Items/sec)</t>
  </si>
  <si>
    <t>k=1, Second/opoeration (SPO) (Time/Item)</t>
  </si>
  <si>
    <t>k=2, Second/opoeration (SPO) (Time/Item)</t>
  </si>
  <si>
    <t>k=3, Second/opoeration (SPO) (Time/Item)</t>
  </si>
  <si>
    <t>k=4 to 10, Million operation/sec (MOPS) (Items/sec)</t>
  </si>
  <si>
    <t>k=4 to 10, Seconds per operations (SOPS) (Time/item)</t>
  </si>
  <si>
    <t>Libbloom, Accuracy (1-FPP)</t>
  </si>
  <si>
    <t>Libbloom, MBPS (MB/Time)</t>
  </si>
  <si>
    <t>Cuckoo, Million operation per second (MOPS) (Items/sec)</t>
  </si>
  <si>
    <t>Libbloom, Million operation per second (MOPS) (Items/sec)</t>
  </si>
  <si>
    <t>chemical-gene</t>
  </si>
  <si>
    <t>gene-disease</t>
  </si>
  <si>
    <t>gene-gene</t>
  </si>
  <si>
    <t>Million operation per second (MOPS) (Items/sec)</t>
  </si>
  <si>
    <t>MBPS (MB/Time)</t>
  </si>
  <si>
    <t>1139MB ~ 1.1 GB</t>
  </si>
  <si>
    <t>1082MB ~ 1 GB</t>
  </si>
  <si>
    <t>1072MB ~ 1.1 GB</t>
  </si>
  <si>
    <t>1524MB ~ 1.5 GB</t>
  </si>
  <si>
    <t>1610MB ~ 1.6 GB</t>
  </si>
  <si>
    <t>1707MB ~ 1.7 GB</t>
  </si>
  <si>
    <t>Accuracy (1-FPP)</t>
  </si>
  <si>
    <t>Seconds per operations (SPO) (Time/item)</t>
  </si>
  <si>
    <t>Cuckoo, Seconds per operations (SPO) (Time/item)</t>
  </si>
  <si>
    <t>Libbloom, Seconds per operations (SPO) (Time/item)</t>
  </si>
  <si>
    <t>Size (in Bits)</t>
  </si>
  <si>
    <t>Bits/Item</t>
  </si>
  <si>
    <t>Same set</t>
  </si>
  <si>
    <t>Mixed set</t>
  </si>
  <si>
    <t>k=5 - k=4</t>
  </si>
  <si>
    <t>k=6 - k=5</t>
  </si>
  <si>
    <t>k=7 - k=6</t>
  </si>
  <si>
    <t>k=8 - k=7</t>
  </si>
  <si>
    <t>k=9 - k=8</t>
  </si>
  <si>
    <t>k=10 - k=9</t>
  </si>
  <si>
    <t>k=4 - k=3</t>
  </si>
  <si>
    <t>Avearge Time calcualtion</t>
  </si>
  <si>
    <t>Average</t>
  </si>
  <si>
    <t>BionetBF</t>
  </si>
  <si>
    <t>Cuckoo</t>
  </si>
  <si>
    <t>FPP Difference (Mixed)</t>
  </si>
  <si>
    <t>FPP Difference (Disjoint)</t>
  </si>
  <si>
    <t>Difference(C-B)</t>
  </si>
  <si>
    <t>Difference(L-B)</t>
  </si>
  <si>
    <t>Difference(C-L)</t>
  </si>
  <si>
    <t>Average (C-L)</t>
  </si>
  <si>
    <t>Average (L-B)</t>
  </si>
  <si>
    <t>Average (C-B)</t>
  </si>
  <si>
    <t>B/C</t>
  </si>
  <si>
    <t>B/L</t>
  </si>
  <si>
    <t>C/L</t>
  </si>
  <si>
    <t xml:space="preserve">MOPS Improvement (times) </t>
  </si>
  <si>
    <t xml:space="preserve">Insertion </t>
  </si>
  <si>
    <t>Disjoint Set</t>
  </si>
  <si>
    <t>Mixed Set</t>
  </si>
  <si>
    <t xml:space="preserve">SPO Improvement (times) </t>
  </si>
  <si>
    <t>Average (B/C)</t>
  </si>
  <si>
    <t>Average (B/L)</t>
  </si>
  <si>
    <t>Average (C/L)</t>
  </si>
  <si>
    <t xml:space="preserve">MBPS Improvement (times) </t>
  </si>
  <si>
    <t>Kmer=8</t>
  </si>
  <si>
    <t>kmer=15</t>
  </si>
  <si>
    <t>kmer=20</t>
  </si>
  <si>
    <t>Filter size  (in bits)/#items</t>
  </si>
  <si>
    <t>C/B</t>
  </si>
  <si>
    <t>L/B</t>
  </si>
  <si>
    <t>BionetBF k=1 vs k=2 vs k=3</t>
  </si>
  <si>
    <t xml:space="preserve">Highest </t>
  </si>
  <si>
    <t>Lowest</t>
  </si>
  <si>
    <t xml:space="preserve">Time </t>
  </si>
  <si>
    <t>Dataset</t>
  </si>
  <si>
    <t xml:space="preserve">Same </t>
  </si>
  <si>
    <t>K value</t>
  </si>
  <si>
    <t>K=3</t>
  </si>
  <si>
    <t xml:space="preserve"> 40IDKmer20</t>
  </si>
  <si>
    <t>k=1</t>
  </si>
  <si>
    <t xml:space="preserve"> 10IDKmer8</t>
  </si>
  <si>
    <t>Average 1 vs 2</t>
  </si>
  <si>
    <t>Average  2 vs 3</t>
  </si>
  <si>
    <t>k=2</t>
  </si>
  <si>
    <t>k=3</t>
  </si>
  <si>
    <t>K=1, MOPS Min &amp; Max</t>
  </si>
  <si>
    <t>Max</t>
  </si>
  <si>
    <t>Min</t>
  </si>
  <si>
    <t>(40,8)</t>
  </si>
  <si>
    <t>(40,20)</t>
  </si>
  <si>
    <t>(30,20)</t>
  </si>
  <si>
    <t>K=1, SPO Min &amp; Max</t>
  </si>
  <si>
    <t>(10,20)</t>
  </si>
  <si>
    <t>(30,8)</t>
  </si>
  <si>
    <t>(20,8)</t>
  </si>
  <si>
    <t>K=1, MBPS Min &amp; Max</t>
  </si>
  <si>
    <t>K=2</t>
  </si>
  <si>
    <t>MOPS Miin &amp; Max</t>
  </si>
  <si>
    <t>SPO Miin &amp; Max</t>
  </si>
  <si>
    <t>MBPS Miin &amp; Max</t>
  </si>
  <si>
    <t>K=3, MOPS Min &amp; Max</t>
  </si>
  <si>
    <t>(10,8)</t>
  </si>
  <si>
    <t>K=3, SPO Min &amp; Max</t>
  </si>
  <si>
    <t>K=3, MBPS Min &amp; Max</t>
  </si>
  <si>
    <t>(20,20)</t>
  </si>
  <si>
    <t>SPO Min &amp; Max</t>
  </si>
  <si>
    <t>MBPS Min &amp; Max</t>
  </si>
  <si>
    <t>MOPS MIN &amp;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</si>
</sst>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4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2" xfId="0" applyFont="1" applyBorder="1" applyAlignment="1"/>
    <xf numFmtId="0" fontId="5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6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5" borderId="0" xfId="0" applyFill="1"/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/>
    <xf numFmtId="0" fontId="6" fillId="15" borderId="1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0" fontId="0" fillId="15" borderId="0" xfId="0" applyFill="1"/>
    <xf numFmtId="0" fontId="0" fillId="10" borderId="1" xfId="0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11" borderId="0" xfId="0" applyFill="1"/>
    <xf numFmtId="0" fontId="5" fillId="8" borderId="3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5" fillId="0" borderId="2" xfId="0" applyFont="1" applyBorder="1" applyAlignment="1"/>
    <xf numFmtId="0" fontId="5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0" fillId="0" borderId="0" xfId="0" applyBorder="1"/>
    <xf numFmtId="0" fontId="7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3" borderId="1" xfId="0" applyFill="1" applyBorder="1" applyProtection="1"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5" fillId="8" borderId="1" xfId="0" applyFont="1" applyFill="1" applyBorder="1" applyAlignment="1" applyProtection="1">
      <alignment horizontal="center"/>
      <protection locked="0"/>
    </xf>
    <xf numFmtId="0" fontId="5" fillId="6" borderId="1" xfId="0" applyFont="1" applyFill="1" applyBorder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horizontal="center"/>
      <protection locked="0"/>
    </xf>
    <xf numFmtId="0" fontId="7" fillId="11" borderId="1" xfId="0" applyFont="1" applyFill="1" applyBorder="1" applyAlignment="1" applyProtection="1">
      <alignment horizontal="center"/>
      <protection locked="0"/>
    </xf>
    <xf numFmtId="0" fontId="0" fillId="13" borderId="1" xfId="0" applyFill="1" applyBorder="1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5" fillId="9" borderId="1" xfId="0" applyFont="1" applyFill="1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/>
      <protection locked="0"/>
    </xf>
    <xf numFmtId="0" fontId="7" fillId="10" borderId="1" xfId="0" applyFont="1" applyFill="1" applyBorder="1" applyAlignment="1" applyProtection="1">
      <alignment horizontal="center"/>
      <protection locked="0"/>
    </xf>
    <xf numFmtId="0" fontId="0" fillId="12" borderId="1" xfId="0" applyFill="1" applyBorder="1" applyAlignment="1" applyProtection="1">
      <alignment horizontal="center"/>
      <protection locked="0"/>
    </xf>
    <xf numFmtId="0" fontId="0" fillId="4" borderId="1" xfId="0" applyFill="1" applyBorder="1" applyProtection="1"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0" fontId="0" fillId="4" borderId="0" xfId="0" applyFill="1" applyProtection="1">
      <protection locked="0"/>
    </xf>
    <xf numFmtId="0" fontId="17" fillId="1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0" borderId="5" xfId="0" applyBorder="1"/>
    <xf numFmtId="0" fontId="7" fillId="18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/>
    <xf numFmtId="0" fontId="18" fillId="18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5" fillId="6" borderId="1" xfId="0" applyFont="1" applyFill="1" applyBorder="1"/>
    <xf numFmtId="0" fontId="0" fillId="2" borderId="1" xfId="0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0" xfId="0" applyFont="1" applyFill="1"/>
    <xf numFmtId="0" fontId="5" fillId="6" borderId="8" xfId="0" applyFont="1" applyFill="1" applyBorder="1"/>
    <xf numFmtId="0" fontId="5" fillId="6" borderId="8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0" borderId="8" xfId="0" applyBorder="1"/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/>
    <xf numFmtId="0" fontId="4" fillId="0" borderId="1" xfId="0" applyFont="1" applyBorder="1"/>
    <xf numFmtId="0" fontId="0" fillId="12" borderId="1" xfId="0" applyFill="1" applyBorder="1"/>
    <xf numFmtId="0" fontId="0" fillId="11" borderId="1" xfId="0" applyFill="1" applyBorder="1"/>
    <xf numFmtId="0" fontId="0" fillId="10" borderId="1" xfId="0" applyFill="1" applyBorder="1"/>
    <xf numFmtId="0" fontId="0" fillId="0" borderId="1" xfId="0" applyFont="1" applyBorder="1"/>
    <xf numFmtId="0" fontId="0" fillId="12" borderId="1" xfId="0" applyFont="1" applyFill="1" applyBorder="1"/>
    <xf numFmtId="0" fontId="17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18" borderId="0" xfId="0" applyFont="1" applyFill="1" applyBorder="1" applyAlignment="1">
      <alignment horizontal="center"/>
    </xf>
    <xf numFmtId="0" fontId="17" fillId="6" borderId="1" xfId="0" applyFont="1" applyFill="1" applyBorder="1"/>
    <xf numFmtId="0" fontId="5" fillId="6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4" fillId="0" borderId="0" xfId="0" applyFont="1"/>
    <xf numFmtId="0" fontId="5" fillId="6" borderId="0" xfId="0" applyFont="1" applyFill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5" fillId="15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4" fillId="5" borderId="4" xfId="0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5" fillId="3" borderId="3" xfId="0" applyFont="1" applyFill="1" applyBorder="1" applyAlignment="1" applyProtection="1">
      <alignment horizontal="center"/>
      <protection locked="0"/>
    </xf>
    <xf numFmtId="0" fontId="5" fillId="3" borderId="4" xfId="0" applyFont="1" applyFill="1" applyBorder="1" applyAlignment="1" applyProtection="1">
      <alignment horizontal="center"/>
      <protection locked="0"/>
    </xf>
    <xf numFmtId="0" fontId="5" fillId="3" borderId="5" xfId="0" applyFont="1" applyFill="1" applyBorder="1" applyAlignment="1" applyProtection="1">
      <alignment horizontal="center"/>
      <protection locked="0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5" fillId="4" borderId="3" xfId="0" applyFont="1" applyFill="1" applyBorder="1" applyAlignment="1" applyProtection="1">
      <alignment horizontal="center"/>
      <protection locked="0"/>
    </xf>
    <xf numFmtId="0" fontId="5" fillId="4" borderId="4" xfId="0" applyFont="1" applyFill="1" applyBorder="1" applyAlignment="1" applyProtection="1">
      <alignment horizontal="center"/>
      <protection locked="0"/>
    </xf>
    <xf numFmtId="0" fontId="5" fillId="4" borderId="5" xfId="0" applyFont="1" applyFill="1" applyBorder="1" applyAlignment="1" applyProtection="1">
      <alignment horizontal="center"/>
      <protection locked="0"/>
    </xf>
    <xf numFmtId="0" fontId="17" fillId="18" borderId="6" xfId="0" applyFont="1" applyFill="1" applyBorder="1" applyAlignment="1">
      <alignment horizontal="center"/>
    </xf>
    <xf numFmtId="0" fontId="17" fillId="18" borderId="0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2" borderId="1" xfId="0" applyFill="1" applyBorder="1"/>
    <xf numFmtId="0" fontId="4" fillId="2" borderId="1" xfId="0" applyFont="1" applyFill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8"/>
  <sheetViews>
    <sheetView topLeftCell="K180" zoomScale="90" zoomScaleNormal="90" workbookViewId="0">
      <selection activeCell="AA112" sqref="AA112"/>
    </sheetView>
  </sheetViews>
  <sheetFormatPr defaultRowHeight="15" x14ac:dyDescent="0.25"/>
  <cols>
    <col min="1" max="1" width="19.28515625" customWidth="1"/>
    <col min="2" max="2" width="11" customWidth="1"/>
    <col min="3" max="3" width="12.28515625" customWidth="1"/>
    <col min="4" max="4" width="12.42578125" customWidth="1"/>
    <col min="5" max="5" width="12.7109375" customWidth="1"/>
    <col min="6" max="6" width="12.5703125" customWidth="1"/>
    <col min="7" max="7" width="17.28515625" customWidth="1"/>
    <col min="8" max="8" width="15.140625" customWidth="1"/>
    <col min="9" max="9" width="16.5703125" customWidth="1"/>
    <col min="10" max="10" width="15.5703125" customWidth="1"/>
    <col min="11" max="11" width="20.28515625" customWidth="1"/>
    <col min="12" max="12" width="16.42578125" customWidth="1"/>
    <col min="13" max="14" width="13.42578125" customWidth="1"/>
    <col min="15" max="15" width="15.7109375" customWidth="1"/>
    <col min="16" max="16" width="12.7109375" customWidth="1"/>
    <col min="17" max="17" width="13.28515625" customWidth="1"/>
    <col min="18" max="18" width="12.28515625" customWidth="1"/>
    <col min="19" max="19" width="12" customWidth="1"/>
    <col min="20" max="20" width="12" bestFit="1" customWidth="1"/>
    <col min="21" max="21" width="14.7109375" customWidth="1"/>
    <col min="22" max="22" width="13.28515625" customWidth="1"/>
    <col min="23" max="23" width="13.42578125" customWidth="1"/>
    <col min="24" max="24" width="12.5703125" customWidth="1"/>
    <col min="25" max="25" width="12" customWidth="1"/>
    <col min="26" max="26" width="11.42578125" customWidth="1"/>
    <col min="27" max="27" width="12.28515625" customWidth="1"/>
    <col min="28" max="28" width="11.140625" customWidth="1"/>
    <col min="29" max="29" width="14.140625" customWidth="1"/>
  </cols>
  <sheetData>
    <row r="2" spans="1:12" ht="17.25" x14ac:dyDescent="0.3">
      <c r="A2" s="174" t="s">
        <v>16</v>
      </c>
      <c r="B2" s="175"/>
      <c r="C2" s="175"/>
      <c r="D2" s="175"/>
      <c r="F2" s="4"/>
      <c r="G2" s="174" t="s">
        <v>16</v>
      </c>
      <c r="H2" s="174"/>
      <c r="I2" s="174"/>
      <c r="J2" s="174"/>
      <c r="K2" s="174"/>
      <c r="L2" s="59"/>
    </row>
    <row r="3" spans="1:12" ht="31.15" customHeight="1" x14ac:dyDescent="0.25">
      <c r="A3" s="1" t="s">
        <v>0</v>
      </c>
      <c r="B3" s="5" t="s">
        <v>30</v>
      </c>
      <c r="C3" s="2" t="s">
        <v>1</v>
      </c>
      <c r="D3" s="1" t="s">
        <v>2</v>
      </c>
      <c r="E3" s="1" t="s">
        <v>3</v>
      </c>
      <c r="G3" s="1" t="s">
        <v>0</v>
      </c>
      <c r="H3" s="5" t="s">
        <v>30</v>
      </c>
      <c r="I3" s="2" t="s">
        <v>1</v>
      </c>
      <c r="J3" s="1" t="s">
        <v>2</v>
      </c>
      <c r="K3" s="1" t="s">
        <v>3</v>
      </c>
      <c r="L3" s="60"/>
    </row>
    <row r="4" spans="1:12" x14ac:dyDescent="0.25">
      <c r="A4" s="6" t="s">
        <v>18</v>
      </c>
      <c r="B4" s="7">
        <v>8</v>
      </c>
      <c r="C4" s="7" t="s">
        <v>13</v>
      </c>
      <c r="D4" s="7">
        <v>10000000</v>
      </c>
      <c r="E4" s="7">
        <v>10000000</v>
      </c>
      <c r="G4" s="6" t="s">
        <v>31</v>
      </c>
      <c r="H4" s="7">
        <v>15</v>
      </c>
      <c r="I4" s="7">
        <v>250</v>
      </c>
      <c r="J4" s="7">
        <v>10000000</v>
      </c>
      <c r="K4" s="7">
        <v>10000000</v>
      </c>
      <c r="L4" s="61"/>
    </row>
    <row r="5" spans="1:12" x14ac:dyDescent="0.25">
      <c r="A5" s="6" t="s">
        <v>19</v>
      </c>
      <c r="B5" s="7">
        <v>8</v>
      </c>
      <c r="C5" s="7" t="s">
        <v>13</v>
      </c>
      <c r="D5" s="7">
        <v>10000000</v>
      </c>
      <c r="E5" s="7">
        <v>5000000</v>
      </c>
      <c r="G5" s="6" t="s">
        <v>32</v>
      </c>
      <c r="H5" s="7">
        <v>15</v>
      </c>
      <c r="I5" s="7">
        <v>250</v>
      </c>
      <c r="J5" s="7">
        <v>10000000</v>
      </c>
      <c r="K5" s="7">
        <v>5000000</v>
      </c>
      <c r="L5" s="61"/>
    </row>
    <row r="6" spans="1:12" x14ac:dyDescent="0.25">
      <c r="A6" s="6" t="s">
        <v>20</v>
      </c>
      <c r="B6" s="7">
        <v>8</v>
      </c>
      <c r="C6" s="7" t="s">
        <v>13</v>
      </c>
      <c r="D6" s="7">
        <v>10000000</v>
      </c>
      <c r="E6" s="7">
        <v>0</v>
      </c>
      <c r="G6" s="6" t="s">
        <v>33</v>
      </c>
      <c r="H6" s="7">
        <v>15</v>
      </c>
      <c r="I6" s="7">
        <v>250</v>
      </c>
      <c r="J6" s="7">
        <v>10000000</v>
      </c>
      <c r="K6" s="7">
        <v>0</v>
      </c>
      <c r="L6" s="61"/>
    </row>
    <row r="7" spans="1:12" x14ac:dyDescent="0.25">
      <c r="A7" s="6"/>
      <c r="B7" s="7"/>
      <c r="C7" s="7"/>
      <c r="D7" s="7"/>
      <c r="E7" s="7"/>
      <c r="G7" s="6"/>
      <c r="H7" s="7"/>
      <c r="I7" s="7"/>
      <c r="J7" s="7"/>
      <c r="K7" s="7"/>
      <c r="L7" s="61"/>
    </row>
    <row r="8" spans="1:12" x14ac:dyDescent="0.25">
      <c r="A8" s="6" t="s">
        <v>21</v>
      </c>
      <c r="B8" s="7">
        <v>8</v>
      </c>
      <c r="C8" s="7" t="s">
        <v>14</v>
      </c>
      <c r="D8" s="7">
        <v>20000000</v>
      </c>
      <c r="E8" s="7">
        <v>20000000</v>
      </c>
      <c r="G8" s="6" t="s">
        <v>34</v>
      </c>
      <c r="H8" s="7">
        <v>15</v>
      </c>
      <c r="I8" s="7">
        <v>500</v>
      </c>
      <c r="J8" s="7">
        <v>20000000</v>
      </c>
      <c r="K8" s="7">
        <v>20000000</v>
      </c>
      <c r="L8" s="61"/>
    </row>
    <row r="9" spans="1:12" x14ac:dyDescent="0.25">
      <c r="A9" s="6" t="s">
        <v>22</v>
      </c>
      <c r="B9" s="7">
        <v>8</v>
      </c>
      <c r="C9" s="7" t="s">
        <v>14</v>
      </c>
      <c r="D9" s="7">
        <v>20000000</v>
      </c>
      <c r="E9" s="7">
        <v>10000000</v>
      </c>
      <c r="G9" s="6" t="s">
        <v>35</v>
      </c>
      <c r="H9" s="7">
        <v>15</v>
      </c>
      <c r="I9" s="7">
        <v>500</v>
      </c>
      <c r="J9" s="7">
        <v>20000000</v>
      </c>
      <c r="K9" s="7">
        <v>10000000</v>
      </c>
      <c r="L9" s="61"/>
    </row>
    <row r="10" spans="1:12" x14ac:dyDescent="0.25">
      <c r="A10" s="6" t="s">
        <v>23</v>
      </c>
      <c r="B10" s="7">
        <v>8</v>
      </c>
      <c r="C10" s="7" t="s">
        <v>14</v>
      </c>
      <c r="D10" s="7">
        <v>20000000</v>
      </c>
      <c r="E10" s="7">
        <v>0</v>
      </c>
      <c r="G10" s="6" t="s">
        <v>36</v>
      </c>
      <c r="H10" s="7">
        <v>15</v>
      </c>
      <c r="I10" s="7">
        <v>500</v>
      </c>
      <c r="J10" s="7">
        <v>20000000</v>
      </c>
      <c r="K10" s="7">
        <v>0</v>
      </c>
      <c r="L10" s="61"/>
    </row>
    <row r="11" spans="1:12" x14ac:dyDescent="0.25">
      <c r="A11" s="6"/>
      <c r="B11" s="7"/>
      <c r="C11" s="7"/>
      <c r="D11" s="7"/>
      <c r="E11" s="7"/>
      <c r="G11" s="6"/>
      <c r="H11" s="7"/>
      <c r="I11" s="7"/>
      <c r="J11" s="7"/>
      <c r="K11" s="7"/>
      <c r="L11" s="61"/>
    </row>
    <row r="12" spans="1:12" x14ac:dyDescent="0.25">
      <c r="A12" s="6" t="s">
        <v>24</v>
      </c>
      <c r="B12" s="7">
        <v>8</v>
      </c>
      <c r="C12" s="7" t="s">
        <v>15</v>
      </c>
      <c r="D12" s="7">
        <v>30000000</v>
      </c>
      <c r="E12" s="7">
        <v>30000000</v>
      </c>
      <c r="G12" s="6" t="s">
        <v>37</v>
      </c>
      <c r="H12" s="7">
        <v>15</v>
      </c>
      <c r="I12" s="7">
        <v>750</v>
      </c>
      <c r="J12" s="7">
        <v>30000000</v>
      </c>
      <c r="K12" s="7">
        <v>30000000</v>
      </c>
      <c r="L12" s="61"/>
    </row>
    <row r="13" spans="1:12" x14ac:dyDescent="0.25">
      <c r="A13" s="6" t="s">
        <v>25</v>
      </c>
      <c r="B13" s="7">
        <v>8</v>
      </c>
      <c r="C13" s="7" t="s">
        <v>15</v>
      </c>
      <c r="D13" s="7">
        <v>30000000</v>
      </c>
      <c r="E13" s="7">
        <v>15000000</v>
      </c>
      <c r="G13" s="6" t="s">
        <v>38</v>
      </c>
      <c r="H13" s="7">
        <v>15</v>
      </c>
      <c r="I13" s="7">
        <v>750</v>
      </c>
      <c r="J13" s="7">
        <v>30000000</v>
      </c>
      <c r="K13" s="7">
        <v>15000000</v>
      </c>
      <c r="L13" s="61"/>
    </row>
    <row r="14" spans="1:12" x14ac:dyDescent="0.25">
      <c r="A14" s="6" t="s">
        <v>26</v>
      </c>
      <c r="B14" s="7">
        <v>8</v>
      </c>
      <c r="C14" s="7" t="s">
        <v>15</v>
      </c>
      <c r="D14" s="7">
        <v>30000000</v>
      </c>
      <c r="E14" s="7">
        <v>0</v>
      </c>
      <c r="G14" s="6" t="s">
        <v>39</v>
      </c>
      <c r="H14" s="7">
        <v>15</v>
      </c>
      <c r="I14" s="7">
        <v>750</v>
      </c>
      <c r="J14" s="7">
        <v>30000000</v>
      </c>
      <c r="K14" s="7">
        <v>0</v>
      </c>
      <c r="L14" s="61"/>
    </row>
    <row r="15" spans="1:12" x14ac:dyDescent="0.25">
      <c r="A15" s="6"/>
      <c r="B15" s="7"/>
      <c r="C15" s="7"/>
      <c r="D15" s="7"/>
      <c r="E15" s="7"/>
      <c r="G15" s="6"/>
      <c r="H15" s="7"/>
      <c r="I15" s="7"/>
      <c r="J15" s="7"/>
      <c r="K15" s="7"/>
      <c r="L15" s="61"/>
    </row>
    <row r="16" spans="1:12" x14ac:dyDescent="0.25">
      <c r="A16" s="6" t="s">
        <v>27</v>
      </c>
      <c r="B16" s="7">
        <v>8</v>
      </c>
      <c r="C16" s="7" t="s">
        <v>17</v>
      </c>
      <c r="D16" s="7">
        <v>40000000</v>
      </c>
      <c r="E16" s="7">
        <v>40000000</v>
      </c>
      <c r="G16" s="6" t="s">
        <v>40</v>
      </c>
      <c r="H16" s="7">
        <v>15</v>
      </c>
      <c r="I16" s="7" t="s">
        <v>43</v>
      </c>
      <c r="J16" s="7">
        <v>40000000</v>
      </c>
      <c r="K16" s="7">
        <v>40000000</v>
      </c>
      <c r="L16" s="61"/>
    </row>
    <row r="17" spans="1:12" x14ac:dyDescent="0.25">
      <c r="A17" s="6" t="s">
        <v>28</v>
      </c>
      <c r="B17" s="7">
        <v>8</v>
      </c>
      <c r="C17" s="7" t="s">
        <v>17</v>
      </c>
      <c r="D17" s="7">
        <v>40000000</v>
      </c>
      <c r="E17" s="7">
        <v>20000000</v>
      </c>
      <c r="G17" s="6" t="s">
        <v>41</v>
      </c>
      <c r="H17" s="7">
        <v>15</v>
      </c>
      <c r="I17" s="7" t="s">
        <v>43</v>
      </c>
      <c r="J17" s="7">
        <v>40000000</v>
      </c>
      <c r="K17" s="7">
        <v>20000000</v>
      </c>
      <c r="L17" s="61"/>
    </row>
    <row r="18" spans="1:12" x14ac:dyDescent="0.25">
      <c r="A18" s="6" t="s">
        <v>29</v>
      </c>
      <c r="B18" s="7">
        <v>8</v>
      </c>
      <c r="C18" s="7" t="s">
        <v>17</v>
      </c>
      <c r="D18" s="7">
        <v>40000000</v>
      </c>
      <c r="E18" s="7">
        <v>0</v>
      </c>
      <c r="G18" s="6" t="s">
        <v>42</v>
      </c>
      <c r="H18" s="7">
        <v>15</v>
      </c>
      <c r="I18" s="7" t="s">
        <v>43</v>
      </c>
      <c r="J18" s="7">
        <v>40000000</v>
      </c>
      <c r="K18" s="7">
        <v>0</v>
      </c>
      <c r="L18" s="61"/>
    </row>
    <row r="19" spans="1:12" x14ac:dyDescent="0.25">
      <c r="B19" s="3"/>
      <c r="C19" s="3"/>
      <c r="D19" s="3"/>
      <c r="E19" s="3"/>
    </row>
    <row r="21" spans="1:12" ht="17.25" x14ac:dyDescent="0.3">
      <c r="A21" s="174" t="s">
        <v>16</v>
      </c>
      <c r="B21" s="175"/>
      <c r="C21" s="175"/>
      <c r="D21" s="175"/>
    </row>
    <row r="22" spans="1:12" ht="31.5" x14ac:dyDescent="0.25">
      <c r="A22" s="1" t="s">
        <v>0</v>
      </c>
      <c r="B22" s="5" t="s">
        <v>30</v>
      </c>
      <c r="C22" s="2" t="s">
        <v>1</v>
      </c>
      <c r="D22" s="1" t="s">
        <v>2</v>
      </c>
      <c r="E22" s="1" t="s">
        <v>3</v>
      </c>
    </row>
    <row r="23" spans="1:12" x14ac:dyDescent="0.25">
      <c r="A23" s="6" t="s">
        <v>44</v>
      </c>
      <c r="B23" s="7">
        <v>20</v>
      </c>
      <c r="C23" s="7">
        <v>300</v>
      </c>
      <c r="D23" s="7">
        <v>10000000</v>
      </c>
      <c r="E23" s="7">
        <v>10000000</v>
      </c>
    </row>
    <row r="24" spans="1:12" x14ac:dyDescent="0.25">
      <c r="A24" s="6" t="s">
        <v>45</v>
      </c>
      <c r="B24" s="7">
        <v>20</v>
      </c>
      <c r="C24" s="7">
        <v>300</v>
      </c>
      <c r="D24" s="7">
        <v>10000000</v>
      </c>
      <c r="E24" s="7">
        <v>5000000</v>
      </c>
    </row>
    <row r="25" spans="1:12" x14ac:dyDescent="0.25">
      <c r="A25" s="6" t="s">
        <v>46</v>
      </c>
      <c r="B25" s="7">
        <v>20</v>
      </c>
      <c r="C25" s="7">
        <v>300</v>
      </c>
      <c r="D25" s="7">
        <v>10000000</v>
      </c>
      <c r="E25" s="7">
        <v>0</v>
      </c>
    </row>
    <row r="26" spans="1:12" x14ac:dyDescent="0.25">
      <c r="A26" s="6"/>
      <c r="B26" s="7"/>
      <c r="C26" s="7"/>
      <c r="D26" s="7"/>
      <c r="E26" s="7"/>
    </row>
    <row r="27" spans="1:12" x14ac:dyDescent="0.25">
      <c r="A27" s="6" t="s">
        <v>47</v>
      </c>
      <c r="B27" s="7">
        <v>20</v>
      </c>
      <c r="C27" s="7">
        <v>600</v>
      </c>
      <c r="D27" s="7">
        <v>20000000</v>
      </c>
      <c r="E27" s="7">
        <v>20000000</v>
      </c>
    </row>
    <row r="28" spans="1:12" x14ac:dyDescent="0.25">
      <c r="A28" s="6" t="s">
        <v>48</v>
      </c>
      <c r="B28" s="7">
        <v>20</v>
      </c>
      <c r="C28" s="7">
        <v>600</v>
      </c>
      <c r="D28" s="7">
        <v>20000000</v>
      </c>
      <c r="E28" s="7">
        <v>10000000</v>
      </c>
    </row>
    <row r="29" spans="1:12" x14ac:dyDescent="0.25">
      <c r="A29" s="6" t="s">
        <v>49</v>
      </c>
      <c r="B29" s="7">
        <v>20</v>
      </c>
      <c r="C29" s="7">
        <v>600</v>
      </c>
      <c r="D29" s="7">
        <v>20000000</v>
      </c>
      <c r="E29" s="7">
        <v>0</v>
      </c>
    </row>
    <row r="30" spans="1:12" x14ac:dyDescent="0.25">
      <c r="A30" s="6"/>
      <c r="B30" s="7"/>
      <c r="C30" s="7"/>
      <c r="D30" s="7"/>
      <c r="E30" s="7"/>
    </row>
    <row r="31" spans="1:12" x14ac:dyDescent="0.25">
      <c r="A31" s="6" t="s">
        <v>50</v>
      </c>
      <c r="B31" s="7">
        <v>20</v>
      </c>
      <c r="C31" s="7">
        <v>900</v>
      </c>
      <c r="D31" s="7">
        <v>30000000</v>
      </c>
      <c r="E31" s="7">
        <v>30000000</v>
      </c>
    </row>
    <row r="32" spans="1:12" x14ac:dyDescent="0.25">
      <c r="A32" s="6" t="s">
        <v>51</v>
      </c>
      <c r="B32" s="7">
        <v>20</v>
      </c>
      <c r="C32" s="7">
        <v>900</v>
      </c>
      <c r="D32" s="7">
        <v>30000000</v>
      </c>
      <c r="E32" s="7">
        <v>15000000</v>
      </c>
    </row>
    <row r="33" spans="1:18" x14ac:dyDescent="0.25">
      <c r="A33" s="6" t="s">
        <v>52</v>
      </c>
      <c r="B33" s="7">
        <v>20</v>
      </c>
      <c r="C33" s="7">
        <v>900</v>
      </c>
      <c r="D33" s="7">
        <v>30000000</v>
      </c>
      <c r="E33" s="7">
        <v>0</v>
      </c>
    </row>
    <row r="34" spans="1:18" x14ac:dyDescent="0.25">
      <c r="A34" s="6"/>
      <c r="B34" s="7"/>
      <c r="C34" s="7"/>
      <c r="D34" s="7"/>
      <c r="E34" s="7"/>
    </row>
    <row r="35" spans="1:18" x14ac:dyDescent="0.25">
      <c r="A35" s="6" t="s">
        <v>53</v>
      </c>
      <c r="B35" s="7">
        <v>20</v>
      </c>
      <c r="C35" s="7" t="s">
        <v>56</v>
      </c>
      <c r="D35" s="7">
        <v>40000000</v>
      </c>
      <c r="E35" s="7">
        <v>40000000</v>
      </c>
    </row>
    <row r="36" spans="1:18" x14ac:dyDescent="0.25">
      <c r="A36" s="6" t="s">
        <v>54</v>
      </c>
      <c r="B36" s="7">
        <v>20</v>
      </c>
      <c r="C36" s="7" t="s">
        <v>56</v>
      </c>
      <c r="D36" s="7">
        <v>40000000</v>
      </c>
      <c r="E36" s="7">
        <v>20000000</v>
      </c>
    </row>
    <row r="37" spans="1:18" x14ac:dyDescent="0.25">
      <c r="A37" s="6" t="s">
        <v>55</v>
      </c>
      <c r="B37" s="7">
        <v>20</v>
      </c>
      <c r="C37" s="7" t="s">
        <v>56</v>
      </c>
      <c r="D37" s="7">
        <v>40000000</v>
      </c>
      <c r="E37" s="7">
        <v>0</v>
      </c>
    </row>
    <row r="40" spans="1:18" ht="17.25" x14ac:dyDescent="0.3">
      <c r="A40" s="176" t="s">
        <v>57</v>
      </c>
      <c r="B40" s="165"/>
      <c r="C40" s="165"/>
      <c r="D40" s="165"/>
    </row>
    <row r="41" spans="1:18" ht="39" customHeight="1" x14ac:dyDescent="0.25">
      <c r="A41" s="1" t="s">
        <v>0</v>
      </c>
      <c r="B41" s="2" t="s">
        <v>1</v>
      </c>
      <c r="C41" s="1" t="s">
        <v>2</v>
      </c>
      <c r="D41" s="1" t="s">
        <v>3</v>
      </c>
    </row>
    <row r="42" spans="1:18" ht="28.5" customHeight="1" x14ac:dyDescent="0.25">
      <c r="A42" s="6" t="s">
        <v>4</v>
      </c>
      <c r="B42" s="94" t="s">
        <v>182</v>
      </c>
      <c r="C42" s="6">
        <v>62816502</v>
      </c>
      <c r="D42" s="6"/>
    </row>
    <row r="43" spans="1:18" ht="29.25" customHeight="1" x14ac:dyDescent="0.25">
      <c r="A43" s="6" t="s">
        <v>6</v>
      </c>
      <c r="B43" s="94" t="s">
        <v>183</v>
      </c>
      <c r="C43" s="6">
        <v>62816502</v>
      </c>
      <c r="D43" s="95">
        <v>31408251</v>
      </c>
    </row>
    <row r="44" spans="1:18" ht="26.25" customHeight="1" x14ac:dyDescent="0.3">
      <c r="A44" s="6" t="s">
        <v>7</v>
      </c>
      <c r="B44" s="94" t="s">
        <v>184</v>
      </c>
      <c r="C44" s="6">
        <v>62816502</v>
      </c>
      <c r="D44" s="6">
        <v>0</v>
      </c>
      <c r="I44" s="136" t="s">
        <v>233</v>
      </c>
      <c r="J44" s="136"/>
      <c r="K44" s="136"/>
      <c r="L44" s="136"/>
      <c r="M44" s="136"/>
      <c r="N44" s="136"/>
      <c r="O44" s="136"/>
    </row>
    <row r="45" spans="1:18" ht="15.75" x14ac:dyDescent="0.25">
      <c r="A45" s="6"/>
      <c r="B45" s="94"/>
      <c r="C45" s="6"/>
      <c r="D45" s="6"/>
      <c r="I45" s="6"/>
      <c r="J45" s="133" t="s">
        <v>234</v>
      </c>
      <c r="K45" s="134"/>
      <c r="L45" s="135"/>
      <c r="M45" s="132" t="s">
        <v>235</v>
      </c>
      <c r="N45" s="132"/>
      <c r="O45" s="132"/>
    </row>
    <row r="46" spans="1:18" ht="27" customHeight="1" x14ac:dyDescent="0.25">
      <c r="A46" s="6" t="s">
        <v>5</v>
      </c>
      <c r="B46" s="94" t="s">
        <v>185</v>
      </c>
      <c r="C46" s="6">
        <v>81223209</v>
      </c>
      <c r="D46" s="6"/>
      <c r="I46" s="7"/>
      <c r="J46" s="129" t="s">
        <v>239</v>
      </c>
      <c r="K46" s="12" t="s">
        <v>236</v>
      </c>
      <c r="L46" s="12" t="s">
        <v>237</v>
      </c>
      <c r="M46" s="12" t="s">
        <v>239</v>
      </c>
      <c r="N46" s="12" t="s">
        <v>236</v>
      </c>
      <c r="O46" s="12" t="s">
        <v>237</v>
      </c>
      <c r="Q46" s="68"/>
      <c r="R46" s="126"/>
    </row>
    <row r="47" spans="1:18" ht="25.5" customHeight="1" x14ac:dyDescent="0.25">
      <c r="A47" s="6" t="s">
        <v>8</v>
      </c>
      <c r="B47" s="94" t="s">
        <v>186</v>
      </c>
      <c r="C47" s="6">
        <v>81223209</v>
      </c>
      <c r="D47" s="6">
        <v>40611604</v>
      </c>
      <c r="I47" s="12" t="s">
        <v>66</v>
      </c>
      <c r="J47" s="7" t="s">
        <v>240</v>
      </c>
      <c r="K47" s="18">
        <v>7.423</v>
      </c>
      <c r="L47" s="7" t="s">
        <v>241</v>
      </c>
      <c r="M47" s="7" t="s">
        <v>242</v>
      </c>
      <c r="N47" s="7">
        <v>1.2110000000000001</v>
      </c>
      <c r="O47" s="7" t="s">
        <v>243</v>
      </c>
      <c r="Q47" s="126"/>
      <c r="R47" s="68"/>
    </row>
    <row r="48" spans="1:18" ht="26.25" customHeight="1" x14ac:dyDescent="0.25">
      <c r="A48" s="6" t="s">
        <v>9</v>
      </c>
      <c r="B48" s="94" t="s">
        <v>187</v>
      </c>
      <c r="C48" s="6">
        <v>81223209</v>
      </c>
      <c r="D48" s="6">
        <v>0</v>
      </c>
      <c r="I48" s="12" t="s">
        <v>238</v>
      </c>
      <c r="J48" s="7" t="s">
        <v>240</v>
      </c>
      <c r="K48" s="18">
        <v>8.5920000000000005</v>
      </c>
      <c r="L48" s="7" t="s">
        <v>241</v>
      </c>
      <c r="M48" s="7" t="s">
        <v>242</v>
      </c>
      <c r="N48" s="7">
        <v>1.33</v>
      </c>
      <c r="O48" s="7" t="s">
        <v>243</v>
      </c>
      <c r="Q48" s="126"/>
      <c r="R48" s="68"/>
    </row>
    <row r="49" spans="1:31" ht="15.75" x14ac:dyDescent="0.25">
      <c r="A49" s="6"/>
      <c r="B49" s="96"/>
      <c r="C49" s="6"/>
      <c r="D49" s="6"/>
      <c r="I49" s="12" t="s">
        <v>68</v>
      </c>
      <c r="J49" s="7" t="s">
        <v>240</v>
      </c>
      <c r="K49" s="18">
        <v>8.6639999999999997</v>
      </c>
      <c r="L49" s="7" t="s">
        <v>241</v>
      </c>
      <c r="M49" s="7" t="s">
        <v>242</v>
      </c>
      <c r="N49" s="7">
        <v>1.323</v>
      </c>
      <c r="O49" s="7" t="s">
        <v>243</v>
      </c>
      <c r="Q49" s="126"/>
      <c r="R49" s="68"/>
    </row>
    <row r="50" spans="1:31" ht="15.75" x14ac:dyDescent="0.25">
      <c r="A50" s="6" t="s">
        <v>10</v>
      </c>
      <c r="B50" s="96" t="s">
        <v>58</v>
      </c>
      <c r="C50" s="6">
        <v>4820370</v>
      </c>
      <c r="D50" s="6"/>
      <c r="I50" s="12" t="s">
        <v>69</v>
      </c>
      <c r="J50" s="7" t="s">
        <v>240</v>
      </c>
      <c r="K50" s="18">
        <v>8.6980000000000004</v>
      </c>
      <c r="L50" s="7" t="s">
        <v>241</v>
      </c>
      <c r="M50" s="7" t="s">
        <v>242</v>
      </c>
      <c r="N50" s="7">
        <v>1.323</v>
      </c>
      <c r="O50" s="7" t="s">
        <v>243</v>
      </c>
      <c r="Q50" s="126"/>
      <c r="R50" s="68"/>
    </row>
    <row r="51" spans="1:31" x14ac:dyDescent="0.25">
      <c r="A51" s="6" t="s">
        <v>11</v>
      </c>
      <c r="B51" s="96" t="s">
        <v>59</v>
      </c>
      <c r="C51" s="6">
        <v>4820370</v>
      </c>
      <c r="D51" s="6">
        <v>2410185</v>
      </c>
    </row>
    <row r="52" spans="1:31" x14ac:dyDescent="0.25">
      <c r="A52" s="6" t="s">
        <v>12</v>
      </c>
      <c r="B52" s="96" t="s">
        <v>60</v>
      </c>
      <c r="C52" s="6">
        <v>4820370</v>
      </c>
      <c r="D52" s="6">
        <v>0</v>
      </c>
    </row>
    <row r="55" spans="1:31" ht="18.75" x14ac:dyDescent="0.3">
      <c r="A55" s="170" t="s">
        <v>70</v>
      </c>
      <c r="B55" s="167"/>
      <c r="C55" s="167"/>
      <c r="D55" s="167"/>
      <c r="E55" s="167"/>
      <c r="F55" s="167"/>
      <c r="G55" s="167"/>
    </row>
    <row r="56" spans="1:31" ht="15.75" x14ac:dyDescent="0.25">
      <c r="A56" s="151" t="s">
        <v>73</v>
      </c>
      <c r="B56" s="151"/>
      <c r="C56" s="151"/>
      <c r="D56" s="151"/>
      <c r="E56" s="151"/>
      <c r="F56" s="151"/>
      <c r="G56" s="151"/>
    </row>
    <row r="57" spans="1:31" ht="15.75" x14ac:dyDescent="0.25">
      <c r="A57" s="69"/>
      <c r="B57" s="171" t="s">
        <v>101</v>
      </c>
      <c r="C57" s="172"/>
      <c r="D57" s="173"/>
      <c r="E57" s="171" t="s">
        <v>102</v>
      </c>
      <c r="F57" s="172"/>
      <c r="G57" s="173"/>
    </row>
    <row r="58" spans="1:31" ht="18.75" x14ac:dyDescent="0.3">
      <c r="A58" s="70" t="s">
        <v>61</v>
      </c>
      <c r="B58" s="71" t="s">
        <v>62</v>
      </c>
      <c r="C58" s="71" t="s">
        <v>63</v>
      </c>
      <c r="D58" s="71" t="s">
        <v>64</v>
      </c>
      <c r="E58" s="72" t="s">
        <v>62</v>
      </c>
      <c r="F58" s="72" t="s">
        <v>65</v>
      </c>
      <c r="G58" s="72" t="s">
        <v>64</v>
      </c>
      <c r="I58" s="52" t="s">
        <v>127</v>
      </c>
      <c r="J58" s="52" t="s">
        <v>128</v>
      </c>
      <c r="K58" s="52" t="s">
        <v>129</v>
      </c>
      <c r="L58" s="125" t="s">
        <v>204</v>
      </c>
      <c r="O58" s="141" t="s">
        <v>142</v>
      </c>
      <c r="P58" s="141"/>
      <c r="Q58" s="141"/>
      <c r="R58" s="141"/>
      <c r="S58" s="141"/>
    </row>
    <row r="59" spans="1:31" ht="18.75" x14ac:dyDescent="0.3">
      <c r="A59" s="73" t="s">
        <v>66</v>
      </c>
      <c r="B59" s="74">
        <v>1.2110000000000001</v>
      </c>
      <c r="C59" s="74"/>
      <c r="D59" s="74"/>
      <c r="E59" s="75">
        <v>2.415</v>
      </c>
      <c r="F59" s="75"/>
      <c r="G59" s="75"/>
      <c r="I59">
        <f>E59-B59</f>
        <v>1.204</v>
      </c>
      <c r="J59">
        <f>B66-E59</f>
        <v>1.2229999999999999</v>
      </c>
      <c r="K59">
        <f>E66-B66</f>
        <v>1.1719999999999997</v>
      </c>
      <c r="L59">
        <f>SUM(I59:K59)/3</f>
        <v>1.1996666666666664</v>
      </c>
      <c r="O59" s="6"/>
      <c r="P59" s="12" t="s">
        <v>134</v>
      </c>
      <c r="Q59" s="12" t="s">
        <v>135</v>
      </c>
      <c r="R59" s="12" t="s">
        <v>136</v>
      </c>
      <c r="S59" s="12" t="s">
        <v>137</v>
      </c>
      <c r="U59" s="6"/>
      <c r="V59" s="136" t="s">
        <v>159</v>
      </c>
      <c r="W59" s="136"/>
      <c r="X59" s="136"/>
      <c r="Y59" s="136"/>
      <c r="AA59" s="68"/>
      <c r="AB59" s="127" t="s">
        <v>248</v>
      </c>
      <c r="AC59" s="127"/>
      <c r="AD59" s="127"/>
      <c r="AE59" s="127"/>
    </row>
    <row r="60" spans="1:31" ht="15.75" x14ac:dyDescent="0.25">
      <c r="A60" s="73" t="s">
        <v>67</v>
      </c>
      <c r="B60" s="74">
        <v>1.33</v>
      </c>
      <c r="C60" s="74">
        <v>10000000</v>
      </c>
      <c r="D60" s="74"/>
      <c r="E60" s="75">
        <v>2.4969999999999999</v>
      </c>
      <c r="F60" s="75">
        <v>20000000</v>
      </c>
      <c r="G60" s="75"/>
      <c r="I60">
        <f>E60-B60</f>
        <v>1.1669999999999998</v>
      </c>
      <c r="J60">
        <f>B67-E60</f>
        <v>1.2310000000000003</v>
      </c>
      <c r="K60">
        <f>E67-B67</f>
        <v>1.1720000000000002</v>
      </c>
      <c r="L60">
        <f t="shared" ref="L60:L62" si="0">SUM(I60:K60)/3</f>
        <v>1.1900000000000002</v>
      </c>
      <c r="O60" s="63" t="s">
        <v>67</v>
      </c>
      <c r="P60" s="7">
        <v>1</v>
      </c>
      <c r="Q60" s="7">
        <v>1</v>
      </c>
      <c r="R60" s="7">
        <v>1</v>
      </c>
      <c r="S60" s="64">
        <v>1</v>
      </c>
      <c r="U60" s="6"/>
      <c r="V60" s="12" t="s">
        <v>134</v>
      </c>
      <c r="W60" s="12" t="s">
        <v>135</v>
      </c>
      <c r="X60" s="12" t="s">
        <v>136</v>
      </c>
      <c r="Y60" s="12" t="s">
        <v>137</v>
      </c>
      <c r="AA60" s="68"/>
      <c r="AB60" s="126" t="s">
        <v>249</v>
      </c>
      <c r="AC60" s="126" t="s">
        <v>237</v>
      </c>
      <c r="AD60" s="126" t="s">
        <v>250</v>
      </c>
      <c r="AE60" s="126" t="s">
        <v>237</v>
      </c>
    </row>
    <row r="61" spans="1:31" x14ac:dyDescent="0.25">
      <c r="A61" s="73" t="s">
        <v>68</v>
      </c>
      <c r="B61" s="74">
        <v>1.323</v>
      </c>
      <c r="C61" s="74">
        <v>5000000</v>
      </c>
      <c r="D61" s="74">
        <v>0</v>
      </c>
      <c r="E61" s="75">
        <v>2.4870000000000001</v>
      </c>
      <c r="F61" s="75">
        <v>10000000</v>
      </c>
      <c r="G61" s="75">
        <v>0</v>
      </c>
      <c r="I61">
        <f>E61-B61</f>
        <v>1.1640000000000001</v>
      </c>
      <c r="J61">
        <f t="shared" ref="J61:J62" si="1">B68-E61</f>
        <v>1.4569999999999999</v>
      </c>
      <c r="K61">
        <f t="shared" ref="K61:K62" si="2">E68-B68</f>
        <v>0.95800000000000018</v>
      </c>
      <c r="L61">
        <f t="shared" si="0"/>
        <v>1.1930000000000001</v>
      </c>
      <c r="O61" s="63" t="s">
        <v>68</v>
      </c>
      <c r="P61" s="7">
        <v>1</v>
      </c>
      <c r="Q61" s="7">
        <v>1</v>
      </c>
      <c r="R61" s="7">
        <v>1</v>
      </c>
      <c r="S61" s="7">
        <v>1</v>
      </c>
      <c r="U61" s="65" t="s">
        <v>66</v>
      </c>
      <c r="V61" s="7">
        <f>180/B59</f>
        <v>148.63748967795209</v>
      </c>
      <c r="W61" s="7">
        <f>360/E59</f>
        <v>149.06832298136646</v>
      </c>
      <c r="X61" s="7">
        <f>540/B66</f>
        <v>148.43320505772402</v>
      </c>
      <c r="Y61" s="6">
        <f>720/E66</f>
        <v>149.68814968814971</v>
      </c>
      <c r="AA61" s="45" t="s">
        <v>66</v>
      </c>
      <c r="AB61" s="103">
        <v>8316008.3159999996</v>
      </c>
      <c r="AC61" s="103" t="s">
        <v>251</v>
      </c>
      <c r="AD61" s="103">
        <v>6314127.8609999996</v>
      </c>
      <c r="AE61" s="197" t="s">
        <v>252</v>
      </c>
    </row>
    <row r="62" spans="1:31" x14ac:dyDescent="0.25">
      <c r="A62" s="73" t="s">
        <v>69</v>
      </c>
      <c r="B62" s="74">
        <v>1.323</v>
      </c>
      <c r="C62" s="74">
        <v>0</v>
      </c>
      <c r="D62" s="74">
        <v>0</v>
      </c>
      <c r="E62" s="75">
        <v>2.476</v>
      </c>
      <c r="F62" s="75">
        <v>0</v>
      </c>
      <c r="G62" s="75">
        <v>0</v>
      </c>
      <c r="I62">
        <f t="shared" ref="I62" si="3">E62-B62</f>
        <v>1.153</v>
      </c>
      <c r="J62">
        <f t="shared" si="1"/>
        <v>1.5839999999999996</v>
      </c>
      <c r="K62">
        <f t="shared" si="2"/>
        <v>0.85000000000000053</v>
      </c>
      <c r="L62">
        <f t="shared" si="0"/>
        <v>1.1956666666666667</v>
      </c>
      <c r="O62" s="63" t="s">
        <v>69</v>
      </c>
      <c r="P62" s="7">
        <v>1</v>
      </c>
      <c r="Q62" s="7">
        <v>1</v>
      </c>
      <c r="R62" s="7">
        <f>1-D69</f>
        <v>0.99966999999999995</v>
      </c>
      <c r="S62" s="6">
        <f>1-G69</f>
        <v>0.99975000000000003</v>
      </c>
      <c r="U62" s="65" t="s">
        <v>67</v>
      </c>
      <c r="V62" s="7">
        <f>180/B60</f>
        <v>135.33834586466165</v>
      </c>
      <c r="W62" s="7">
        <f>360/E60</f>
        <v>144.17300760913096</v>
      </c>
      <c r="X62" s="7">
        <f>540/B67</f>
        <v>144.84978540772531</v>
      </c>
      <c r="Y62" s="6">
        <f>720/E67</f>
        <v>146.93877551020407</v>
      </c>
      <c r="AA62" s="45" t="s">
        <v>67</v>
      </c>
      <c r="AB62" s="103">
        <v>8163265.3059999999</v>
      </c>
      <c r="AC62" s="103" t="s">
        <v>251</v>
      </c>
      <c r="AD62" s="103">
        <v>6244796.0029999996</v>
      </c>
      <c r="AE62" s="197" t="s">
        <v>253</v>
      </c>
    </row>
    <row r="63" spans="1:31" ht="15.75" x14ac:dyDescent="0.25">
      <c r="A63" s="76"/>
      <c r="B63" s="77"/>
      <c r="C63" s="77"/>
      <c r="D63" s="77"/>
      <c r="E63" s="77"/>
      <c r="F63" s="77"/>
      <c r="G63" s="77"/>
      <c r="O63" s="6"/>
      <c r="P63" s="12" t="s">
        <v>138</v>
      </c>
      <c r="Q63" s="12" t="s">
        <v>139</v>
      </c>
      <c r="R63" s="12" t="s">
        <v>140</v>
      </c>
      <c r="S63" s="12" t="s">
        <v>141</v>
      </c>
      <c r="U63" s="65" t="s">
        <v>68</v>
      </c>
      <c r="V63" s="7">
        <f>180/B61</f>
        <v>136.0544217687075</v>
      </c>
      <c r="W63" s="7">
        <f>360/E61</f>
        <v>144.75271411338963</v>
      </c>
      <c r="X63" s="7">
        <f>540/B68</f>
        <v>136.91683569979716</v>
      </c>
      <c r="Y63" s="6">
        <f>720/E68</f>
        <v>146.87882496940023</v>
      </c>
      <c r="AA63" s="45" t="s">
        <v>68</v>
      </c>
      <c r="AB63" s="103">
        <v>8159934.7209999999</v>
      </c>
      <c r="AC63" s="103" t="s">
        <v>251</v>
      </c>
      <c r="AD63" s="103">
        <v>4883408.6189999999</v>
      </c>
      <c r="AE63" s="197" t="s">
        <v>252</v>
      </c>
    </row>
    <row r="64" spans="1:31" ht="15.75" x14ac:dyDescent="0.25">
      <c r="A64" s="69"/>
      <c r="B64" s="171" t="s">
        <v>100</v>
      </c>
      <c r="C64" s="172"/>
      <c r="D64" s="173"/>
      <c r="E64" s="171" t="s">
        <v>99</v>
      </c>
      <c r="F64" s="172"/>
      <c r="G64" s="173"/>
      <c r="O64" s="63" t="s">
        <v>67</v>
      </c>
      <c r="P64" s="7">
        <v>1</v>
      </c>
      <c r="Q64" s="7">
        <v>1</v>
      </c>
      <c r="R64" s="7">
        <v>1</v>
      </c>
      <c r="S64" s="7">
        <v>1</v>
      </c>
      <c r="U64" s="65" t="s">
        <v>69</v>
      </c>
      <c r="V64" s="7">
        <f>180/B62</f>
        <v>136.0544217687075</v>
      </c>
      <c r="W64" s="7">
        <f>360/E62</f>
        <v>145.39579967689824</v>
      </c>
      <c r="X64" s="7">
        <f>540/B69</f>
        <v>133.00492610837441</v>
      </c>
      <c r="Y64" s="6">
        <f>720/E69</f>
        <v>146.63951120162932</v>
      </c>
      <c r="AA64" s="45" t="s">
        <v>69</v>
      </c>
      <c r="AB64" s="103">
        <v>8146639.5109999999</v>
      </c>
      <c r="AC64" s="103" t="s">
        <v>251</v>
      </c>
      <c r="AD64" s="103">
        <v>5281922.62</v>
      </c>
      <c r="AE64" s="197" t="s">
        <v>252</v>
      </c>
    </row>
    <row r="65" spans="1:31" ht="15.75" x14ac:dyDescent="0.25">
      <c r="A65" s="70" t="s">
        <v>61</v>
      </c>
      <c r="B65" s="78" t="s">
        <v>62</v>
      </c>
      <c r="C65" s="78" t="s">
        <v>63</v>
      </c>
      <c r="D65" s="78" t="s">
        <v>64</v>
      </c>
      <c r="E65" s="79" t="s">
        <v>62</v>
      </c>
      <c r="F65" s="79" t="s">
        <v>65</v>
      </c>
      <c r="G65" s="79" t="s">
        <v>64</v>
      </c>
      <c r="O65" s="63" t="s">
        <v>68</v>
      </c>
      <c r="P65" s="7">
        <v>1</v>
      </c>
      <c r="Q65" s="7">
        <v>1</v>
      </c>
      <c r="R65" s="7">
        <f>1-D83</f>
        <v>0.99966999999999995</v>
      </c>
      <c r="S65" s="6">
        <f>1-G83</f>
        <v>0.99975000000000003</v>
      </c>
      <c r="U65" s="6"/>
      <c r="V65" s="12" t="s">
        <v>138</v>
      </c>
      <c r="W65" s="12" t="s">
        <v>139</v>
      </c>
      <c r="X65" s="12" t="s">
        <v>140</v>
      </c>
      <c r="Y65" s="12" t="s">
        <v>141</v>
      </c>
      <c r="AA65" s="68"/>
      <c r="AB65" s="126"/>
      <c r="AC65" s="126"/>
      <c r="AD65" s="126"/>
      <c r="AE65" s="126"/>
    </row>
    <row r="66" spans="1:31" x14ac:dyDescent="0.25">
      <c r="A66" s="73" t="s">
        <v>66</v>
      </c>
      <c r="B66" s="80">
        <v>3.6379999999999999</v>
      </c>
      <c r="C66" s="80"/>
      <c r="D66" s="80"/>
      <c r="E66" s="81">
        <v>4.8099999999999996</v>
      </c>
      <c r="F66" s="81"/>
      <c r="G66" s="81"/>
      <c r="O66" s="63" t="s">
        <v>69</v>
      </c>
      <c r="P66" s="7">
        <v>1</v>
      </c>
      <c r="Q66" s="7">
        <f>1-G77</f>
        <v>0.99950000000000006</v>
      </c>
      <c r="R66" s="7">
        <f>1-D84</f>
        <v>0.99966999999999995</v>
      </c>
      <c r="S66" s="6">
        <f>1-G84</f>
        <v>0.99975000000000003</v>
      </c>
      <c r="U66" s="65" t="s">
        <v>66</v>
      </c>
      <c r="V66" s="7">
        <f>250/B74</f>
        <v>182.61504747991233</v>
      </c>
      <c r="W66" s="7">
        <f>500/E74</f>
        <v>181.48820326678768</v>
      </c>
      <c r="X66" s="7">
        <f>750/B81</f>
        <v>182.17148409035707</v>
      </c>
      <c r="Y66" s="7">
        <f>1000/E81</f>
        <v>182.68176835951772</v>
      </c>
      <c r="AA66" s="67"/>
      <c r="AB66" s="40"/>
      <c r="AC66" s="40"/>
      <c r="AD66" s="40"/>
      <c r="AE66" s="40"/>
    </row>
    <row r="67" spans="1:31" ht="18.75" x14ac:dyDescent="0.3">
      <c r="A67" s="73" t="s">
        <v>67</v>
      </c>
      <c r="B67" s="80">
        <v>3.7280000000000002</v>
      </c>
      <c r="C67" s="80">
        <v>30000000</v>
      </c>
      <c r="D67" s="80"/>
      <c r="E67" s="81">
        <v>4.9000000000000004</v>
      </c>
      <c r="F67" s="81">
        <v>40000000</v>
      </c>
      <c r="G67" s="81"/>
      <c r="O67" s="6"/>
      <c r="P67" s="12" t="s">
        <v>130</v>
      </c>
      <c r="Q67" s="12" t="s">
        <v>131</v>
      </c>
      <c r="R67" s="12" t="s">
        <v>133</v>
      </c>
      <c r="S67" s="12" t="s">
        <v>132</v>
      </c>
      <c r="U67" s="65" t="s">
        <v>67</v>
      </c>
      <c r="V67" s="7">
        <f>250/B75</f>
        <v>178.826895565093</v>
      </c>
      <c r="W67" s="7">
        <f>500/E75</f>
        <v>178.1895937277263</v>
      </c>
      <c r="X67" s="7">
        <f>750/B82</f>
        <v>178.78426698450536</v>
      </c>
      <c r="Y67" s="7">
        <f>1000/E82</f>
        <v>178.31669044222539</v>
      </c>
      <c r="AA67" s="67"/>
      <c r="AB67" s="127" t="s">
        <v>254</v>
      </c>
      <c r="AC67" s="40"/>
      <c r="AD67" s="40"/>
      <c r="AE67" s="40"/>
    </row>
    <row r="68" spans="1:31" x14ac:dyDescent="0.25">
      <c r="A68" s="73" t="s">
        <v>68</v>
      </c>
      <c r="B68" s="80">
        <v>3.944</v>
      </c>
      <c r="C68" s="80">
        <v>15000000</v>
      </c>
      <c r="D68" s="80">
        <v>0</v>
      </c>
      <c r="E68" s="81">
        <v>4.9020000000000001</v>
      </c>
      <c r="F68" s="81">
        <v>20000000</v>
      </c>
      <c r="G68" s="81">
        <v>0</v>
      </c>
      <c r="O68" s="63" t="s">
        <v>67</v>
      </c>
      <c r="P68" s="7">
        <v>1</v>
      </c>
      <c r="Q68" s="7">
        <v>1</v>
      </c>
      <c r="R68" s="7">
        <v>1</v>
      </c>
      <c r="S68" s="7">
        <v>1</v>
      </c>
      <c r="U68" s="65" t="s">
        <v>68</v>
      </c>
      <c r="V68" s="7">
        <f>250/B76</f>
        <v>178.44396859386151</v>
      </c>
      <c r="W68" s="7">
        <f>500/E76</f>
        <v>177.61989342806396</v>
      </c>
      <c r="X68" s="7">
        <f>750/B83</f>
        <v>151.72971879425452</v>
      </c>
      <c r="Y68" s="7">
        <f>1000/E83</f>
        <v>178.22135091783997</v>
      </c>
      <c r="AA68" s="45"/>
      <c r="AB68" s="198" t="s">
        <v>249</v>
      </c>
      <c r="AC68" s="198" t="s">
        <v>237</v>
      </c>
      <c r="AD68" s="198" t="s">
        <v>250</v>
      </c>
      <c r="AE68" s="198" t="s">
        <v>237</v>
      </c>
    </row>
    <row r="69" spans="1:31" x14ac:dyDescent="0.25">
      <c r="A69" s="73" t="s">
        <v>69</v>
      </c>
      <c r="B69" s="80">
        <v>4.0599999999999996</v>
      </c>
      <c r="C69" s="80">
        <v>10000</v>
      </c>
      <c r="D69" s="80">
        <v>3.3E-4</v>
      </c>
      <c r="E69" s="81">
        <v>4.91</v>
      </c>
      <c r="F69" s="81">
        <v>10000</v>
      </c>
      <c r="G69" s="81">
        <v>2.5000000000000001E-4</v>
      </c>
      <c r="O69" s="63" t="s">
        <v>68</v>
      </c>
      <c r="P69" s="7">
        <f>1-D93</f>
        <v>0.99750000000000005</v>
      </c>
      <c r="Q69" s="7">
        <f>1-G93</f>
        <v>0.99480000000000002</v>
      </c>
      <c r="R69" s="7">
        <f>1-D100</f>
        <v>0.99219999999999997</v>
      </c>
      <c r="S69" s="6">
        <f>1-G100</f>
        <v>0.99</v>
      </c>
      <c r="U69" s="65" t="s">
        <v>69</v>
      </c>
      <c r="V69" s="7">
        <f>250/B77</f>
        <v>178.1895937277263</v>
      </c>
      <c r="W69" s="7">
        <f>500/E77</f>
        <v>178.25311942959001</v>
      </c>
      <c r="X69" s="7">
        <f>750/B84</f>
        <v>156.77257525083613</v>
      </c>
      <c r="Y69" s="7">
        <f>1000/E84</f>
        <v>177.90428749332858</v>
      </c>
      <c r="AA69" s="45" t="s">
        <v>66</v>
      </c>
      <c r="AB69" s="103">
        <v>1.5837499999999999E-7</v>
      </c>
      <c r="AC69" s="103" t="s">
        <v>255</v>
      </c>
      <c r="AD69" s="103">
        <v>1.2025000000000001E-7</v>
      </c>
      <c r="AE69" s="103" t="s">
        <v>256</v>
      </c>
    </row>
    <row r="70" spans="1:31" ht="15.75" x14ac:dyDescent="0.25">
      <c r="A70" s="77"/>
      <c r="B70" s="77"/>
      <c r="C70" s="77"/>
      <c r="D70" s="77"/>
      <c r="E70" s="77"/>
      <c r="F70" s="77"/>
      <c r="G70" s="77"/>
      <c r="O70" s="63" t="s">
        <v>69</v>
      </c>
      <c r="P70" s="7">
        <f>1-D94</f>
        <v>0.99480000000000002</v>
      </c>
      <c r="Q70" s="7">
        <f>1-G94</f>
        <v>0.99</v>
      </c>
      <c r="R70" s="7">
        <f>1-D101</f>
        <v>0.98470000000000002</v>
      </c>
      <c r="S70" s="6">
        <f>1-G101</f>
        <v>0.98</v>
      </c>
      <c r="U70" s="6"/>
      <c r="V70" s="12" t="s">
        <v>130</v>
      </c>
      <c r="W70" s="12" t="s">
        <v>131</v>
      </c>
      <c r="X70" s="12" t="s">
        <v>133</v>
      </c>
      <c r="Y70" s="12" t="s">
        <v>132</v>
      </c>
      <c r="AA70" s="199" t="s">
        <v>67</v>
      </c>
      <c r="AB70" s="194">
        <v>1.601333333E-7</v>
      </c>
      <c r="AC70" s="194" t="s">
        <v>255</v>
      </c>
      <c r="AD70" s="194">
        <v>1.2249999999999999E-7</v>
      </c>
      <c r="AE70" s="194" t="s">
        <v>257</v>
      </c>
    </row>
    <row r="71" spans="1:31" x14ac:dyDescent="0.25">
      <c r="A71" s="77"/>
      <c r="B71" s="77"/>
      <c r="C71" s="77"/>
      <c r="D71" s="77"/>
      <c r="E71" s="77"/>
      <c r="F71" s="77"/>
      <c r="G71" s="77"/>
      <c r="U71" s="65" t="s">
        <v>66</v>
      </c>
      <c r="V71" s="6">
        <f>300/B91</f>
        <v>190.59720457433289</v>
      </c>
      <c r="W71" s="6">
        <f>600/E91</f>
        <v>190.90041361756286</v>
      </c>
      <c r="X71" s="6">
        <f>900/B98</f>
        <v>190.88016967126194</v>
      </c>
      <c r="Y71" s="6">
        <f>1200/E98</f>
        <v>189.42383583267562</v>
      </c>
      <c r="AA71" s="45" t="s">
        <v>68</v>
      </c>
      <c r="AB71" s="197">
        <v>2.0477500000000001E-7</v>
      </c>
      <c r="AC71" s="197" t="s">
        <v>255</v>
      </c>
      <c r="AD71" s="197">
        <v>1.2255E-7</v>
      </c>
      <c r="AE71" s="197" t="s">
        <v>256</v>
      </c>
    </row>
    <row r="72" spans="1:31" ht="15.75" x14ac:dyDescent="0.25">
      <c r="A72" s="82"/>
      <c r="B72" s="177" t="s">
        <v>97</v>
      </c>
      <c r="C72" s="178"/>
      <c r="D72" s="179"/>
      <c r="E72" s="177" t="s">
        <v>98</v>
      </c>
      <c r="F72" s="178"/>
      <c r="G72" s="179"/>
      <c r="U72" s="65" t="s">
        <v>67</v>
      </c>
      <c r="V72" s="6">
        <f>300/B92</f>
        <v>188.56065367693276</v>
      </c>
      <c r="W72" s="6">
        <f>600/E92</f>
        <v>189.69332911792603</v>
      </c>
      <c r="X72" s="6">
        <f>900/B99</f>
        <v>187.34388009991673</v>
      </c>
      <c r="Y72" s="6">
        <f>1200/E99</f>
        <v>187.47070770192158</v>
      </c>
      <c r="AA72" s="45" t="s">
        <v>69</v>
      </c>
      <c r="AB72" s="197">
        <v>1.8932500000000001E-7</v>
      </c>
      <c r="AC72" s="197" t="s">
        <v>255</v>
      </c>
      <c r="AD72" s="197">
        <v>1.2275000000000001E-7</v>
      </c>
      <c r="AE72" s="197" t="s">
        <v>256</v>
      </c>
    </row>
    <row r="73" spans="1:31" ht="18.75" x14ac:dyDescent="0.3">
      <c r="A73" s="83" t="s">
        <v>61</v>
      </c>
      <c r="B73" s="71" t="s">
        <v>62</v>
      </c>
      <c r="C73" s="71" t="s">
        <v>63</v>
      </c>
      <c r="D73" s="71" t="s">
        <v>64</v>
      </c>
      <c r="E73" s="72" t="s">
        <v>62</v>
      </c>
      <c r="F73" s="72" t="s">
        <v>65</v>
      </c>
      <c r="G73" s="72" t="s">
        <v>64</v>
      </c>
      <c r="I73" s="52" t="s">
        <v>127</v>
      </c>
      <c r="J73" s="52" t="s">
        <v>128</v>
      </c>
      <c r="K73" s="52" t="s">
        <v>129</v>
      </c>
      <c r="L73" s="125" t="s">
        <v>204</v>
      </c>
      <c r="O73" s="7"/>
      <c r="Q73" s="86" t="s">
        <v>157</v>
      </c>
      <c r="U73" s="65" t="s">
        <v>68</v>
      </c>
      <c r="V73" s="6">
        <f>300/B93</f>
        <v>189.87341772151899</v>
      </c>
      <c r="W73" s="6">
        <f>600/E93</f>
        <v>189.75332068311195</v>
      </c>
      <c r="X73" s="6">
        <f>900/B100</f>
        <v>186.60584698320545</v>
      </c>
      <c r="Y73" s="6">
        <f>1200/E100</f>
        <v>146.50225857648638</v>
      </c>
      <c r="AA73" s="67"/>
      <c r="AB73" s="68"/>
      <c r="AC73" s="68"/>
      <c r="AD73" s="68"/>
      <c r="AE73" s="68"/>
    </row>
    <row r="74" spans="1:31" x14ac:dyDescent="0.25">
      <c r="A74" s="84" t="s">
        <v>66</v>
      </c>
      <c r="B74" s="74">
        <v>1.369</v>
      </c>
      <c r="C74" s="74"/>
      <c r="D74" s="74"/>
      <c r="E74" s="75">
        <v>2.7549999999999999</v>
      </c>
      <c r="F74" s="75"/>
      <c r="G74" s="75"/>
      <c r="I74">
        <f>E74-B74</f>
        <v>1.3859999999999999</v>
      </c>
      <c r="J74">
        <f>B81-E74</f>
        <v>1.3620000000000001</v>
      </c>
      <c r="K74">
        <f>E81-B81</f>
        <v>1.3570000000000002</v>
      </c>
      <c r="L74">
        <f>SUM(I74:K74)/3</f>
        <v>1.3683333333333334</v>
      </c>
      <c r="O74" s="63" t="s">
        <v>153</v>
      </c>
      <c r="P74" s="6">
        <v>10000000</v>
      </c>
      <c r="Q74" s="6">
        <f>(1301*1303*64)/P74</f>
        <v>10.849299200000001</v>
      </c>
      <c r="U74" s="65" t="s">
        <v>69</v>
      </c>
      <c r="V74" s="6">
        <f>300/B94</f>
        <v>187.73466833541926</v>
      </c>
      <c r="W74" s="6">
        <f>600/E94</f>
        <v>189.69332911792603</v>
      </c>
      <c r="X74" s="6">
        <f>900/B101</f>
        <v>185.64356435643566</v>
      </c>
      <c r="Y74" s="6">
        <f>1200/E101</f>
        <v>158.45767859500859</v>
      </c>
      <c r="AA74" s="67"/>
      <c r="AB74" s="68"/>
      <c r="AC74" s="68"/>
      <c r="AD74" s="68"/>
      <c r="AE74" s="68"/>
    </row>
    <row r="75" spans="1:31" ht="18.75" x14ac:dyDescent="0.3">
      <c r="A75" s="84" t="s">
        <v>67</v>
      </c>
      <c r="B75" s="74">
        <v>1.3979999999999999</v>
      </c>
      <c r="C75" s="74">
        <v>10000000</v>
      </c>
      <c r="D75" s="74"/>
      <c r="E75" s="75">
        <v>2.806</v>
      </c>
      <c r="F75" s="75">
        <v>20000000</v>
      </c>
      <c r="G75" s="75"/>
      <c r="I75" s="50">
        <f>E75-B75</f>
        <v>1.4080000000000001</v>
      </c>
      <c r="J75" s="50">
        <f>B82-E75</f>
        <v>1.3890000000000002</v>
      </c>
      <c r="K75" s="50">
        <f>E82-B82</f>
        <v>1.4129999999999994</v>
      </c>
      <c r="L75">
        <f t="shared" ref="L75:L77" si="4">SUM(I75:K75)/3</f>
        <v>1.4033333333333333</v>
      </c>
      <c r="O75" s="63" t="s">
        <v>154</v>
      </c>
      <c r="P75" s="6">
        <v>20000000</v>
      </c>
      <c r="Q75" s="6">
        <f t="shared" ref="Q75:Q77" si="5">(1301*1303*64)/P75</f>
        <v>5.4246496000000004</v>
      </c>
      <c r="AB75" s="196" t="s">
        <v>258</v>
      </c>
    </row>
    <row r="76" spans="1:31" x14ac:dyDescent="0.25">
      <c r="A76" s="84" t="s">
        <v>68</v>
      </c>
      <c r="B76" s="74">
        <v>1.401</v>
      </c>
      <c r="C76" s="74">
        <v>5000000</v>
      </c>
      <c r="D76" s="74">
        <v>0</v>
      </c>
      <c r="E76" s="75">
        <v>2.8149999999999999</v>
      </c>
      <c r="F76" s="75">
        <v>10000000</v>
      </c>
      <c r="G76" s="75">
        <v>0</v>
      </c>
      <c r="I76" s="50">
        <f t="shared" ref="I76:I77" si="6">E76-B76</f>
        <v>1.4139999999999999</v>
      </c>
      <c r="J76" s="50">
        <f>B83-E76</f>
        <v>2.1279999999999997</v>
      </c>
      <c r="K76" s="50">
        <f t="shared" ref="K76" si="7">E83-B83</f>
        <v>0.66800000000000015</v>
      </c>
      <c r="L76">
        <f t="shared" si="4"/>
        <v>1.4033333333333333</v>
      </c>
      <c r="O76" s="63" t="s">
        <v>155</v>
      </c>
      <c r="P76" s="6">
        <v>30000000</v>
      </c>
      <c r="Q76" s="6">
        <f t="shared" si="5"/>
        <v>3.6164330666666666</v>
      </c>
      <c r="AA76" s="6"/>
      <c r="AB76" s="113" t="s">
        <v>249</v>
      </c>
      <c r="AC76" s="113" t="s">
        <v>237</v>
      </c>
      <c r="AD76" s="113" t="s">
        <v>250</v>
      </c>
      <c r="AE76" s="113" t="s">
        <v>237</v>
      </c>
    </row>
    <row r="77" spans="1:31" x14ac:dyDescent="0.25">
      <c r="A77" s="84" t="s">
        <v>69</v>
      </c>
      <c r="B77" s="74">
        <v>1.403</v>
      </c>
      <c r="C77" s="74">
        <v>0</v>
      </c>
      <c r="D77" s="74">
        <v>0</v>
      </c>
      <c r="E77" s="75">
        <v>2.8050000000000002</v>
      </c>
      <c r="F77" s="75">
        <v>10000</v>
      </c>
      <c r="G77" s="75">
        <v>5.0000000000000001E-4</v>
      </c>
      <c r="I77" s="50">
        <f t="shared" si="6"/>
        <v>1.4020000000000001</v>
      </c>
      <c r="J77" s="50">
        <f>B84-E77</f>
        <v>1.9789999999999996</v>
      </c>
      <c r="K77" s="50">
        <f>E84-B84</f>
        <v>0.83700000000000063</v>
      </c>
      <c r="L77">
        <f t="shared" si="4"/>
        <v>1.4059999999999999</v>
      </c>
      <c r="O77" s="63" t="s">
        <v>156</v>
      </c>
      <c r="P77" s="6">
        <v>40000000</v>
      </c>
      <c r="Q77" s="6">
        <f t="shared" si="5"/>
        <v>2.7123248000000002</v>
      </c>
      <c r="AA77" s="199" t="s">
        <v>66</v>
      </c>
      <c r="AB77" s="6">
        <v>190.90041360000001</v>
      </c>
      <c r="AC77" s="6" t="s">
        <v>255</v>
      </c>
      <c r="AD77" s="6">
        <v>148.43320510000001</v>
      </c>
      <c r="AE77" s="6" t="s">
        <v>256</v>
      </c>
    </row>
    <row r="78" spans="1:31" x14ac:dyDescent="0.25">
      <c r="A78" s="85"/>
      <c r="B78" s="77"/>
      <c r="C78" s="77"/>
      <c r="D78" s="77"/>
      <c r="E78" s="77"/>
      <c r="F78" s="77"/>
      <c r="G78" s="77"/>
      <c r="AA78" s="199" t="s">
        <v>67</v>
      </c>
      <c r="AB78" s="6">
        <v>189.6933291</v>
      </c>
      <c r="AC78" s="6" t="s">
        <v>255</v>
      </c>
      <c r="AD78" s="6">
        <v>135.33834590000001</v>
      </c>
      <c r="AE78" s="6" t="s">
        <v>257</v>
      </c>
    </row>
    <row r="79" spans="1:31" ht="15.75" x14ac:dyDescent="0.25">
      <c r="A79" s="82"/>
      <c r="B79" s="177" t="s">
        <v>103</v>
      </c>
      <c r="C79" s="178"/>
      <c r="D79" s="179"/>
      <c r="E79" s="177" t="s">
        <v>104</v>
      </c>
      <c r="F79" s="178"/>
      <c r="G79" s="179"/>
      <c r="AA79" s="199" t="s">
        <v>68</v>
      </c>
      <c r="AB79" s="6">
        <v>189.8734177</v>
      </c>
      <c r="AC79" s="6" t="s">
        <v>255</v>
      </c>
      <c r="AD79" s="6">
        <v>136.0544218</v>
      </c>
      <c r="AE79" s="6" t="s">
        <v>256</v>
      </c>
    </row>
    <row r="80" spans="1:31" ht="18.75" x14ac:dyDescent="0.3">
      <c r="A80" s="83" t="s">
        <v>61</v>
      </c>
      <c r="B80" s="78" t="s">
        <v>62</v>
      </c>
      <c r="C80" s="78" t="s">
        <v>63</v>
      </c>
      <c r="D80" s="78" t="s">
        <v>64</v>
      </c>
      <c r="E80" s="79" t="s">
        <v>62</v>
      </c>
      <c r="F80" s="79" t="s">
        <v>65</v>
      </c>
      <c r="G80" s="79" t="s">
        <v>64</v>
      </c>
      <c r="O80" s="142" t="s">
        <v>166</v>
      </c>
      <c r="P80" s="143"/>
      <c r="Q80" s="143"/>
      <c r="R80" s="143"/>
      <c r="S80" s="144"/>
      <c r="U80" s="6"/>
      <c r="V80" s="136" t="s">
        <v>168</v>
      </c>
      <c r="W80" s="136"/>
      <c r="X80" s="136"/>
      <c r="Y80" s="136"/>
      <c r="AA80" s="199" t="s">
        <v>69</v>
      </c>
      <c r="AB80" s="6">
        <v>189.6933291</v>
      </c>
      <c r="AC80" s="6" t="s">
        <v>255</v>
      </c>
      <c r="AD80" s="6">
        <v>133.00492610000001</v>
      </c>
      <c r="AE80" s="6" t="s">
        <v>256</v>
      </c>
    </row>
    <row r="81" spans="1:25" ht="15.75" x14ac:dyDescent="0.25">
      <c r="A81" s="84" t="s">
        <v>66</v>
      </c>
      <c r="B81" s="80">
        <v>4.117</v>
      </c>
      <c r="C81" s="80"/>
      <c r="D81" s="80"/>
      <c r="E81" s="81">
        <v>5.4740000000000002</v>
      </c>
      <c r="F81" s="81"/>
      <c r="G81" s="81"/>
      <c r="J81" s="61"/>
      <c r="K81" s="61"/>
      <c r="L81" s="61"/>
      <c r="M81" s="61"/>
      <c r="N81" s="61"/>
      <c r="O81" s="89"/>
      <c r="P81" s="12" t="s">
        <v>134</v>
      </c>
      <c r="Q81" s="12" t="s">
        <v>135</v>
      </c>
      <c r="R81" s="12" t="s">
        <v>136</v>
      </c>
      <c r="S81" s="12" t="s">
        <v>137</v>
      </c>
      <c r="U81" s="6"/>
      <c r="V81" s="12" t="s">
        <v>134</v>
      </c>
      <c r="W81" s="12" t="s">
        <v>135</v>
      </c>
      <c r="X81" s="12" t="s">
        <v>136</v>
      </c>
      <c r="Y81" s="12" t="s">
        <v>137</v>
      </c>
    </row>
    <row r="82" spans="1:25" x14ac:dyDescent="0.25">
      <c r="A82" s="84" t="s">
        <v>67</v>
      </c>
      <c r="B82" s="80">
        <v>4.1950000000000003</v>
      </c>
      <c r="C82" s="80">
        <v>30000000</v>
      </c>
      <c r="D82" s="80"/>
      <c r="E82" s="81">
        <v>5.6079999999999997</v>
      </c>
      <c r="F82" s="81">
        <v>40000000</v>
      </c>
      <c r="G82" s="81"/>
      <c r="J82" s="61"/>
      <c r="K82" s="61"/>
      <c r="L82" s="61"/>
      <c r="M82" s="61"/>
      <c r="N82" s="61"/>
      <c r="O82" s="90" t="s">
        <v>66</v>
      </c>
      <c r="P82" s="7">
        <f>10000000/B59</f>
        <v>8257638.3154417835</v>
      </c>
      <c r="Q82" s="7">
        <f>20000000/E59</f>
        <v>8281573.4989648033</v>
      </c>
      <c r="R82" s="7">
        <f>30000000/B66</f>
        <v>8246289.1698735571</v>
      </c>
      <c r="S82" s="7">
        <f>40000000/E66</f>
        <v>8316008.3160083164</v>
      </c>
      <c r="U82" s="65" t="s">
        <v>66</v>
      </c>
      <c r="V82" s="7">
        <f>B59/10000000</f>
        <v>1.2110000000000002E-7</v>
      </c>
      <c r="W82" s="7">
        <f>E59/20000000</f>
        <v>1.2074999999999999E-7</v>
      </c>
      <c r="X82" s="7">
        <f>B66/30000000</f>
        <v>1.2126666666666665E-7</v>
      </c>
      <c r="Y82" s="6">
        <f>E66/40000000</f>
        <v>1.2024999999999998E-7</v>
      </c>
    </row>
    <row r="83" spans="1:25" x14ac:dyDescent="0.25">
      <c r="A83" s="84" t="s">
        <v>68</v>
      </c>
      <c r="B83" s="80">
        <v>4.9429999999999996</v>
      </c>
      <c r="C83" s="80">
        <v>15010000</v>
      </c>
      <c r="D83" s="80">
        <v>3.3E-4</v>
      </c>
      <c r="E83" s="81">
        <v>5.6109999999999998</v>
      </c>
      <c r="F83" s="81">
        <v>20010000</v>
      </c>
      <c r="G83" s="81">
        <v>2.5000000000000001E-4</v>
      </c>
      <c r="J83" s="61"/>
      <c r="K83" s="61"/>
      <c r="L83" s="61"/>
      <c r="M83" s="61"/>
      <c r="N83" s="61"/>
      <c r="O83" s="90" t="s">
        <v>67</v>
      </c>
      <c r="P83" s="7">
        <f>10000000/B60</f>
        <v>7518796.9924812028</v>
      </c>
      <c r="Q83" s="7">
        <f>20000000/E60</f>
        <v>8009611.5338406088</v>
      </c>
      <c r="R83" s="7">
        <f>30000000/B67</f>
        <v>8047210.300429184</v>
      </c>
      <c r="S83" s="7">
        <f>40000000/E67</f>
        <v>8163265.3061224483</v>
      </c>
      <c r="U83" s="65" t="s">
        <v>67</v>
      </c>
      <c r="V83" s="7">
        <f>B60/10000000</f>
        <v>1.3300000000000001E-7</v>
      </c>
      <c r="W83" s="7">
        <f>E60/20000000</f>
        <v>1.2484999999999998E-7</v>
      </c>
      <c r="X83" s="7">
        <f>B67/30000000</f>
        <v>1.2426666666666667E-7</v>
      </c>
      <c r="Y83" s="6">
        <f>E67/40000000</f>
        <v>1.2250000000000002E-7</v>
      </c>
    </row>
    <row r="84" spans="1:25" x14ac:dyDescent="0.25">
      <c r="A84" s="84" t="s">
        <v>69</v>
      </c>
      <c r="B84" s="80">
        <v>4.7839999999999998</v>
      </c>
      <c r="C84" s="80">
        <v>10000</v>
      </c>
      <c r="D84" s="80">
        <v>3.3E-4</v>
      </c>
      <c r="E84" s="81">
        <v>5.6210000000000004</v>
      </c>
      <c r="F84" s="81">
        <v>10000</v>
      </c>
      <c r="G84" s="81">
        <v>2.5000000000000001E-4</v>
      </c>
      <c r="J84" s="61"/>
      <c r="K84" s="61"/>
      <c r="L84" s="61"/>
      <c r="M84" s="61"/>
      <c r="N84" s="61"/>
      <c r="O84" s="90" t="s">
        <v>68</v>
      </c>
      <c r="P84" s="7">
        <f>10000000/B61</f>
        <v>7558578.9871504158</v>
      </c>
      <c r="Q84" s="7">
        <f>20000000/E61</f>
        <v>8041817.450743868</v>
      </c>
      <c r="R84" s="7">
        <f>30000000/B68</f>
        <v>7606490.8722109534</v>
      </c>
      <c r="S84" s="7">
        <f>40000000/E68</f>
        <v>8159934.7205222351</v>
      </c>
      <c r="U84" s="65" t="s">
        <v>68</v>
      </c>
      <c r="V84" s="7">
        <f>B61/10000000</f>
        <v>1.3229999999999999E-7</v>
      </c>
      <c r="W84" s="7">
        <f>E61/20000000</f>
        <v>1.2435E-7</v>
      </c>
      <c r="X84" s="7">
        <f>B68/30000000</f>
        <v>1.3146666666666665E-7</v>
      </c>
      <c r="Y84" s="6">
        <f>E68/40000000</f>
        <v>1.2255E-7</v>
      </c>
    </row>
    <row r="85" spans="1:25" x14ac:dyDescent="0.25">
      <c r="J85" s="61"/>
      <c r="K85" s="61"/>
      <c r="L85" s="61"/>
      <c r="M85" s="61"/>
      <c r="N85" s="61"/>
      <c r="O85" s="90" t="s">
        <v>69</v>
      </c>
      <c r="P85" s="7">
        <f>10000000/B62</f>
        <v>7558578.9871504158</v>
      </c>
      <c r="Q85" s="7">
        <f>20000000/E62</f>
        <v>8077544.426494346</v>
      </c>
      <c r="R85" s="7">
        <f>30000000/B69</f>
        <v>7389162.5615763552</v>
      </c>
      <c r="S85" s="7">
        <f>40000000/E69</f>
        <v>8146639.5112016294</v>
      </c>
      <c r="U85" s="65" t="s">
        <v>69</v>
      </c>
      <c r="V85" s="7">
        <f>B62/10000000</f>
        <v>1.3229999999999999E-7</v>
      </c>
      <c r="W85" s="7">
        <f>E62/20000000</f>
        <v>1.2380000000000001E-7</v>
      </c>
      <c r="X85" s="7">
        <f>B69/30000000</f>
        <v>1.3533333333333333E-7</v>
      </c>
      <c r="Y85" s="6">
        <f>E69/40000000</f>
        <v>1.2275000000000001E-7</v>
      </c>
    </row>
    <row r="86" spans="1:25" ht="15.75" x14ac:dyDescent="0.25">
      <c r="J86" s="66"/>
      <c r="K86" s="61"/>
      <c r="L86" s="66"/>
      <c r="M86" s="66"/>
      <c r="N86" s="66"/>
      <c r="O86" s="89"/>
      <c r="P86" s="12" t="s">
        <v>138</v>
      </c>
      <c r="Q86" s="12" t="s">
        <v>139</v>
      </c>
      <c r="R86" s="12" t="s">
        <v>140</v>
      </c>
      <c r="S86" s="12" t="s">
        <v>141</v>
      </c>
      <c r="U86" s="6"/>
      <c r="V86" s="12" t="s">
        <v>138</v>
      </c>
      <c r="W86" s="12" t="s">
        <v>139</v>
      </c>
      <c r="X86" s="12" t="s">
        <v>140</v>
      </c>
      <c r="Y86" s="12" t="s">
        <v>141</v>
      </c>
    </row>
    <row r="87" spans="1:25" x14ac:dyDescent="0.25">
      <c r="O87" s="65" t="s">
        <v>66</v>
      </c>
      <c r="P87" s="7">
        <f>10000000/B74</f>
        <v>7304601.8991964934</v>
      </c>
      <c r="Q87" s="7">
        <f>20000000/E74</f>
        <v>7259528.1306715067</v>
      </c>
      <c r="R87" s="7">
        <f>30000000/B81</f>
        <v>7286859.3636142826</v>
      </c>
      <c r="S87" s="7">
        <f>40000000/E81</f>
        <v>7307270.7343807081</v>
      </c>
      <c r="U87" s="65" t="s">
        <v>66</v>
      </c>
      <c r="V87" s="7">
        <f>B74/10000000</f>
        <v>1.3689999999999999E-7</v>
      </c>
      <c r="W87" s="7">
        <f>E74/20000000</f>
        <v>1.3775E-7</v>
      </c>
      <c r="X87" s="7">
        <f>B81/30000000</f>
        <v>1.3723333333333334E-7</v>
      </c>
      <c r="Y87" s="7">
        <f>E81/40000000</f>
        <v>1.3685000000000001E-7</v>
      </c>
    </row>
    <row r="88" spans="1:25" ht="15.75" x14ac:dyDescent="0.25">
      <c r="A88" s="24"/>
      <c r="B88" s="148" t="s">
        <v>96</v>
      </c>
      <c r="C88" s="168"/>
      <c r="D88" s="169"/>
      <c r="E88" s="148" t="s">
        <v>95</v>
      </c>
      <c r="F88" s="149"/>
      <c r="G88" s="150"/>
      <c r="O88" s="65" t="s">
        <v>67</v>
      </c>
      <c r="P88" s="7">
        <f>10000000/B75</f>
        <v>7153075.8226037202</v>
      </c>
      <c r="Q88" s="7">
        <f>20000000/E75</f>
        <v>7127583.7491090521</v>
      </c>
      <c r="R88" s="7">
        <f>30000000/B82</f>
        <v>7151370.6793802138</v>
      </c>
      <c r="S88" s="7">
        <f>40000000/E82</f>
        <v>7132667.6176890163</v>
      </c>
      <c r="U88" s="65" t="s">
        <v>67</v>
      </c>
      <c r="V88" s="7">
        <f>B75/10000000</f>
        <v>1.3979999999999999E-7</v>
      </c>
      <c r="W88" s="7">
        <f>E75/20000000</f>
        <v>1.4030000000000001E-7</v>
      </c>
      <c r="X88" s="7">
        <f>B82/30000000</f>
        <v>1.3983333333333335E-7</v>
      </c>
      <c r="Y88" s="7">
        <f>E82/40000000</f>
        <v>1.402E-7</v>
      </c>
    </row>
    <row r="89" spans="1:25" ht="15.75" x14ac:dyDescent="0.25">
      <c r="A89" s="24"/>
      <c r="B89" s="53"/>
      <c r="C89" s="56"/>
      <c r="D89" s="57"/>
      <c r="E89" s="53"/>
      <c r="F89" s="54"/>
      <c r="G89" s="55"/>
      <c r="O89" s="65" t="s">
        <v>68</v>
      </c>
      <c r="P89" s="7">
        <f>10000000/B76</f>
        <v>7137758.7437544614</v>
      </c>
      <c r="Q89" s="7">
        <f>20000000/E76</f>
        <v>7104795.7371225581</v>
      </c>
      <c r="R89" s="7">
        <f>30000000/B83</f>
        <v>6069188.7517701807</v>
      </c>
      <c r="S89" s="7">
        <f>40000000/E83</f>
        <v>7128854.0367135983</v>
      </c>
      <c r="U89" s="65" t="s">
        <v>68</v>
      </c>
      <c r="V89" s="7">
        <f>B76/10000000</f>
        <v>1.4009999999999999E-7</v>
      </c>
      <c r="W89" s="7">
        <f>E76/20000000</f>
        <v>1.4074999999999999E-7</v>
      </c>
      <c r="X89" s="7">
        <f>B83/30000000</f>
        <v>1.6476666666666667E-7</v>
      </c>
      <c r="Y89" s="7">
        <f>E83/40000000</f>
        <v>1.40275E-7</v>
      </c>
    </row>
    <row r="90" spans="1:25" ht="15.75" x14ac:dyDescent="0.25">
      <c r="A90" s="25" t="s">
        <v>61</v>
      </c>
      <c r="B90" s="14" t="s">
        <v>62</v>
      </c>
      <c r="C90" s="14" t="s">
        <v>63</v>
      </c>
      <c r="D90" s="14" t="s">
        <v>64</v>
      </c>
      <c r="E90" s="12" t="s">
        <v>62</v>
      </c>
      <c r="F90" s="12" t="s">
        <v>65</v>
      </c>
      <c r="G90" s="12" t="s">
        <v>64</v>
      </c>
      <c r="I90" s="52" t="s">
        <v>127</v>
      </c>
      <c r="J90" s="52" t="s">
        <v>128</v>
      </c>
      <c r="K90" s="52" t="s">
        <v>129</v>
      </c>
      <c r="L90" s="125" t="s">
        <v>204</v>
      </c>
      <c r="O90" s="65" t="s">
        <v>69</v>
      </c>
      <c r="P90" s="7">
        <f>10000000/B77</f>
        <v>7127583.7491090521</v>
      </c>
      <c r="Q90" s="7">
        <f>20000000/E77</f>
        <v>7130124.7771836007</v>
      </c>
      <c r="R90" s="7">
        <f>30000000/B84</f>
        <v>6270903.0100334454</v>
      </c>
      <c r="S90" s="7">
        <f>40000000/E84</f>
        <v>7116171.4997331426</v>
      </c>
      <c r="U90" s="65" t="s">
        <v>69</v>
      </c>
      <c r="V90" s="7">
        <f>B77/10000000</f>
        <v>1.4030000000000001E-7</v>
      </c>
      <c r="W90" s="7">
        <f>E77/20000000</f>
        <v>1.4025E-7</v>
      </c>
      <c r="X90" s="7">
        <f>B84/30000000</f>
        <v>1.5946666666666667E-7</v>
      </c>
      <c r="Y90" s="7">
        <f>E84/40000000</f>
        <v>1.4052500000000002E-7</v>
      </c>
    </row>
    <row r="91" spans="1:25" ht="15.75" x14ac:dyDescent="0.25">
      <c r="A91" s="26" t="s">
        <v>66</v>
      </c>
      <c r="B91" s="17">
        <v>1.5740000000000001</v>
      </c>
      <c r="C91" s="17"/>
      <c r="D91" s="17"/>
      <c r="E91" s="19">
        <v>3.1429999999999998</v>
      </c>
      <c r="F91" s="19"/>
      <c r="G91" s="19"/>
      <c r="I91">
        <f>E91-B91</f>
        <v>1.5689999999999997</v>
      </c>
      <c r="J91">
        <f>B98-E91</f>
        <v>1.5720000000000001</v>
      </c>
      <c r="K91">
        <f>E98-B98</f>
        <v>1.62</v>
      </c>
      <c r="L91">
        <f>SUM(I91:K91)/3</f>
        <v>1.587</v>
      </c>
      <c r="O91" s="6"/>
      <c r="P91" s="12" t="s">
        <v>130</v>
      </c>
      <c r="Q91" s="12" t="s">
        <v>131</v>
      </c>
      <c r="R91" s="12" t="s">
        <v>133</v>
      </c>
      <c r="S91" s="12" t="s">
        <v>132</v>
      </c>
      <c r="U91" s="6"/>
      <c r="V91" s="12" t="s">
        <v>130</v>
      </c>
      <c r="W91" s="12" t="s">
        <v>131</v>
      </c>
      <c r="X91" s="12" t="s">
        <v>133</v>
      </c>
      <c r="Y91" s="12" t="s">
        <v>132</v>
      </c>
    </row>
    <row r="92" spans="1:25" x14ac:dyDescent="0.25">
      <c r="A92" s="26" t="s">
        <v>67</v>
      </c>
      <c r="B92" s="17">
        <v>1.591</v>
      </c>
      <c r="C92" s="17">
        <v>10000000</v>
      </c>
      <c r="D92" s="17"/>
      <c r="E92" s="19">
        <v>3.1629999999999998</v>
      </c>
      <c r="F92" s="19">
        <v>20000000</v>
      </c>
      <c r="G92" s="19"/>
      <c r="I92" s="50">
        <f>E92-B92</f>
        <v>1.5719999999999998</v>
      </c>
      <c r="J92" s="50">
        <f>B99-E92</f>
        <v>1.6410000000000005</v>
      </c>
      <c r="K92" s="50">
        <f>E99-B99</f>
        <v>1.5969999999999995</v>
      </c>
      <c r="L92">
        <f t="shared" ref="L92:L94" si="8">SUM(I92:K92)/3</f>
        <v>1.6033333333333333</v>
      </c>
      <c r="O92" s="65" t="s">
        <v>66</v>
      </c>
      <c r="P92" s="7">
        <f>10000000/B91</f>
        <v>6353240.1524777636</v>
      </c>
      <c r="Q92" s="7">
        <f>20000000/E91</f>
        <v>6363347.1205854286</v>
      </c>
      <c r="R92" s="7">
        <f>30000000/B98</f>
        <v>6362672.3223753981</v>
      </c>
      <c r="S92" s="7">
        <f>40000000/E98</f>
        <v>6314127.8610891867</v>
      </c>
      <c r="U92" s="65" t="s">
        <v>66</v>
      </c>
      <c r="V92" s="6">
        <f>B91/10000000</f>
        <v>1.5740000000000002E-7</v>
      </c>
      <c r="W92" s="6">
        <f>E91/20000000</f>
        <v>1.5715E-7</v>
      </c>
      <c r="X92" s="6">
        <f>B98/30000000</f>
        <v>1.5716666666666665E-7</v>
      </c>
      <c r="Y92" s="6">
        <f>E98/40000000</f>
        <v>1.5837499999999999E-7</v>
      </c>
    </row>
    <row r="93" spans="1:25" x14ac:dyDescent="0.25">
      <c r="A93" s="26" t="s">
        <v>68</v>
      </c>
      <c r="B93" s="17">
        <v>1.58</v>
      </c>
      <c r="C93" s="17">
        <v>5025021</v>
      </c>
      <c r="D93" s="17">
        <v>2.5000000000000001E-3</v>
      </c>
      <c r="E93" s="19">
        <v>3.1619999999999999</v>
      </c>
      <c r="F93" s="19">
        <v>10103377</v>
      </c>
      <c r="G93" s="19">
        <v>5.1999999999999998E-3</v>
      </c>
      <c r="I93" s="50">
        <f t="shared" ref="I93:I94" si="9">E93-B93</f>
        <v>1.5819999999999999</v>
      </c>
      <c r="J93" s="50">
        <f t="shared" ref="J93:J94" si="10">B100-E93</f>
        <v>1.6610000000000005</v>
      </c>
      <c r="K93" s="50">
        <f t="shared" ref="K93:K94" si="11">E100-B100</f>
        <v>3.3680000000000003</v>
      </c>
      <c r="L93">
        <f t="shared" si="8"/>
        <v>2.2036666666666669</v>
      </c>
      <c r="O93" s="65" t="s">
        <v>67</v>
      </c>
      <c r="P93" s="7">
        <f>10000000/B92</f>
        <v>6285355.1225644248</v>
      </c>
      <c r="Q93" s="7">
        <f>20000000/E92</f>
        <v>6323110.9705975344</v>
      </c>
      <c r="R93" s="7">
        <f>30000000/B99</f>
        <v>6244796.0033305576</v>
      </c>
      <c r="S93" s="7">
        <f>40000000/E99</f>
        <v>6249023.5900640525</v>
      </c>
      <c r="U93" s="65" t="s">
        <v>67</v>
      </c>
      <c r="V93" s="6">
        <f>B92/10000000</f>
        <v>1.5909999999999999E-7</v>
      </c>
      <c r="W93" s="6">
        <f>E92/20000000</f>
        <v>1.5815E-7</v>
      </c>
      <c r="X93" s="6">
        <f>B99/30000000</f>
        <v>1.6013333333333334E-7</v>
      </c>
      <c r="Y93" s="6">
        <f>E99/40000000</f>
        <v>1.6002500000000001E-7</v>
      </c>
    </row>
    <row r="94" spans="1:25" x14ac:dyDescent="0.25">
      <c r="A94" s="26" t="s">
        <v>69</v>
      </c>
      <c r="B94" s="17">
        <v>1.5980000000000001</v>
      </c>
      <c r="C94" s="17">
        <v>51886</v>
      </c>
      <c r="D94" s="17">
        <v>5.1999999999999998E-3</v>
      </c>
      <c r="E94" s="19">
        <v>3.1629999999999998</v>
      </c>
      <c r="F94" s="19">
        <v>205401</v>
      </c>
      <c r="G94" s="19">
        <v>0.01</v>
      </c>
      <c r="I94" s="50">
        <f t="shared" si="9"/>
        <v>1.5649999999999997</v>
      </c>
      <c r="J94" s="50">
        <f t="shared" si="10"/>
        <v>1.6850000000000001</v>
      </c>
      <c r="K94" s="50">
        <f t="shared" si="11"/>
        <v>2.7250000000000005</v>
      </c>
      <c r="L94">
        <f t="shared" si="8"/>
        <v>1.9916666666666669</v>
      </c>
      <c r="O94" s="65" t="s">
        <v>68</v>
      </c>
      <c r="P94" s="7">
        <f>10000000/B93</f>
        <v>6329113.9240506329</v>
      </c>
      <c r="Q94" s="7">
        <f>20000000/E93</f>
        <v>6325110.6894370653</v>
      </c>
      <c r="R94" s="7">
        <f>30000000/B100</f>
        <v>6220194.8994401824</v>
      </c>
      <c r="S94" s="7">
        <f>40000000/E100</f>
        <v>4883408.6192162121</v>
      </c>
      <c r="U94" s="65" t="s">
        <v>68</v>
      </c>
      <c r="V94" s="6">
        <f>B93/10000000</f>
        <v>1.5800000000000001E-7</v>
      </c>
      <c r="W94" s="6">
        <f>E93/20000000</f>
        <v>1.5809999999999999E-7</v>
      </c>
      <c r="X94" s="6">
        <f>B100/30000000</f>
        <v>1.6076666666666668E-7</v>
      </c>
      <c r="Y94" s="6">
        <f>E100/40000000</f>
        <v>2.0477500000000001E-7</v>
      </c>
    </row>
    <row r="95" spans="1:25" x14ac:dyDescent="0.25">
      <c r="A95" s="27"/>
      <c r="O95" s="65" t="s">
        <v>69</v>
      </c>
      <c r="P95" s="7">
        <f>10000000/B94</f>
        <v>6257822.2778473087</v>
      </c>
      <c r="Q95" s="7">
        <f>20000000/E94</f>
        <v>6323110.9705975344</v>
      </c>
      <c r="R95" s="7">
        <f>30000000/B101</f>
        <v>6188118.8118811883</v>
      </c>
      <c r="S95" s="7">
        <f>40000000/E101</f>
        <v>5281922.6198336193</v>
      </c>
      <c r="U95" s="65" t="s">
        <v>69</v>
      </c>
      <c r="V95" s="6">
        <f>B94/10000000</f>
        <v>1.5980000000000001E-7</v>
      </c>
      <c r="W95" s="6">
        <f>E94/20000000</f>
        <v>1.5815E-7</v>
      </c>
      <c r="X95" s="6">
        <f>B101/30000000</f>
        <v>1.6159999999999999E-7</v>
      </c>
      <c r="Y95" s="6">
        <f>E101/40000000</f>
        <v>1.8932500000000001E-7</v>
      </c>
    </row>
    <row r="96" spans="1:25" ht="15.75" x14ac:dyDescent="0.25">
      <c r="A96" s="24"/>
      <c r="B96" s="148" t="s">
        <v>94</v>
      </c>
      <c r="C96" s="149"/>
      <c r="D96" s="150"/>
      <c r="E96" s="148" t="s">
        <v>93</v>
      </c>
      <c r="F96" s="149"/>
      <c r="G96" s="150"/>
    </row>
    <row r="97" spans="1:35" ht="15.75" x14ac:dyDescent="0.25">
      <c r="A97" s="25" t="s">
        <v>61</v>
      </c>
      <c r="B97" s="15" t="s">
        <v>62</v>
      </c>
      <c r="C97" s="15" t="s">
        <v>63</v>
      </c>
      <c r="D97" s="15" t="s">
        <v>64</v>
      </c>
      <c r="E97" s="13" t="s">
        <v>62</v>
      </c>
      <c r="F97" s="13" t="s">
        <v>65</v>
      </c>
      <c r="G97" s="13" t="s">
        <v>64</v>
      </c>
    </row>
    <row r="98" spans="1:35" x14ac:dyDescent="0.25">
      <c r="A98" s="26" t="s">
        <v>66</v>
      </c>
      <c r="B98" s="16">
        <v>4.7149999999999999</v>
      </c>
      <c r="C98" s="16"/>
      <c r="D98" s="16"/>
      <c r="E98" s="18">
        <v>6.335</v>
      </c>
      <c r="F98" s="18"/>
      <c r="G98" s="18"/>
    </row>
    <row r="99" spans="1:35" x14ac:dyDescent="0.25">
      <c r="A99" s="26" t="s">
        <v>67</v>
      </c>
      <c r="B99" s="16">
        <v>4.8040000000000003</v>
      </c>
      <c r="C99" s="16">
        <v>30000000</v>
      </c>
      <c r="D99" s="16"/>
      <c r="E99" s="18">
        <v>6.4009999999999998</v>
      </c>
      <c r="F99" s="18">
        <v>40000000</v>
      </c>
      <c r="G99" s="18"/>
    </row>
    <row r="100" spans="1:35" x14ac:dyDescent="0.25">
      <c r="A100" s="26" t="s">
        <v>68</v>
      </c>
      <c r="B100" s="16">
        <v>4.8230000000000004</v>
      </c>
      <c r="C100" s="16">
        <v>15234006</v>
      </c>
      <c r="D100" s="16">
        <v>7.7999999999999996E-3</v>
      </c>
      <c r="E100" s="18">
        <v>8.1910000000000007</v>
      </c>
      <c r="F100" s="18">
        <v>20413554</v>
      </c>
      <c r="G100" s="18">
        <v>0.01</v>
      </c>
    </row>
    <row r="101" spans="1:35" x14ac:dyDescent="0.25">
      <c r="A101" s="26" t="s">
        <v>69</v>
      </c>
      <c r="B101" s="16">
        <v>4.8479999999999999</v>
      </c>
      <c r="C101" s="16">
        <v>459218</v>
      </c>
      <c r="D101" s="16">
        <v>1.5299999999999999E-2</v>
      </c>
      <c r="E101" s="18">
        <v>7.5730000000000004</v>
      </c>
      <c r="F101" s="18">
        <v>818444</v>
      </c>
      <c r="G101" s="18">
        <v>0.02</v>
      </c>
    </row>
    <row r="102" spans="1:35" ht="18.75" x14ac:dyDescent="0.3">
      <c r="U102" s="6"/>
      <c r="V102" s="136" t="s">
        <v>160</v>
      </c>
      <c r="W102" s="136"/>
      <c r="X102" s="136"/>
      <c r="Y102" s="136"/>
      <c r="AA102" s="137"/>
      <c r="AB102" s="137"/>
      <c r="AC102" s="137"/>
      <c r="AD102" s="137"/>
      <c r="AE102" s="137"/>
      <c r="AF102" s="137"/>
      <c r="AG102" s="137"/>
      <c r="AH102" s="137"/>
      <c r="AI102" s="137"/>
    </row>
    <row r="103" spans="1:35" ht="15.75" x14ac:dyDescent="0.25">
      <c r="U103" s="6"/>
      <c r="V103" s="12" t="s">
        <v>134</v>
      </c>
      <c r="W103" s="12" t="s">
        <v>135</v>
      </c>
      <c r="X103" s="12" t="s">
        <v>136</v>
      </c>
      <c r="Y103" s="12" t="s">
        <v>137</v>
      </c>
    </row>
    <row r="104" spans="1:35" ht="15.75" x14ac:dyDescent="0.25">
      <c r="A104" s="151" t="s">
        <v>74</v>
      </c>
      <c r="B104" s="151"/>
      <c r="C104" s="151"/>
      <c r="D104" s="151"/>
      <c r="E104" s="151"/>
      <c r="F104" s="151"/>
      <c r="G104" s="151"/>
      <c r="U104" s="65" t="s">
        <v>66</v>
      </c>
      <c r="V104" s="7">
        <f>180/B107</f>
        <v>125.87412587412588</v>
      </c>
      <c r="W104" s="7">
        <f>360/E107</f>
        <v>126.89460697920337</v>
      </c>
      <c r="X104" s="7">
        <f>540/B114</f>
        <v>127.11864406779661</v>
      </c>
      <c r="Y104" s="6">
        <f>720/E114</f>
        <v>126.96173514371363</v>
      </c>
      <c r="AA104" s="100"/>
    </row>
    <row r="105" spans="1:35" ht="18.75" x14ac:dyDescent="0.3">
      <c r="A105" s="20"/>
      <c r="B105" s="145" t="s">
        <v>101</v>
      </c>
      <c r="C105" s="146"/>
      <c r="D105" s="147"/>
      <c r="E105" s="145" t="s">
        <v>102</v>
      </c>
      <c r="F105" s="146"/>
      <c r="G105" s="147"/>
      <c r="O105" s="141" t="s">
        <v>158</v>
      </c>
      <c r="P105" s="141"/>
      <c r="Q105" s="141"/>
      <c r="R105" s="141"/>
      <c r="S105" s="141"/>
      <c r="U105" s="65" t="s">
        <v>67</v>
      </c>
      <c r="V105" s="7">
        <f>180/B108</f>
        <v>122.69938650306747</v>
      </c>
      <c r="W105" s="7">
        <f>360/E108</f>
        <v>123.4991423670669</v>
      </c>
      <c r="X105" s="7">
        <f>540/B115</f>
        <v>122.83894449499546</v>
      </c>
      <c r="Y105" s="6">
        <f>720/E115</f>
        <v>123.41446691806651</v>
      </c>
      <c r="AA105" s="100"/>
    </row>
    <row r="106" spans="1:35" ht="15.75" x14ac:dyDescent="0.25">
      <c r="A106" s="8" t="s">
        <v>61</v>
      </c>
      <c r="B106" s="14" t="s">
        <v>62</v>
      </c>
      <c r="C106" s="14" t="s">
        <v>63</v>
      </c>
      <c r="D106" s="14" t="s">
        <v>64</v>
      </c>
      <c r="E106" s="12" t="s">
        <v>62</v>
      </c>
      <c r="F106" s="12" t="s">
        <v>65</v>
      </c>
      <c r="G106" s="12" t="s">
        <v>64</v>
      </c>
      <c r="I106" s="52" t="s">
        <v>127</v>
      </c>
      <c r="J106" s="52" t="s">
        <v>128</v>
      </c>
      <c r="K106" s="52" t="s">
        <v>129</v>
      </c>
      <c r="L106" s="88" t="s">
        <v>204</v>
      </c>
      <c r="O106" s="6"/>
      <c r="P106" s="12" t="s">
        <v>134</v>
      </c>
      <c r="Q106" s="12" t="s">
        <v>135</v>
      </c>
      <c r="R106" s="12" t="s">
        <v>136</v>
      </c>
      <c r="S106" s="12" t="s">
        <v>137</v>
      </c>
      <c r="U106" s="65" t="s">
        <v>68</v>
      </c>
      <c r="V106" s="7">
        <f>180/B109</f>
        <v>122.95081967213115</v>
      </c>
      <c r="W106" s="7">
        <f>360/E109</f>
        <v>124.35233160621762</v>
      </c>
      <c r="X106" s="7">
        <f>540/B116</f>
        <v>124.16647505173603</v>
      </c>
      <c r="Y106" s="6">
        <f>720/E116</f>
        <v>124.20217353803692</v>
      </c>
      <c r="AA106" s="100"/>
    </row>
    <row r="107" spans="1:35" ht="15.75" x14ac:dyDescent="0.25">
      <c r="A107" s="9" t="s">
        <v>66</v>
      </c>
      <c r="B107" s="17">
        <v>1.43</v>
      </c>
      <c r="C107" s="17"/>
      <c r="D107" s="17"/>
      <c r="E107" s="19">
        <v>2.8370000000000002</v>
      </c>
      <c r="F107" s="19"/>
      <c r="G107" s="19"/>
      <c r="I107">
        <f>E107-B107</f>
        <v>1.4070000000000003</v>
      </c>
      <c r="J107">
        <f>B114-E107</f>
        <v>1.411</v>
      </c>
      <c r="K107">
        <f>E114-B114</f>
        <v>1.423</v>
      </c>
      <c r="L107">
        <f>SUM(I107:K107)/3</f>
        <v>1.4136666666666668</v>
      </c>
      <c r="O107" s="63" t="s">
        <v>67</v>
      </c>
      <c r="P107" s="7">
        <v>1</v>
      </c>
      <c r="Q107" s="7">
        <v>1</v>
      </c>
      <c r="R107" s="7">
        <v>1</v>
      </c>
      <c r="S107" s="64">
        <v>1</v>
      </c>
      <c r="U107" s="65" t="s">
        <v>69</v>
      </c>
      <c r="V107" s="7">
        <f>180/B110</f>
        <v>123.20328542094455</v>
      </c>
      <c r="W107" s="7">
        <f>360/E110</f>
        <v>124.95661228740022</v>
      </c>
      <c r="X107" s="7">
        <f>540/B117</f>
        <v>125.14484356894553</v>
      </c>
      <c r="Y107" s="6">
        <f>720/E117</f>
        <v>124.95661228740022</v>
      </c>
      <c r="AA107" s="100"/>
    </row>
    <row r="108" spans="1:35" ht="15.75" x14ac:dyDescent="0.25">
      <c r="A108" s="9" t="s">
        <v>67</v>
      </c>
      <c r="B108" s="17">
        <v>1.4670000000000001</v>
      </c>
      <c r="C108" s="17">
        <v>10000000</v>
      </c>
      <c r="D108" s="17"/>
      <c r="E108" s="19">
        <v>2.915</v>
      </c>
      <c r="F108" s="19">
        <v>20000000</v>
      </c>
      <c r="G108" s="19"/>
      <c r="I108">
        <f>E108-B108</f>
        <v>1.448</v>
      </c>
      <c r="J108">
        <f>B115-E108</f>
        <v>1.4809999999999999</v>
      </c>
      <c r="K108">
        <f>E115-B115</f>
        <v>1.4379999999999997</v>
      </c>
      <c r="L108">
        <f t="shared" ref="L108:L110" si="12">SUM(I108:K108)/3</f>
        <v>1.4556666666666664</v>
      </c>
      <c r="O108" s="63" t="s">
        <v>68</v>
      </c>
      <c r="P108" s="7">
        <v>1</v>
      </c>
      <c r="Q108" s="7">
        <v>1</v>
      </c>
      <c r="R108" s="7">
        <v>1</v>
      </c>
      <c r="S108" s="6">
        <v>1</v>
      </c>
      <c r="U108" s="6"/>
      <c r="V108" s="12" t="s">
        <v>138</v>
      </c>
      <c r="W108" s="12" t="s">
        <v>139</v>
      </c>
      <c r="X108" s="12" t="s">
        <v>140</v>
      </c>
      <c r="Y108" s="12" t="s">
        <v>141</v>
      </c>
    </row>
    <row r="109" spans="1:35" x14ac:dyDescent="0.25">
      <c r="A109" s="9" t="s">
        <v>68</v>
      </c>
      <c r="B109" s="17">
        <v>1.464</v>
      </c>
      <c r="C109" s="17">
        <v>5000000</v>
      </c>
      <c r="D109" s="17">
        <v>0</v>
      </c>
      <c r="E109" s="19">
        <v>2.895</v>
      </c>
      <c r="F109" s="19">
        <v>10000000</v>
      </c>
      <c r="G109" s="19">
        <v>0</v>
      </c>
      <c r="I109">
        <f t="shared" ref="I109:I110" si="13">E109-B109</f>
        <v>1.431</v>
      </c>
      <c r="J109">
        <f t="shared" ref="J109:J110" si="14">B116-E109</f>
        <v>1.4540000000000002</v>
      </c>
      <c r="K109">
        <f t="shared" ref="K109:K110" si="15">E116-B116</f>
        <v>1.4479999999999995</v>
      </c>
      <c r="L109">
        <f t="shared" si="12"/>
        <v>1.4443333333333335</v>
      </c>
      <c r="O109" s="63" t="s">
        <v>69</v>
      </c>
      <c r="P109" s="7">
        <v>1</v>
      </c>
      <c r="Q109" s="7">
        <v>1</v>
      </c>
      <c r="R109" s="7">
        <v>1</v>
      </c>
      <c r="S109" s="7">
        <v>1</v>
      </c>
      <c r="U109" s="65" t="s">
        <v>66</v>
      </c>
      <c r="V109" s="7">
        <f>250/B122</f>
        <v>156.44555694618273</v>
      </c>
      <c r="W109" s="7">
        <f>500/E122</f>
        <v>156.73981191222572</v>
      </c>
      <c r="X109" s="7">
        <f>750/B129</f>
        <v>156.90376569037656</v>
      </c>
      <c r="Y109" s="7">
        <f>1000/E129</f>
        <v>156.32327653587618</v>
      </c>
    </row>
    <row r="110" spans="1:35" ht="15.75" x14ac:dyDescent="0.25">
      <c r="A110" s="9" t="s">
        <v>69</v>
      </c>
      <c r="B110" s="17">
        <v>1.4610000000000001</v>
      </c>
      <c r="C110" s="17">
        <v>0</v>
      </c>
      <c r="D110" s="17">
        <v>0</v>
      </c>
      <c r="E110" s="19">
        <v>2.8809999999999998</v>
      </c>
      <c r="F110" s="19">
        <v>0</v>
      </c>
      <c r="G110" s="19">
        <v>0</v>
      </c>
      <c r="I110">
        <f t="shared" si="13"/>
        <v>1.4199999999999997</v>
      </c>
      <c r="J110">
        <f t="shared" si="14"/>
        <v>1.4340000000000006</v>
      </c>
      <c r="K110">
        <f t="shared" si="15"/>
        <v>1.4469999999999992</v>
      </c>
      <c r="L110">
        <f t="shared" si="12"/>
        <v>1.4336666666666664</v>
      </c>
      <c r="O110" s="6"/>
      <c r="P110" s="12" t="s">
        <v>138</v>
      </c>
      <c r="Q110" s="12" t="s">
        <v>139</v>
      </c>
      <c r="R110" s="12" t="s">
        <v>140</v>
      </c>
      <c r="S110" s="12" t="s">
        <v>141</v>
      </c>
      <c r="U110" s="65" t="s">
        <v>67</v>
      </c>
      <c r="V110" s="7">
        <f>250/B123</f>
        <v>153.37423312883436</v>
      </c>
      <c r="W110" s="7">
        <f>500/E123</f>
        <v>153.84615384615384</v>
      </c>
      <c r="X110" s="7">
        <f>750/B130</f>
        <v>152.22244773695962</v>
      </c>
      <c r="Y110" s="7">
        <f>1000/E130</f>
        <v>152.36934328813044</v>
      </c>
    </row>
    <row r="111" spans="1:35" x14ac:dyDescent="0.25">
      <c r="A111" s="21"/>
      <c r="O111" s="63" t="s">
        <v>67</v>
      </c>
      <c r="P111" s="7">
        <v>1</v>
      </c>
      <c r="Q111" s="7">
        <v>1</v>
      </c>
      <c r="R111" s="7">
        <v>1</v>
      </c>
      <c r="S111" s="7">
        <v>1</v>
      </c>
      <c r="U111" s="65" t="s">
        <v>68</v>
      </c>
      <c r="V111" s="7">
        <f>250/B124</f>
        <v>154.60729746444034</v>
      </c>
      <c r="W111" s="7">
        <f>500/E124</f>
        <v>145.51804423748544</v>
      </c>
      <c r="X111" s="7">
        <f>750/B131</f>
        <v>154.22578655151139</v>
      </c>
      <c r="Y111" s="7">
        <f>1000/E131</f>
        <v>152.50876925423211</v>
      </c>
    </row>
    <row r="112" spans="1:35" ht="18.75" x14ac:dyDescent="0.3">
      <c r="A112" s="20"/>
      <c r="B112" s="145" t="s">
        <v>100</v>
      </c>
      <c r="C112" s="146"/>
      <c r="D112" s="147"/>
      <c r="E112" s="145" t="s">
        <v>99</v>
      </c>
      <c r="F112" s="146"/>
      <c r="G112" s="147"/>
      <c r="O112" s="63" t="s">
        <v>68</v>
      </c>
      <c r="P112" s="7">
        <v>1</v>
      </c>
      <c r="Q112" s="7">
        <v>1</v>
      </c>
      <c r="R112" s="7">
        <v>1</v>
      </c>
      <c r="S112" s="7">
        <v>1</v>
      </c>
      <c r="U112" s="65" t="s">
        <v>69</v>
      </c>
      <c r="V112" s="7">
        <f>250/B125</f>
        <v>154.70297029702968</v>
      </c>
      <c r="W112" s="7">
        <f>500/E125</f>
        <v>145.85764294049008</v>
      </c>
      <c r="X112" s="7">
        <f>750/B132</f>
        <v>155.50487248600456</v>
      </c>
      <c r="Y112" s="7">
        <f>1000/E132</f>
        <v>152.25334957369063</v>
      </c>
      <c r="AA112" s="196" t="s">
        <v>259</v>
      </c>
    </row>
    <row r="113" spans="1:29" ht="18.75" x14ac:dyDescent="0.3">
      <c r="A113" s="8" t="s">
        <v>61</v>
      </c>
      <c r="B113" s="15" t="s">
        <v>62</v>
      </c>
      <c r="C113" s="15" t="s">
        <v>63</v>
      </c>
      <c r="D113" s="15" t="s">
        <v>64</v>
      </c>
      <c r="E113" s="13" t="s">
        <v>62</v>
      </c>
      <c r="F113" s="13" t="s">
        <v>65</v>
      </c>
      <c r="G113" s="13" t="s">
        <v>64</v>
      </c>
      <c r="O113" s="63" t="s">
        <v>69</v>
      </c>
      <c r="P113" s="7">
        <v>1</v>
      </c>
      <c r="Q113" s="7">
        <v>1</v>
      </c>
      <c r="R113" s="7">
        <v>1</v>
      </c>
      <c r="S113" s="7">
        <v>1</v>
      </c>
      <c r="U113" s="6"/>
      <c r="V113" s="12" t="s">
        <v>130</v>
      </c>
      <c r="W113" s="12" t="s">
        <v>131</v>
      </c>
      <c r="X113" s="12" t="s">
        <v>133</v>
      </c>
      <c r="Y113" s="12" t="s">
        <v>132</v>
      </c>
      <c r="AB113" s="196" t="s">
        <v>260</v>
      </c>
    </row>
    <row r="114" spans="1:29" ht="15.75" x14ac:dyDescent="0.25">
      <c r="A114" s="9" t="s">
        <v>66</v>
      </c>
      <c r="B114" s="16">
        <v>4.2480000000000002</v>
      </c>
      <c r="C114" s="16"/>
      <c r="D114" s="16"/>
      <c r="E114" s="18">
        <v>5.6710000000000003</v>
      </c>
      <c r="F114" s="18"/>
      <c r="G114" s="18"/>
      <c r="O114" s="6"/>
      <c r="P114" s="12" t="s">
        <v>130</v>
      </c>
      <c r="Q114" s="12" t="s">
        <v>131</v>
      </c>
      <c r="R114" s="12" t="s">
        <v>133</v>
      </c>
      <c r="S114" s="12" t="s">
        <v>132</v>
      </c>
      <c r="U114" s="65" t="s">
        <v>66</v>
      </c>
      <c r="V114" s="6">
        <f>300/B137</f>
        <v>162.77807921866523</v>
      </c>
      <c r="W114" s="6">
        <f>600/E137</f>
        <v>160.857908847185</v>
      </c>
      <c r="X114" s="6">
        <f>900/B144</f>
        <v>162.68980477223428</v>
      </c>
      <c r="Y114" s="6">
        <f>1200/E144</f>
        <v>161.65970631820019</v>
      </c>
      <c r="AA114" s="6"/>
      <c r="AB114" s="6" t="s">
        <v>249</v>
      </c>
      <c r="AC114" s="6" t="s">
        <v>250</v>
      </c>
    </row>
    <row r="115" spans="1:29" x14ac:dyDescent="0.25">
      <c r="A115" s="9" t="s">
        <v>67</v>
      </c>
      <c r="B115" s="16">
        <v>4.3959999999999999</v>
      </c>
      <c r="C115" s="16">
        <v>30000000</v>
      </c>
      <c r="D115" s="16"/>
      <c r="E115" s="18">
        <v>5.8339999999999996</v>
      </c>
      <c r="F115" s="18">
        <v>40000000</v>
      </c>
      <c r="G115" s="18"/>
      <c r="O115" s="63" t="s">
        <v>67</v>
      </c>
      <c r="P115" s="7">
        <v>1</v>
      </c>
      <c r="Q115" s="7">
        <v>1</v>
      </c>
      <c r="R115" s="7">
        <v>1</v>
      </c>
      <c r="S115" s="7">
        <v>1</v>
      </c>
      <c r="U115" s="65" t="s">
        <v>67</v>
      </c>
      <c r="V115" s="6">
        <f>300/B138</f>
        <v>160.857908847185</v>
      </c>
      <c r="W115" s="6">
        <f>600/E138</f>
        <v>159.15119363395226</v>
      </c>
      <c r="X115" s="6">
        <f>900/B145</f>
        <v>160.427807486631</v>
      </c>
      <c r="Y115" s="6">
        <f>1200/E145</f>
        <v>159.91471215351814</v>
      </c>
      <c r="AA115" s="199" t="s">
        <v>66</v>
      </c>
      <c r="AB115" s="6">
        <v>7062146.8930000002</v>
      </c>
      <c r="AC115" s="6">
        <v>5361930.2949999999</v>
      </c>
    </row>
    <row r="116" spans="1:29" x14ac:dyDescent="0.25">
      <c r="A116" s="9" t="s">
        <v>68</v>
      </c>
      <c r="B116" s="16">
        <v>4.3490000000000002</v>
      </c>
      <c r="C116" s="16">
        <v>15000000</v>
      </c>
      <c r="D116" s="16">
        <v>0</v>
      </c>
      <c r="E116" s="18">
        <v>5.7969999999999997</v>
      </c>
      <c r="F116" s="18">
        <v>20000000</v>
      </c>
      <c r="G116" s="18">
        <v>0</v>
      </c>
      <c r="O116" s="63" t="s">
        <v>68</v>
      </c>
      <c r="P116" s="7">
        <v>1</v>
      </c>
      <c r="Q116" s="7">
        <f>1-G139</f>
        <v>0.99978999999999996</v>
      </c>
      <c r="R116" s="7">
        <f>1-D146</f>
        <v>0.99953999999999998</v>
      </c>
      <c r="S116" s="6">
        <f>1-G146</f>
        <v>0.99914000000000003</v>
      </c>
      <c r="U116" s="65" t="s">
        <v>68</v>
      </c>
      <c r="V116" s="6">
        <f>300/B139</f>
        <v>158.64621893178213</v>
      </c>
      <c r="W116" s="6">
        <f>600/E139</f>
        <v>159.15119363395226</v>
      </c>
      <c r="X116" s="6">
        <f>900/B146</f>
        <v>160.05690912324383</v>
      </c>
      <c r="Y116" s="6">
        <f>1200/E146</f>
        <v>158.79317189360856</v>
      </c>
      <c r="AA116" s="199" t="s">
        <v>67</v>
      </c>
      <c r="AB116" s="6">
        <v>6861063.4649999999</v>
      </c>
      <c r="AC116" s="6">
        <v>5305039.7879999997</v>
      </c>
    </row>
    <row r="117" spans="1:29" x14ac:dyDescent="0.25">
      <c r="A117" s="9" t="s">
        <v>69</v>
      </c>
      <c r="B117" s="16">
        <v>4.3150000000000004</v>
      </c>
      <c r="C117" s="16">
        <v>0</v>
      </c>
      <c r="D117" s="16">
        <v>0</v>
      </c>
      <c r="E117" s="18">
        <v>5.7619999999999996</v>
      </c>
      <c r="F117" s="18">
        <v>0</v>
      </c>
      <c r="G117" s="18">
        <v>0</v>
      </c>
      <c r="O117" s="63" t="s">
        <v>69</v>
      </c>
      <c r="P117" s="7">
        <f>1-D140</f>
        <v>0.99990199999999996</v>
      </c>
      <c r="Q117" s="7">
        <f>1-G140</f>
        <v>0.99960000000000004</v>
      </c>
      <c r="R117" s="7">
        <f>1-D147</f>
        <v>0.99907000000000001</v>
      </c>
      <c r="S117" s="6">
        <f>1-G147</f>
        <v>0.99829999999999997</v>
      </c>
      <c r="U117" s="65" t="s">
        <v>69</v>
      </c>
      <c r="V117" s="6">
        <f>300/B140</f>
        <v>160.59957173447538</v>
      </c>
      <c r="W117" s="6">
        <f>600/E140</f>
        <v>158.73015873015873</v>
      </c>
      <c r="X117" s="6">
        <f>900/B147</f>
        <v>159.77276761938577</v>
      </c>
      <c r="Y117" s="6">
        <f>1200/E147</f>
        <v>157.81167806417676</v>
      </c>
      <c r="AA117" s="199" t="s">
        <v>68</v>
      </c>
      <c r="AB117" s="6">
        <v>6908462.8669999996</v>
      </c>
      <c r="AC117" s="6">
        <v>5288207.2980000004</v>
      </c>
    </row>
    <row r="118" spans="1:29" x14ac:dyDescent="0.25">
      <c r="AA118" s="199" t="s">
        <v>69</v>
      </c>
      <c r="AB118" s="6">
        <v>6952491.3090000004</v>
      </c>
      <c r="AC118" s="6">
        <v>5260389.2690000003</v>
      </c>
    </row>
    <row r="120" spans="1:29" ht="18.75" x14ac:dyDescent="0.3">
      <c r="A120" s="22"/>
      <c r="B120" s="138" t="s">
        <v>97</v>
      </c>
      <c r="C120" s="152"/>
      <c r="D120" s="153"/>
      <c r="E120" s="138" t="s">
        <v>98</v>
      </c>
      <c r="F120" s="152"/>
      <c r="G120" s="153"/>
      <c r="O120" s="141" t="s">
        <v>165</v>
      </c>
      <c r="P120" s="141"/>
      <c r="Q120" s="141"/>
      <c r="R120" s="141"/>
      <c r="S120" s="141"/>
      <c r="U120" s="142" t="s">
        <v>169</v>
      </c>
      <c r="V120" s="143"/>
      <c r="W120" s="143"/>
      <c r="X120" s="143"/>
      <c r="Y120" s="144"/>
      <c r="AB120" s="196" t="s">
        <v>261</v>
      </c>
      <c r="AC120" s="128"/>
    </row>
    <row r="121" spans="1:29" ht="15.75" x14ac:dyDescent="0.25">
      <c r="A121" s="10" t="s">
        <v>61</v>
      </c>
      <c r="B121" s="14" t="s">
        <v>62</v>
      </c>
      <c r="C121" s="14" t="s">
        <v>63</v>
      </c>
      <c r="D121" s="14" t="s">
        <v>64</v>
      </c>
      <c r="E121" s="12" t="s">
        <v>62</v>
      </c>
      <c r="F121" s="12" t="s">
        <v>65</v>
      </c>
      <c r="G121" s="12" t="s">
        <v>64</v>
      </c>
      <c r="I121" s="52" t="s">
        <v>127</v>
      </c>
      <c r="J121" s="52" t="s">
        <v>128</v>
      </c>
      <c r="K121" s="52" t="s">
        <v>129</v>
      </c>
      <c r="L121" s="99" t="s">
        <v>204</v>
      </c>
      <c r="O121" s="6"/>
      <c r="P121" s="12" t="s">
        <v>134</v>
      </c>
      <c r="Q121" s="12" t="s">
        <v>135</v>
      </c>
      <c r="R121" s="12" t="s">
        <v>136</v>
      </c>
      <c r="S121" s="12" t="s">
        <v>137</v>
      </c>
      <c r="U121" s="6"/>
      <c r="V121" s="12" t="s">
        <v>134</v>
      </c>
      <c r="W121" s="12" t="s">
        <v>135</v>
      </c>
      <c r="X121" s="12" t="s">
        <v>136</v>
      </c>
      <c r="Y121" s="12" t="s">
        <v>137</v>
      </c>
      <c r="AB121" t="s">
        <v>249</v>
      </c>
      <c r="AC121" t="s">
        <v>250</v>
      </c>
    </row>
    <row r="122" spans="1:29" x14ac:dyDescent="0.25">
      <c r="A122" s="11" t="s">
        <v>66</v>
      </c>
      <c r="B122" s="17">
        <v>1.5980000000000001</v>
      </c>
      <c r="C122" s="17"/>
      <c r="D122" s="17"/>
      <c r="E122" s="19">
        <v>3.19</v>
      </c>
      <c r="F122" s="19"/>
      <c r="G122" s="19"/>
      <c r="I122" s="51">
        <f>E122-B122</f>
        <v>1.5919999999999999</v>
      </c>
      <c r="J122" s="51">
        <f>B129-E122</f>
        <v>1.5900000000000003</v>
      </c>
      <c r="K122" s="51">
        <f>E129-B129</f>
        <v>1.617</v>
      </c>
      <c r="L122">
        <f>SUM(I122:K122)/3</f>
        <v>1.5996666666666668</v>
      </c>
      <c r="O122" s="65" t="s">
        <v>66</v>
      </c>
      <c r="P122" s="7">
        <f>10000000/B107</f>
        <v>6993006.9930069931</v>
      </c>
      <c r="Q122" s="7">
        <f>20000000/E107</f>
        <v>7049700.3877335209</v>
      </c>
      <c r="R122" s="7">
        <f>30000000/B114</f>
        <v>7062146.892655367</v>
      </c>
      <c r="S122" s="6">
        <f>40000000/E114</f>
        <v>7053429.7302063126</v>
      </c>
      <c r="U122" s="65" t="s">
        <v>66</v>
      </c>
      <c r="V122" s="7">
        <f>B107/10000000</f>
        <v>1.43E-7</v>
      </c>
      <c r="W122" s="7">
        <f>E107/20000000</f>
        <v>1.4185000000000002E-7</v>
      </c>
      <c r="X122" s="7">
        <f>B114/30000000</f>
        <v>1.416E-7</v>
      </c>
      <c r="Y122" s="6">
        <f>E114/40000000</f>
        <v>1.4177500000000001E-7</v>
      </c>
      <c r="AA122" s="199" t="s">
        <v>66</v>
      </c>
      <c r="AB122" s="6">
        <v>1.8650000000000001E-7</v>
      </c>
      <c r="AC122" s="6">
        <v>1.416E-7</v>
      </c>
    </row>
    <row r="123" spans="1:29" x14ac:dyDescent="0.25">
      <c r="A123" s="11" t="s">
        <v>67</v>
      </c>
      <c r="B123" s="17">
        <v>1.63</v>
      </c>
      <c r="C123" s="17">
        <v>10000000</v>
      </c>
      <c r="D123" s="17"/>
      <c r="E123" s="19">
        <v>3.25</v>
      </c>
      <c r="F123" s="19">
        <v>20000000</v>
      </c>
      <c r="G123" s="19"/>
      <c r="I123" s="51">
        <f>E123-B123</f>
        <v>1.62</v>
      </c>
      <c r="J123" s="51">
        <f>B130-E123</f>
        <v>1.6769999999999996</v>
      </c>
      <c r="K123" s="51">
        <f>E130-B130</f>
        <v>1.6360000000000001</v>
      </c>
      <c r="L123">
        <f t="shared" ref="L123:L125" si="16">SUM(I123:K123)/3</f>
        <v>1.6443333333333332</v>
      </c>
      <c r="O123" s="65" t="s">
        <v>67</v>
      </c>
      <c r="P123" s="7">
        <f>10000000/B108</f>
        <v>6816632.5835037492</v>
      </c>
      <c r="Q123" s="7">
        <f>20000000/E108</f>
        <v>6861063.4648370501</v>
      </c>
      <c r="R123" s="7">
        <f>30000000/B115</f>
        <v>6824385.8052775254</v>
      </c>
      <c r="S123" s="6">
        <f>40000000/E115</f>
        <v>6856359.2732259175</v>
      </c>
      <c r="U123" s="65" t="s">
        <v>67</v>
      </c>
      <c r="V123" s="7">
        <f>B108/10000000</f>
        <v>1.4670000000000001E-7</v>
      </c>
      <c r="W123" s="7">
        <f>E108/20000000</f>
        <v>1.4574999999999999E-7</v>
      </c>
      <c r="X123" s="7">
        <f>B115/30000000</f>
        <v>1.4653333333333332E-7</v>
      </c>
      <c r="Y123" s="6">
        <f>E115/40000000</f>
        <v>1.4585E-7</v>
      </c>
      <c r="AA123" s="199" t="s">
        <v>67</v>
      </c>
      <c r="AB123" s="6">
        <v>1.885E-7</v>
      </c>
      <c r="AC123" s="6">
        <v>1.4574999999999999E-7</v>
      </c>
    </row>
    <row r="124" spans="1:29" x14ac:dyDescent="0.25">
      <c r="A124" s="11" t="s">
        <v>68</v>
      </c>
      <c r="B124" s="17">
        <v>1.617</v>
      </c>
      <c r="C124" s="17">
        <v>5000000</v>
      </c>
      <c r="D124" s="17">
        <v>0</v>
      </c>
      <c r="E124" s="19">
        <v>3.4359999999999999</v>
      </c>
      <c r="F124" s="19">
        <v>10000000</v>
      </c>
      <c r="G124" s="19">
        <v>0</v>
      </c>
      <c r="I124" s="51">
        <f t="shared" ref="I124:I125" si="17">E124-B124</f>
        <v>1.819</v>
      </c>
      <c r="J124" s="51">
        <f t="shared" ref="J124:J125" si="18">B131-E124</f>
        <v>1.4270000000000005</v>
      </c>
      <c r="K124" s="51">
        <f t="shared" ref="K124:K125" si="19">E131-B131</f>
        <v>1.694</v>
      </c>
      <c r="L124">
        <f t="shared" si="16"/>
        <v>1.6466666666666667</v>
      </c>
      <c r="O124" s="65" t="s">
        <v>68</v>
      </c>
      <c r="P124" s="7">
        <f>10000000/B109</f>
        <v>6830601.0928961746</v>
      </c>
      <c r="Q124" s="7">
        <f>20000000/E109</f>
        <v>6908462.86701209</v>
      </c>
      <c r="R124" s="7">
        <f>30000000/B116</f>
        <v>6898137.5028742235</v>
      </c>
      <c r="S124" s="6">
        <f>40000000/E116</f>
        <v>6900120.7521131625</v>
      </c>
      <c r="U124" s="65" t="s">
        <v>68</v>
      </c>
      <c r="V124" s="7">
        <f>B109/10000000</f>
        <v>1.4639999999999999E-7</v>
      </c>
      <c r="W124" s="7">
        <f>E109/20000000</f>
        <v>1.4475E-7</v>
      </c>
      <c r="X124" s="7">
        <f>B116/30000000</f>
        <v>1.4496666666666666E-7</v>
      </c>
      <c r="Y124" s="6">
        <f>E116/40000000</f>
        <v>1.4492499999999998E-7</v>
      </c>
      <c r="AA124" s="199" t="s">
        <v>68</v>
      </c>
      <c r="AB124" s="6">
        <v>1.8909999999999999E-7</v>
      </c>
      <c r="AC124" s="6">
        <v>1.4475E-7</v>
      </c>
    </row>
    <row r="125" spans="1:29" x14ac:dyDescent="0.25">
      <c r="A125" s="11" t="s">
        <v>69</v>
      </c>
      <c r="B125" s="17">
        <v>1.6160000000000001</v>
      </c>
      <c r="C125" s="17">
        <v>0</v>
      </c>
      <c r="D125" s="17">
        <v>0</v>
      </c>
      <c r="E125" s="19">
        <v>3.4279999999999999</v>
      </c>
      <c r="F125" s="19">
        <v>0</v>
      </c>
      <c r="G125" s="19">
        <v>0</v>
      </c>
      <c r="I125" s="51">
        <f t="shared" si="17"/>
        <v>1.8119999999999998</v>
      </c>
      <c r="J125" s="51">
        <f t="shared" si="18"/>
        <v>1.3950000000000005</v>
      </c>
      <c r="K125" s="51">
        <f t="shared" si="19"/>
        <v>1.7449999999999992</v>
      </c>
      <c r="L125">
        <f t="shared" si="16"/>
        <v>1.6506666666666667</v>
      </c>
      <c r="O125" s="65" t="s">
        <v>69</v>
      </c>
      <c r="P125" s="7">
        <f>10000000/B110</f>
        <v>6844626.9678302528</v>
      </c>
      <c r="Q125" s="7">
        <f>20000000/E110</f>
        <v>6942034.015966679</v>
      </c>
      <c r="R125" s="7">
        <f>30000000/B117</f>
        <v>6952491.3093858622</v>
      </c>
      <c r="S125" s="6">
        <f>40000000/E117</f>
        <v>6942034.015966679</v>
      </c>
      <c r="U125" s="65" t="s">
        <v>69</v>
      </c>
      <c r="V125" s="7">
        <f>B110/10000000</f>
        <v>1.4610000000000002E-7</v>
      </c>
      <c r="W125" s="7">
        <f>E110/20000000</f>
        <v>1.4405E-7</v>
      </c>
      <c r="X125" s="7">
        <f>B117/30000000</f>
        <v>1.4383333333333336E-7</v>
      </c>
      <c r="Y125" s="6">
        <f>E117/40000000</f>
        <v>1.4405E-7</v>
      </c>
      <c r="AA125" s="199" t="s">
        <v>69</v>
      </c>
      <c r="AB125" s="6">
        <v>1.9009999999999999E-7</v>
      </c>
      <c r="AC125" s="6">
        <v>1.4383333329999999E-7</v>
      </c>
    </row>
    <row r="126" spans="1:29" ht="15.75" x14ac:dyDescent="0.25">
      <c r="A126" s="23"/>
      <c r="O126" s="6"/>
      <c r="P126" s="12" t="s">
        <v>138</v>
      </c>
      <c r="Q126" s="12" t="s">
        <v>139</v>
      </c>
      <c r="R126" s="12" t="s">
        <v>140</v>
      </c>
      <c r="S126" s="12" t="s">
        <v>141</v>
      </c>
      <c r="U126" s="6"/>
      <c r="V126" s="12" t="s">
        <v>138</v>
      </c>
      <c r="W126" s="12" t="s">
        <v>139</v>
      </c>
      <c r="X126" s="12" t="s">
        <v>140</v>
      </c>
      <c r="Y126" s="12" t="s">
        <v>141</v>
      </c>
    </row>
    <row r="127" spans="1:29" ht="18.75" x14ac:dyDescent="0.3">
      <c r="A127" s="22"/>
      <c r="B127" s="138" t="s">
        <v>103</v>
      </c>
      <c r="C127" s="152"/>
      <c r="D127" s="153"/>
      <c r="E127" s="138" t="s">
        <v>104</v>
      </c>
      <c r="F127" s="152"/>
      <c r="G127" s="153"/>
      <c r="O127" s="65" t="s">
        <v>66</v>
      </c>
      <c r="P127" s="7">
        <f>10000000/B122</f>
        <v>6257822.2778473087</v>
      </c>
      <c r="Q127" s="7">
        <f>20000000/E122</f>
        <v>6269592.476489028</v>
      </c>
      <c r="R127" s="7">
        <f>30000000/B129</f>
        <v>6276150.6276150625</v>
      </c>
      <c r="S127" s="7">
        <f>40000000/E129</f>
        <v>6252931.0614350475</v>
      </c>
      <c r="U127" s="65" t="s">
        <v>66</v>
      </c>
      <c r="V127" s="7">
        <f>B122/10000000</f>
        <v>1.5980000000000001E-7</v>
      </c>
      <c r="W127" s="7">
        <f>E122/20000000</f>
        <v>1.5949999999999999E-7</v>
      </c>
      <c r="X127" s="7">
        <f>B129/30000000</f>
        <v>1.5933333333333333E-7</v>
      </c>
      <c r="Y127" s="7">
        <f>E129/40000000</f>
        <v>1.59925E-7</v>
      </c>
      <c r="AB127" s="196" t="s">
        <v>262</v>
      </c>
    </row>
    <row r="128" spans="1:29" ht="15.75" x14ac:dyDescent="0.25">
      <c r="A128" s="10" t="s">
        <v>61</v>
      </c>
      <c r="B128" s="15" t="s">
        <v>62</v>
      </c>
      <c r="C128" s="15" t="s">
        <v>63</v>
      </c>
      <c r="D128" s="15" t="s">
        <v>64</v>
      </c>
      <c r="E128" s="13" t="s">
        <v>62</v>
      </c>
      <c r="F128" s="13" t="s">
        <v>65</v>
      </c>
      <c r="G128" s="13" t="s">
        <v>64</v>
      </c>
      <c r="O128" s="65" t="s">
        <v>67</v>
      </c>
      <c r="P128" s="7">
        <f>10000000/B123</f>
        <v>6134969.325153375</v>
      </c>
      <c r="Q128" s="7">
        <f>20000000/E123</f>
        <v>6153846.153846154</v>
      </c>
      <c r="R128" s="7">
        <f>30000000/B130</f>
        <v>6088897.909478385</v>
      </c>
      <c r="S128" s="7">
        <f>40000000/E130</f>
        <v>6094773.7315252172</v>
      </c>
      <c r="U128" s="65" t="s">
        <v>67</v>
      </c>
      <c r="V128" s="7">
        <f>B123/10000000</f>
        <v>1.6299999999999999E-7</v>
      </c>
      <c r="W128" s="7">
        <f>E123/20000000</f>
        <v>1.6250000000000001E-7</v>
      </c>
      <c r="X128" s="7">
        <f>B130/30000000</f>
        <v>1.6423333333333333E-7</v>
      </c>
      <c r="Y128" s="7">
        <f>E130/40000000</f>
        <v>1.6407499999999999E-7</v>
      </c>
      <c r="AB128" t="s">
        <v>249</v>
      </c>
      <c r="AC128" t="s">
        <v>250</v>
      </c>
    </row>
    <row r="129" spans="1:29" x14ac:dyDescent="0.25">
      <c r="A129" s="11" t="s">
        <v>66</v>
      </c>
      <c r="B129" s="16">
        <v>4.78</v>
      </c>
      <c r="C129" s="16"/>
      <c r="D129" s="16"/>
      <c r="E129" s="18">
        <v>6.3970000000000002</v>
      </c>
      <c r="F129" s="18"/>
      <c r="G129" s="18"/>
      <c r="O129" s="65" t="s">
        <v>68</v>
      </c>
      <c r="P129" s="7">
        <f>10000000/B124</f>
        <v>6184291.8985776128</v>
      </c>
      <c r="Q129" s="7">
        <f>20000000/E124</f>
        <v>5820721.7694994183</v>
      </c>
      <c r="R129" s="7">
        <f>30000000/B131</f>
        <v>6169031.4620604562</v>
      </c>
      <c r="S129" s="7">
        <f>40000000/E131</f>
        <v>6100350.7701692842</v>
      </c>
      <c r="U129" s="65" t="s">
        <v>68</v>
      </c>
      <c r="V129" s="7">
        <f>B124/10000000</f>
        <v>1.617E-7</v>
      </c>
      <c r="W129" s="7">
        <f>E124/20000000</f>
        <v>1.7179999999999999E-7</v>
      </c>
      <c r="X129" s="7">
        <f>B131/30000000</f>
        <v>1.621E-7</v>
      </c>
      <c r="Y129" s="7">
        <f>E131/40000000</f>
        <v>1.6392500000000001E-7</v>
      </c>
      <c r="AA129" s="199" t="s">
        <v>66</v>
      </c>
      <c r="AB129" s="6">
        <v>162.77807920000001</v>
      </c>
      <c r="AC129" s="6">
        <v>125.8741259</v>
      </c>
    </row>
    <row r="130" spans="1:29" x14ac:dyDescent="0.25">
      <c r="A130" s="11" t="s">
        <v>67</v>
      </c>
      <c r="B130" s="16">
        <v>4.9269999999999996</v>
      </c>
      <c r="C130" s="16">
        <v>30000000</v>
      </c>
      <c r="D130" s="16"/>
      <c r="E130" s="18">
        <v>6.5629999999999997</v>
      </c>
      <c r="F130" s="18">
        <v>40000000</v>
      </c>
      <c r="G130" s="18"/>
      <c r="O130" s="65" t="s">
        <v>69</v>
      </c>
      <c r="P130" s="7">
        <f>10000000/B125</f>
        <v>6188118.8118811874</v>
      </c>
      <c r="Q130" s="7">
        <f>20000000/E125</f>
        <v>5834305.7176196035</v>
      </c>
      <c r="R130" s="7">
        <f>30000000/B132</f>
        <v>6220194.8994401824</v>
      </c>
      <c r="S130" s="7">
        <f>40000000/E132</f>
        <v>6090133.9829476252</v>
      </c>
      <c r="U130" s="65" t="s">
        <v>69</v>
      </c>
      <c r="V130" s="7">
        <f>B125/10000000</f>
        <v>1.6160000000000002E-7</v>
      </c>
      <c r="W130" s="7">
        <f>E125/20000000</f>
        <v>1.7139999999999999E-7</v>
      </c>
      <c r="X130" s="7">
        <f>B132/30000000</f>
        <v>1.6076666666666668E-7</v>
      </c>
      <c r="Y130" s="7">
        <f>E132/40000000</f>
        <v>1.642E-7</v>
      </c>
      <c r="AA130" s="199" t="s">
        <v>67</v>
      </c>
      <c r="AB130" s="6">
        <v>160.85790879999999</v>
      </c>
      <c r="AC130" s="6">
        <v>122.6993865</v>
      </c>
    </row>
    <row r="131" spans="1:29" ht="15.75" x14ac:dyDescent="0.25">
      <c r="A131" s="11" t="s">
        <v>68</v>
      </c>
      <c r="B131" s="16">
        <v>4.8630000000000004</v>
      </c>
      <c r="C131" s="16">
        <v>15000000</v>
      </c>
      <c r="D131" s="16">
        <v>0</v>
      </c>
      <c r="E131" s="18">
        <v>6.5570000000000004</v>
      </c>
      <c r="F131" s="18">
        <v>20000000</v>
      </c>
      <c r="G131" s="18">
        <v>0</v>
      </c>
      <c r="O131" s="6"/>
      <c r="P131" s="12" t="s">
        <v>130</v>
      </c>
      <c r="Q131" s="12" t="s">
        <v>131</v>
      </c>
      <c r="R131" s="12" t="s">
        <v>133</v>
      </c>
      <c r="S131" s="12" t="s">
        <v>132</v>
      </c>
      <c r="U131" s="6"/>
      <c r="V131" s="12" t="s">
        <v>130</v>
      </c>
      <c r="W131" s="12" t="s">
        <v>131</v>
      </c>
      <c r="X131" s="12" t="s">
        <v>133</v>
      </c>
      <c r="Y131" s="12" t="s">
        <v>132</v>
      </c>
      <c r="AA131" s="199" t="s">
        <v>68</v>
      </c>
      <c r="AB131" s="6">
        <v>160.05690910000001</v>
      </c>
      <c r="AC131" s="6">
        <v>122.9508197</v>
      </c>
    </row>
    <row r="132" spans="1:29" x14ac:dyDescent="0.25">
      <c r="A132" s="11" t="s">
        <v>69</v>
      </c>
      <c r="B132" s="16">
        <v>4.8230000000000004</v>
      </c>
      <c r="C132" s="16">
        <v>0</v>
      </c>
      <c r="D132" s="16">
        <v>0</v>
      </c>
      <c r="E132" s="18">
        <v>6.5679999999999996</v>
      </c>
      <c r="F132" s="18">
        <v>0</v>
      </c>
      <c r="G132" s="18">
        <v>0</v>
      </c>
      <c r="O132" s="65" t="s">
        <v>66</v>
      </c>
      <c r="P132" s="6">
        <f>10000000/B137</f>
        <v>5425935.9739555074</v>
      </c>
      <c r="Q132" s="6">
        <f>20000000/E137</f>
        <v>5361930.2949061664</v>
      </c>
      <c r="R132" s="6">
        <f>30000000/B144</f>
        <v>5422993.492407809</v>
      </c>
      <c r="S132" s="6">
        <f>40000000/E144</f>
        <v>5388656.8772733398</v>
      </c>
      <c r="U132" s="65" t="s">
        <v>66</v>
      </c>
      <c r="V132" s="6">
        <f>B137/10000000</f>
        <v>1.843E-7</v>
      </c>
      <c r="W132" s="6">
        <f>E137/20000000</f>
        <v>1.8650000000000001E-7</v>
      </c>
      <c r="X132" s="6">
        <f>B144/30000000</f>
        <v>1.8440000000000001E-7</v>
      </c>
      <c r="Y132" s="6">
        <f>E144/40000000</f>
        <v>1.8557499999999999E-7</v>
      </c>
      <c r="AA132" s="199" t="s">
        <v>69</v>
      </c>
      <c r="AB132" s="6">
        <v>160.59957170000001</v>
      </c>
      <c r="AC132" s="6">
        <v>123.2032854</v>
      </c>
    </row>
    <row r="133" spans="1:29" x14ac:dyDescent="0.25">
      <c r="O133" s="65" t="s">
        <v>67</v>
      </c>
      <c r="P133" s="6">
        <f>10000000/B138</f>
        <v>5361930.2949061664</v>
      </c>
      <c r="Q133" s="6">
        <f>20000000/E138</f>
        <v>5305039.7877984084</v>
      </c>
      <c r="R133" s="6">
        <f>30000000/B145</f>
        <v>5347593.5828876998</v>
      </c>
      <c r="S133" s="6">
        <f>40000000/E145</f>
        <v>5330490.4051172715</v>
      </c>
      <c r="U133" s="65" t="s">
        <v>67</v>
      </c>
      <c r="V133" s="6">
        <f>B138/10000000</f>
        <v>1.8650000000000001E-7</v>
      </c>
      <c r="W133" s="6">
        <f>E138/20000000</f>
        <v>1.885E-7</v>
      </c>
      <c r="X133" s="6">
        <f>B145/30000000</f>
        <v>1.8700000000000002E-7</v>
      </c>
      <c r="Y133" s="6">
        <f>E145/40000000</f>
        <v>1.8759999999999999E-7</v>
      </c>
    </row>
    <row r="134" spans="1:29" x14ac:dyDescent="0.25">
      <c r="O134" s="65" t="s">
        <v>68</v>
      </c>
      <c r="P134" s="6">
        <f>10000000/B139</f>
        <v>5288207.2977260705</v>
      </c>
      <c r="Q134" s="6">
        <f>20000000/E139</f>
        <v>5305039.7877984084</v>
      </c>
      <c r="R134" s="6">
        <f>30000000/B146</f>
        <v>5335230.304108127</v>
      </c>
      <c r="S134" s="6">
        <f>40000000/E146</f>
        <v>5293105.729786952</v>
      </c>
      <c r="U134" s="65" t="s">
        <v>68</v>
      </c>
      <c r="V134" s="6">
        <f>B139/10000000</f>
        <v>1.8909999999999999E-7</v>
      </c>
      <c r="W134" s="6">
        <f>E139/20000000</f>
        <v>1.885E-7</v>
      </c>
      <c r="X134" s="6">
        <f>B146/30000000</f>
        <v>1.8743333333333335E-7</v>
      </c>
      <c r="Y134" s="6">
        <f>E146/40000000</f>
        <v>1.8892500000000001E-7</v>
      </c>
    </row>
    <row r="135" spans="1:29" ht="15.75" x14ac:dyDescent="0.25">
      <c r="A135" s="24"/>
      <c r="B135" s="148" t="s">
        <v>96</v>
      </c>
      <c r="C135" s="168"/>
      <c r="D135" s="169"/>
      <c r="E135" s="148" t="s">
        <v>95</v>
      </c>
      <c r="F135" s="149"/>
      <c r="G135" s="150"/>
      <c r="O135" s="65" t="s">
        <v>69</v>
      </c>
      <c r="P135" s="6">
        <f>10000000/B140</f>
        <v>5353319.0578158451</v>
      </c>
      <c r="Q135" s="6">
        <f>20000000/E140</f>
        <v>5291005.291005291</v>
      </c>
      <c r="R135" s="6">
        <f>30000000/B147</f>
        <v>5325758.9206461925</v>
      </c>
      <c r="S135" s="6">
        <f>40000000/E147</f>
        <v>5260389.2688058913</v>
      </c>
      <c r="U135" s="65" t="s">
        <v>69</v>
      </c>
      <c r="V135" s="6">
        <f>B140/10000000</f>
        <v>1.8680000000000001E-7</v>
      </c>
      <c r="W135" s="6">
        <f>E140/20000000</f>
        <v>1.8899999999999999E-7</v>
      </c>
      <c r="X135" s="6">
        <f>B147/30000000</f>
        <v>1.8776666666666667E-7</v>
      </c>
      <c r="Y135" s="6">
        <f>E147/40000000</f>
        <v>1.9010000000000001E-7</v>
      </c>
    </row>
    <row r="136" spans="1:29" ht="15.75" x14ac:dyDescent="0.25">
      <c r="A136" s="25" t="s">
        <v>61</v>
      </c>
      <c r="B136" s="14" t="s">
        <v>62</v>
      </c>
      <c r="C136" s="14" t="s">
        <v>63</v>
      </c>
      <c r="D136" s="14" t="s">
        <v>64</v>
      </c>
      <c r="E136" s="12" t="s">
        <v>62</v>
      </c>
      <c r="F136" s="12" t="s">
        <v>65</v>
      </c>
      <c r="G136" s="12" t="s">
        <v>64</v>
      </c>
      <c r="I136" s="52" t="s">
        <v>127</v>
      </c>
      <c r="J136" s="52" t="s">
        <v>128</v>
      </c>
      <c r="K136" s="52" t="s">
        <v>129</v>
      </c>
      <c r="L136" s="99" t="s">
        <v>204</v>
      </c>
    </row>
    <row r="137" spans="1:29" x14ac:dyDescent="0.25">
      <c r="A137" s="26" t="s">
        <v>66</v>
      </c>
      <c r="B137" s="17">
        <v>1.843</v>
      </c>
      <c r="C137" s="17"/>
      <c r="D137" s="17"/>
      <c r="E137" s="19">
        <v>3.73</v>
      </c>
      <c r="F137" s="19"/>
      <c r="G137" s="19"/>
      <c r="I137" s="51">
        <f>E137-B137</f>
        <v>1.887</v>
      </c>
      <c r="J137" s="51">
        <f>B144-E137</f>
        <v>1.802</v>
      </c>
      <c r="K137" s="51">
        <f>E144-B144</f>
        <v>1.891</v>
      </c>
      <c r="L137">
        <f>SUM(I137:K137)/3</f>
        <v>1.86</v>
      </c>
    </row>
    <row r="138" spans="1:29" x14ac:dyDescent="0.25">
      <c r="A138" s="26" t="s">
        <v>67</v>
      </c>
      <c r="B138" s="17">
        <v>1.865</v>
      </c>
      <c r="C138" s="17">
        <v>10000000</v>
      </c>
      <c r="D138" s="17"/>
      <c r="E138" s="19">
        <v>3.77</v>
      </c>
      <c r="F138" s="19">
        <v>20000000</v>
      </c>
      <c r="G138" s="19"/>
      <c r="I138" s="51">
        <f>E138-B138</f>
        <v>1.905</v>
      </c>
      <c r="J138" s="51">
        <f>B145-E138</f>
        <v>1.8400000000000003</v>
      </c>
      <c r="K138" s="51">
        <f>E145-B145</f>
        <v>1.8939999999999992</v>
      </c>
      <c r="L138">
        <f t="shared" ref="L138:L140" si="20">SUM(I138:K138)/3</f>
        <v>1.8796666666666664</v>
      </c>
    </row>
    <row r="139" spans="1:29" x14ac:dyDescent="0.25">
      <c r="A139" s="26" t="s">
        <v>68</v>
      </c>
      <c r="B139" s="17">
        <v>1.891</v>
      </c>
      <c r="C139" s="17">
        <v>5000000</v>
      </c>
      <c r="D139" s="17">
        <v>0</v>
      </c>
      <c r="E139" s="19">
        <v>3.77</v>
      </c>
      <c r="F139" s="19">
        <v>10004188</v>
      </c>
      <c r="G139" s="19">
        <v>2.1000000000000001E-4</v>
      </c>
      <c r="I139" s="51">
        <f t="shared" ref="I139:I140" si="21">E139-B139</f>
        <v>1.879</v>
      </c>
      <c r="J139" s="51">
        <f t="shared" ref="J139:J140" si="22">B146-E139</f>
        <v>1.8530000000000002</v>
      </c>
      <c r="K139" s="51">
        <f t="shared" ref="K139:K140" si="23">E146-B146</f>
        <v>1.9340000000000002</v>
      </c>
      <c r="L139">
        <f t="shared" si="20"/>
        <v>1.8886666666666667</v>
      </c>
    </row>
    <row r="140" spans="1:29" x14ac:dyDescent="0.25">
      <c r="A140" s="26" t="s">
        <v>69</v>
      </c>
      <c r="B140" s="17">
        <v>1.8680000000000001</v>
      </c>
      <c r="C140" s="17">
        <v>980</v>
      </c>
      <c r="D140" s="17">
        <v>9.7999999999999997E-5</v>
      </c>
      <c r="E140" s="19">
        <v>3.78</v>
      </c>
      <c r="F140" s="19">
        <v>7985</v>
      </c>
      <c r="G140" s="19">
        <v>4.0000000000000002E-4</v>
      </c>
      <c r="I140" s="51">
        <f t="shared" si="21"/>
        <v>1.9119999999999997</v>
      </c>
      <c r="J140" s="51">
        <f t="shared" si="22"/>
        <v>1.8530000000000002</v>
      </c>
      <c r="K140" s="51">
        <f t="shared" si="23"/>
        <v>1.9710000000000001</v>
      </c>
      <c r="L140">
        <f t="shared" si="20"/>
        <v>1.9119999999999999</v>
      </c>
    </row>
    <row r="141" spans="1:29" x14ac:dyDescent="0.25">
      <c r="A141" s="27"/>
    </row>
    <row r="142" spans="1:29" ht="15.75" x14ac:dyDescent="0.25">
      <c r="A142" s="24"/>
      <c r="B142" s="148" t="s">
        <v>94</v>
      </c>
      <c r="C142" s="149"/>
      <c r="D142" s="150"/>
      <c r="E142" s="148" t="s">
        <v>93</v>
      </c>
      <c r="F142" s="149"/>
      <c r="G142" s="150"/>
    </row>
    <row r="143" spans="1:29" ht="15.75" x14ac:dyDescent="0.25">
      <c r="A143" s="25" t="s">
        <v>61</v>
      </c>
      <c r="B143" s="15" t="s">
        <v>62</v>
      </c>
      <c r="C143" s="15" t="s">
        <v>63</v>
      </c>
      <c r="D143" s="15" t="s">
        <v>64</v>
      </c>
      <c r="E143" s="13" t="s">
        <v>62</v>
      </c>
      <c r="F143" s="13" t="s">
        <v>65</v>
      </c>
      <c r="G143" s="13" t="s">
        <v>64</v>
      </c>
    </row>
    <row r="144" spans="1:29" x14ac:dyDescent="0.25">
      <c r="A144" s="26" t="s">
        <v>66</v>
      </c>
      <c r="B144" s="16">
        <v>5.532</v>
      </c>
      <c r="C144" s="16"/>
      <c r="D144" s="16"/>
      <c r="E144" s="18">
        <v>7.423</v>
      </c>
      <c r="F144" s="18"/>
      <c r="G144" s="18"/>
    </row>
    <row r="145" spans="1:31" x14ac:dyDescent="0.25">
      <c r="A145" s="26" t="s">
        <v>67</v>
      </c>
      <c r="B145" s="16">
        <v>5.61</v>
      </c>
      <c r="C145" s="16">
        <v>30000000</v>
      </c>
      <c r="D145" s="16"/>
      <c r="E145" s="18">
        <v>7.5039999999999996</v>
      </c>
      <c r="F145" s="18">
        <v>40000000</v>
      </c>
      <c r="G145" s="18"/>
    </row>
    <row r="146" spans="1:31" x14ac:dyDescent="0.25">
      <c r="A146" s="26" t="s">
        <v>68</v>
      </c>
      <c r="B146" s="16">
        <v>5.6230000000000002</v>
      </c>
      <c r="C146" s="16">
        <v>15013729</v>
      </c>
      <c r="D146" s="16">
        <v>4.6000000000000001E-4</v>
      </c>
      <c r="E146" s="18">
        <v>7.5570000000000004</v>
      </c>
      <c r="F146" s="18">
        <v>20034461</v>
      </c>
      <c r="G146" s="18">
        <v>8.5999999999999998E-4</v>
      </c>
    </row>
    <row r="147" spans="1:31" x14ac:dyDescent="0.25">
      <c r="A147" s="26" t="s">
        <v>69</v>
      </c>
      <c r="B147" s="16">
        <v>5.633</v>
      </c>
      <c r="C147" s="16">
        <v>27827</v>
      </c>
      <c r="D147" s="16">
        <v>9.3000000000000005E-4</v>
      </c>
      <c r="E147" s="18">
        <v>7.6040000000000001</v>
      </c>
      <c r="F147" s="18">
        <v>67314</v>
      </c>
      <c r="G147" s="18">
        <v>1.6999999999999999E-3</v>
      </c>
    </row>
    <row r="149" spans="1:31" ht="18.75" x14ac:dyDescent="0.3">
      <c r="U149" s="6"/>
      <c r="V149" s="136" t="s">
        <v>161</v>
      </c>
      <c r="W149" s="136"/>
      <c r="X149" s="136"/>
      <c r="Y149" s="136"/>
    </row>
    <row r="150" spans="1:31" ht="15.75" x14ac:dyDescent="0.25">
      <c r="A150" s="151" t="s">
        <v>75</v>
      </c>
      <c r="B150" s="151"/>
      <c r="C150" s="151"/>
      <c r="D150" s="151"/>
      <c r="E150" s="151"/>
      <c r="F150" s="151"/>
      <c r="G150" s="151"/>
      <c r="U150" s="6"/>
      <c r="V150" s="12" t="s">
        <v>134</v>
      </c>
      <c r="W150" s="12" t="s">
        <v>135</v>
      </c>
      <c r="X150" s="12" t="s">
        <v>136</v>
      </c>
      <c r="Y150" s="12" t="s">
        <v>137</v>
      </c>
    </row>
    <row r="151" spans="1:31" ht="15.75" x14ac:dyDescent="0.25">
      <c r="A151" s="20"/>
      <c r="B151" s="145" t="s">
        <v>101</v>
      </c>
      <c r="C151" s="146"/>
      <c r="D151" s="147"/>
      <c r="E151" s="145" t="s">
        <v>102</v>
      </c>
      <c r="F151" s="146"/>
      <c r="G151" s="147"/>
      <c r="U151" s="65" t="s">
        <v>66</v>
      </c>
      <c r="V151" s="7">
        <f>180/B153</f>
        <v>110.56511056511057</v>
      </c>
      <c r="W151" s="7">
        <f>360/E153</f>
        <v>110.59907834101382</v>
      </c>
      <c r="X151" s="7">
        <f>540/B160</f>
        <v>110.83743842364532</v>
      </c>
      <c r="Y151" s="6">
        <f>720/E160</f>
        <v>107.76829815895825</v>
      </c>
    </row>
    <row r="152" spans="1:31" ht="18.75" x14ac:dyDescent="0.3">
      <c r="A152" s="8" t="s">
        <v>61</v>
      </c>
      <c r="B152" s="14" t="s">
        <v>62</v>
      </c>
      <c r="C152" s="14" t="s">
        <v>63</v>
      </c>
      <c r="D152" s="14" t="s">
        <v>64</v>
      </c>
      <c r="E152" s="12" t="s">
        <v>62</v>
      </c>
      <c r="F152" s="12" t="s">
        <v>65</v>
      </c>
      <c r="G152" s="12" t="s">
        <v>64</v>
      </c>
      <c r="I152" s="52" t="s">
        <v>127</v>
      </c>
      <c r="J152" s="52" t="s">
        <v>128</v>
      </c>
      <c r="K152" s="52" t="s">
        <v>129</v>
      </c>
      <c r="L152" s="125" t="s">
        <v>204</v>
      </c>
      <c r="O152" s="141" t="s">
        <v>143</v>
      </c>
      <c r="P152" s="141"/>
      <c r="Q152" s="141"/>
      <c r="R152" s="141"/>
      <c r="S152" s="141"/>
      <c r="U152" s="65" t="s">
        <v>67</v>
      </c>
      <c r="V152" s="7">
        <f>180/B154</f>
        <v>107.97840431913617</v>
      </c>
      <c r="W152" s="7">
        <f>360/E154</f>
        <v>107.27056019070322</v>
      </c>
      <c r="X152" s="7">
        <f>540/B161</f>
        <v>107.63404424955152</v>
      </c>
      <c r="Y152" s="6">
        <f>720/E161</f>
        <v>106.46162945438415</v>
      </c>
    </row>
    <row r="153" spans="1:31" ht="15.75" x14ac:dyDescent="0.25">
      <c r="A153" s="9" t="s">
        <v>66</v>
      </c>
      <c r="B153" s="17">
        <v>1.6279999999999999</v>
      </c>
      <c r="C153" s="17"/>
      <c r="D153" s="17"/>
      <c r="E153" s="19">
        <v>3.2549999999999999</v>
      </c>
      <c r="F153" s="19"/>
      <c r="G153" s="19"/>
      <c r="I153">
        <f>E153-B153</f>
        <v>1.627</v>
      </c>
      <c r="J153">
        <f>B160-E153</f>
        <v>1.617</v>
      </c>
      <c r="K153">
        <f>E160-B160</f>
        <v>1.8090000000000002</v>
      </c>
      <c r="L153">
        <f>SUM(I153:K153)/3</f>
        <v>1.6843333333333332</v>
      </c>
      <c r="O153" s="6"/>
      <c r="P153" s="12" t="s">
        <v>134</v>
      </c>
      <c r="Q153" s="12" t="s">
        <v>135</v>
      </c>
      <c r="R153" s="12" t="s">
        <v>136</v>
      </c>
      <c r="S153" s="12" t="s">
        <v>137</v>
      </c>
      <c r="U153" s="65" t="s">
        <v>68</v>
      </c>
      <c r="V153" s="7">
        <f>180/B155</f>
        <v>108.9588377723971</v>
      </c>
      <c r="W153" s="7">
        <f>360/E155</f>
        <v>108.72848082150408</v>
      </c>
      <c r="X153" s="7">
        <f>540/B162</f>
        <v>107.41993236522777</v>
      </c>
      <c r="Y153" s="6">
        <f>720/E162</f>
        <v>106.16337363609554</v>
      </c>
    </row>
    <row r="154" spans="1:31" x14ac:dyDescent="0.25">
      <c r="A154" s="9" t="s">
        <v>67</v>
      </c>
      <c r="B154" s="17">
        <v>1.667</v>
      </c>
      <c r="C154" s="17">
        <v>10000000</v>
      </c>
      <c r="D154" s="17"/>
      <c r="E154" s="19">
        <v>3.3559999999999999</v>
      </c>
      <c r="F154" s="19">
        <v>20000000</v>
      </c>
      <c r="G154" s="19"/>
      <c r="I154">
        <f>E154-B154</f>
        <v>1.6889999999999998</v>
      </c>
      <c r="J154">
        <f>B161-E154</f>
        <v>1.6610000000000005</v>
      </c>
      <c r="K154">
        <f>E161-B161</f>
        <v>1.7459999999999996</v>
      </c>
      <c r="L154">
        <f t="shared" ref="L154:L156" si="24">SUM(I154:K154)/3</f>
        <v>1.6986666666666668</v>
      </c>
      <c r="O154" s="63" t="s">
        <v>67</v>
      </c>
      <c r="P154" s="7">
        <v>1</v>
      </c>
      <c r="Q154" s="7">
        <v>1</v>
      </c>
      <c r="R154" s="7">
        <v>1</v>
      </c>
      <c r="S154" s="7">
        <v>1</v>
      </c>
      <c r="U154" s="65" t="s">
        <v>69</v>
      </c>
      <c r="V154" s="7">
        <f>180/B156</f>
        <v>109.8901098901099</v>
      </c>
      <c r="W154" s="7">
        <f>360/E156</f>
        <v>110.02444987775061</v>
      </c>
      <c r="X154" s="7">
        <f>540/B163</f>
        <v>109.4890510948905</v>
      </c>
      <c r="Y154" s="6">
        <f>720/E163</f>
        <v>107.01545778834721</v>
      </c>
    </row>
    <row r="155" spans="1:31" ht="15.75" x14ac:dyDescent="0.25">
      <c r="A155" s="9" t="s">
        <v>68</v>
      </c>
      <c r="B155" s="17">
        <v>1.6519999999999999</v>
      </c>
      <c r="C155" s="17">
        <v>5000000</v>
      </c>
      <c r="D155" s="17">
        <v>0</v>
      </c>
      <c r="E155" s="19">
        <v>3.3109999999999999</v>
      </c>
      <c r="F155" s="19">
        <v>10000000</v>
      </c>
      <c r="G155" s="19">
        <v>0</v>
      </c>
      <c r="I155">
        <f t="shared" ref="I155:I156" si="25">E155-B155</f>
        <v>1.659</v>
      </c>
      <c r="J155">
        <f t="shared" ref="J155:J156" si="26">B162-E155</f>
        <v>1.7160000000000002</v>
      </c>
      <c r="K155">
        <f t="shared" ref="K155:K156" si="27">E162-B162</f>
        <v>1.7549999999999999</v>
      </c>
      <c r="L155">
        <f t="shared" si="24"/>
        <v>1.71</v>
      </c>
      <c r="O155" s="63" t="s">
        <v>68</v>
      </c>
      <c r="P155" s="7">
        <v>1</v>
      </c>
      <c r="Q155" s="7">
        <v>1</v>
      </c>
      <c r="R155" s="7">
        <v>1</v>
      </c>
      <c r="S155" s="7">
        <v>1</v>
      </c>
      <c r="U155" s="6"/>
      <c r="V155" s="12" t="s">
        <v>138</v>
      </c>
      <c r="W155" s="12" t="s">
        <v>139</v>
      </c>
      <c r="X155" s="12" t="s">
        <v>140</v>
      </c>
      <c r="Y155" s="12" t="s">
        <v>141</v>
      </c>
    </row>
    <row r="156" spans="1:31" x14ac:dyDescent="0.25">
      <c r="A156" s="9" t="s">
        <v>69</v>
      </c>
      <c r="B156" s="17">
        <v>1.6379999999999999</v>
      </c>
      <c r="C156" s="17">
        <v>0</v>
      </c>
      <c r="D156" s="17">
        <v>0</v>
      </c>
      <c r="E156" s="19">
        <v>3.2719999999999998</v>
      </c>
      <c r="F156" s="19">
        <v>0</v>
      </c>
      <c r="G156" s="19">
        <v>0</v>
      </c>
      <c r="I156">
        <f t="shared" si="25"/>
        <v>1.6339999999999999</v>
      </c>
      <c r="J156">
        <f t="shared" si="26"/>
        <v>1.6600000000000006</v>
      </c>
      <c r="K156">
        <f t="shared" si="27"/>
        <v>1.7959999999999994</v>
      </c>
      <c r="L156">
        <f t="shared" si="24"/>
        <v>1.6966666666666665</v>
      </c>
      <c r="O156" s="63" t="s">
        <v>69</v>
      </c>
      <c r="P156" s="7">
        <v>1</v>
      </c>
      <c r="Q156" s="7">
        <v>1</v>
      </c>
      <c r="R156" s="7">
        <v>1</v>
      </c>
      <c r="S156" s="7">
        <v>1</v>
      </c>
      <c r="U156" s="65" t="s">
        <v>66</v>
      </c>
      <c r="V156" s="7">
        <f>250/B168</f>
        <v>139.66480446927375</v>
      </c>
      <c r="W156" s="7">
        <f>500/E168</f>
        <v>139.66480446927375</v>
      </c>
      <c r="X156" s="7">
        <f>750/B175</f>
        <v>138.70908082115776</v>
      </c>
      <c r="Y156" s="7">
        <f>1000/E175</f>
        <v>139.56734124214933</v>
      </c>
    </row>
    <row r="157" spans="1:31" ht="18.75" x14ac:dyDescent="0.3">
      <c r="A157" s="21"/>
      <c r="O157" s="6"/>
      <c r="P157" s="12" t="s">
        <v>138</v>
      </c>
      <c r="Q157" s="12" t="s">
        <v>139</v>
      </c>
      <c r="R157" s="12" t="s">
        <v>140</v>
      </c>
      <c r="S157" s="12" t="s">
        <v>141</v>
      </c>
      <c r="U157" s="65" t="s">
        <v>67</v>
      </c>
      <c r="V157" s="7">
        <f>250/B169</f>
        <v>136.01741022850925</v>
      </c>
      <c r="W157" s="7">
        <f>500/E169</f>
        <v>135.35462912831619</v>
      </c>
      <c r="X157" s="7">
        <f>750/B176</f>
        <v>136.21503814021068</v>
      </c>
      <c r="Y157" s="7">
        <f>1000/E176</f>
        <v>135.40961408259986</v>
      </c>
      <c r="AB157" s="196" t="s">
        <v>263</v>
      </c>
    </row>
    <row r="158" spans="1:31" ht="15.75" x14ac:dyDescent="0.25">
      <c r="A158" s="20"/>
      <c r="B158" s="145" t="s">
        <v>100</v>
      </c>
      <c r="C158" s="146"/>
      <c r="D158" s="147"/>
      <c r="E158" s="145" t="s">
        <v>99</v>
      </c>
      <c r="F158" s="146"/>
      <c r="G158" s="147"/>
      <c r="O158" s="63" t="s">
        <v>67</v>
      </c>
      <c r="P158" s="7">
        <v>1</v>
      </c>
      <c r="Q158" s="7">
        <v>1</v>
      </c>
      <c r="R158" s="7">
        <v>1</v>
      </c>
      <c r="S158" s="7">
        <v>1</v>
      </c>
      <c r="U158" s="65" t="s">
        <v>68</v>
      </c>
      <c r="V158" s="7">
        <f>250/B170</f>
        <v>136.46288209606988</v>
      </c>
      <c r="W158" s="7">
        <f>500/E170</f>
        <v>136.79890560875515</v>
      </c>
      <c r="X158" s="7">
        <f>750/B177</f>
        <v>131.14180800839307</v>
      </c>
      <c r="Y158" s="7">
        <f>1000/E177</f>
        <v>136.1285053090117</v>
      </c>
      <c r="AB158" s="128" t="s">
        <v>249</v>
      </c>
      <c r="AC158" s="128" t="s">
        <v>237</v>
      </c>
      <c r="AD158" s="128" t="s">
        <v>250</v>
      </c>
      <c r="AE158" s="128" t="s">
        <v>237</v>
      </c>
    </row>
    <row r="159" spans="1:31" ht="15.75" x14ac:dyDescent="0.25">
      <c r="A159" s="8" t="s">
        <v>61</v>
      </c>
      <c r="B159" s="15" t="s">
        <v>62</v>
      </c>
      <c r="C159" s="15" t="s">
        <v>63</v>
      </c>
      <c r="D159" s="15" t="s">
        <v>64</v>
      </c>
      <c r="E159" s="13" t="s">
        <v>62</v>
      </c>
      <c r="F159" s="13" t="s">
        <v>65</v>
      </c>
      <c r="G159" s="13" t="s">
        <v>64</v>
      </c>
      <c r="O159" s="63" t="s">
        <v>68</v>
      </c>
      <c r="P159" s="7">
        <v>1</v>
      </c>
      <c r="Q159" s="7">
        <v>1</v>
      </c>
      <c r="R159" s="7">
        <v>1</v>
      </c>
      <c r="S159" s="7">
        <v>1</v>
      </c>
      <c r="U159" s="65" t="s">
        <v>69</v>
      </c>
      <c r="V159" s="7">
        <f>250/B171</f>
        <v>137.58943313153551</v>
      </c>
      <c r="W159" s="7">
        <f>500/E171</f>
        <v>137.13658804168952</v>
      </c>
      <c r="X159" s="7">
        <f>750/B178</f>
        <v>126.83916793505834</v>
      </c>
      <c r="Y159" s="7">
        <f>1000/E178</f>
        <v>137.64624913971096</v>
      </c>
      <c r="AA159" s="199" t="s">
        <v>66</v>
      </c>
      <c r="AB159" s="6">
        <v>6157635.4680000003</v>
      </c>
      <c r="AC159" s="6" t="s">
        <v>256</v>
      </c>
      <c r="AD159" s="6">
        <v>4716981.1320000002</v>
      </c>
      <c r="AE159" s="6" t="s">
        <v>253</v>
      </c>
    </row>
    <row r="160" spans="1:31" ht="15.75" x14ac:dyDescent="0.25">
      <c r="A160" s="9" t="s">
        <v>66</v>
      </c>
      <c r="B160" s="16">
        <v>4.8719999999999999</v>
      </c>
      <c r="C160" s="16"/>
      <c r="D160" s="16"/>
      <c r="E160" s="18">
        <v>6.681</v>
      </c>
      <c r="F160" s="18"/>
      <c r="G160" s="18"/>
      <c r="O160" s="63" t="s">
        <v>69</v>
      </c>
      <c r="P160" s="7">
        <v>1</v>
      </c>
      <c r="Q160" s="7">
        <v>1</v>
      </c>
      <c r="R160" s="7">
        <v>1</v>
      </c>
      <c r="S160" s="7">
        <v>1</v>
      </c>
      <c r="U160" s="6"/>
      <c r="V160" s="12" t="s">
        <v>130</v>
      </c>
      <c r="W160" s="12" t="s">
        <v>131</v>
      </c>
      <c r="X160" s="12" t="s">
        <v>133</v>
      </c>
      <c r="Y160" s="12" t="s">
        <v>132</v>
      </c>
      <c r="AA160" s="199" t="s">
        <v>67</v>
      </c>
      <c r="AB160" s="6">
        <v>5998800.2400000002</v>
      </c>
      <c r="AC160" s="6" t="s">
        <v>264</v>
      </c>
      <c r="AD160" s="6">
        <v>4621072.0889999997</v>
      </c>
      <c r="AE160" s="6" t="s">
        <v>255</v>
      </c>
    </row>
    <row r="161" spans="1:31" ht="15.75" x14ac:dyDescent="0.25">
      <c r="A161" s="9" t="s">
        <v>67</v>
      </c>
      <c r="B161" s="16">
        <v>5.0170000000000003</v>
      </c>
      <c r="C161" s="16">
        <v>30000000</v>
      </c>
      <c r="D161" s="16"/>
      <c r="E161" s="18">
        <v>6.7629999999999999</v>
      </c>
      <c r="F161" s="18">
        <v>40000000</v>
      </c>
      <c r="G161" s="18"/>
      <c r="O161" s="6"/>
      <c r="P161" s="12" t="s">
        <v>130</v>
      </c>
      <c r="Q161" s="12" t="s">
        <v>131</v>
      </c>
      <c r="R161" s="12" t="s">
        <v>133</v>
      </c>
      <c r="S161" s="12" t="s">
        <v>132</v>
      </c>
      <c r="U161" s="65" t="s">
        <v>66</v>
      </c>
      <c r="V161" s="6">
        <f>300/B183</f>
        <v>141.64305949008499</v>
      </c>
      <c r="W161" s="6">
        <f>600/E183</f>
        <v>141.91106906338695</v>
      </c>
      <c r="X161" s="6">
        <f>900/B190</f>
        <v>141.50943396226415</v>
      </c>
      <c r="Y161" s="6">
        <f>1200/E190</f>
        <v>142.11274277593557</v>
      </c>
      <c r="AA161" s="199" t="s">
        <v>68</v>
      </c>
      <c r="AB161" s="6">
        <v>6053268.7649999997</v>
      </c>
      <c r="AC161" s="6" t="s">
        <v>264</v>
      </c>
      <c r="AD161" s="6">
        <v>4562043.7960000001</v>
      </c>
      <c r="AE161" s="6" t="s">
        <v>253</v>
      </c>
    </row>
    <row r="162" spans="1:31" x14ac:dyDescent="0.25">
      <c r="A162" s="9" t="s">
        <v>68</v>
      </c>
      <c r="B162" s="16">
        <v>5.0270000000000001</v>
      </c>
      <c r="C162" s="16">
        <v>15000000</v>
      </c>
      <c r="D162" s="16">
        <v>0</v>
      </c>
      <c r="E162" s="18">
        <v>6.782</v>
      </c>
      <c r="F162" s="18">
        <v>20000000</v>
      </c>
      <c r="G162" s="18">
        <v>0</v>
      </c>
      <c r="O162" s="63" t="s">
        <v>67</v>
      </c>
      <c r="P162" s="7">
        <v>1</v>
      </c>
      <c r="Q162" s="7">
        <v>1</v>
      </c>
      <c r="R162" s="7">
        <v>1</v>
      </c>
      <c r="S162" s="7">
        <v>1</v>
      </c>
      <c r="U162" s="65" t="s">
        <v>67</v>
      </c>
      <c r="V162" s="6">
        <f>300/B184</f>
        <v>138.63216266173751</v>
      </c>
      <c r="W162" s="6">
        <f>600/E184</f>
        <v>139.30810308799627</v>
      </c>
      <c r="X162" s="6">
        <f>900/B191</f>
        <v>138.91032566754129</v>
      </c>
      <c r="Y162" s="6">
        <f>1200/E191</f>
        <v>139.66480446927375</v>
      </c>
      <c r="AA162" s="199" t="s">
        <v>69</v>
      </c>
      <c r="AB162" s="6">
        <v>6112469.4380000001</v>
      </c>
      <c r="AC162" s="6" t="s">
        <v>257</v>
      </c>
      <c r="AD162" s="6">
        <v>4466279.5889999997</v>
      </c>
      <c r="AE162" s="6" t="s">
        <v>253</v>
      </c>
    </row>
    <row r="163" spans="1:31" x14ac:dyDescent="0.25">
      <c r="A163" s="9" t="s">
        <v>69</v>
      </c>
      <c r="B163" s="16">
        <v>4.9320000000000004</v>
      </c>
      <c r="C163" s="16">
        <v>0</v>
      </c>
      <c r="D163" s="16">
        <v>0</v>
      </c>
      <c r="E163" s="18">
        <v>6.7279999999999998</v>
      </c>
      <c r="F163" s="18">
        <v>0</v>
      </c>
      <c r="G163" s="18">
        <v>0</v>
      </c>
      <c r="O163" s="63" t="s">
        <v>68</v>
      </c>
      <c r="P163" s="7">
        <v>1</v>
      </c>
      <c r="Q163" s="7">
        <f>1-G185</f>
        <v>0.99998600000000004</v>
      </c>
      <c r="R163" s="7">
        <f>1-D192</f>
        <v>0.99995800000000001</v>
      </c>
      <c r="S163" s="6">
        <f>1-G192</f>
        <v>0.99988999999999995</v>
      </c>
      <c r="U163" s="65" t="s">
        <v>68</v>
      </c>
      <c r="V163" s="6">
        <f>300/B185</f>
        <v>139.08205841446454</v>
      </c>
      <c r="W163" s="6">
        <f>600/E185</f>
        <v>139.34045517882024</v>
      </c>
      <c r="X163" s="6">
        <f>900/B192</f>
        <v>136.86131386861314</v>
      </c>
      <c r="Y163" s="6">
        <f>1200/E192</f>
        <v>138.50415512465375</v>
      </c>
    </row>
    <row r="164" spans="1:31" x14ac:dyDescent="0.25">
      <c r="O164" s="63" t="s">
        <v>69</v>
      </c>
      <c r="P164" s="7">
        <v>1</v>
      </c>
      <c r="Q164" s="7">
        <f>1-G186</f>
        <v>0.99997400000000003</v>
      </c>
      <c r="R164" s="7">
        <f>1-D193</f>
        <v>0.99990599999999996</v>
      </c>
      <c r="S164" s="6">
        <f>1-G193</f>
        <v>0.99977000000000005</v>
      </c>
      <c r="U164" s="65" t="s">
        <v>69</v>
      </c>
      <c r="V164" s="6">
        <f>300/B186</f>
        <v>139.34045517882024</v>
      </c>
      <c r="W164" s="6">
        <f>600/E186</f>
        <v>139.50244129272261</v>
      </c>
      <c r="X164" s="6">
        <f>900/B193</f>
        <v>133.98838767306833</v>
      </c>
      <c r="Y164" s="6">
        <f>1200/E193</f>
        <v>137.96275005748447</v>
      </c>
    </row>
    <row r="165" spans="1:31" ht="18.75" x14ac:dyDescent="0.3">
      <c r="AB165" s="196" t="s">
        <v>265</v>
      </c>
    </row>
    <row r="166" spans="1:31" ht="15.75" x14ac:dyDescent="0.25">
      <c r="A166" s="22"/>
      <c r="B166" s="138" t="s">
        <v>97</v>
      </c>
      <c r="C166" s="152"/>
      <c r="D166" s="153"/>
      <c r="E166" s="138" t="s">
        <v>98</v>
      </c>
      <c r="F166" s="152"/>
      <c r="G166" s="153"/>
      <c r="AB166" s="128" t="s">
        <v>249</v>
      </c>
      <c r="AC166" s="128" t="s">
        <v>237</v>
      </c>
      <c r="AD166" s="128" t="s">
        <v>250</v>
      </c>
      <c r="AE166" s="128" t="s">
        <v>237</v>
      </c>
    </row>
    <row r="167" spans="1:31" ht="15.75" x14ac:dyDescent="0.25">
      <c r="A167" s="10" t="s">
        <v>61</v>
      </c>
      <c r="B167" s="14" t="s">
        <v>62</v>
      </c>
      <c r="C167" s="14" t="s">
        <v>63</v>
      </c>
      <c r="D167" s="14" t="s">
        <v>64</v>
      </c>
      <c r="E167" s="12" t="s">
        <v>62</v>
      </c>
      <c r="F167" s="12" t="s">
        <v>65</v>
      </c>
      <c r="G167" s="12" t="s">
        <v>64</v>
      </c>
      <c r="I167" s="52" t="s">
        <v>127</v>
      </c>
      <c r="J167" s="52" t="s">
        <v>128</v>
      </c>
      <c r="K167" s="52" t="s">
        <v>129</v>
      </c>
      <c r="L167" s="125" t="s">
        <v>204</v>
      </c>
      <c r="AA167" s="199" t="s">
        <v>66</v>
      </c>
      <c r="AB167" s="6">
        <v>2.1199999999999999E-7</v>
      </c>
      <c r="AC167" s="6" t="s">
        <v>253</v>
      </c>
      <c r="AD167" s="6">
        <v>1.624E-7</v>
      </c>
      <c r="AE167" s="6" t="s">
        <v>256</v>
      </c>
    </row>
    <row r="168" spans="1:31" ht="18.75" x14ac:dyDescent="0.3">
      <c r="A168" s="11" t="s">
        <v>66</v>
      </c>
      <c r="B168" s="28">
        <v>1.79</v>
      </c>
      <c r="C168" s="17"/>
      <c r="D168" s="17"/>
      <c r="E168" s="29">
        <v>3.58</v>
      </c>
      <c r="F168" s="19"/>
      <c r="G168" s="19"/>
      <c r="I168" s="51">
        <f>E168-B168</f>
        <v>1.79</v>
      </c>
      <c r="J168" s="51">
        <f>B175-E168</f>
        <v>1.827</v>
      </c>
      <c r="K168" s="51">
        <f>E175-B175</f>
        <v>1.758</v>
      </c>
      <c r="L168">
        <f>SUM(I168:K168)/3</f>
        <v>1.7916666666666667</v>
      </c>
      <c r="O168" s="141" t="s">
        <v>167</v>
      </c>
      <c r="P168" s="141"/>
      <c r="Q168" s="141"/>
      <c r="R168" s="141"/>
      <c r="S168" s="141"/>
      <c r="U168" s="142" t="s">
        <v>170</v>
      </c>
      <c r="V168" s="143"/>
      <c r="W168" s="143"/>
      <c r="X168" s="143"/>
      <c r="Y168" s="144"/>
      <c r="AA168" s="199" t="s">
        <v>67</v>
      </c>
      <c r="AB168" s="6">
        <v>2.1640000000000001E-7</v>
      </c>
      <c r="AC168" s="6" t="s">
        <v>255</v>
      </c>
      <c r="AD168" s="6">
        <v>1.667E-7</v>
      </c>
      <c r="AE168" s="6" t="s">
        <v>264</v>
      </c>
    </row>
    <row r="169" spans="1:31" ht="15.75" x14ac:dyDescent="0.25">
      <c r="A169" s="11" t="s">
        <v>67</v>
      </c>
      <c r="B169" s="28">
        <v>1.8380000000000001</v>
      </c>
      <c r="C169" s="17">
        <v>10000000</v>
      </c>
      <c r="D169" s="17"/>
      <c r="E169" s="29">
        <v>3.694</v>
      </c>
      <c r="F169" s="19">
        <v>20000000</v>
      </c>
      <c r="G169" s="19"/>
      <c r="I169" s="51">
        <f>E169-B169</f>
        <v>1.8559999999999999</v>
      </c>
      <c r="J169" s="51">
        <f>B176-E169</f>
        <v>1.8120000000000003</v>
      </c>
      <c r="K169" s="51">
        <f>E176-B176</f>
        <v>1.8789999999999996</v>
      </c>
      <c r="L169">
        <f t="shared" ref="L169:L171" si="28">SUM(I169:K169)/3</f>
        <v>1.849</v>
      </c>
      <c r="O169" s="6"/>
      <c r="P169" s="12" t="s">
        <v>134</v>
      </c>
      <c r="Q169" s="12" t="s">
        <v>135</v>
      </c>
      <c r="R169" s="12" t="s">
        <v>136</v>
      </c>
      <c r="S169" s="12" t="s">
        <v>137</v>
      </c>
      <c r="U169" s="6"/>
      <c r="V169" s="12" t="s">
        <v>134</v>
      </c>
      <c r="W169" s="12" t="s">
        <v>135</v>
      </c>
      <c r="X169" s="12" t="s">
        <v>136</v>
      </c>
      <c r="Y169" s="12" t="s">
        <v>137</v>
      </c>
      <c r="AA169" s="199" t="s">
        <v>68</v>
      </c>
      <c r="AB169" s="6">
        <v>2.192E-7</v>
      </c>
      <c r="AC169" s="6" t="s">
        <v>253</v>
      </c>
      <c r="AD169" s="6">
        <v>1.652E-7</v>
      </c>
      <c r="AE169" s="6" t="s">
        <v>264</v>
      </c>
    </row>
    <row r="170" spans="1:31" x14ac:dyDescent="0.25">
      <c r="A170" s="11" t="s">
        <v>68</v>
      </c>
      <c r="B170" s="28">
        <v>1.8320000000000001</v>
      </c>
      <c r="C170" s="17">
        <v>5000000</v>
      </c>
      <c r="D170" s="17">
        <v>0</v>
      </c>
      <c r="E170" s="29">
        <v>3.6549999999999998</v>
      </c>
      <c r="F170" s="19">
        <v>10000000</v>
      </c>
      <c r="G170" s="19">
        <v>0</v>
      </c>
      <c r="I170" s="51">
        <f t="shared" ref="I170:I171" si="29">E170-B170</f>
        <v>1.8229999999999997</v>
      </c>
      <c r="J170" s="51">
        <f t="shared" ref="J170:J171" si="30">B177-E170</f>
        <v>2.0640000000000005</v>
      </c>
      <c r="K170" s="51">
        <f t="shared" ref="K170:K171" si="31">E177-B177</f>
        <v>1.6269999999999998</v>
      </c>
      <c r="L170">
        <f t="shared" si="28"/>
        <v>1.8380000000000001</v>
      </c>
      <c r="O170" s="65" t="s">
        <v>66</v>
      </c>
      <c r="P170" s="7">
        <f>10000000/B153</f>
        <v>6142506.1425061431</v>
      </c>
      <c r="Q170" s="7">
        <f>20000000/E153</f>
        <v>6144393.2411674345</v>
      </c>
      <c r="R170" s="7">
        <f>30000000/B160</f>
        <v>6157635.4679802954</v>
      </c>
      <c r="S170" s="6">
        <f>40000000/E160</f>
        <v>5987127.67549768</v>
      </c>
      <c r="U170" s="65" t="s">
        <v>66</v>
      </c>
      <c r="V170" s="7">
        <f>B153/10000000</f>
        <v>1.628E-7</v>
      </c>
      <c r="W170" s="7">
        <f>E153/20000000</f>
        <v>1.6275E-7</v>
      </c>
      <c r="X170" s="7">
        <f>B160/30000000</f>
        <v>1.624E-7</v>
      </c>
      <c r="Y170" s="6">
        <f>E160/40000000</f>
        <v>1.67025E-7</v>
      </c>
      <c r="AA170" s="199" t="s">
        <v>69</v>
      </c>
      <c r="AB170" s="6">
        <v>2.2390000000000001E-7</v>
      </c>
      <c r="AC170" s="6" t="s">
        <v>253</v>
      </c>
      <c r="AD170" s="6">
        <v>1.6360000000000001E-7</v>
      </c>
      <c r="AE170" s="6" t="s">
        <v>257</v>
      </c>
    </row>
    <row r="171" spans="1:31" x14ac:dyDescent="0.25">
      <c r="A171" s="11" t="s">
        <v>69</v>
      </c>
      <c r="B171" s="28">
        <v>1.8169999999999999</v>
      </c>
      <c r="C171" s="17">
        <v>0</v>
      </c>
      <c r="D171" s="17">
        <v>0</v>
      </c>
      <c r="E171" s="29">
        <v>3.6459999999999999</v>
      </c>
      <c r="F171" s="19">
        <v>0</v>
      </c>
      <c r="G171" s="19">
        <v>0</v>
      </c>
      <c r="I171" s="51">
        <f t="shared" si="29"/>
        <v>1.829</v>
      </c>
      <c r="J171" s="51">
        <f t="shared" si="30"/>
        <v>2.2670000000000003</v>
      </c>
      <c r="K171" s="51">
        <f t="shared" si="31"/>
        <v>1.3519999999999994</v>
      </c>
      <c r="L171">
        <f t="shared" si="28"/>
        <v>1.8159999999999998</v>
      </c>
      <c r="O171" s="65" t="s">
        <v>67</v>
      </c>
      <c r="P171" s="7">
        <f>10000000/B154</f>
        <v>5998800.2399520092</v>
      </c>
      <c r="Q171" s="7">
        <f>20000000/E154</f>
        <v>5959475.5661501791</v>
      </c>
      <c r="R171" s="7">
        <f>30000000/B161</f>
        <v>5979669.1249750843</v>
      </c>
      <c r="S171" s="6">
        <f>40000000/E161</f>
        <v>5914534.9696880085</v>
      </c>
      <c r="U171" s="65" t="s">
        <v>67</v>
      </c>
      <c r="V171" s="7">
        <f>B154/10000000</f>
        <v>1.667E-7</v>
      </c>
      <c r="W171" s="7">
        <f>E154/20000000</f>
        <v>1.6779999999999998E-7</v>
      </c>
      <c r="X171" s="7">
        <f>B161/30000000</f>
        <v>1.6723333333333334E-7</v>
      </c>
      <c r="Y171" s="6">
        <f>E161/40000000</f>
        <v>1.69075E-7</v>
      </c>
    </row>
    <row r="172" spans="1:31" x14ac:dyDescent="0.25">
      <c r="A172" s="23"/>
      <c r="O172" s="65" t="s">
        <v>68</v>
      </c>
      <c r="P172" s="7">
        <f>10000000/B155</f>
        <v>6053268.7651331723</v>
      </c>
      <c r="Q172" s="7">
        <f>20000000/E155</f>
        <v>6040471.1567502264</v>
      </c>
      <c r="R172" s="7">
        <f>30000000/B162</f>
        <v>5967774.0202904316</v>
      </c>
      <c r="S172" s="6">
        <f>40000000/E162</f>
        <v>5897965.2020053081</v>
      </c>
      <c r="U172" s="65" t="s">
        <v>68</v>
      </c>
      <c r="V172" s="7">
        <f>B155/10000000</f>
        <v>1.652E-7</v>
      </c>
      <c r="W172" s="7">
        <f>E155/20000000</f>
        <v>1.6555E-7</v>
      </c>
      <c r="X172" s="7">
        <f>B162/30000000</f>
        <v>1.6756666666666666E-7</v>
      </c>
      <c r="Y172" s="6">
        <f>E162/40000000</f>
        <v>1.6955000000000001E-7</v>
      </c>
    </row>
    <row r="173" spans="1:31" ht="18.75" x14ac:dyDescent="0.3">
      <c r="A173" s="22"/>
      <c r="B173" s="138" t="s">
        <v>71</v>
      </c>
      <c r="C173" s="152"/>
      <c r="D173" s="153"/>
      <c r="E173" s="138" t="s">
        <v>72</v>
      </c>
      <c r="F173" s="152"/>
      <c r="G173" s="153"/>
      <c r="O173" s="65" t="s">
        <v>69</v>
      </c>
      <c r="P173" s="7">
        <f>10000000/B156</f>
        <v>6105006.1050061053</v>
      </c>
      <c r="Q173" s="7">
        <f>20000000/E156</f>
        <v>6112469.4376528123</v>
      </c>
      <c r="R173" s="7">
        <f>30000000/B163</f>
        <v>6082725.0608272506</v>
      </c>
      <c r="S173" s="6">
        <f>40000000/E163</f>
        <v>5945303.2104637334</v>
      </c>
      <c r="U173" s="65" t="s">
        <v>69</v>
      </c>
      <c r="V173" s="7">
        <f>B156/10000000</f>
        <v>1.638E-7</v>
      </c>
      <c r="W173" s="7">
        <f>E156/20000000</f>
        <v>1.6359999999999998E-7</v>
      </c>
      <c r="X173" s="7">
        <f>B163/30000000</f>
        <v>1.6440000000000002E-7</v>
      </c>
      <c r="Y173" s="6">
        <f>E163/40000000</f>
        <v>1.6819999999999998E-7</v>
      </c>
      <c r="AB173" s="196" t="s">
        <v>266</v>
      </c>
    </row>
    <row r="174" spans="1:31" ht="15.75" x14ac:dyDescent="0.25">
      <c r="A174" s="10" t="s">
        <v>61</v>
      </c>
      <c r="B174" s="15" t="s">
        <v>62</v>
      </c>
      <c r="C174" s="15" t="s">
        <v>63</v>
      </c>
      <c r="D174" s="15" t="s">
        <v>64</v>
      </c>
      <c r="E174" s="13" t="s">
        <v>62</v>
      </c>
      <c r="F174" s="13" t="s">
        <v>65</v>
      </c>
      <c r="G174" s="13" t="s">
        <v>64</v>
      </c>
      <c r="O174" s="6"/>
      <c r="P174" s="12" t="s">
        <v>138</v>
      </c>
      <c r="Q174" s="12" t="s">
        <v>139</v>
      </c>
      <c r="R174" s="12" t="s">
        <v>140</v>
      </c>
      <c r="S174" s="12" t="s">
        <v>141</v>
      </c>
      <c r="U174" s="6"/>
      <c r="V174" s="12" t="s">
        <v>138</v>
      </c>
      <c r="W174" s="12" t="s">
        <v>139</v>
      </c>
      <c r="X174" s="12" t="s">
        <v>140</v>
      </c>
      <c r="Y174" s="12" t="s">
        <v>141</v>
      </c>
      <c r="AB174" s="128" t="s">
        <v>249</v>
      </c>
      <c r="AC174" s="128" t="s">
        <v>237</v>
      </c>
      <c r="AD174" s="128" t="s">
        <v>250</v>
      </c>
      <c r="AE174" s="128" t="s">
        <v>237</v>
      </c>
    </row>
    <row r="175" spans="1:31" x14ac:dyDescent="0.25">
      <c r="A175" s="11" t="s">
        <v>66</v>
      </c>
      <c r="B175" s="16">
        <v>5.407</v>
      </c>
      <c r="C175" s="16"/>
      <c r="D175" s="16"/>
      <c r="E175" s="18">
        <v>7.165</v>
      </c>
      <c r="F175" s="18"/>
      <c r="G175" s="18"/>
      <c r="O175" s="65" t="s">
        <v>66</v>
      </c>
      <c r="P175" s="7">
        <f>10000000/B168</f>
        <v>5586592.1787709501</v>
      </c>
      <c r="Q175" s="7">
        <f>20000000/E168</f>
        <v>5586592.1787709501</v>
      </c>
      <c r="R175" s="7">
        <f>30000000/B175</f>
        <v>5548363.2328463104</v>
      </c>
      <c r="S175" s="7">
        <f>40000000/E175</f>
        <v>5582693.6496859733</v>
      </c>
      <c r="U175" s="65" t="s">
        <v>66</v>
      </c>
      <c r="V175" s="7">
        <f>B168/10000000</f>
        <v>1.79E-7</v>
      </c>
      <c r="W175" s="7">
        <f>E168/20000000</f>
        <v>1.79E-7</v>
      </c>
      <c r="X175" s="7">
        <f>B175/30000000</f>
        <v>1.8023333333333334E-7</v>
      </c>
      <c r="Y175" s="7">
        <f>E175/40000000</f>
        <v>1.7912500000000001E-7</v>
      </c>
      <c r="AA175" s="199" t="s">
        <v>66</v>
      </c>
      <c r="AB175" s="6">
        <v>142.11274280000001</v>
      </c>
      <c r="AC175" s="6" t="s">
        <v>252</v>
      </c>
      <c r="AD175" s="6">
        <v>107.7682982</v>
      </c>
      <c r="AE175" s="6" t="s">
        <v>251</v>
      </c>
    </row>
    <row r="176" spans="1:31" x14ac:dyDescent="0.25">
      <c r="A176" s="11" t="s">
        <v>67</v>
      </c>
      <c r="B176" s="16">
        <v>5.5060000000000002</v>
      </c>
      <c r="C176" s="16">
        <v>30000000</v>
      </c>
      <c r="D176" s="16"/>
      <c r="E176" s="18">
        <v>7.3849999999999998</v>
      </c>
      <c r="F176" s="18">
        <v>40000000</v>
      </c>
      <c r="G176" s="18"/>
      <c r="O176" s="65" t="s">
        <v>67</v>
      </c>
      <c r="P176" s="7">
        <f>10000000/B169</f>
        <v>5440696.4091403699</v>
      </c>
      <c r="Q176" s="7">
        <f>20000000/E169</f>
        <v>5414185.1651326474</v>
      </c>
      <c r="R176" s="7">
        <f>30000000/B176</f>
        <v>5448601.5256084269</v>
      </c>
      <c r="S176" s="7">
        <f>40000000/E176</f>
        <v>5416384.5633039949</v>
      </c>
      <c r="U176" s="65" t="s">
        <v>67</v>
      </c>
      <c r="V176" s="7">
        <f>B169/10000000</f>
        <v>1.8380000000000002E-7</v>
      </c>
      <c r="W176" s="7">
        <f>E169/20000000</f>
        <v>1.8470000000000001E-7</v>
      </c>
      <c r="X176" s="7">
        <f>B176/30000000</f>
        <v>1.8353333333333335E-7</v>
      </c>
      <c r="Y176" s="7">
        <f>E176/40000000</f>
        <v>1.84625E-7</v>
      </c>
      <c r="AA176" s="199" t="s">
        <v>67</v>
      </c>
      <c r="AB176" s="6">
        <v>139.6648045</v>
      </c>
      <c r="AC176" s="6" t="s">
        <v>252</v>
      </c>
      <c r="AD176" s="6">
        <v>106.4616295</v>
      </c>
      <c r="AE176" s="6" t="s">
        <v>251</v>
      </c>
    </row>
    <row r="177" spans="1:31" x14ac:dyDescent="0.25">
      <c r="A177" s="11" t="s">
        <v>68</v>
      </c>
      <c r="B177" s="16">
        <v>5.7190000000000003</v>
      </c>
      <c r="C177" s="16">
        <v>15000000</v>
      </c>
      <c r="D177" s="16">
        <v>0</v>
      </c>
      <c r="E177" s="18">
        <v>7.3460000000000001</v>
      </c>
      <c r="F177" s="18">
        <v>20000000</v>
      </c>
      <c r="G177" s="18">
        <v>0</v>
      </c>
      <c r="O177" s="65" t="s">
        <v>68</v>
      </c>
      <c r="P177" s="7">
        <f>10000000/B170</f>
        <v>5458515.2838427946</v>
      </c>
      <c r="Q177" s="7">
        <f>20000000/E170</f>
        <v>5471956.2243502056</v>
      </c>
      <c r="R177" s="7">
        <f>30000000/B177</f>
        <v>5245672.3203357225</v>
      </c>
      <c r="S177" s="7">
        <f>40000000/E177</f>
        <v>5445140.2123604678</v>
      </c>
      <c r="U177" s="65" t="s">
        <v>68</v>
      </c>
      <c r="V177" s="7">
        <f>B170/10000000</f>
        <v>1.832E-7</v>
      </c>
      <c r="W177" s="7">
        <f>E170/20000000</f>
        <v>1.8274999999999999E-7</v>
      </c>
      <c r="X177" s="7">
        <f>B177/30000000</f>
        <v>1.9063333333333335E-7</v>
      </c>
      <c r="Y177" s="7">
        <f>E177/40000000</f>
        <v>1.8365000000000001E-7</v>
      </c>
      <c r="AA177" s="199" t="s">
        <v>68</v>
      </c>
      <c r="AB177" s="6">
        <v>139.34045520000001</v>
      </c>
      <c r="AC177" s="6" t="s">
        <v>267</v>
      </c>
      <c r="AD177" s="6">
        <v>106.1633736</v>
      </c>
      <c r="AE177" s="6" t="s">
        <v>251</v>
      </c>
    </row>
    <row r="178" spans="1:31" x14ac:dyDescent="0.25">
      <c r="A178" s="11" t="s">
        <v>69</v>
      </c>
      <c r="B178" s="16">
        <v>5.9130000000000003</v>
      </c>
      <c r="C178" s="16">
        <v>0</v>
      </c>
      <c r="D178" s="16">
        <v>0</v>
      </c>
      <c r="E178" s="18">
        <v>7.2649999999999997</v>
      </c>
      <c r="F178" s="18">
        <v>0</v>
      </c>
      <c r="G178" s="18">
        <v>0</v>
      </c>
      <c r="O178" s="65" t="s">
        <v>69</v>
      </c>
      <c r="P178" s="7">
        <f>10000000/B171</f>
        <v>5503577.3252614196</v>
      </c>
      <c r="Q178" s="7">
        <f>20000000/E171</f>
        <v>5485463.5216675811</v>
      </c>
      <c r="R178" s="7">
        <f>30000000/B178</f>
        <v>5073566.7174023334</v>
      </c>
      <c r="S178" s="7">
        <f>40000000/E178</f>
        <v>5505849.9655884383</v>
      </c>
      <c r="U178" s="65" t="s">
        <v>69</v>
      </c>
      <c r="V178" s="7">
        <f>B171/10000000</f>
        <v>1.8169999999999999E-7</v>
      </c>
      <c r="W178" s="7">
        <f>E171/20000000</f>
        <v>1.8229999999999998E-7</v>
      </c>
      <c r="X178" s="7">
        <f>B178/30000000</f>
        <v>1.9710000000000001E-7</v>
      </c>
      <c r="Y178" s="7">
        <f>E178/40000000</f>
        <v>1.8162499999999999E-7</v>
      </c>
      <c r="AA178" s="199" t="s">
        <v>69</v>
      </c>
      <c r="AB178" s="6">
        <v>139.50244129999999</v>
      </c>
      <c r="AC178" s="6" t="s">
        <v>267</v>
      </c>
      <c r="AD178" s="6">
        <v>107.01545779999999</v>
      </c>
      <c r="AE178" s="6" t="s">
        <v>251</v>
      </c>
    </row>
    <row r="179" spans="1:31" ht="15.75" x14ac:dyDescent="0.25">
      <c r="O179" s="6"/>
      <c r="P179" s="12" t="s">
        <v>130</v>
      </c>
      <c r="Q179" s="12" t="s">
        <v>131</v>
      </c>
      <c r="R179" s="12" t="s">
        <v>133</v>
      </c>
      <c r="S179" s="12" t="s">
        <v>132</v>
      </c>
      <c r="U179" s="6"/>
      <c r="V179" s="12" t="s">
        <v>130</v>
      </c>
      <c r="W179" s="12" t="s">
        <v>131</v>
      </c>
      <c r="X179" s="12" t="s">
        <v>133</v>
      </c>
      <c r="Y179" s="12" t="s">
        <v>132</v>
      </c>
    </row>
    <row r="180" spans="1:31" x14ac:dyDescent="0.25">
      <c r="O180" s="65" t="s">
        <v>66</v>
      </c>
      <c r="P180" s="6">
        <f>10000000/B183</f>
        <v>4721435.3163361661</v>
      </c>
      <c r="Q180" s="6">
        <f>20000000/E183</f>
        <v>4730368.9687795648</v>
      </c>
      <c r="R180" s="6">
        <f>30000000/B190</f>
        <v>4716981.1320754718</v>
      </c>
      <c r="S180" s="6">
        <f>40000000/E190</f>
        <v>4737091.4258645186</v>
      </c>
      <c r="U180" s="65" t="s">
        <v>66</v>
      </c>
      <c r="V180" s="6">
        <f>B183/10000000</f>
        <v>2.1179999999999998E-7</v>
      </c>
      <c r="W180" s="6">
        <f>E183/20000000</f>
        <v>2.114E-7</v>
      </c>
      <c r="X180" s="6">
        <f>B190/30000000</f>
        <v>2.1200000000000002E-7</v>
      </c>
      <c r="Y180" s="6">
        <f>E190/40000000</f>
        <v>2.1110000000000003E-7</v>
      </c>
    </row>
    <row r="181" spans="1:31" ht="15.75" x14ac:dyDescent="0.25">
      <c r="A181" s="24"/>
      <c r="B181" s="148" t="s">
        <v>96</v>
      </c>
      <c r="C181" s="168"/>
      <c r="D181" s="169"/>
      <c r="E181" s="148" t="s">
        <v>95</v>
      </c>
      <c r="F181" s="149"/>
      <c r="G181" s="150"/>
      <c r="O181" s="65" t="s">
        <v>67</v>
      </c>
      <c r="P181" s="6">
        <f>10000000/B184</f>
        <v>4621072.0887245834</v>
      </c>
      <c r="Q181" s="6">
        <f>20000000/E184</f>
        <v>4643603.4362665424</v>
      </c>
      <c r="R181" s="6">
        <f>30000000/B191</f>
        <v>4630344.1889180429</v>
      </c>
      <c r="S181" s="6">
        <f>40000000/E191</f>
        <v>4655493.4823091244</v>
      </c>
      <c r="U181" s="65" t="s">
        <v>67</v>
      </c>
      <c r="V181" s="6">
        <f>B184/10000000</f>
        <v>2.1640000000000001E-7</v>
      </c>
      <c r="W181" s="6">
        <f>E184/20000000</f>
        <v>2.1535000000000001E-7</v>
      </c>
      <c r="X181" s="6">
        <f>B191/30000000</f>
        <v>2.1596666666666667E-7</v>
      </c>
      <c r="Y181" s="6">
        <f>E191/40000000</f>
        <v>2.1480000000000002E-7</v>
      </c>
    </row>
    <row r="182" spans="1:31" ht="15.75" x14ac:dyDescent="0.25">
      <c r="A182" s="25" t="s">
        <v>61</v>
      </c>
      <c r="B182" s="14" t="s">
        <v>62</v>
      </c>
      <c r="C182" s="14" t="s">
        <v>63</v>
      </c>
      <c r="D182" s="14" t="s">
        <v>64</v>
      </c>
      <c r="E182" s="12" t="s">
        <v>62</v>
      </c>
      <c r="F182" s="12" t="s">
        <v>65</v>
      </c>
      <c r="G182" s="12" t="s">
        <v>64</v>
      </c>
      <c r="I182" s="52" t="s">
        <v>127</v>
      </c>
      <c r="J182" s="52" t="s">
        <v>128</v>
      </c>
      <c r="K182" s="52" t="s">
        <v>129</v>
      </c>
      <c r="L182" s="125" t="s">
        <v>204</v>
      </c>
      <c r="O182" s="65" t="s">
        <v>68</v>
      </c>
      <c r="P182" s="6">
        <f>10000000/B185</f>
        <v>4636068.6138154846</v>
      </c>
      <c r="Q182" s="6">
        <f>20000000/E185</f>
        <v>4644681.839294008</v>
      </c>
      <c r="R182" s="6">
        <f>30000000/B192</f>
        <v>4562043.7956204386</v>
      </c>
      <c r="S182" s="6">
        <f>40000000/E192</f>
        <v>4616805.1708217915</v>
      </c>
      <c r="U182" s="65" t="s">
        <v>68</v>
      </c>
      <c r="V182" s="6">
        <f>B185/10000000</f>
        <v>2.1570000000000001E-7</v>
      </c>
      <c r="W182" s="6">
        <f>E185/20000000</f>
        <v>2.153E-7</v>
      </c>
      <c r="X182" s="6">
        <f>B192/30000000</f>
        <v>2.1919999999999998E-7</v>
      </c>
      <c r="Y182" s="6">
        <f>E192/40000000</f>
        <v>2.1659999999999999E-7</v>
      </c>
    </row>
    <row r="183" spans="1:31" x14ac:dyDescent="0.25">
      <c r="A183" s="26" t="s">
        <v>66</v>
      </c>
      <c r="B183" s="17">
        <v>2.1179999999999999</v>
      </c>
      <c r="C183" s="17"/>
      <c r="D183" s="17"/>
      <c r="E183" s="29">
        <v>4.2279999999999998</v>
      </c>
      <c r="F183" s="19"/>
      <c r="G183" s="19"/>
      <c r="I183" s="51">
        <f>B160-E153</f>
        <v>1.617</v>
      </c>
      <c r="J183" s="51">
        <f>B190-E183</f>
        <v>2.1320000000000006</v>
      </c>
      <c r="K183" s="51">
        <f>E190-B190</f>
        <v>2.0840000000000005</v>
      </c>
      <c r="L183">
        <f>SUM(I183:K183)/3</f>
        <v>1.9443333333333337</v>
      </c>
      <c r="O183" s="65" t="s">
        <v>69</v>
      </c>
      <c r="P183" s="6">
        <f>10000000/B186</f>
        <v>4644681.839294008</v>
      </c>
      <c r="Q183" s="6">
        <f>20000000/E186</f>
        <v>4650081.3764240872</v>
      </c>
      <c r="R183" s="6">
        <f>30000000/B193</f>
        <v>4466279.5891022785</v>
      </c>
      <c r="S183" s="6">
        <f>40000000/E193</f>
        <v>4598758.3352494827</v>
      </c>
      <c r="U183" s="65" t="s">
        <v>69</v>
      </c>
      <c r="V183" s="6">
        <f>B186/10000000</f>
        <v>2.153E-7</v>
      </c>
      <c r="W183" s="6">
        <f>E186/20000000</f>
        <v>2.1505000000000001E-7</v>
      </c>
      <c r="X183" s="6">
        <f>B193/30000000</f>
        <v>2.2389999999999999E-7</v>
      </c>
      <c r="Y183" s="6">
        <f>E193/40000000</f>
        <v>2.1745E-7</v>
      </c>
    </row>
    <row r="184" spans="1:31" x14ac:dyDescent="0.25">
      <c r="A184" s="26" t="s">
        <v>67</v>
      </c>
      <c r="B184" s="17">
        <v>2.1640000000000001</v>
      </c>
      <c r="C184" s="17">
        <v>10000000</v>
      </c>
      <c r="D184" s="17"/>
      <c r="E184" s="29">
        <v>4.3070000000000004</v>
      </c>
      <c r="F184" s="19">
        <v>20000000</v>
      </c>
      <c r="G184" s="19"/>
      <c r="I184" s="51">
        <f>E184-B184</f>
        <v>2.1430000000000002</v>
      </c>
      <c r="J184" s="51">
        <f>B191-E184</f>
        <v>2.1719999999999997</v>
      </c>
      <c r="K184" s="51">
        <f>E191-B191</f>
        <v>2.1130000000000004</v>
      </c>
      <c r="L184">
        <f t="shared" ref="L184:L186" si="32">SUM(I184:K184)/3</f>
        <v>2.1426666666666665</v>
      </c>
    </row>
    <row r="185" spans="1:31" x14ac:dyDescent="0.25">
      <c r="A185" s="26" t="s">
        <v>68</v>
      </c>
      <c r="B185" s="17">
        <v>2.157</v>
      </c>
      <c r="C185" s="17">
        <v>5000000</v>
      </c>
      <c r="D185" s="17">
        <v>0</v>
      </c>
      <c r="E185" s="29">
        <v>4.306</v>
      </c>
      <c r="F185" s="19">
        <v>10000286</v>
      </c>
      <c r="G185" s="19">
        <v>1.4E-5</v>
      </c>
      <c r="I185" s="51">
        <f t="shared" ref="I185:I186" si="33">E185-B185</f>
        <v>2.149</v>
      </c>
      <c r="J185" s="51">
        <f t="shared" ref="J185:J186" si="34">B192-E185</f>
        <v>2.2699999999999996</v>
      </c>
      <c r="K185" s="51">
        <f t="shared" ref="K185:K186" si="35">E192-B192</f>
        <v>2.0880000000000001</v>
      </c>
      <c r="L185">
        <f t="shared" si="32"/>
        <v>2.169</v>
      </c>
    </row>
    <row r="186" spans="1:31" x14ac:dyDescent="0.25">
      <c r="A186" s="26" t="s">
        <v>69</v>
      </c>
      <c r="B186" s="17">
        <v>2.153</v>
      </c>
      <c r="C186" s="17">
        <v>0</v>
      </c>
      <c r="D186" s="17">
        <v>0</v>
      </c>
      <c r="E186" s="29">
        <v>4.3010000000000002</v>
      </c>
      <c r="F186" s="19">
        <v>510</v>
      </c>
      <c r="G186" s="19">
        <v>2.5999999999999998E-5</v>
      </c>
      <c r="I186" s="51">
        <f t="shared" si="33"/>
        <v>2.1480000000000001</v>
      </c>
      <c r="J186" s="51">
        <f t="shared" si="34"/>
        <v>2.4159999999999995</v>
      </c>
      <c r="K186" s="51">
        <f t="shared" si="35"/>
        <v>1.9810000000000008</v>
      </c>
      <c r="L186">
        <f t="shared" si="32"/>
        <v>2.1816666666666671</v>
      </c>
    </row>
    <row r="187" spans="1:31" x14ac:dyDescent="0.25">
      <c r="A187" s="27"/>
    </row>
    <row r="188" spans="1:31" ht="15.75" x14ac:dyDescent="0.25">
      <c r="A188" s="24"/>
      <c r="B188" s="148" t="s">
        <v>94</v>
      </c>
      <c r="C188" s="149"/>
      <c r="D188" s="150"/>
      <c r="E188" s="148" t="s">
        <v>93</v>
      </c>
      <c r="F188" s="149"/>
      <c r="G188" s="150"/>
    </row>
    <row r="189" spans="1:31" ht="15.75" x14ac:dyDescent="0.25">
      <c r="A189" s="25" t="s">
        <v>61</v>
      </c>
      <c r="B189" s="15" t="s">
        <v>62</v>
      </c>
      <c r="C189" s="15" t="s">
        <v>63</v>
      </c>
      <c r="D189" s="15" t="s">
        <v>64</v>
      </c>
      <c r="E189" s="13" t="s">
        <v>62</v>
      </c>
      <c r="F189" s="13" t="s">
        <v>65</v>
      </c>
      <c r="G189" s="13" t="s">
        <v>64</v>
      </c>
    </row>
    <row r="190" spans="1:31" x14ac:dyDescent="0.25">
      <c r="A190" s="26" t="s">
        <v>66</v>
      </c>
      <c r="B190" s="16">
        <v>6.36</v>
      </c>
      <c r="C190" s="16"/>
      <c r="D190" s="16"/>
      <c r="E190" s="18">
        <v>8.4440000000000008</v>
      </c>
      <c r="F190" s="18"/>
      <c r="G190" s="18"/>
    </row>
    <row r="191" spans="1:31" x14ac:dyDescent="0.25">
      <c r="A191" s="26" t="s">
        <v>67</v>
      </c>
      <c r="B191" s="16">
        <v>6.4790000000000001</v>
      </c>
      <c r="C191" s="16">
        <v>30000000</v>
      </c>
      <c r="D191" s="16"/>
      <c r="E191" s="18">
        <v>8.5920000000000005</v>
      </c>
      <c r="F191" s="18">
        <v>40000000</v>
      </c>
      <c r="G191" s="18"/>
    </row>
    <row r="192" spans="1:31" x14ac:dyDescent="0.25">
      <c r="A192" s="26" t="s">
        <v>68</v>
      </c>
      <c r="B192" s="16">
        <v>6.5759999999999996</v>
      </c>
      <c r="C192" s="16">
        <v>15001258</v>
      </c>
      <c r="D192" s="16">
        <v>4.1999999999999998E-5</v>
      </c>
      <c r="E192" s="18">
        <v>8.6639999999999997</v>
      </c>
      <c r="F192" s="18">
        <v>20004537</v>
      </c>
      <c r="G192" s="18">
        <v>1.1E-4</v>
      </c>
    </row>
    <row r="193" spans="1:30" x14ac:dyDescent="0.25">
      <c r="A193" s="26" t="s">
        <v>69</v>
      </c>
      <c r="B193" s="16">
        <v>6.7169999999999996</v>
      </c>
      <c r="C193" s="16">
        <v>2816</v>
      </c>
      <c r="D193" s="16">
        <v>9.3999999999999994E-5</v>
      </c>
      <c r="E193" s="18">
        <v>8.6980000000000004</v>
      </c>
      <c r="F193" s="18">
        <v>9191</v>
      </c>
      <c r="G193" s="18">
        <v>2.3000000000000001E-4</v>
      </c>
    </row>
    <row r="196" spans="1:30" ht="15.75" x14ac:dyDescent="0.25">
      <c r="A196" s="151" t="s">
        <v>78</v>
      </c>
      <c r="B196" s="151"/>
      <c r="C196" s="151"/>
      <c r="D196" s="151"/>
      <c r="E196" s="151"/>
      <c r="F196" s="151"/>
      <c r="G196" s="151"/>
    </row>
    <row r="197" spans="1:30" ht="18.75" x14ac:dyDescent="0.3">
      <c r="A197" s="30"/>
      <c r="B197" s="154" t="s">
        <v>89</v>
      </c>
      <c r="C197" s="155"/>
      <c r="D197" s="156"/>
      <c r="E197" s="154" t="s">
        <v>76</v>
      </c>
      <c r="F197" s="155"/>
      <c r="G197" s="156"/>
      <c r="I197" s="141" t="s">
        <v>144</v>
      </c>
      <c r="J197" s="141"/>
      <c r="K197" s="141"/>
      <c r="L197" s="141"/>
      <c r="M197" s="141"/>
      <c r="N197" s="119"/>
      <c r="V197" s="136" t="s">
        <v>203</v>
      </c>
      <c r="W197" s="136"/>
      <c r="X197" s="136"/>
      <c r="Y197" s="136"/>
      <c r="Z197" s="136"/>
      <c r="AA197" s="136"/>
      <c r="AB197" s="136"/>
      <c r="AC197" s="136"/>
      <c r="AD197" s="136"/>
    </row>
    <row r="198" spans="1:30" ht="18.75" x14ac:dyDescent="0.3">
      <c r="A198" s="31" t="s">
        <v>61</v>
      </c>
      <c r="B198" s="14" t="s">
        <v>62</v>
      </c>
      <c r="C198" s="14" t="s">
        <v>63</v>
      </c>
      <c r="D198" s="14" t="s">
        <v>64</v>
      </c>
      <c r="E198" s="12" t="s">
        <v>62</v>
      </c>
      <c r="F198" s="12" t="s">
        <v>65</v>
      </c>
      <c r="G198" s="12" t="s">
        <v>64</v>
      </c>
      <c r="I198" s="6"/>
      <c r="J198" s="12" t="s">
        <v>145</v>
      </c>
      <c r="K198" s="12" t="s">
        <v>146</v>
      </c>
      <c r="L198" s="12" t="s">
        <v>147</v>
      </c>
      <c r="M198" s="12" t="s">
        <v>148</v>
      </c>
      <c r="N198" s="123"/>
      <c r="Q198" s="137" t="s">
        <v>162</v>
      </c>
      <c r="R198" s="137"/>
      <c r="S198" s="137"/>
      <c r="T198" s="137"/>
      <c r="V198" s="6"/>
      <c r="W198" s="12" t="s">
        <v>202</v>
      </c>
      <c r="X198" s="12" t="s">
        <v>196</v>
      </c>
      <c r="Y198" s="12" t="s">
        <v>197</v>
      </c>
      <c r="Z198" s="12" t="s">
        <v>198</v>
      </c>
      <c r="AA198" s="12" t="s">
        <v>199</v>
      </c>
      <c r="AB198" s="12" t="s">
        <v>200</v>
      </c>
      <c r="AC198" s="12" t="s">
        <v>201</v>
      </c>
      <c r="AD198" s="12" t="s">
        <v>204</v>
      </c>
    </row>
    <row r="199" spans="1:30" ht="15.75" x14ac:dyDescent="0.25">
      <c r="A199" s="32" t="s">
        <v>66</v>
      </c>
      <c r="B199" s="17">
        <v>9.5649999999999995</v>
      </c>
      <c r="C199" s="17"/>
      <c r="D199" s="17"/>
      <c r="E199" s="19">
        <v>10.641999999999999</v>
      </c>
      <c r="F199" s="19"/>
      <c r="G199" s="19"/>
      <c r="I199" s="63" t="s">
        <v>67</v>
      </c>
      <c r="J199" s="7">
        <v>1</v>
      </c>
      <c r="K199" s="7">
        <v>1</v>
      </c>
      <c r="L199" s="7">
        <v>1</v>
      </c>
      <c r="M199" s="7">
        <v>1</v>
      </c>
      <c r="N199" s="61"/>
      <c r="P199" s="6"/>
      <c r="Q199" s="12" t="s">
        <v>145</v>
      </c>
      <c r="R199" s="12" t="s">
        <v>146</v>
      </c>
      <c r="S199" s="12" t="s">
        <v>147</v>
      </c>
      <c r="T199" s="12" t="s">
        <v>148</v>
      </c>
      <c r="V199" s="12" t="s">
        <v>66</v>
      </c>
      <c r="W199" s="7">
        <f>B199-E190</f>
        <v>1.1209999999999987</v>
      </c>
      <c r="X199" s="7">
        <f>E199-B199</f>
        <v>1.077</v>
      </c>
      <c r="Y199" s="7">
        <f>B206-E199</f>
        <v>1.1490000000000009</v>
      </c>
      <c r="Z199" s="7">
        <f>E206-B206</f>
        <v>1.0890000000000004</v>
      </c>
      <c r="AA199" s="7">
        <f>B213-E206</f>
        <v>1.6579999999999995</v>
      </c>
      <c r="AB199" s="7">
        <f>E213-B213</f>
        <v>0.68099999999999916</v>
      </c>
      <c r="AC199" s="7">
        <f>B220-E213</f>
        <v>1.9870000000000001</v>
      </c>
      <c r="AD199" s="6">
        <f>SUM(W199:AC199)/7</f>
        <v>1.2517142857142856</v>
      </c>
    </row>
    <row r="200" spans="1:30" ht="15.75" x14ac:dyDescent="0.25">
      <c r="A200" s="32" t="s">
        <v>67</v>
      </c>
      <c r="B200" s="17">
        <v>9.81</v>
      </c>
      <c r="C200" s="17">
        <v>40000000</v>
      </c>
      <c r="D200" s="17"/>
      <c r="E200" s="19">
        <v>11.019</v>
      </c>
      <c r="F200" s="19">
        <v>40000000</v>
      </c>
      <c r="G200" s="19"/>
      <c r="I200" s="63" t="s">
        <v>68</v>
      </c>
      <c r="J200" s="7">
        <f>1-0.00002</f>
        <v>0.99997999999999998</v>
      </c>
      <c r="K200" s="7">
        <f>1-0.0000037</f>
        <v>0.99999629999999995</v>
      </c>
      <c r="L200" s="7">
        <f>1-0.00000045</f>
        <v>0.99999954999999996</v>
      </c>
      <c r="M200" s="7"/>
      <c r="N200" s="61"/>
      <c r="P200" s="65" t="s">
        <v>66</v>
      </c>
      <c r="Q200" s="7">
        <f>1200/B199</f>
        <v>125.45739675901726</v>
      </c>
      <c r="R200" s="7">
        <f>1200/E199</f>
        <v>112.76075925577899</v>
      </c>
      <c r="S200" s="7">
        <f>1200/B206</f>
        <v>101.77253837672801</v>
      </c>
      <c r="T200" s="6">
        <f>1200/E206</f>
        <v>93.167701863354026</v>
      </c>
      <c r="V200" s="12" t="s">
        <v>194</v>
      </c>
      <c r="W200" s="7">
        <f>B200-E191</f>
        <v>1.218</v>
      </c>
      <c r="X200" s="7">
        <f>E200-B200</f>
        <v>1.2089999999999996</v>
      </c>
      <c r="Y200" s="7">
        <f>B207-E200</f>
        <v>1.3770000000000007</v>
      </c>
      <c r="Z200" s="7">
        <f>E207-B207</f>
        <v>1.1809999999999992</v>
      </c>
      <c r="AA200" s="7">
        <f>B214-E207</f>
        <v>1.5839999999999996</v>
      </c>
      <c r="AB200" s="7">
        <f>E214-B214</f>
        <v>0.66900000000000048</v>
      </c>
      <c r="AC200" s="7">
        <f>B221-E214</f>
        <v>1.9599999999999991</v>
      </c>
      <c r="AD200" s="6">
        <f t="shared" ref="AD200:AD202" si="36">SUM(W200:AC200)/7</f>
        <v>1.3139999999999998</v>
      </c>
    </row>
    <row r="201" spans="1:30" ht="17.25" x14ac:dyDescent="0.25">
      <c r="A201" s="32" t="s">
        <v>68</v>
      </c>
      <c r="B201" s="17">
        <v>9.9260000000000002</v>
      </c>
      <c r="C201" s="17">
        <v>20000804</v>
      </c>
      <c r="D201" s="17" t="s">
        <v>79</v>
      </c>
      <c r="E201" s="19">
        <v>11.183999999999999</v>
      </c>
      <c r="F201" s="19">
        <v>20000146</v>
      </c>
      <c r="G201" s="19" t="s">
        <v>81</v>
      </c>
      <c r="I201" s="63" t="s">
        <v>69</v>
      </c>
      <c r="J201" s="7">
        <f>1-0.0000443</f>
        <v>0.9999557</v>
      </c>
      <c r="K201" s="7">
        <f>1-0.0000081</f>
        <v>0.99999190000000004</v>
      </c>
      <c r="L201" s="7"/>
      <c r="M201" s="7"/>
      <c r="N201" s="61"/>
      <c r="P201" s="65" t="s">
        <v>67</v>
      </c>
      <c r="Q201" s="7">
        <f t="shared" ref="Q201:Q203" si="37">1200/B200</f>
        <v>122.32415902140673</v>
      </c>
      <c r="R201" s="7">
        <f t="shared" ref="R201:R203" si="38">1200/E200</f>
        <v>108.90280424720936</v>
      </c>
      <c r="S201" s="7">
        <f t="shared" ref="S201:S203" si="39">1200/B207</f>
        <v>96.805421103581793</v>
      </c>
      <c r="T201" s="6">
        <f t="shared" ref="T201:T203" si="40">1200/E207</f>
        <v>88.384768358252927</v>
      </c>
      <c r="V201" s="12" t="s">
        <v>195</v>
      </c>
      <c r="W201" s="7">
        <f>B201-E192</f>
        <v>1.2620000000000005</v>
      </c>
      <c r="X201" s="7">
        <f>E201-B201</f>
        <v>1.2579999999999991</v>
      </c>
      <c r="Y201" s="7">
        <f>B208-E201</f>
        <v>1.4390000000000001</v>
      </c>
      <c r="Z201" s="7">
        <f>E208-B208</f>
        <v>1.3440000000000012</v>
      </c>
      <c r="AA201" s="7">
        <f>B215-E208</f>
        <v>1.7899999999999991</v>
      </c>
      <c r="AB201" s="7">
        <f>E215-B215</f>
        <v>0.71400000000000041</v>
      </c>
      <c r="AC201" s="7">
        <f>B222-E215</f>
        <v>2.25</v>
      </c>
      <c r="AD201" s="6">
        <f t="shared" si="36"/>
        <v>1.4367142857142858</v>
      </c>
    </row>
    <row r="202" spans="1:30" ht="17.25" x14ac:dyDescent="0.25">
      <c r="A202" s="32" t="s">
        <v>69</v>
      </c>
      <c r="B202" s="17">
        <v>10.039999999999999</v>
      </c>
      <c r="C202" s="17">
        <v>1771</v>
      </c>
      <c r="D202" s="17" t="s">
        <v>80</v>
      </c>
      <c r="E202" s="19">
        <v>11.352</v>
      </c>
      <c r="F202" s="19">
        <v>322</v>
      </c>
      <c r="G202" s="19" t="s">
        <v>82</v>
      </c>
      <c r="I202" s="6"/>
      <c r="J202" s="12" t="s">
        <v>149</v>
      </c>
      <c r="K202" s="12" t="s">
        <v>150</v>
      </c>
      <c r="L202" s="12" t="s">
        <v>151</v>
      </c>
      <c r="M202" s="12" t="s">
        <v>152</v>
      </c>
      <c r="N202" s="123"/>
      <c r="P202" s="65" t="s">
        <v>68</v>
      </c>
      <c r="Q202" s="7">
        <f t="shared" si="37"/>
        <v>120.89462018940156</v>
      </c>
      <c r="R202" s="7">
        <f t="shared" si="38"/>
        <v>107.2961373390558</v>
      </c>
      <c r="S202" s="7">
        <f t="shared" si="39"/>
        <v>95.06456468351422</v>
      </c>
      <c r="T202" s="6">
        <f t="shared" si="40"/>
        <v>85.916803894895111</v>
      </c>
      <c r="V202" s="12" t="s">
        <v>69</v>
      </c>
      <c r="W202" s="7">
        <f>B202-E193</f>
        <v>1.3419999999999987</v>
      </c>
      <c r="X202" s="7">
        <f>E202-B202</f>
        <v>1.3120000000000012</v>
      </c>
      <c r="Y202" s="7">
        <f>B209-E202</f>
        <v>1.4689999999999994</v>
      </c>
      <c r="Z202" s="7">
        <f>E209-B209</f>
        <v>1.5240000000000009</v>
      </c>
      <c r="AA202" s="7">
        <f>B216-E209</f>
        <v>2.0199999999999978</v>
      </c>
      <c r="AB202" s="7">
        <f>E216-B216</f>
        <v>0.7120000000000033</v>
      </c>
      <c r="AC202" s="7">
        <f>B223-E216</f>
        <v>2.6149999999999984</v>
      </c>
      <c r="AD202" s="6">
        <f t="shared" si="36"/>
        <v>1.5705714285714285</v>
      </c>
    </row>
    <row r="203" spans="1:30" x14ac:dyDescent="0.25">
      <c r="A203" s="33"/>
      <c r="I203" s="63" t="s">
        <v>67</v>
      </c>
      <c r="J203" s="7">
        <v>1</v>
      </c>
      <c r="K203" s="7">
        <v>1</v>
      </c>
      <c r="L203" s="7">
        <v>1</v>
      </c>
      <c r="M203" s="7">
        <v>1</v>
      </c>
      <c r="N203" s="61"/>
      <c r="P203" s="65" t="s">
        <v>69</v>
      </c>
      <c r="Q203" s="7">
        <f t="shared" si="37"/>
        <v>119.52191235059762</v>
      </c>
      <c r="R203" s="7">
        <f t="shared" si="38"/>
        <v>105.70824524312896</v>
      </c>
      <c r="S203" s="7">
        <f t="shared" si="39"/>
        <v>93.596443335153268</v>
      </c>
      <c r="T203" s="6">
        <f t="shared" si="40"/>
        <v>83.652840711049137</v>
      </c>
    </row>
    <row r="204" spans="1:30" ht="15.75" x14ac:dyDescent="0.25">
      <c r="A204" s="30"/>
      <c r="B204" s="154" t="s">
        <v>88</v>
      </c>
      <c r="C204" s="155"/>
      <c r="D204" s="156"/>
      <c r="E204" s="154" t="s">
        <v>87</v>
      </c>
      <c r="F204" s="155"/>
      <c r="G204" s="156"/>
      <c r="I204" s="63" t="s">
        <v>68</v>
      </c>
      <c r="J204" s="7"/>
      <c r="K204" s="7"/>
      <c r="L204" s="7"/>
      <c r="M204" s="7"/>
      <c r="N204" s="61"/>
      <c r="P204" s="6"/>
      <c r="Q204" s="12" t="s">
        <v>149</v>
      </c>
      <c r="R204" s="12" t="s">
        <v>150</v>
      </c>
      <c r="S204" s="12" t="s">
        <v>151</v>
      </c>
      <c r="T204" s="12" t="s">
        <v>152</v>
      </c>
    </row>
    <row r="205" spans="1:30" ht="15.75" x14ac:dyDescent="0.25">
      <c r="A205" s="31" t="s">
        <v>61</v>
      </c>
      <c r="B205" s="15" t="s">
        <v>62</v>
      </c>
      <c r="C205" s="15" t="s">
        <v>63</v>
      </c>
      <c r="D205" s="15" t="s">
        <v>64</v>
      </c>
      <c r="E205" s="13" t="s">
        <v>62</v>
      </c>
      <c r="F205" s="13" t="s">
        <v>65</v>
      </c>
      <c r="G205" s="13" t="s">
        <v>64</v>
      </c>
      <c r="I205" s="63" t="s">
        <v>69</v>
      </c>
      <c r="J205" s="7"/>
      <c r="K205" s="7"/>
      <c r="L205" s="7"/>
      <c r="M205" s="7"/>
      <c r="N205" s="61"/>
      <c r="P205" s="65" t="s">
        <v>66</v>
      </c>
      <c r="Q205" s="7">
        <f>1200/B213</f>
        <v>82.542302930251751</v>
      </c>
      <c r="R205" s="7">
        <f>1200/E213</f>
        <v>78.848807411787902</v>
      </c>
      <c r="S205" s="7">
        <f>1200/B220</f>
        <v>69.743112867604324</v>
      </c>
      <c r="T205" s="7">
        <f>1200/E220</f>
        <v>67.487767842078625</v>
      </c>
    </row>
    <row r="206" spans="1:30" x14ac:dyDescent="0.25">
      <c r="A206" s="32" t="s">
        <v>66</v>
      </c>
      <c r="B206" s="16">
        <v>11.791</v>
      </c>
      <c r="C206" s="16"/>
      <c r="D206" s="16"/>
      <c r="E206" s="18">
        <v>12.88</v>
      </c>
      <c r="F206" s="18"/>
      <c r="G206" s="18"/>
      <c r="P206" s="65" t="s">
        <v>67</v>
      </c>
      <c r="Q206" s="7">
        <f t="shared" ref="Q206:Q208" si="41">1200/B214</f>
        <v>79.150451817162462</v>
      </c>
      <c r="R206" s="7">
        <f t="shared" ref="R206:R208" si="42">1200/E214</f>
        <v>75.805432722678461</v>
      </c>
      <c r="S206" s="7">
        <f t="shared" ref="S206:S208" si="43">1200/B221</f>
        <v>67.453625632377737</v>
      </c>
      <c r="T206" s="7">
        <f t="shared" ref="T206:T208" si="44">1200/E221</f>
        <v>65.352358130922568</v>
      </c>
    </row>
    <row r="207" spans="1:30" x14ac:dyDescent="0.25">
      <c r="A207" s="32" t="s">
        <v>67</v>
      </c>
      <c r="B207" s="16">
        <v>12.396000000000001</v>
      </c>
      <c r="C207" s="16">
        <v>40000000</v>
      </c>
      <c r="D207" s="16"/>
      <c r="E207" s="18">
        <v>13.577</v>
      </c>
      <c r="F207" s="18">
        <v>40000000</v>
      </c>
      <c r="G207" s="18"/>
      <c r="P207" s="65" t="s">
        <v>68</v>
      </c>
      <c r="Q207" s="7">
        <f t="shared" si="41"/>
        <v>76.156628799898456</v>
      </c>
      <c r="R207" s="7">
        <f t="shared" si="42"/>
        <v>72.855321474106006</v>
      </c>
      <c r="S207" s="7">
        <f t="shared" si="43"/>
        <v>64.099140003204951</v>
      </c>
      <c r="T207" s="7">
        <f t="shared" si="44"/>
        <v>62.131096613855235</v>
      </c>
    </row>
    <row r="208" spans="1:30" ht="17.25" x14ac:dyDescent="0.25">
      <c r="A208" s="32" t="s">
        <v>68</v>
      </c>
      <c r="B208" s="16">
        <v>12.622999999999999</v>
      </c>
      <c r="C208" s="16">
        <v>20000049</v>
      </c>
      <c r="D208" s="16" t="s">
        <v>83</v>
      </c>
      <c r="E208" s="18">
        <v>13.967000000000001</v>
      </c>
      <c r="F208" s="18">
        <v>20000000</v>
      </c>
      <c r="G208" s="18">
        <v>0</v>
      </c>
      <c r="P208" s="65" t="s">
        <v>69</v>
      </c>
      <c r="Q208" s="7">
        <f t="shared" si="41"/>
        <v>73.327222731439051</v>
      </c>
      <c r="R208" s="7">
        <f t="shared" si="42"/>
        <v>70.269953738947109</v>
      </c>
      <c r="S208" s="7">
        <f t="shared" si="43"/>
        <v>60.938452163315048</v>
      </c>
      <c r="T208" s="7">
        <f t="shared" si="44"/>
        <v>59.326642606417167</v>
      </c>
    </row>
    <row r="209" spans="1:21" ht="18.75" x14ac:dyDescent="0.3">
      <c r="A209" s="32" t="s">
        <v>69</v>
      </c>
      <c r="B209" s="16">
        <v>12.821</v>
      </c>
      <c r="C209" s="16">
        <v>61</v>
      </c>
      <c r="D209" s="16" t="s">
        <v>84</v>
      </c>
      <c r="E209" s="18">
        <v>14.345000000000001</v>
      </c>
      <c r="F209" s="18">
        <v>0</v>
      </c>
      <c r="G209" s="18">
        <v>0</v>
      </c>
      <c r="I209" s="141" t="s">
        <v>171</v>
      </c>
      <c r="J209" s="141"/>
      <c r="K209" s="141"/>
      <c r="L209" s="141"/>
      <c r="M209" s="141"/>
      <c r="N209" s="119"/>
    </row>
    <row r="210" spans="1:21" ht="15.75" x14ac:dyDescent="0.25">
      <c r="A210" s="33"/>
      <c r="I210" s="6"/>
      <c r="J210" s="12" t="s">
        <v>145</v>
      </c>
      <c r="K210" s="12" t="s">
        <v>146</v>
      </c>
      <c r="L210" s="12" t="s">
        <v>147</v>
      </c>
      <c r="M210" s="12" t="s">
        <v>148</v>
      </c>
      <c r="N210" s="123"/>
    </row>
    <row r="211" spans="1:21" ht="18.75" x14ac:dyDescent="0.3">
      <c r="A211" s="30"/>
      <c r="B211" s="154" t="s">
        <v>86</v>
      </c>
      <c r="C211" s="155"/>
      <c r="D211" s="156"/>
      <c r="E211" s="154" t="s">
        <v>77</v>
      </c>
      <c r="F211" s="155"/>
      <c r="G211" s="156"/>
      <c r="I211" s="65" t="s">
        <v>66</v>
      </c>
      <c r="J211" s="7">
        <f>40000000/B199</f>
        <v>4181913.2253005751</v>
      </c>
      <c r="K211" s="7">
        <f>40000000/E199</f>
        <v>3758691.975192633</v>
      </c>
      <c r="L211" s="7">
        <f>40000000/B206</f>
        <v>3392417.9458909337</v>
      </c>
      <c r="M211" s="6">
        <f>40000000/E206</f>
        <v>3105590.062111801</v>
      </c>
      <c r="N211" s="66"/>
      <c r="P211" s="141" t="s">
        <v>172</v>
      </c>
      <c r="Q211" s="141"/>
      <c r="R211" s="141"/>
      <c r="S211" s="141"/>
      <c r="T211" s="141"/>
    </row>
    <row r="212" spans="1:21" ht="15.75" x14ac:dyDescent="0.25">
      <c r="A212" s="31" t="s">
        <v>61</v>
      </c>
      <c r="B212" s="14" t="s">
        <v>62</v>
      </c>
      <c r="C212" s="14" t="s">
        <v>63</v>
      </c>
      <c r="D212" s="14" t="s">
        <v>64</v>
      </c>
      <c r="E212" s="12" t="s">
        <v>62</v>
      </c>
      <c r="F212" s="12" t="s">
        <v>65</v>
      </c>
      <c r="G212" s="12" t="s">
        <v>64</v>
      </c>
      <c r="I212" s="65" t="s">
        <v>67</v>
      </c>
      <c r="J212" s="7">
        <f t="shared" ref="J212:J214" si="45">40000000/B200</f>
        <v>4077471.9673802243</v>
      </c>
      <c r="K212" s="7">
        <f t="shared" ref="K212:K214" si="46">40000000/E200</f>
        <v>3630093.4749069787</v>
      </c>
      <c r="L212" s="7">
        <f t="shared" ref="L212:L214" si="47">40000000/B207</f>
        <v>3226847.3701193933</v>
      </c>
      <c r="M212" s="6">
        <f t="shared" ref="M212:M214" si="48">40000000/E207</f>
        <v>2946158.9452750976</v>
      </c>
      <c r="N212" s="66"/>
      <c r="P212" s="6"/>
      <c r="Q212" s="12" t="s">
        <v>145</v>
      </c>
      <c r="R212" s="12" t="s">
        <v>146</v>
      </c>
      <c r="S212" s="12" t="s">
        <v>147</v>
      </c>
      <c r="T212" s="12" t="s">
        <v>148</v>
      </c>
    </row>
    <row r="213" spans="1:21" x14ac:dyDescent="0.25">
      <c r="A213" s="32" t="s">
        <v>66</v>
      </c>
      <c r="B213" s="17">
        <v>14.538</v>
      </c>
      <c r="C213" s="17"/>
      <c r="D213" s="17"/>
      <c r="E213" s="19">
        <v>15.218999999999999</v>
      </c>
      <c r="F213" s="19"/>
      <c r="G213" s="19"/>
      <c r="I213" s="65" t="s">
        <v>68</v>
      </c>
      <c r="J213" s="7">
        <f t="shared" si="45"/>
        <v>4029820.6729800524</v>
      </c>
      <c r="K213" s="7">
        <f t="shared" si="46"/>
        <v>3576537.9113018601</v>
      </c>
      <c r="L213" s="7">
        <f t="shared" si="47"/>
        <v>3168818.8227838073</v>
      </c>
      <c r="M213" s="6">
        <f t="shared" si="48"/>
        <v>2863893.46316317</v>
      </c>
      <c r="N213" s="66"/>
      <c r="P213" s="65" t="s">
        <v>66</v>
      </c>
      <c r="Q213" s="7">
        <f>B199/40000000</f>
        <v>2.3912499999999997E-7</v>
      </c>
      <c r="R213" s="7">
        <f>E199/40000000</f>
        <v>2.6604999999999998E-7</v>
      </c>
      <c r="S213" s="7">
        <f>B206/40000000</f>
        <v>2.9477500000000002E-7</v>
      </c>
      <c r="T213" s="6">
        <f>E206/40000000</f>
        <v>3.22E-7</v>
      </c>
      <c r="U213" s="62"/>
    </row>
    <row r="214" spans="1:21" x14ac:dyDescent="0.25">
      <c r="A214" s="32" t="s">
        <v>67</v>
      </c>
      <c r="B214" s="17">
        <v>15.161</v>
      </c>
      <c r="C214" s="28">
        <v>40000000</v>
      </c>
      <c r="D214" s="17"/>
      <c r="E214" s="19">
        <v>15.83</v>
      </c>
      <c r="F214" s="19">
        <v>40000000</v>
      </c>
      <c r="G214" s="19"/>
      <c r="I214" s="65" t="s">
        <v>69</v>
      </c>
      <c r="J214" s="7">
        <f t="shared" si="45"/>
        <v>3984063.7450199206</v>
      </c>
      <c r="K214" s="7">
        <f t="shared" si="46"/>
        <v>3523608.1747709652</v>
      </c>
      <c r="L214" s="7">
        <f t="shared" si="47"/>
        <v>3119881.444505109</v>
      </c>
      <c r="M214" s="6">
        <f t="shared" si="48"/>
        <v>2788428.023701638</v>
      </c>
      <c r="N214" s="66"/>
      <c r="P214" s="65" t="s">
        <v>67</v>
      </c>
      <c r="Q214" s="7">
        <f t="shared" ref="Q214:Q216" si="49">B200/40000000</f>
        <v>2.4525E-7</v>
      </c>
      <c r="R214" s="7">
        <f t="shared" ref="R214:R216" si="50">E200/40000000</f>
        <v>2.75475E-7</v>
      </c>
      <c r="S214" s="7">
        <f t="shared" ref="S214:S216" si="51">B207/40000000</f>
        <v>3.0990000000000004E-7</v>
      </c>
      <c r="T214" s="6">
        <f t="shared" ref="T214:T216" si="52">E207/40000000</f>
        <v>3.3942499999999998E-7</v>
      </c>
      <c r="U214" s="62"/>
    </row>
    <row r="215" spans="1:21" ht="17.25" x14ac:dyDescent="0.25">
      <c r="A215" s="32" t="s">
        <v>68</v>
      </c>
      <c r="B215" s="17">
        <v>15.757</v>
      </c>
      <c r="C215" s="28">
        <v>20000018</v>
      </c>
      <c r="D215" s="17" t="s">
        <v>85</v>
      </c>
      <c r="E215" s="19">
        <v>16.471</v>
      </c>
      <c r="F215" s="19">
        <v>20000000</v>
      </c>
      <c r="G215" s="19">
        <v>0</v>
      </c>
      <c r="I215" s="6"/>
      <c r="J215" s="12" t="s">
        <v>149</v>
      </c>
      <c r="K215" s="12" t="s">
        <v>150</v>
      </c>
      <c r="L215" s="12" t="s">
        <v>151</v>
      </c>
      <c r="M215" s="12" t="s">
        <v>152</v>
      </c>
      <c r="N215" s="123"/>
      <c r="P215" s="65" t="s">
        <v>68</v>
      </c>
      <c r="Q215" s="7">
        <f t="shared" si="49"/>
        <v>2.4815000000000001E-7</v>
      </c>
      <c r="R215" s="7">
        <f t="shared" si="50"/>
        <v>2.7959999999999999E-7</v>
      </c>
      <c r="S215" s="7">
        <f t="shared" si="51"/>
        <v>3.1557499999999999E-7</v>
      </c>
      <c r="T215" s="6">
        <f t="shared" si="52"/>
        <v>3.4917500000000003E-7</v>
      </c>
      <c r="U215" s="62"/>
    </row>
    <row r="216" spans="1:21" ht="17.25" x14ac:dyDescent="0.25">
      <c r="A216" s="32" t="s">
        <v>69</v>
      </c>
      <c r="B216" s="17">
        <v>16.364999999999998</v>
      </c>
      <c r="C216" s="28">
        <v>18</v>
      </c>
      <c r="D216" s="17" t="s">
        <v>85</v>
      </c>
      <c r="E216" s="19">
        <v>17.077000000000002</v>
      </c>
      <c r="F216" s="19">
        <v>0</v>
      </c>
      <c r="G216" s="19">
        <v>0</v>
      </c>
      <c r="I216" s="65" t="s">
        <v>66</v>
      </c>
      <c r="J216" s="7">
        <f>40000000/B213</f>
        <v>2751410.0976750585</v>
      </c>
      <c r="K216" s="7">
        <f>40000000/E213</f>
        <v>2628293.5803929302</v>
      </c>
      <c r="L216" s="7">
        <f>40000000/B220</f>
        <v>2324770.4289201442</v>
      </c>
      <c r="M216" s="7">
        <f>40000000/E220</f>
        <v>2249592.2614026209</v>
      </c>
      <c r="N216" s="61"/>
      <c r="P216" s="65" t="s">
        <v>69</v>
      </c>
      <c r="Q216" s="7">
        <f t="shared" si="49"/>
        <v>2.5099999999999996E-7</v>
      </c>
      <c r="R216" s="7">
        <f t="shared" si="50"/>
        <v>2.8379999999999999E-7</v>
      </c>
      <c r="S216" s="7">
        <f t="shared" si="51"/>
        <v>3.2052499999999999E-7</v>
      </c>
      <c r="T216" s="6">
        <f t="shared" si="52"/>
        <v>3.58625E-7</v>
      </c>
      <c r="U216" s="62"/>
    </row>
    <row r="217" spans="1:21" ht="15.75" x14ac:dyDescent="0.25">
      <c r="A217" s="33"/>
      <c r="I217" s="65" t="s">
        <v>67</v>
      </c>
      <c r="J217" s="7">
        <f t="shared" ref="J217:J219" si="53">40000000/B214</f>
        <v>2638348.3939054152</v>
      </c>
      <c r="K217" s="7">
        <f t="shared" ref="K217:K219" si="54">40000000/E214</f>
        <v>2526847.7574226153</v>
      </c>
      <c r="L217" s="7">
        <f t="shared" ref="L217:L219" si="55">40000000/B221</f>
        <v>2248454.1877459246</v>
      </c>
      <c r="M217" s="7">
        <f t="shared" ref="M217:M219" si="56">40000000/E221</f>
        <v>2178411.937697419</v>
      </c>
      <c r="N217" s="61"/>
      <c r="P217" s="6"/>
      <c r="Q217" s="12" t="s">
        <v>149</v>
      </c>
      <c r="R217" s="12" t="s">
        <v>150</v>
      </c>
      <c r="S217" s="12" t="s">
        <v>151</v>
      </c>
      <c r="T217" s="12" t="s">
        <v>152</v>
      </c>
      <c r="U217" s="62"/>
    </row>
    <row r="218" spans="1:21" ht="15.75" x14ac:dyDescent="0.25">
      <c r="A218" s="30"/>
      <c r="B218" s="154" t="s">
        <v>90</v>
      </c>
      <c r="C218" s="155"/>
      <c r="D218" s="156"/>
      <c r="E218" s="154" t="s">
        <v>91</v>
      </c>
      <c r="F218" s="155"/>
      <c r="G218" s="156"/>
      <c r="I218" s="65" t="s">
        <v>68</v>
      </c>
      <c r="J218" s="7">
        <f t="shared" si="53"/>
        <v>2538554.2933299486</v>
      </c>
      <c r="K218" s="7">
        <f t="shared" si="54"/>
        <v>2428510.7158035333</v>
      </c>
      <c r="L218" s="7">
        <f t="shared" si="55"/>
        <v>2136638.000106832</v>
      </c>
      <c r="M218" s="7">
        <f t="shared" si="56"/>
        <v>2071036.5537951745</v>
      </c>
      <c r="N218" s="61"/>
      <c r="P218" s="65" t="s">
        <v>66</v>
      </c>
      <c r="Q218" s="7">
        <f>B213/40000000</f>
        <v>3.6344999999999999E-7</v>
      </c>
      <c r="R218" s="7">
        <f>E213/40000000</f>
        <v>3.80475E-7</v>
      </c>
      <c r="S218" s="7">
        <f>B220/40000000</f>
        <v>4.3014999999999997E-7</v>
      </c>
      <c r="T218" s="7">
        <f>E220/40000000</f>
        <v>4.4452499999999999E-7</v>
      </c>
      <c r="U218" s="62"/>
    </row>
    <row r="219" spans="1:21" ht="15.75" x14ac:dyDescent="0.25">
      <c r="A219" s="31" t="s">
        <v>61</v>
      </c>
      <c r="B219" s="15" t="s">
        <v>62</v>
      </c>
      <c r="C219" s="15" t="s">
        <v>63</v>
      </c>
      <c r="D219" s="15" t="s">
        <v>64</v>
      </c>
      <c r="E219" s="13" t="s">
        <v>62</v>
      </c>
      <c r="F219" s="13" t="s">
        <v>65</v>
      </c>
      <c r="G219" s="13" t="s">
        <v>64</v>
      </c>
      <c r="I219" s="65" t="s">
        <v>69</v>
      </c>
      <c r="J219" s="7">
        <f t="shared" si="53"/>
        <v>2444240.7577146352</v>
      </c>
      <c r="K219" s="7">
        <f t="shared" si="54"/>
        <v>2342331.7912982372</v>
      </c>
      <c r="L219" s="7">
        <f t="shared" si="55"/>
        <v>2031281.7387771683</v>
      </c>
      <c r="M219" s="7">
        <f t="shared" si="56"/>
        <v>1977554.7535472389</v>
      </c>
      <c r="N219" s="61"/>
      <c r="P219" s="65" t="s">
        <v>67</v>
      </c>
      <c r="Q219" s="7">
        <f t="shared" ref="Q219:Q221" si="57">B214/40000000</f>
        <v>3.7902499999999999E-7</v>
      </c>
      <c r="R219" s="7">
        <f t="shared" ref="R219:R221" si="58">E214/40000000</f>
        <v>3.9574999999999998E-7</v>
      </c>
      <c r="S219" s="7">
        <f t="shared" ref="S219:S221" si="59">B221/40000000</f>
        <v>4.4474999999999996E-7</v>
      </c>
      <c r="T219" s="7">
        <f t="shared" ref="T219:T221" si="60">E221/40000000</f>
        <v>4.5904999999999997E-7</v>
      </c>
      <c r="U219" s="62"/>
    </row>
    <row r="220" spans="1:21" ht="15.75" x14ac:dyDescent="0.25">
      <c r="A220" s="32" t="s">
        <v>66</v>
      </c>
      <c r="B220" s="16">
        <v>17.206</v>
      </c>
      <c r="C220" s="16"/>
      <c r="D220" s="16"/>
      <c r="E220" s="18">
        <v>17.780999999999999</v>
      </c>
      <c r="F220" s="18"/>
      <c r="G220" s="18"/>
      <c r="I220" s="68"/>
      <c r="J220" s="58"/>
      <c r="K220" s="58"/>
      <c r="L220" s="58"/>
      <c r="M220" s="58"/>
      <c r="N220" s="120"/>
      <c r="O220" s="66"/>
      <c r="P220" s="65" t="s">
        <v>68</v>
      </c>
      <c r="Q220" s="7">
        <f t="shared" si="57"/>
        <v>3.93925E-7</v>
      </c>
      <c r="R220" s="7">
        <f t="shared" si="58"/>
        <v>4.1177500000000002E-7</v>
      </c>
      <c r="S220" s="7">
        <f t="shared" si="59"/>
        <v>4.6802500000000001E-7</v>
      </c>
      <c r="T220" s="7">
        <f t="shared" si="60"/>
        <v>4.8284999999999996E-7</v>
      </c>
    </row>
    <row r="221" spans="1:21" x14ac:dyDescent="0.25">
      <c r="A221" s="32" t="s">
        <v>67</v>
      </c>
      <c r="B221" s="16">
        <v>17.79</v>
      </c>
      <c r="C221" s="34">
        <v>40000000</v>
      </c>
      <c r="D221" s="16"/>
      <c r="E221" s="18">
        <v>18.361999999999998</v>
      </c>
      <c r="F221" s="18">
        <v>40000000</v>
      </c>
      <c r="G221" s="18"/>
      <c r="I221" s="67"/>
      <c r="J221" s="66"/>
      <c r="K221" s="66"/>
      <c r="L221" s="66"/>
      <c r="M221" s="66"/>
      <c r="N221" s="66"/>
      <c r="O221" s="66"/>
      <c r="P221" s="65" t="s">
        <v>69</v>
      </c>
      <c r="Q221" s="7">
        <f t="shared" si="57"/>
        <v>4.0912499999999998E-7</v>
      </c>
      <c r="R221" s="7">
        <f t="shared" si="58"/>
        <v>4.2692500000000005E-7</v>
      </c>
      <c r="S221" s="7">
        <f t="shared" si="59"/>
        <v>4.9230000000000003E-7</v>
      </c>
      <c r="T221" s="7">
        <f t="shared" si="60"/>
        <v>5.0567500000000003E-7</v>
      </c>
    </row>
    <row r="222" spans="1:21" x14ac:dyDescent="0.25">
      <c r="A222" s="32" t="s">
        <v>68</v>
      </c>
      <c r="B222" s="16">
        <v>18.721</v>
      </c>
      <c r="C222" s="34">
        <v>20000000</v>
      </c>
      <c r="D222" s="16">
        <v>0</v>
      </c>
      <c r="E222" s="18">
        <v>19.314</v>
      </c>
      <c r="F222" s="18">
        <v>20000000</v>
      </c>
      <c r="G222" s="18">
        <v>0</v>
      </c>
      <c r="I222" s="67"/>
      <c r="J222" s="66"/>
      <c r="K222" s="66"/>
      <c r="L222" s="66"/>
      <c r="M222" s="66"/>
      <c r="N222" s="66"/>
      <c r="O222" s="66"/>
    </row>
    <row r="223" spans="1:21" x14ac:dyDescent="0.25">
      <c r="A223" s="32" t="s">
        <v>69</v>
      </c>
      <c r="B223" s="16">
        <v>19.692</v>
      </c>
      <c r="C223" s="34">
        <v>0</v>
      </c>
      <c r="D223" s="16">
        <v>0</v>
      </c>
      <c r="E223" s="18">
        <v>20.227</v>
      </c>
      <c r="F223" s="18">
        <v>0</v>
      </c>
      <c r="G223" s="18">
        <v>0</v>
      </c>
      <c r="I223" s="67"/>
      <c r="J223" s="66"/>
      <c r="K223" s="66"/>
      <c r="L223" s="66"/>
      <c r="M223" s="66"/>
      <c r="N223" s="66"/>
      <c r="O223" s="66"/>
    </row>
    <row r="224" spans="1:21" x14ac:dyDescent="0.25">
      <c r="I224" s="67"/>
      <c r="J224" s="66"/>
      <c r="K224" s="66"/>
      <c r="L224" s="66"/>
      <c r="M224" s="66"/>
      <c r="N224" s="66"/>
      <c r="O224" s="66"/>
    </row>
    <row r="226" spans="1:7" ht="18.75" x14ac:dyDescent="0.3">
      <c r="B226" s="166" t="s">
        <v>92</v>
      </c>
      <c r="C226" s="167"/>
      <c r="D226" s="167"/>
    </row>
    <row r="227" spans="1:7" ht="15.75" x14ac:dyDescent="0.25">
      <c r="B227" s="151" t="s">
        <v>105</v>
      </c>
      <c r="C227" s="151"/>
      <c r="D227" s="151"/>
      <c r="E227" s="151"/>
    </row>
    <row r="228" spans="1:7" ht="15.75" x14ac:dyDescent="0.25">
      <c r="A228" s="22"/>
      <c r="B228" s="138" t="s">
        <v>93</v>
      </c>
      <c r="C228" s="152"/>
      <c r="D228" s="152" t="s">
        <v>93</v>
      </c>
      <c r="E228" s="152"/>
      <c r="F228" s="152" t="s">
        <v>93</v>
      </c>
      <c r="G228" s="153"/>
    </row>
    <row r="229" spans="1:7" ht="15.75" x14ac:dyDescent="0.25">
      <c r="A229" s="10" t="s">
        <v>61</v>
      </c>
      <c r="B229" s="14" t="s">
        <v>62</v>
      </c>
      <c r="C229" s="14" t="s">
        <v>63</v>
      </c>
      <c r="D229" s="12" t="s">
        <v>62</v>
      </c>
      <c r="E229" s="12" t="s">
        <v>65</v>
      </c>
      <c r="F229" s="35" t="s">
        <v>62</v>
      </c>
      <c r="G229" s="13" t="s">
        <v>63</v>
      </c>
    </row>
    <row r="230" spans="1:7" x14ac:dyDescent="0.25">
      <c r="A230" s="11" t="s">
        <v>66</v>
      </c>
      <c r="B230" s="17">
        <v>6.6710000000000003</v>
      </c>
      <c r="C230" s="17">
        <v>16015692</v>
      </c>
      <c r="D230" s="19">
        <v>6.6239999999999997</v>
      </c>
      <c r="E230" s="19">
        <v>16013261</v>
      </c>
      <c r="F230" s="18">
        <v>6.7549999999999999</v>
      </c>
      <c r="G230" s="18">
        <v>16048198</v>
      </c>
    </row>
    <row r="231" spans="1:7" x14ac:dyDescent="0.25">
      <c r="A231" s="11" t="s">
        <v>67</v>
      </c>
      <c r="B231" s="17">
        <v>12.112</v>
      </c>
      <c r="C231" s="17">
        <v>16130132</v>
      </c>
      <c r="D231" s="19">
        <v>12.07</v>
      </c>
      <c r="E231" s="19">
        <v>16147920</v>
      </c>
      <c r="F231" s="18">
        <v>12.07</v>
      </c>
      <c r="G231" s="18">
        <v>16172430</v>
      </c>
    </row>
    <row r="232" spans="1:7" x14ac:dyDescent="0.25">
      <c r="A232" s="11" t="s">
        <v>68</v>
      </c>
      <c r="B232" s="17">
        <v>12.103400000000001</v>
      </c>
      <c r="C232" s="17">
        <v>16130403</v>
      </c>
      <c r="D232" s="19">
        <v>12.055899999999999</v>
      </c>
      <c r="E232" s="19">
        <v>16147705</v>
      </c>
      <c r="F232" s="18">
        <v>12.079000000000001</v>
      </c>
      <c r="G232" s="18">
        <v>16172893</v>
      </c>
    </row>
    <row r="233" spans="1:7" x14ac:dyDescent="0.25">
      <c r="A233" s="11" t="s">
        <v>69</v>
      </c>
      <c r="B233" s="17">
        <v>11.992000000000001</v>
      </c>
      <c r="C233" s="17">
        <v>191118</v>
      </c>
      <c r="D233" s="19">
        <v>11.988</v>
      </c>
      <c r="E233" s="19">
        <v>223747</v>
      </c>
      <c r="F233" s="18">
        <v>11.977</v>
      </c>
      <c r="G233" s="18">
        <v>208007</v>
      </c>
    </row>
    <row r="236" spans="1:7" ht="15.75" x14ac:dyDescent="0.25">
      <c r="B236" s="151" t="s">
        <v>106</v>
      </c>
      <c r="C236" s="151"/>
      <c r="D236" s="151"/>
      <c r="E236" s="151"/>
    </row>
    <row r="237" spans="1:7" ht="15.75" x14ac:dyDescent="0.25">
      <c r="A237" s="22"/>
      <c r="B237" s="138" t="s">
        <v>93</v>
      </c>
      <c r="C237" s="152"/>
      <c r="D237" s="152" t="s">
        <v>93</v>
      </c>
      <c r="E237" s="152"/>
      <c r="F237" s="152" t="s">
        <v>93</v>
      </c>
      <c r="G237" s="153"/>
    </row>
    <row r="238" spans="1:7" ht="15.75" x14ac:dyDescent="0.25">
      <c r="A238" s="10" t="s">
        <v>61</v>
      </c>
      <c r="B238" s="14" t="s">
        <v>62</v>
      </c>
      <c r="C238" s="14" t="s">
        <v>63</v>
      </c>
      <c r="D238" s="12" t="s">
        <v>62</v>
      </c>
      <c r="E238" s="12" t="s">
        <v>65</v>
      </c>
      <c r="F238" s="35" t="s">
        <v>62</v>
      </c>
      <c r="G238" s="13" t="s">
        <v>63</v>
      </c>
    </row>
    <row r="239" spans="1:7" x14ac:dyDescent="0.25">
      <c r="A239" s="11" t="s">
        <v>66</v>
      </c>
      <c r="B239" s="17">
        <v>13.943</v>
      </c>
      <c r="C239" s="17">
        <v>31991175</v>
      </c>
      <c r="D239" s="19">
        <v>14.57</v>
      </c>
      <c r="E239" s="19">
        <v>32113759</v>
      </c>
      <c r="F239" s="18">
        <v>14.522</v>
      </c>
      <c r="G239" s="18">
        <v>32116621</v>
      </c>
    </row>
    <row r="240" spans="1:7" x14ac:dyDescent="0.25">
      <c r="A240" s="11" t="s">
        <v>67</v>
      </c>
      <c r="B240" s="17">
        <v>12.475</v>
      </c>
      <c r="C240" s="17">
        <v>32057911</v>
      </c>
      <c r="D240" s="19">
        <v>12.56</v>
      </c>
      <c r="E240" s="19">
        <v>32179620</v>
      </c>
      <c r="F240" s="18">
        <v>12.548999999999999</v>
      </c>
      <c r="G240" s="18">
        <v>32199533</v>
      </c>
    </row>
    <row r="241" spans="1:7" x14ac:dyDescent="0.25">
      <c r="A241" s="11" t="s">
        <v>68</v>
      </c>
      <c r="B241" s="17">
        <v>12.388</v>
      </c>
      <c r="C241" s="17">
        <v>20168202</v>
      </c>
      <c r="D241" s="19">
        <v>12.47</v>
      </c>
      <c r="E241" s="19">
        <v>20168474</v>
      </c>
      <c r="F241" s="18">
        <v>12.475</v>
      </c>
      <c r="G241" s="18">
        <v>20211170</v>
      </c>
    </row>
    <row r="242" spans="1:7" x14ac:dyDescent="0.25">
      <c r="A242" s="11" t="s">
        <v>69</v>
      </c>
      <c r="B242" s="17">
        <v>12.26</v>
      </c>
      <c r="C242" s="17">
        <v>335559</v>
      </c>
      <c r="D242" s="19">
        <v>12.343</v>
      </c>
      <c r="E242" s="19">
        <v>336074</v>
      </c>
      <c r="F242" s="18">
        <v>12.37</v>
      </c>
      <c r="G242" s="18">
        <v>421802</v>
      </c>
    </row>
    <row r="245" spans="1:7" ht="15.75" x14ac:dyDescent="0.25">
      <c r="B245" s="151" t="s">
        <v>107</v>
      </c>
      <c r="C245" s="151"/>
      <c r="D245" s="151"/>
      <c r="E245" s="151"/>
    </row>
    <row r="246" spans="1:7" ht="15.75" x14ac:dyDescent="0.25">
      <c r="A246" s="22"/>
      <c r="B246" s="138" t="s">
        <v>93</v>
      </c>
      <c r="C246" s="152"/>
      <c r="D246" s="152" t="s">
        <v>93</v>
      </c>
      <c r="E246" s="152"/>
      <c r="F246" s="152" t="s">
        <v>93</v>
      </c>
      <c r="G246" s="153"/>
    </row>
    <row r="247" spans="1:7" ht="15.75" x14ac:dyDescent="0.25">
      <c r="A247" s="10" t="s">
        <v>61</v>
      </c>
      <c r="B247" s="14" t="s">
        <v>62</v>
      </c>
      <c r="C247" s="14" t="s">
        <v>63</v>
      </c>
      <c r="D247" s="12" t="s">
        <v>62</v>
      </c>
      <c r="E247" s="12" t="s">
        <v>65</v>
      </c>
      <c r="F247" s="35" t="s">
        <v>62</v>
      </c>
      <c r="G247" s="13" t="s">
        <v>63</v>
      </c>
    </row>
    <row r="248" spans="1:7" x14ac:dyDescent="0.25">
      <c r="A248" s="11" t="s">
        <v>66</v>
      </c>
      <c r="B248" s="17">
        <v>14.208</v>
      </c>
      <c r="C248" s="17">
        <v>32053096</v>
      </c>
      <c r="D248" s="19">
        <v>14.465</v>
      </c>
      <c r="E248" s="19">
        <v>32095827</v>
      </c>
      <c r="F248" s="18">
        <v>14.348000000000001</v>
      </c>
      <c r="G248" s="18">
        <v>32097764</v>
      </c>
    </row>
    <row r="249" spans="1:7" x14ac:dyDescent="0.25">
      <c r="A249" s="11" t="s">
        <v>67</v>
      </c>
      <c r="B249" s="17">
        <v>12.464</v>
      </c>
      <c r="C249" s="17">
        <v>32120935</v>
      </c>
      <c r="D249" s="19">
        <v>12.545999999999999</v>
      </c>
      <c r="E249" s="19">
        <v>32161890</v>
      </c>
      <c r="F249" s="18">
        <v>12.481999999999999</v>
      </c>
      <c r="G249" s="18">
        <v>32163870</v>
      </c>
    </row>
    <row r="250" spans="1:7" x14ac:dyDescent="0.25">
      <c r="A250" s="11" t="s">
        <v>68</v>
      </c>
      <c r="B250" s="17">
        <v>12.395</v>
      </c>
      <c r="C250" s="17">
        <v>20171746</v>
      </c>
      <c r="D250" s="19">
        <v>12.465</v>
      </c>
      <c r="E250" s="19">
        <v>20168394</v>
      </c>
      <c r="F250" s="18">
        <v>12.395</v>
      </c>
      <c r="G250" s="18">
        <v>20168324</v>
      </c>
    </row>
    <row r="251" spans="1:7" x14ac:dyDescent="0.25">
      <c r="A251" s="11" t="s">
        <v>69</v>
      </c>
      <c r="B251" s="17">
        <v>12.265000000000001</v>
      </c>
      <c r="C251" s="17">
        <v>342516</v>
      </c>
      <c r="D251" s="19">
        <v>12.343999999999999</v>
      </c>
      <c r="E251" s="19">
        <v>335747</v>
      </c>
      <c r="F251" s="18">
        <v>12.273999999999999</v>
      </c>
      <c r="G251" s="18">
        <v>335993</v>
      </c>
    </row>
    <row r="254" spans="1:7" ht="15.75" x14ac:dyDescent="0.25">
      <c r="B254" s="151" t="s">
        <v>108</v>
      </c>
      <c r="C254" s="151"/>
      <c r="D254" s="151"/>
      <c r="E254" s="151"/>
    </row>
    <row r="255" spans="1:7" ht="15.75" x14ac:dyDescent="0.25">
      <c r="A255" s="22"/>
      <c r="B255" s="138" t="s">
        <v>93</v>
      </c>
      <c r="C255" s="152"/>
      <c r="D255" s="152" t="s">
        <v>93</v>
      </c>
      <c r="E255" s="152"/>
      <c r="F255" s="152" t="s">
        <v>93</v>
      </c>
      <c r="G255" s="153"/>
    </row>
    <row r="256" spans="1:7" ht="15.75" x14ac:dyDescent="0.25">
      <c r="A256" s="10" t="s">
        <v>61</v>
      </c>
      <c r="B256" s="14" t="s">
        <v>62</v>
      </c>
      <c r="C256" s="14" t="s">
        <v>63</v>
      </c>
      <c r="D256" s="12" t="s">
        <v>62</v>
      </c>
      <c r="E256" s="12" t="s">
        <v>65</v>
      </c>
      <c r="F256" s="35" t="s">
        <v>62</v>
      </c>
      <c r="G256" s="13" t="s">
        <v>63</v>
      </c>
    </row>
    <row r="257" spans="1:24" x14ac:dyDescent="0.25">
      <c r="A257" s="11" t="s">
        <v>66</v>
      </c>
      <c r="B257" s="17">
        <v>12.981999999999999</v>
      </c>
      <c r="C257" s="36"/>
      <c r="D257" s="19">
        <v>13.013</v>
      </c>
      <c r="E257" s="19"/>
      <c r="F257" s="18">
        <v>13.054</v>
      </c>
      <c r="G257" s="18"/>
    </row>
    <row r="258" spans="1:24" x14ac:dyDescent="0.25">
      <c r="A258" s="11" t="s">
        <v>67</v>
      </c>
      <c r="B258" s="17">
        <v>12.497</v>
      </c>
      <c r="C258" s="17">
        <v>40000001</v>
      </c>
      <c r="D258" s="19">
        <v>12.475</v>
      </c>
      <c r="E258" s="19">
        <v>40000001</v>
      </c>
      <c r="F258" s="18">
        <v>12.444000000000001</v>
      </c>
      <c r="G258" s="18">
        <v>40000001</v>
      </c>
    </row>
    <row r="259" spans="1:24" x14ac:dyDescent="0.25">
      <c r="A259" s="11" t="s">
        <v>68</v>
      </c>
      <c r="B259" s="17">
        <v>12.414999999999999</v>
      </c>
      <c r="C259" s="17">
        <v>20232070</v>
      </c>
      <c r="D259" s="19">
        <v>12.396000000000001</v>
      </c>
      <c r="E259" s="19">
        <v>20197405</v>
      </c>
      <c r="F259" s="18">
        <v>12.403</v>
      </c>
      <c r="G259" s="18">
        <v>20197694</v>
      </c>
    </row>
    <row r="260" spans="1:24" x14ac:dyDescent="0.25">
      <c r="A260" s="11" t="s">
        <v>69</v>
      </c>
      <c r="B260" s="17">
        <v>12.455</v>
      </c>
      <c r="C260" s="17">
        <v>462773</v>
      </c>
      <c r="D260" s="19">
        <v>12.454000000000001</v>
      </c>
      <c r="E260" s="19">
        <v>394011</v>
      </c>
      <c r="F260" s="18">
        <v>12.452</v>
      </c>
      <c r="G260" s="18">
        <v>394683</v>
      </c>
    </row>
    <row r="263" spans="1:24" ht="15.75" x14ac:dyDescent="0.25">
      <c r="A263" s="151" t="s">
        <v>108</v>
      </c>
      <c r="B263" s="151"/>
      <c r="C263" s="151"/>
      <c r="D263" s="151"/>
      <c r="E263" s="151"/>
      <c r="F263" s="151"/>
      <c r="G263" s="151"/>
    </row>
    <row r="264" spans="1:24" ht="18.75" x14ac:dyDescent="0.3">
      <c r="A264" s="20"/>
      <c r="B264" s="145" t="s">
        <v>101</v>
      </c>
      <c r="C264" s="146"/>
      <c r="D264" s="147"/>
      <c r="E264" s="145" t="s">
        <v>102</v>
      </c>
      <c r="F264" s="146"/>
      <c r="G264" s="147"/>
      <c r="I264" s="52" t="s">
        <v>127</v>
      </c>
      <c r="J264" s="52" t="s">
        <v>128</v>
      </c>
      <c r="K264" s="52" t="s">
        <v>129</v>
      </c>
      <c r="T264" s="6"/>
      <c r="U264" s="136" t="s">
        <v>164</v>
      </c>
      <c r="V264" s="136"/>
      <c r="W264" s="136"/>
      <c r="X264" s="136"/>
    </row>
    <row r="265" spans="1:24" ht="15.75" x14ac:dyDescent="0.25">
      <c r="A265" s="8" t="s">
        <v>61</v>
      </c>
      <c r="B265" s="14" t="s">
        <v>62</v>
      </c>
      <c r="C265" s="14" t="s">
        <v>63</v>
      </c>
      <c r="D265" s="14" t="s">
        <v>64</v>
      </c>
      <c r="E265" s="12" t="s">
        <v>62</v>
      </c>
      <c r="F265" s="12" t="s">
        <v>65</v>
      </c>
      <c r="G265" s="12" t="s">
        <v>64</v>
      </c>
      <c r="I265" s="87">
        <f>E266-B266</f>
        <v>2.8939999999999997</v>
      </c>
      <c r="J265" s="87">
        <f>B273-E266</f>
        <v>3.1410000000000009</v>
      </c>
      <c r="K265" s="87">
        <f>E273-B273</f>
        <v>2.923</v>
      </c>
      <c r="T265" s="6"/>
      <c r="U265" s="12" t="s">
        <v>134</v>
      </c>
      <c r="V265" s="12" t="s">
        <v>135</v>
      </c>
      <c r="W265" s="12" t="s">
        <v>136</v>
      </c>
      <c r="X265" s="12" t="s">
        <v>137</v>
      </c>
    </row>
    <row r="266" spans="1:24" x14ac:dyDescent="0.25">
      <c r="A266" s="9" t="s">
        <v>66</v>
      </c>
      <c r="B266" s="17">
        <v>2.7650000000000001</v>
      </c>
      <c r="C266" s="17"/>
      <c r="D266" s="17"/>
      <c r="E266" s="19">
        <v>5.6589999999999998</v>
      </c>
      <c r="F266" s="19"/>
      <c r="G266" s="19"/>
      <c r="I266" s="87">
        <f t="shared" ref="I266:I268" si="61">E267-B267</f>
        <v>2.8330000000000002</v>
      </c>
      <c r="J266" s="87">
        <f t="shared" ref="J266:J268" si="62">B274-E267</f>
        <v>2.7389999999999999</v>
      </c>
      <c r="K266" s="87">
        <f t="shared" ref="K266:K268" si="63">E274-B274</f>
        <v>2.7919999999999998</v>
      </c>
      <c r="T266" s="65" t="s">
        <v>66</v>
      </c>
      <c r="U266" s="7">
        <f>180/B266</f>
        <v>65.099457504520799</v>
      </c>
      <c r="V266" s="7">
        <f>360/E266</f>
        <v>63.615479766743242</v>
      </c>
      <c r="W266" s="7">
        <f>540/B273</f>
        <v>61.36363636363636</v>
      </c>
      <c r="X266" s="6">
        <f>720/E273</f>
        <v>61.417725838096047</v>
      </c>
    </row>
    <row r="267" spans="1:24" ht="18.75" x14ac:dyDescent="0.3">
      <c r="A267" s="9" t="s">
        <v>67</v>
      </c>
      <c r="B267" s="17">
        <v>2.7930000000000001</v>
      </c>
      <c r="C267" s="17">
        <v>10000001</v>
      </c>
      <c r="D267" s="17"/>
      <c r="E267" s="19">
        <v>5.6260000000000003</v>
      </c>
      <c r="F267" s="19">
        <v>20000001</v>
      </c>
      <c r="G267" s="19"/>
      <c r="I267" s="87">
        <f t="shared" si="61"/>
        <v>2.8080000000000003</v>
      </c>
      <c r="J267" s="87">
        <f t="shared" si="62"/>
        <v>2.8310000000000004</v>
      </c>
      <c r="K267" s="87">
        <f t="shared" si="63"/>
        <v>2.7059999999999995</v>
      </c>
      <c r="M267" s="141" t="s">
        <v>163</v>
      </c>
      <c r="N267" s="141"/>
      <c r="O267" s="141"/>
      <c r="P267" s="141"/>
      <c r="Q267" s="141"/>
      <c r="R267" s="141"/>
      <c r="T267" s="65" t="s">
        <v>67</v>
      </c>
      <c r="U267" s="7">
        <f t="shared" ref="U267:U269" si="64">180/B267</f>
        <v>64.446831364124591</v>
      </c>
      <c r="V267" s="7">
        <f t="shared" ref="V267:V269" si="65">360/E267</f>
        <v>63.988624244578737</v>
      </c>
      <c r="W267" s="7">
        <f t="shared" ref="W267:W269" si="66">540/B274</f>
        <v>64.554692169754929</v>
      </c>
      <c r="X267" s="6">
        <f t="shared" ref="X267:X268" si="67">720/E274</f>
        <v>64.533476741059431</v>
      </c>
    </row>
    <row r="268" spans="1:24" ht="15.75" x14ac:dyDescent="0.25">
      <c r="A268" s="9" t="s">
        <v>68</v>
      </c>
      <c r="B268" s="17">
        <v>2.7989999999999999</v>
      </c>
      <c r="C268" s="17">
        <v>5012059</v>
      </c>
      <c r="D268" s="17">
        <v>1.1999999999999999E-3</v>
      </c>
      <c r="E268" s="19">
        <v>5.6070000000000002</v>
      </c>
      <c r="F268" s="19">
        <v>10048733</v>
      </c>
      <c r="G268" s="19">
        <v>2.3999999999999998E-3</v>
      </c>
      <c r="I268" s="87">
        <f t="shared" si="61"/>
        <v>2.8410000000000002</v>
      </c>
      <c r="J268" s="87">
        <f t="shared" si="62"/>
        <v>2.851</v>
      </c>
      <c r="K268" s="87">
        <f t="shared" si="63"/>
        <v>2.67</v>
      </c>
      <c r="M268" s="6"/>
      <c r="N268" s="6"/>
      <c r="O268" s="12" t="s">
        <v>134</v>
      </c>
      <c r="P268" s="12" t="s">
        <v>135</v>
      </c>
      <c r="Q268" s="12" t="s">
        <v>136</v>
      </c>
      <c r="R268" s="12" t="s">
        <v>137</v>
      </c>
      <c r="T268" s="65" t="s">
        <v>68</v>
      </c>
      <c r="U268" s="7">
        <f t="shared" si="64"/>
        <v>64.308681672025727</v>
      </c>
      <c r="V268" s="7">
        <f t="shared" si="65"/>
        <v>64.205457463884429</v>
      </c>
      <c r="W268" s="7">
        <f t="shared" si="66"/>
        <v>63.996207632140312</v>
      </c>
      <c r="X268" s="6">
        <f t="shared" si="67"/>
        <v>64.608758076094759</v>
      </c>
    </row>
    <row r="269" spans="1:24" x14ac:dyDescent="0.25">
      <c r="A269" s="9" t="s">
        <v>69</v>
      </c>
      <c r="B269" s="17">
        <v>2.8170000000000002</v>
      </c>
      <c r="C269" s="17">
        <v>24300</v>
      </c>
      <c r="D269" s="17">
        <v>2.3999999999999998E-3</v>
      </c>
      <c r="E269" s="19">
        <v>5.6580000000000004</v>
      </c>
      <c r="F269" s="19">
        <v>97958</v>
      </c>
      <c r="G269" s="19">
        <v>4.8999999999999998E-3</v>
      </c>
      <c r="M269" s="63" t="s">
        <v>67</v>
      </c>
      <c r="N269" s="63"/>
      <c r="O269" s="7">
        <v>1</v>
      </c>
      <c r="P269" s="7">
        <v>1</v>
      </c>
      <c r="Q269" s="7">
        <v>1</v>
      </c>
      <c r="R269" s="7">
        <v>1</v>
      </c>
      <c r="T269" s="65" t="s">
        <v>69</v>
      </c>
      <c r="U269" s="7">
        <f t="shared" si="64"/>
        <v>63.897763578274756</v>
      </c>
      <c r="V269" s="7">
        <f t="shared" si="65"/>
        <v>63.62672322375397</v>
      </c>
      <c r="W269" s="7">
        <f t="shared" si="66"/>
        <v>63.462216476671756</v>
      </c>
      <c r="X269" s="6">
        <f>720/E276</f>
        <v>64.406476429018696</v>
      </c>
    </row>
    <row r="270" spans="1:24" ht="15.75" x14ac:dyDescent="0.25">
      <c r="A270" s="21"/>
      <c r="M270" s="63" t="s">
        <v>68</v>
      </c>
      <c r="N270" s="63"/>
      <c r="O270" s="7">
        <f>1-D268</f>
        <v>0.99880000000000002</v>
      </c>
      <c r="P270" s="7">
        <f>1-G268</f>
        <v>0.99760000000000004</v>
      </c>
      <c r="Q270" s="7">
        <f>1-D275</f>
        <v>0.99629999999999996</v>
      </c>
      <c r="R270" s="7">
        <f>1-G275</f>
        <v>0.99509999999999998</v>
      </c>
      <c r="T270" s="6"/>
      <c r="U270" s="12" t="s">
        <v>138</v>
      </c>
      <c r="V270" s="12" t="s">
        <v>139</v>
      </c>
      <c r="W270" s="12" t="s">
        <v>140</v>
      </c>
      <c r="X270" s="12" t="s">
        <v>141</v>
      </c>
    </row>
    <row r="271" spans="1:24" ht="15.75" x14ac:dyDescent="0.25">
      <c r="A271" s="20"/>
      <c r="B271" s="145" t="s">
        <v>100</v>
      </c>
      <c r="C271" s="159"/>
      <c r="D271" s="160"/>
      <c r="E271" s="145" t="s">
        <v>99</v>
      </c>
      <c r="F271" s="146"/>
      <c r="G271" s="147"/>
      <c r="M271" s="63" t="s">
        <v>69</v>
      </c>
      <c r="N271" s="63"/>
      <c r="O271" s="7">
        <f>1-D269</f>
        <v>0.99760000000000004</v>
      </c>
      <c r="P271" s="7">
        <f>1-G269</f>
        <v>0.99509999999999998</v>
      </c>
      <c r="Q271" s="7">
        <f>1-D276</f>
        <v>0.99260000000000004</v>
      </c>
      <c r="R271" s="7">
        <f>1-G276</f>
        <v>0.99019999999999997</v>
      </c>
      <c r="T271" s="65" t="s">
        <v>66</v>
      </c>
      <c r="U271" s="7">
        <f>250/B281</f>
        <v>85.091899251191279</v>
      </c>
      <c r="V271" s="7">
        <f>500/E281</f>
        <v>82.508250825082513</v>
      </c>
      <c r="W271" s="7">
        <f>750/B288</f>
        <v>81.610446137105555</v>
      </c>
      <c r="X271" s="7">
        <f>1000/E288</f>
        <v>78.696781301644762</v>
      </c>
    </row>
    <row r="272" spans="1:24" ht="15.75" x14ac:dyDescent="0.25">
      <c r="A272" s="8" t="s">
        <v>61</v>
      </c>
      <c r="B272" s="15" t="s">
        <v>62</v>
      </c>
      <c r="C272" s="15" t="s">
        <v>63</v>
      </c>
      <c r="D272" s="15" t="s">
        <v>64</v>
      </c>
      <c r="E272" s="13" t="s">
        <v>62</v>
      </c>
      <c r="F272" s="13" t="s">
        <v>65</v>
      </c>
      <c r="G272" s="13" t="s">
        <v>64</v>
      </c>
      <c r="M272" s="6"/>
      <c r="N272" s="6"/>
      <c r="O272" s="12" t="s">
        <v>138</v>
      </c>
      <c r="P272" s="12" t="s">
        <v>139</v>
      </c>
      <c r="Q272" s="12" t="s">
        <v>140</v>
      </c>
      <c r="R272" s="12" t="s">
        <v>141</v>
      </c>
      <c r="T272" s="65" t="s">
        <v>67</v>
      </c>
      <c r="U272" s="7">
        <f t="shared" ref="U272:U274" si="68">250/B282</f>
        <v>84.090144635048773</v>
      </c>
      <c r="V272" s="7">
        <f t="shared" ref="V272:V274" si="69">500/E282</f>
        <v>83.752093802345058</v>
      </c>
      <c r="W272" s="7">
        <f t="shared" ref="W272:W274" si="70">750/B289</f>
        <v>83.883234537523762</v>
      </c>
      <c r="X272" s="7">
        <f t="shared" ref="X272:X274" si="71">1000/E289</f>
        <v>83.25008325008325</v>
      </c>
    </row>
    <row r="273" spans="1:24" x14ac:dyDescent="0.25">
      <c r="A273" s="9" t="s">
        <v>66</v>
      </c>
      <c r="B273" s="16">
        <v>8.8000000000000007</v>
      </c>
      <c r="C273" s="16"/>
      <c r="D273" s="16"/>
      <c r="E273" s="18">
        <v>11.723000000000001</v>
      </c>
      <c r="F273" s="18"/>
      <c r="G273" s="18"/>
      <c r="M273" s="63" t="s">
        <v>67</v>
      </c>
      <c r="N273" s="63"/>
      <c r="O273" s="7">
        <v>1</v>
      </c>
      <c r="P273" s="7">
        <v>1</v>
      </c>
      <c r="Q273" s="7">
        <v>1</v>
      </c>
      <c r="R273" s="7">
        <v>1</v>
      </c>
      <c r="T273" s="65" t="s">
        <v>68</v>
      </c>
      <c r="U273" s="7">
        <f t="shared" si="68"/>
        <v>83.836351441985244</v>
      </c>
      <c r="V273" s="7">
        <f t="shared" si="69"/>
        <v>83.402835696413675</v>
      </c>
      <c r="W273" s="7">
        <f t="shared" si="70"/>
        <v>83.668005354752339</v>
      </c>
      <c r="X273" s="7">
        <f t="shared" si="71"/>
        <v>82.515058998267179</v>
      </c>
    </row>
    <row r="274" spans="1:24" x14ac:dyDescent="0.25">
      <c r="A274" s="9" t="s">
        <v>67</v>
      </c>
      <c r="B274" s="16">
        <v>8.3650000000000002</v>
      </c>
      <c r="C274" s="16">
        <v>30000001</v>
      </c>
      <c r="D274" s="16"/>
      <c r="E274" s="18">
        <v>11.157</v>
      </c>
      <c r="F274" s="18">
        <v>40000001</v>
      </c>
      <c r="G274" s="18"/>
      <c r="M274" s="63" t="s">
        <v>68</v>
      </c>
      <c r="N274" s="63"/>
      <c r="O274" s="7">
        <f>1-D283</f>
        <v>0.99880000000000002</v>
      </c>
      <c r="P274" s="7">
        <f>1-G283</f>
        <v>0.99750000000000005</v>
      </c>
      <c r="Q274" s="7">
        <f>1-D290</f>
        <v>0.99629999999999996</v>
      </c>
      <c r="R274" s="7">
        <f>1-G290</f>
        <v>0.99509999999999998</v>
      </c>
      <c r="T274" s="65" t="s">
        <v>69</v>
      </c>
      <c r="U274" s="7">
        <f t="shared" si="68"/>
        <v>83.556149732620327</v>
      </c>
      <c r="V274" s="7">
        <f t="shared" si="69"/>
        <v>83.015108749792461</v>
      </c>
      <c r="W274" s="7">
        <f t="shared" si="70"/>
        <v>83.565459610027858</v>
      </c>
      <c r="X274" s="7">
        <f t="shared" si="71"/>
        <v>82.290980908492429</v>
      </c>
    </row>
    <row r="275" spans="1:24" ht="15.75" x14ac:dyDescent="0.25">
      <c r="A275" s="9" t="s">
        <v>68</v>
      </c>
      <c r="B275" s="16">
        <v>8.4380000000000006</v>
      </c>
      <c r="C275" s="16">
        <v>15110235</v>
      </c>
      <c r="D275" s="16">
        <v>3.7000000000000002E-3</v>
      </c>
      <c r="E275" s="18">
        <v>11.144</v>
      </c>
      <c r="F275" s="18">
        <v>20195884</v>
      </c>
      <c r="G275" s="18">
        <v>4.8999999999999998E-3</v>
      </c>
      <c r="M275" s="63" t="s">
        <v>69</v>
      </c>
      <c r="N275" s="63"/>
      <c r="O275" s="7">
        <f>1-D284</f>
        <v>0.99750000000000005</v>
      </c>
      <c r="P275" s="7">
        <f>1-G284</f>
        <v>0.99509999999999998</v>
      </c>
      <c r="Q275" s="7">
        <f>1-D291</f>
        <v>0.99260000000000004</v>
      </c>
      <c r="R275" s="7">
        <f>1-G291</f>
        <v>0.99019999999999997</v>
      </c>
      <c r="T275" s="6"/>
      <c r="U275" s="12" t="s">
        <v>130</v>
      </c>
      <c r="V275" s="12" t="s">
        <v>131</v>
      </c>
      <c r="W275" s="12" t="s">
        <v>133</v>
      </c>
      <c r="X275" s="12" t="s">
        <v>132</v>
      </c>
    </row>
    <row r="276" spans="1:24" ht="15.75" x14ac:dyDescent="0.25">
      <c r="A276" s="9" t="s">
        <v>69</v>
      </c>
      <c r="B276" s="16">
        <v>8.5090000000000003</v>
      </c>
      <c r="C276" s="16">
        <v>221277</v>
      </c>
      <c r="D276" s="16">
        <v>7.4000000000000003E-3</v>
      </c>
      <c r="E276" s="18">
        <v>11.179</v>
      </c>
      <c r="F276" s="18">
        <v>393327</v>
      </c>
      <c r="G276" s="18">
        <v>9.7999999999999997E-3</v>
      </c>
      <c r="M276" s="6"/>
      <c r="N276" s="6"/>
      <c r="O276" s="12" t="s">
        <v>130</v>
      </c>
      <c r="P276" s="12" t="s">
        <v>131</v>
      </c>
      <c r="Q276" s="12" t="s">
        <v>133</v>
      </c>
      <c r="R276" s="12" t="s">
        <v>132</v>
      </c>
      <c r="T276" s="65" t="s">
        <v>66</v>
      </c>
      <c r="U276" s="6">
        <f>300/B296</f>
        <v>97.65625</v>
      </c>
      <c r="V276" s="6">
        <f>600/E296</f>
        <v>95.087163232963562</v>
      </c>
      <c r="W276" s="6">
        <f>900/B303</f>
        <v>94.083211373614873</v>
      </c>
      <c r="X276" s="6">
        <f>1200/E303</f>
        <v>92.556883918241425</v>
      </c>
    </row>
    <row r="277" spans="1:24" x14ac:dyDescent="0.25">
      <c r="M277" s="63" t="s">
        <v>67</v>
      </c>
      <c r="N277" s="63"/>
      <c r="O277" s="7">
        <v>1</v>
      </c>
      <c r="P277" s="7">
        <v>1</v>
      </c>
      <c r="Q277" s="7">
        <v>1</v>
      </c>
      <c r="R277" s="7">
        <v>1</v>
      </c>
      <c r="T277" s="65" t="s">
        <v>67</v>
      </c>
      <c r="U277" s="6">
        <f t="shared" ref="U277:U279" si="72">300/B297</f>
        <v>96.961861667744031</v>
      </c>
      <c r="V277" s="6">
        <f t="shared" ref="V277:V279" si="73">600/E297</f>
        <v>96.015362457993291</v>
      </c>
      <c r="W277" s="6">
        <f t="shared" ref="W277:W279" si="74">900/B304</f>
        <v>96.940973718224896</v>
      </c>
      <c r="X277" s="6">
        <f t="shared" ref="X277:X279" si="75">1200/E304</f>
        <v>96.742986133505326</v>
      </c>
    </row>
    <row r="278" spans="1:24" x14ac:dyDescent="0.25">
      <c r="M278" s="63" t="s">
        <v>68</v>
      </c>
      <c r="N278" s="63"/>
      <c r="O278" s="7">
        <f>1-D298</f>
        <v>0.99870000000000003</v>
      </c>
      <c r="P278" s="7">
        <f>1-G298</f>
        <v>0.99750000000000005</v>
      </c>
      <c r="Q278" s="7">
        <f>1-D305</f>
        <v>0.99629999999999996</v>
      </c>
      <c r="R278" s="6">
        <f>1-G305</f>
        <v>0.99509999999999998</v>
      </c>
      <c r="T278" s="65" t="s">
        <v>68</v>
      </c>
      <c r="U278" s="6">
        <f t="shared" si="72"/>
        <v>96.961861667744031</v>
      </c>
      <c r="V278" s="6">
        <f t="shared" si="73"/>
        <v>96.123037487984618</v>
      </c>
      <c r="W278" s="6">
        <f t="shared" si="74"/>
        <v>96.88879319625363</v>
      </c>
      <c r="X278" s="6">
        <f t="shared" si="75"/>
        <v>96.946194861851666</v>
      </c>
    </row>
    <row r="279" spans="1:24" ht="15.75" x14ac:dyDescent="0.25">
      <c r="A279" s="22"/>
      <c r="B279" s="138" t="s">
        <v>97</v>
      </c>
      <c r="C279" s="139"/>
      <c r="D279" s="140"/>
      <c r="E279" s="138" t="s">
        <v>98</v>
      </c>
      <c r="F279" s="139"/>
      <c r="G279" s="140"/>
      <c r="I279" s="52" t="s">
        <v>127</v>
      </c>
      <c r="J279" s="52" t="s">
        <v>128</v>
      </c>
      <c r="K279" s="52" t="s">
        <v>129</v>
      </c>
      <c r="M279" s="63" t="s">
        <v>69</v>
      </c>
      <c r="N279" s="63"/>
      <c r="O279" s="7">
        <f>1-D299</f>
        <v>0.99739999999999995</v>
      </c>
      <c r="P279" s="7">
        <f>1-G299</f>
        <v>0.995</v>
      </c>
      <c r="Q279" s="7">
        <f>1-D306</f>
        <v>0.99260000000000004</v>
      </c>
      <c r="R279" s="6">
        <f>1-G306</f>
        <v>0.99009999999999998</v>
      </c>
      <c r="T279" s="65" t="s">
        <v>69</v>
      </c>
      <c r="U279" s="6">
        <f t="shared" si="72"/>
        <v>96.587250482936255</v>
      </c>
      <c r="V279" s="6">
        <f t="shared" si="73"/>
        <v>95.785440613026822</v>
      </c>
      <c r="W279" s="6">
        <f t="shared" si="74"/>
        <v>96.421684165416764</v>
      </c>
      <c r="X279" s="6">
        <f t="shared" si="75"/>
        <v>96.200096200096198</v>
      </c>
    </row>
    <row r="280" spans="1:24" ht="15.75" x14ac:dyDescent="0.25">
      <c r="A280" s="10" t="s">
        <v>61</v>
      </c>
      <c r="B280" s="14" t="s">
        <v>62</v>
      </c>
      <c r="C280" s="14" t="s">
        <v>63</v>
      </c>
      <c r="D280" s="14" t="s">
        <v>64</v>
      </c>
      <c r="E280" s="12" t="s">
        <v>62</v>
      </c>
      <c r="F280" s="12" t="s">
        <v>65</v>
      </c>
      <c r="G280" s="12" t="s">
        <v>64</v>
      </c>
      <c r="I280" s="87">
        <f>E281-B281</f>
        <v>3.1219999999999994</v>
      </c>
      <c r="J280" s="87">
        <f>B288-E281</f>
        <v>3.13</v>
      </c>
      <c r="K280" s="87">
        <f>E288-B288</f>
        <v>3.5170000000000012</v>
      </c>
    </row>
    <row r="281" spans="1:24" x14ac:dyDescent="0.25">
      <c r="A281" s="11" t="s">
        <v>66</v>
      </c>
      <c r="B281" s="28">
        <v>2.9380000000000002</v>
      </c>
      <c r="C281" s="17"/>
      <c r="D281" s="17"/>
      <c r="E281" s="29">
        <v>6.06</v>
      </c>
      <c r="F281" s="19"/>
      <c r="G281" s="19"/>
      <c r="I281" s="87">
        <f t="shared" ref="I281:I283" si="76">E282-B282</f>
        <v>2.9969999999999999</v>
      </c>
      <c r="J281" s="87">
        <f t="shared" ref="J281:J283" si="77">B289-E282</f>
        <v>2.971000000000001</v>
      </c>
      <c r="K281" s="87">
        <f t="shared" ref="K281:K283" si="78">E289-B289</f>
        <v>3.0709999999999997</v>
      </c>
    </row>
    <row r="282" spans="1:24" x14ac:dyDescent="0.25">
      <c r="A282" s="11" t="s">
        <v>67</v>
      </c>
      <c r="B282" s="28">
        <v>2.9729999999999999</v>
      </c>
      <c r="C282" s="17">
        <v>10000001</v>
      </c>
      <c r="D282" s="17"/>
      <c r="E282" s="29">
        <v>5.97</v>
      </c>
      <c r="F282" s="19">
        <v>20000001</v>
      </c>
      <c r="G282" s="19"/>
      <c r="I282" s="87">
        <f t="shared" si="76"/>
        <v>3.0129999999999999</v>
      </c>
      <c r="J282" s="87">
        <f t="shared" si="77"/>
        <v>2.9690000000000003</v>
      </c>
      <c r="K282" s="87">
        <f t="shared" si="78"/>
        <v>3.1549999999999994</v>
      </c>
    </row>
    <row r="283" spans="1:24" ht="18.75" x14ac:dyDescent="0.3">
      <c r="A283" s="11" t="s">
        <v>68</v>
      </c>
      <c r="B283" s="28">
        <v>2.9820000000000002</v>
      </c>
      <c r="C283" s="17">
        <v>5012365</v>
      </c>
      <c r="D283" s="17">
        <v>1.1999999999999999E-3</v>
      </c>
      <c r="E283" s="29">
        <v>5.9950000000000001</v>
      </c>
      <c r="F283" s="19">
        <v>10049437</v>
      </c>
      <c r="G283" s="19">
        <v>2.5000000000000001E-3</v>
      </c>
      <c r="I283" s="87">
        <f t="shared" si="76"/>
        <v>3.0309999999999997</v>
      </c>
      <c r="J283" s="87">
        <f t="shared" si="77"/>
        <v>2.952</v>
      </c>
      <c r="K283" s="87">
        <f t="shared" si="78"/>
        <v>3.1769999999999996</v>
      </c>
      <c r="M283" s="141" t="s">
        <v>175</v>
      </c>
      <c r="N283" s="141"/>
      <c r="O283" s="141"/>
      <c r="P283" s="141"/>
      <c r="Q283" s="141"/>
      <c r="R283" s="141"/>
      <c r="T283" s="142" t="s">
        <v>190</v>
      </c>
      <c r="U283" s="143"/>
      <c r="V283" s="143"/>
      <c r="W283" s="143"/>
      <c r="X283" s="144"/>
    </row>
    <row r="284" spans="1:24" ht="15.75" x14ac:dyDescent="0.25">
      <c r="A284" s="11" t="s">
        <v>69</v>
      </c>
      <c r="B284" s="28">
        <v>2.992</v>
      </c>
      <c r="C284" s="17">
        <v>24725</v>
      </c>
      <c r="D284" s="17">
        <v>2.5000000000000001E-3</v>
      </c>
      <c r="E284" s="29">
        <v>6.0229999999999997</v>
      </c>
      <c r="F284" s="19">
        <v>98495</v>
      </c>
      <c r="G284" s="19">
        <v>4.8999999999999998E-3</v>
      </c>
      <c r="M284" s="6"/>
      <c r="N284" s="6"/>
      <c r="O284" s="12" t="s">
        <v>134</v>
      </c>
      <c r="P284" s="12" t="s">
        <v>135</v>
      </c>
      <c r="Q284" s="12" t="s">
        <v>136</v>
      </c>
      <c r="R284" s="12" t="s">
        <v>137</v>
      </c>
      <c r="T284" s="6"/>
      <c r="U284" s="12" t="s">
        <v>134</v>
      </c>
      <c r="V284" s="12" t="s">
        <v>135</v>
      </c>
      <c r="W284" s="12" t="s">
        <v>136</v>
      </c>
      <c r="X284" s="12" t="s">
        <v>137</v>
      </c>
    </row>
    <row r="285" spans="1:24" x14ac:dyDescent="0.25">
      <c r="A285" s="23"/>
      <c r="M285" s="65" t="s">
        <v>66</v>
      </c>
      <c r="N285" s="65"/>
      <c r="O285" s="7">
        <f>10000000/B266</f>
        <v>3616636.5280289329</v>
      </c>
      <c r="P285" s="7">
        <f>20000000/E266</f>
        <v>3534193.3203746248</v>
      </c>
      <c r="Q285" s="7">
        <f>30000000/B273</f>
        <v>3409090.9090909087</v>
      </c>
      <c r="R285" s="6">
        <f>40000000/E273</f>
        <v>3412095.8798942249</v>
      </c>
      <c r="T285" s="65" t="s">
        <v>66</v>
      </c>
      <c r="U285" s="7">
        <f>B266/10000000</f>
        <v>2.7650000000000002E-7</v>
      </c>
      <c r="V285" s="7">
        <f>E266/20000000</f>
        <v>2.8294999999999998E-7</v>
      </c>
      <c r="W285" s="7">
        <f>B273/30000000</f>
        <v>2.9333333333333337E-7</v>
      </c>
      <c r="X285" s="6">
        <f>E273/40000000</f>
        <v>2.93075E-7</v>
      </c>
    </row>
    <row r="286" spans="1:24" ht="15.75" x14ac:dyDescent="0.25">
      <c r="A286" s="22"/>
      <c r="B286" s="138" t="s">
        <v>103</v>
      </c>
      <c r="C286" s="139"/>
      <c r="D286" s="140"/>
      <c r="E286" s="138" t="s">
        <v>104</v>
      </c>
      <c r="F286" s="139"/>
      <c r="G286" s="140"/>
      <c r="M286" s="65" t="s">
        <v>67</v>
      </c>
      <c r="N286" s="65"/>
      <c r="O286" s="7">
        <f t="shared" ref="O286:O288" si="79">10000000/B267</f>
        <v>3580379.520229144</v>
      </c>
      <c r="P286" s="7">
        <f t="shared" ref="P286:P288" si="80">20000000/E267</f>
        <v>3554923.5691432632</v>
      </c>
      <c r="Q286" s="7">
        <f t="shared" ref="Q286:Q288" si="81">30000000/B274</f>
        <v>3586371.7872086074</v>
      </c>
      <c r="R286" s="6">
        <f t="shared" ref="R286:R288" si="82">40000000/E274</f>
        <v>3585193.152281079</v>
      </c>
      <c r="T286" s="65" t="s">
        <v>67</v>
      </c>
      <c r="U286" s="7">
        <f t="shared" ref="U286:U288" si="83">B267/10000000</f>
        <v>2.7930000000000002E-7</v>
      </c>
      <c r="V286" s="7">
        <f t="shared" ref="V286:V288" si="84">E267/20000000</f>
        <v>2.8130000000000001E-7</v>
      </c>
      <c r="W286" s="7">
        <f t="shared" ref="W286:W288" si="85">B274/30000000</f>
        <v>2.7883333333333334E-7</v>
      </c>
      <c r="X286" s="6">
        <f t="shared" ref="X286:X288" si="86">E274/40000000</f>
        <v>2.7892499999999999E-7</v>
      </c>
    </row>
    <row r="287" spans="1:24" ht="15.75" x14ac:dyDescent="0.25">
      <c r="A287" s="10" t="s">
        <v>61</v>
      </c>
      <c r="B287" s="15" t="s">
        <v>62</v>
      </c>
      <c r="C287" s="15" t="s">
        <v>63</v>
      </c>
      <c r="D287" s="15" t="s">
        <v>64</v>
      </c>
      <c r="E287" s="13" t="s">
        <v>62</v>
      </c>
      <c r="F287" s="13" t="s">
        <v>65</v>
      </c>
      <c r="G287" s="13" t="s">
        <v>64</v>
      </c>
      <c r="M287" s="65" t="s">
        <v>68</v>
      </c>
      <c r="N287" s="65"/>
      <c r="O287" s="7">
        <f t="shared" si="79"/>
        <v>3572704.5373347625</v>
      </c>
      <c r="P287" s="7">
        <f t="shared" si="80"/>
        <v>3566969.8591046906</v>
      </c>
      <c r="Q287" s="7">
        <f t="shared" si="81"/>
        <v>3555344.8684522398</v>
      </c>
      <c r="R287" s="6">
        <f t="shared" si="82"/>
        <v>3589375.4486719309</v>
      </c>
      <c r="T287" s="65" t="s">
        <v>68</v>
      </c>
      <c r="U287" s="7">
        <f t="shared" si="83"/>
        <v>2.7990000000000001E-7</v>
      </c>
      <c r="V287" s="7">
        <f t="shared" si="84"/>
        <v>2.8034999999999999E-7</v>
      </c>
      <c r="W287" s="7">
        <f t="shared" si="85"/>
        <v>2.8126666666666671E-7</v>
      </c>
      <c r="X287" s="6">
        <f t="shared" si="86"/>
        <v>2.7860000000000002E-7</v>
      </c>
    </row>
    <row r="288" spans="1:24" x14ac:dyDescent="0.25">
      <c r="A288" s="11" t="s">
        <v>66</v>
      </c>
      <c r="B288" s="16">
        <v>9.19</v>
      </c>
      <c r="C288" s="16"/>
      <c r="D288" s="16"/>
      <c r="E288" s="18">
        <v>12.707000000000001</v>
      </c>
      <c r="F288" s="18"/>
      <c r="G288" s="18"/>
      <c r="M288" s="65" t="s">
        <v>69</v>
      </c>
      <c r="N288" s="65"/>
      <c r="O288" s="7">
        <f t="shared" si="79"/>
        <v>3549875.7543485975</v>
      </c>
      <c r="P288" s="7">
        <f t="shared" si="80"/>
        <v>3534817.9568752209</v>
      </c>
      <c r="Q288" s="7">
        <f t="shared" si="81"/>
        <v>3525678.6931484309</v>
      </c>
      <c r="R288" s="6">
        <f t="shared" si="82"/>
        <v>3578137.5793899274</v>
      </c>
      <c r="T288" s="65" t="s">
        <v>69</v>
      </c>
      <c r="U288" s="7">
        <f t="shared" si="83"/>
        <v>2.8170000000000004E-7</v>
      </c>
      <c r="V288" s="7">
        <f t="shared" si="84"/>
        <v>2.8290000000000003E-7</v>
      </c>
      <c r="W288" s="7">
        <f t="shared" si="85"/>
        <v>2.8363333333333333E-7</v>
      </c>
      <c r="X288" s="6">
        <f t="shared" si="86"/>
        <v>2.7947500000000003E-7</v>
      </c>
    </row>
    <row r="289" spans="1:24" ht="15.75" x14ac:dyDescent="0.25">
      <c r="A289" s="11" t="s">
        <v>67</v>
      </c>
      <c r="B289" s="16">
        <v>8.9410000000000007</v>
      </c>
      <c r="C289" s="16">
        <v>30000001</v>
      </c>
      <c r="D289" s="16"/>
      <c r="E289" s="18">
        <v>12.012</v>
      </c>
      <c r="F289" s="18">
        <v>40000001</v>
      </c>
      <c r="G289" s="18"/>
      <c r="M289" s="6"/>
      <c r="N289" s="6"/>
      <c r="O289" s="12" t="s">
        <v>138</v>
      </c>
      <c r="P289" s="12" t="s">
        <v>139</v>
      </c>
      <c r="Q289" s="12" t="s">
        <v>140</v>
      </c>
      <c r="R289" s="12" t="s">
        <v>141</v>
      </c>
      <c r="T289" s="6"/>
      <c r="U289" s="12" t="s">
        <v>138</v>
      </c>
      <c r="V289" s="12" t="s">
        <v>139</v>
      </c>
      <c r="W289" s="12" t="s">
        <v>140</v>
      </c>
      <c r="X289" s="12" t="s">
        <v>141</v>
      </c>
    </row>
    <row r="290" spans="1:24" x14ac:dyDescent="0.25">
      <c r="A290" s="11" t="s">
        <v>68</v>
      </c>
      <c r="B290" s="16">
        <v>8.9640000000000004</v>
      </c>
      <c r="C290" s="16">
        <v>15110864</v>
      </c>
      <c r="D290" s="16">
        <v>3.7000000000000002E-3</v>
      </c>
      <c r="E290" s="18">
        <v>12.119</v>
      </c>
      <c r="F290" s="18">
        <v>20196601</v>
      </c>
      <c r="G290" s="18">
        <v>4.8999999999999998E-3</v>
      </c>
      <c r="M290" s="65" t="s">
        <v>66</v>
      </c>
      <c r="N290" s="65"/>
      <c r="O290" s="7">
        <f>10000000/B281</f>
        <v>3403675.9700476513</v>
      </c>
      <c r="P290" s="7">
        <f>20000000/E281</f>
        <v>3300330.0330033004</v>
      </c>
      <c r="Q290" s="7">
        <f>30000000/B288</f>
        <v>3264417.8454842223</v>
      </c>
      <c r="R290" s="7">
        <f>40000000/E288</f>
        <v>3147871.2520657904</v>
      </c>
      <c r="T290" s="65" t="s">
        <v>66</v>
      </c>
      <c r="U290" s="7">
        <f>B281/10000000</f>
        <v>2.938E-7</v>
      </c>
      <c r="V290" s="7">
        <f>E281/20000000</f>
        <v>3.03E-7</v>
      </c>
      <c r="W290" s="7">
        <f>B288/30000000</f>
        <v>3.0633333333333334E-7</v>
      </c>
      <c r="X290" s="7">
        <f>E288/40000000</f>
        <v>3.1767500000000004E-7</v>
      </c>
    </row>
    <row r="291" spans="1:24" x14ac:dyDescent="0.25">
      <c r="A291" s="11" t="s">
        <v>69</v>
      </c>
      <c r="B291" s="16">
        <v>8.9749999999999996</v>
      </c>
      <c r="C291" s="16">
        <v>221666</v>
      </c>
      <c r="D291" s="16">
        <v>7.4000000000000003E-3</v>
      </c>
      <c r="E291" s="18">
        <v>12.151999999999999</v>
      </c>
      <c r="F291" s="18">
        <v>392764</v>
      </c>
      <c r="G291" s="18">
        <v>9.7999999999999997E-3</v>
      </c>
      <c r="M291" s="65" t="s">
        <v>67</v>
      </c>
      <c r="N291" s="65"/>
      <c r="O291" s="7">
        <f t="shared" ref="O291:O293" si="87">10000000/B282</f>
        <v>3363605.7854019511</v>
      </c>
      <c r="P291" s="7">
        <f t="shared" ref="P291:P293" si="88">20000000/E282</f>
        <v>3350083.7520938027</v>
      </c>
      <c r="Q291" s="7">
        <f t="shared" ref="Q291:Q293" si="89">30000000/B289</f>
        <v>3355329.3815009505</v>
      </c>
      <c r="R291" s="7">
        <f t="shared" ref="R291:R293" si="90">40000000/E289</f>
        <v>3330003.33000333</v>
      </c>
      <c r="T291" s="65" t="s">
        <v>67</v>
      </c>
      <c r="U291" s="7">
        <f t="shared" ref="U291:U293" si="91">B282/10000000</f>
        <v>2.973E-7</v>
      </c>
      <c r="V291" s="7">
        <f t="shared" ref="V291:V293" si="92">E282/20000000</f>
        <v>2.9849999999999998E-7</v>
      </c>
      <c r="W291" s="7">
        <f t="shared" ref="W291:W293" si="93">B289/30000000</f>
        <v>2.9803333333333335E-7</v>
      </c>
      <c r="X291" s="7">
        <f t="shared" ref="X291:X293" si="94">E289/40000000</f>
        <v>3.0030000000000001E-7</v>
      </c>
    </row>
    <row r="292" spans="1:24" x14ac:dyDescent="0.25">
      <c r="M292" s="65" t="s">
        <v>68</v>
      </c>
      <c r="N292" s="65"/>
      <c r="O292" s="7">
        <f t="shared" si="87"/>
        <v>3353454.0576794096</v>
      </c>
      <c r="P292" s="7">
        <f t="shared" si="88"/>
        <v>3336113.4278565473</v>
      </c>
      <c r="Q292" s="7">
        <f t="shared" si="89"/>
        <v>3346720.2141900933</v>
      </c>
      <c r="R292" s="7">
        <f t="shared" si="90"/>
        <v>3300602.3599306876</v>
      </c>
      <c r="T292" s="65" t="s">
        <v>68</v>
      </c>
      <c r="U292" s="7">
        <f t="shared" si="91"/>
        <v>2.9820000000000001E-7</v>
      </c>
      <c r="V292" s="7">
        <f t="shared" si="92"/>
        <v>2.9975000000000002E-7</v>
      </c>
      <c r="W292" s="7">
        <f t="shared" si="93"/>
        <v>2.988E-7</v>
      </c>
      <c r="X292" s="7">
        <f t="shared" si="94"/>
        <v>3.02975E-7</v>
      </c>
    </row>
    <row r="293" spans="1:24" x14ac:dyDescent="0.25">
      <c r="M293" s="65" t="s">
        <v>69</v>
      </c>
      <c r="N293" s="65"/>
      <c r="O293" s="7">
        <f t="shared" si="87"/>
        <v>3342245.9893048126</v>
      </c>
      <c r="P293" s="7">
        <f t="shared" si="88"/>
        <v>3320604.3499916987</v>
      </c>
      <c r="Q293" s="7">
        <f t="shared" si="89"/>
        <v>3342618.3844011142</v>
      </c>
      <c r="R293" s="7">
        <f t="shared" si="90"/>
        <v>3291639.2363396971</v>
      </c>
      <c r="T293" s="65" t="s">
        <v>69</v>
      </c>
      <c r="U293" s="7">
        <f t="shared" si="91"/>
        <v>2.9919999999999998E-7</v>
      </c>
      <c r="V293" s="7">
        <f t="shared" si="92"/>
        <v>3.0114999999999997E-7</v>
      </c>
      <c r="W293" s="7">
        <f t="shared" si="93"/>
        <v>2.9916666666666668E-7</v>
      </c>
      <c r="X293" s="7">
        <f t="shared" si="94"/>
        <v>3.0380000000000001E-7</v>
      </c>
    </row>
    <row r="294" spans="1:24" ht="15.75" x14ac:dyDescent="0.25">
      <c r="A294" s="24"/>
      <c r="B294" s="148" t="s">
        <v>96</v>
      </c>
      <c r="C294" s="162"/>
      <c r="D294" s="163"/>
      <c r="E294" s="148" t="s">
        <v>95</v>
      </c>
      <c r="F294" s="157"/>
      <c r="G294" s="158"/>
      <c r="I294" s="52" t="s">
        <v>127</v>
      </c>
      <c r="J294" s="52" t="s">
        <v>128</v>
      </c>
      <c r="K294" s="52" t="s">
        <v>129</v>
      </c>
      <c r="M294" s="6"/>
      <c r="N294" s="6"/>
      <c r="O294" s="12" t="s">
        <v>130</v>
      </c>
      <c r="P294" s="12" t="s">
        <v>131</v>
      </c>
      <c r="Q294" s="12" t="s">
        <v>133</v>
      </c>
      <c r="R294" s="12" t="s">
        <v>132</v>
      </c>
      <c r="T294" s="6"/>
      <c r="U294" s="12" t="s">
        <v>130</v>
      </c>
      <c r="V294" s="12" t="s">
        <v>131</v>
      </c>
      <c r="W294" s="12" t="s">
        <v>133</v>
      </c>
      <c r="X294" s="12" t="s">
        <v>132</v>
      </c>
    </row>
    <row r="295" spans="1:24" ht="15.75" x14ac:dyDescent="0.25">
      <c r="A295" s="25" t="s">
        <v>61</v>
      </c>
      <c r="B295" s="14" t="s">
        <v>62</v>
      </c>
      <c r="C295" s="14" t="s">
        <v>63</v>
      </c>
      <c r="D295" s="14" t="s">
        <v>64</v>
      </c>
      <c r="E295" s="12" t="s">
        <v>62</v>
      </c>
      <c r="F295" s="12" t="s">
        <v>65</v>
      </c>
      <c r="G295" s="12" t="s">
        <v>64</v>
      </c>
      <c r="I295" s="87">
        <f>E296-B296</f>
        <v>3.2379999999999995</v>
      </c>
      <c r="J295" s="87">
        <f>B303-E296</f>
        <v>3.2560000000000011</v>
      </c>
      <c r="K295" s="87">
        <f>E303-B303</f>
        <v>3.3989999999999991</v>
      </c>
      <c r="M295" s="65" t="s">
        <v>66</v>
      </c>
      <c r="N295" s="65"/>
      <c r="O295" s="6">
        <f>10000000/B296</f>
        <v>3255208.3333333335</v>
      </c>
      <c r="P295" s="6">
        <f>20000000/E296</f>
        <v>3169572.107765452</v>
      </c>
      <c r="Q295" s="6">
        <f>30000000/B303</f>
        <v>3136107.0457871626</v>
      </c>
      <c r="R295" s="6">
        <f>40000000/E303</f>
        <v>3085229.4639413808</v>
      </c>
      <c r="T295" s="65" t="s">
        <v>66</v>
      </c>
      <c r="U295" s="6">
        <f>B296/10000000</f>
        <v>3.072E-7</v>
      </c>
      <c r="V295" s="6">
        <f>E296/20000000</f>
        <v>3.1549999999999999E-7</v>
      </c>
      <c r="W295" s="6">
        <f>B303/30000000</f>
        <v>3.1886666666666668E-7</v>
      </c>
      <c r="X295" s="6">
        <f>E303/40000000</f>
        <v>3.24125E-7</v>
      </c>
    </row>
    <row r="296" spans="1:24" x14ac:dyDescent="0.25">
      <c r="A296" s="26" t="s">
        <v>66</v>
      </c>
      <c r="B296" s="17">
        <v>3.0720000000000001</v>
      </c>
      <c r="C296" s="17"/>
      <c r="D296" s="17"/>
      <c r="E296" s="29">
        <v>6.31</v>
      </c>
      <c r="F296" s="19"/>
      <c r="G296" s="19"/>
      <c r="I296" s="87">
        <f t="shared" ref="I296:I298" si="95">E297-B297</f>
        <v>3.1549999999999998</v>
      </c>
      <c r="J296" s="87">
        <f t="shared" ref="J296:J298" si="96">B304-E297</f>
        <v>3.035000000000001</v>
      </c>
      <c r="K296" s="87">
        <f t="shared" ref="K296:K298" si="97">E304-B304</f>
        <v>3.1199999999999992</v>
      </c>
      <c r="M296" s="65" t="s">
        <v>67</v>
      </c>
      <c r="N296" s="65"/>
      <c r="O296" s="6">
        <f t="shared" ref="O296:O298" si="98">10000000/B297</f>
        <v>3232062.0555914673</v>
      </c>
      <c r="P296" s="6">
        <f t="shared" ref="P296:P298" si="99">20000000/E297</f>
        <v>3200512.0819331096</v>
      </c>
      <c r="Q296" s="6">
        <f t="shared" ref="Q296:Q298" si="100">30000000/B304</f>
        <v>3231365.7906074966</v>
      </c>
      <c r="R296" s="6">
        <f t="shared" ref="R296:R298" si="101">40000000/E304</f>
        <v>3224766.2044501775</v>
      </c>
      <c r="T296" s="65" t="s">
        <v>67</v>
      </c>
      <c r="U296" s="6">
        <f t="shared" ref="U296:U298" si="102">B297/10000000</f>
        <v>3.094E-7</v>
      </c>
      <c r="V296" s="6">
        <f t="shared" ref="V296:V298" si="103">E297/20000000</f>
        <v>3.1244999999999997E-7</v>
      </c>
      <c r="W296" s="6">
        <f t="shared" ref="W296:W298" si="104">B304/30000000</f>
        <v>3.0946666666666671E-7</v>
      </c>
      <c r="X296" s="6">
        <f t="shared" ref="X296:X298" si="105">E304/40000000</f>
        <v>3.101E-7</v>
      </c>
    </row>
    <row r="297" spans="1:24" x14ac:dyDescent="0.25">
      <c r="A297" s="26" t="s">
        <v>67</v>
      </c>
      <c r="B297" s="17">
        <v>3.0939999999999999</v>
      </c>
      <c r="C297" s="17">
        <v>10000001</v>
      </c>
      <c r="D297" s="17"/>
      <c r="E297" s="29">
        <v>6.2489999999999997</v>
      </c>
      <c r="F297" s="19">
        <v>20000001</v>
      </c>
      <c r="G297" s="19"/>
      <c r="I297" s="87">
        <f t="shared" si="95"/>
        <v>3.1480000000000001</v>
      </c>
      <c r="J297" s="87">
        <f t="shared" si="96"/>
        <v>3.0469999999999997</v>
      </c>
      <c r="K297" s="87">
        <f t="shared" si="97"/>
        <v>3.0890000000000004</v>
      </c>
      <c r="M297" s="65" t="s">
        <v>68</v>
      </c>
      <c r="N297" s="65"/>
      <c r="O297" s="6">
        <f t="shared" si="98"/>
        <v>3232062.0555914673</v>
      </c>
      <c r="P297" s="6">
        <f t="shared" si="99"/>
        <v>3204101.2495994875</v>
      </c>
      <c r="Q297" s="6">
        <f t="shared" si="100"/>
        <v>3229626.4398751212</v>
      </c>
      <c r="R297" s="6">
        <f t="shared" si="101"/>
        <v>3231539.828728389</v>
      </c>
      <c r="T297" s="65" t="s">
        <v>68</v>
      </c>
      <c r="U297" s="6">
        <f t="shared" si="102"/>
        <v>3.094E-7</v>
      </c>
      <c r="V297" s="6">
        <f t="shared" si="103"/>
        <v>3.121E-7</v>
      </c>
      <c r="W297" s="6">
        <f t="shared" si="104"/>
        <v>3.0963333333333332E-7</v>
      </c>
      <c r="X297" s="6">
        <f t="shared" si="105"/>
        <v>3.0945000000000001E-7</v>
      </c>
    </row>
    <row r="298" spans="1:24" x14ac:dyDescent="0.25">
      <c r="A298" s="26" t="s">
        <v>68</v>
      </c>
      <c r="B298" s="17">
        <v>3.0939999999999999</v>
      </c>
      <c r="C298" s="17">
        <v>5012904</v>
      </c>
      <c r="D298" s="17">
        <v>1.2999999999999999E-3</v>
      </c>
      <c r="E298" s="29">
        <v>6.242</v>
      </c>
      <c r="F298" s="19">
        <v>10049773</v>
      </c>
      <c r="G298" s="19">
        <v>2.5000000000000001E-3</v>
      </c>
      <c r="I298" s="87">
        <f t="shared" si="95"/>
        <v>3.1580000000000004</v>
      </c>
      <c r="J298" s="87">
        <f t="shared" si="96"/>
        <v>3.0699999999999994</v>
      </c>
      <c r="K298" s="87">
        <f t="shared" si="97"/>
        <v>3.1400000000000006</v>
      </c>
      <c r="M298" s="65" t="s">
        <v>69</v>
      </c>
      <c r="N298" s="65"/>
      <c r="O298" s="6">
        <f t="shared" si="98"/>
        <v>3219575.0160978753</v>
      </c>
      <c r="P298" s="6">
        <f t="shared" si="99"/>
        <v>3192848.0204342273</v>
      </c>
      <c r="Q298" s="6">
        <f t="shared" si="100"/>
        <v>3214056.1388472253</v>
      </c>
      <c r="R298" s="6">
        <f t="shared" si="101"/>
        <v>3206669.8733365401</v>
      </c>
      <c r="T298" s="65" t="s">
        <v>69</v>
      </c>
      <c r="U298" s="6">
        <f t="shared" si="102"/>
        <v>3.1059999999999999E-7</v>
      </c>
      <c r="V298" s="6">
        <f t="shared" si="103"/>
        <v>3.1320000000000003E-7</v>
      </c>
      <c r="W298" s="6">
        <f t="shared" si="104"/>
        <v>3.1113333333333333E-7</v>
      </c>
      <c r="X298" s="6">
        <f t="shared" si="105"/>
        <v>3.1185000000000003E-7</v>
      </c>
    </row>
    <row r="299" spans="1:24" x14ac:dyDescent="0.25">
      <c r="A299" s="26" t="s">
        <v>69</v>
      </c>
      <c r="B299" s="17">
        <v>3.1059999999999999</v>
      </c>
      <c r="C299" s="17">
        <v>25801</v>
      </c>
      <c r="D299" s="17">
        <v>2.5999999999999999E-3</v>
      </c>
      <c r="E299" s="29">
        <v>6.2640000000000002</v>
      </c>
      <c r="F299" s="19">
        <v>99242</v>
      </c>
      <c r="G299" s="19">
        <v>5.0000000000000001E-3</v>
      </c>
    </row>
    <row r="300" spans="1:24" x14ac:dyDescent="0.25">
      <c r="A300" s="27"/>
    </row>
    <row r="301" spans="1:24" ht="15.75" x14ac:dyDescent="0.25">
      <c r="A301" s="24"/>
      <c r="B301" s="148" t="s">
        <v>94</v>
      </c>
      <c r="C301" s="157"/>
      <c r="D301" s="158"/>
      <c r="E301" s="148" t="s">
        <v>93</v>
      </c>
      <c r="F301" s="157"/>
      <c r="G301" s="158"/>
    </row>
    <row r="302" spans="1:24" ht="15.75" x14ac:dyDescent="0.25">
      <c r="A302" s="25" t="s">
        <v>61</v>
      </c>
      <c r="B302" s="15" t="s">
        <v>62</v>
      </c>
      <c r="C302" s="15" t="s">
        <v>63</v>
      </c>
      <c r="D302" s="15" t="s">
        <v>64</v>
      </c>
      <c r="E302" s="13" t="s">
        <v>62</v>
      </c>
      <c r="F302" s="13" t="s">
        <v>65</v>
      </c>
      <c r="G302" s="13" t="s">
        <v>64</v>
      </c>
    </row>
    <row r="303" spans="1:24" x14ac:dyDescent="0.25">
      <c r="A303" s="26" t="s">
        <v>66</v>
      </c>
      <c r="B303" s="16">
        <v>9.5660000000000007</v>
      </c>
      <c r="C303" s="16"/>
      <c r="D303" s="16"/>
      <c r="E303" s="18">
        <v>12.965</v>
      </c>
      <c r="F303" s="18"/>
      <c r="G303" s="18"/>
    </row>
    <row r="304" spans="1:24" x14ac:dyDescent="0.25">
      <c r="A304" s="26" t="s">
        <v>67</v>
      </c>
      <c r="B304" s="16">
        <v>9.2840000000000007</v>
      </c>
      <c r="C304" s="16">
        <v>30000001</v>
      </c>
      <c r="D304" s="16"/>
      <c r="E304" s="18">
        <v>12.404</v>
      </c>
      <c r="F304" s="18">
        <v>40000001</v>
      </c>
      <c r="G304" s="18"/>
    </row>
    <row r="305" spans="1:7" x14ac:dyDescent="0.25">
      <c r="A305" s="26" t="s">
        <v>68</v>
      </c>
      <c r="B305" s="16">
        <v>9.2889999999999997</v>
      </c>
      <c r="C305" s="16">
        <v>15111698</v>
      </c>
      <c r="D305" s="16">
        <v>3.7000000000000002E-3</v>
      </c>
      <c r="E305" s="18">
        <v>12.378</v>
      </c>
      <c r="F305" s="18">
        <v>20197276</v>
      </c>
      <c r="G305" s="18">
        <v>4.8999999999999998E-3</v>
      </c>
    </row>
    <row r="306" spans="1:7" x14ac:dyDescent="0.25">
      <c r="A306" s="26" t="s">
        <v>69</v>
      </c>
      <c r="B306" s="16">
        <v>9.3339999999999996</v>
      </c>
      <c r="C306" s="16">
        <v>222052</v>
      </c>
      <c r="D306" s="16">
        <v>7.4000000000000003E-3</v>
      </c>
      <c r="E306" s="18">
        <v>12.474</v>
      </c>
      <c r="F306" s="18">
        <v>394366</v>
      </c>
      <c r="G306" s="18">
        <v>9.9000000000000008E-3</v>
      </c>
    </row>
    <row r="310" spans="1:7" ht="18.75" x14ac:dyDescent="0.3">
      <c r="B310" s="166" t="s">
        <v>114</v>
      </c>
      <c r="C310" s="167"/>
      <c r="D310" s="167"/>
    </row>
    <row r="311" spans="1:7" ht="15.75" x14ac:dyDescent="0.25">
      <c r="A311" s="151" t="s">
        <v>105</v>
      </c>
      <c r="B311" s="151"/>
      <c r="C311" s="47"/>
      <c r="D311" s="48"/>
      <c r="E311" s="48"/>
    </row>
    <row r="312" spans="1:7" ht="15.75" x14ac:dyDescent="0.25">
      <c r="A312" s="22"/>
      <c r="B312" s="138" t="s">
        <v>93</v>
      </c>
      <c r="C312" s="152"/>
      <c r="D312" s="153"/>
      <c r="E312" s="49"/>
      <c r="F312" s="161"/>
      <c r="G312" s="161"/>
    </row>
    <row r="313" spans="1:7" ht="15.75" x14ac:dyDescent="0.25">
      <c r="A313" s="10" t="s">
        <v>61</v>
      </c>
      <c r="B313" s="14" t="s">
        <v>62</v>
      </c>
      <c r="C313" s="37" t="s">
        <v>63</v>
      </c>
      <c r="D313" s="14" t="s">
        <v>64</v>
      </c>
      <c r="E313" s="39"/>
      <c r="F313" s="41"/>
      <c r="G313" s="39"/>
    </row>
    <row r="314" spans="1:7" x14ac:dyDescent="0.25">
      <c r="A314" s="11" t="s">
        <v>66</v>
      </c>
      <c r="B314" s="17">
        <v>22.062999999999999</v>
      </c>
      <c r="C314" s="38"/>
      <c r="D314" s="28"/>
      <c r="E314" s="40"/>
      <c r="F314" s="40"/>
      <c r="G314" s="40"/>
    </row>
    <row r="315" spans="1:7" x14ac:dyDescent="0.25">
      <c r="A315" s="11" t="s">
        <v>67</v>
      </c>
      <c r="B315" s="17">
        <v>19.559999999999999</v>
      </c>
      <c r="C315" s="38">
        <v>40000001</v>
      </c>
      <c r="D315" s="28"/>
      <c r="E315" s="40"/>
      <c r="F315" s="40"/>
      <c r="G315" s="40"/>
    </row>
    <row r="316" spans="1:7" x14ac:dyDescent="0.25">
      <c r="A316" s="11" t="s">
        <v>68</v>
      </c>
      <c r="B316" s="17">
        <v>17.779</v>
      </c>
      <c r="C316" s="38">
        <v>23644987</v>
      </c>
      <c r="D316" s="28">
        <v>0.09</v>
      </c>
      <c r="E316" s="40"/>
      <c r="F316" s="40"/>
      <c r="G316" s="40"/>
    </row>
    <row r="317" spans="1:7" x14ac:dyDescent="0.25">
      <c r="A317" s="11" t="s">
        <v>69</v>
      </c>
      <c r="B317" s="17">
        <v>15.989000000000001</v>
      </c>
      <c r="C317" s="38">
        <v>7291441</v>
      </c>
      <c r="D317" s="28">
        <v>0.182</v>
      </c>
      <c r="E317" s="40"/>
      <c r="F317" s="40"/>
      <c r="G317" s="40"/>
    </row>
    <row r="320" spans="1:7" ht="15.75" x14ac:dyDescent="0.25">
      <c r="B320" s="47" t="s">
        <v>106</v>
      </c>
      <c r="C320" s="47"/>
      <c r="D320" s="48"/>
      <c r="E320" s="48"/>
    </row>
    <row r="321" spans="1:7" ht="15.75" x14ac:dyDescent="0.25">
      <c r="A321" s="22"/>
      <c r="B321" s="138" t="s">
        <v>93</v>
      </c>
      <c r="C321" s="152"/>
      <c r="D321" s="153"/>
      <c r="E321" s="49"/>
      <c r="F321" s="161"/>
      <c r="G321" s="161"/>
    </row>
    <row r="322" spans="1:7" ht="15.75" x14ac:dyDescent="0.25">
      <c r="A322" s="10" t="s">
        <v>61</v>
      </c>
      <c r="B322" s="14" t="s">
        <v>62</v>
      </c>
      <c r="C322" s="37" t="s">
        <v>63</v>
      </c>
      <c r="D322" s="14" t="s">
        <v>64</v>
      </c>
      <c r="E322" s="39"/>
      <c r="F322" s="41"/>
      <c r="G322" s="39"/>
    </row>
    <row r="323" spans="1:7" x14ac:dyDescent="0.25">
      <c r="A323" s="11" t="s">
        <v>66</v>
      </c>
      <c r="B323" s="17">
        <v>22.98</v>
      </c>
      <c r="C323" s="38"/>
      <c r="D323" s="28"/>
      <c r="E323" s="40"/>
      <c r="F323" s="40"/>
      <c r="G323" s="40"/>
    </row>
    <row r="324" spans="1:7" x14ac:dyDescent="0.25">
      <c r="A324" s="11" t="s">
        <v>67</v>
      </c>
      <c r="B324" s="17">
        <v>20.016999999999999</v>
      </c>
      <c r="C324" s="38">
        <v>40000001</v>
      </c>
      <c r="D324" s="28"/>
      <c r="E324" s="40"/>
      <c r="F324" s="40"/>
      <c r="G324" s="40"/>
    </row>
    <row r="325" spans="1:7" x14ac:dyDescent="0.25">
      <c r="A325" s="11" t="s">
        <v>68</v>
      </c>
      <c r="B325" s="17">
        <v>17.603000000000002</v>
      </c>
      <c r="C325" s="38">
        <v>21144515</v>
      </c>
      <c r="D325" s="28">
        <v>2.9000000000000001E-2</v>
      </c>
      <c r="E325" s="40"/>
      <c r="F325" s="40"/>
      <c r="G325" s="40"/>
    </row>
    <row r="326" spans="1:7" x14ac:dyDescent="0.25">
      <c r="A326" s="11" t="s">
        <v>69</v>
      </c>
      <c r="B326" s="17">
        <v>15.233000000000001</v>
      </c>
      <c r="C326" s="38">
        <v>2288958</v>
      </c>
      <c r="D326" s="28">
        <v>5.7000000000000002E-2</v>
      </c>
      <c r="E326" s="40"/>
      <c r="F326" s="40"/>
      <c r="G326" s="40"/>
    </row>
    <row r="329" spans="1:7" ht="15.75" x14ac:dyDescent="0.25">
      <c r="B329" s="47" t="s">
        <v>107</v>
      </c>
      <c r="C329" s="47"/>
      <c r="D329" s="48"/>
      <c r="E329" s="48"/>
    </row>
    <row r="330" spans="1:7" ht="15.75" x14ac:dyDescent="0.25">
      <c r="A330" s="22"/>
      <c r="B330" s="138" t="s">
        <v>93</v>
      </c>
      <c r="C330" s="152"/>
      <c r="D330" s="153"/>
      <c r="E330" s="49"/>
      <c r="F330" s="161"/>
      <c r="G330" s="161"/>
    </row>
    <row r="331" spans="1:7" ht="15.75" x14ac:dyDescent="0.25">
      <c r="A331" s="10" t="s">
        <v>61</v>
      </c>
      <c r="B331" s="14" t="s">
        <v>62</v>
      </c>
      <c r="C331" s="37" t="s">
        <v>63</v>
      </c>
      <c r="D331" s="14" t="s">
        <v>64</v>
      </c>
      <c r="E331" s="39"/>
      <c r="F331" s="41"/>
      <c r="G331" s="39"/>
    </row>
    <row r="332" spans="1:7" x14ac:dyDescent="0.25">
      <c r="A332" s="11" t="s">
        <v>66</v>
      </c>
      <c r="B332" s="17">
        <v>23.808</v>
      </c>
      <c r="C332" s="38"/>
      <c r="D332" s="28"/>
      <c r="E332" s="40"/>
      <c r="F332" s="40"/>
      <c r="G332" s="40"/>
    </row>
    <row r="333" spans="1:7" x14ac:dyDescent="0.25">
      <c r="A333" s="11" t="s">
        <v>67</v>
      </c>
      <c r="B333" s="17">
        <v>20.623000000000001</v>
      </c>
      <c r="C333" s="38">
        <v>40000001</v>
      </c>
      <c r="D333" s="28"/>
      <c r="E333" s="40"/>
      <c r="F333" s="40"/>
      <c r="G333" s="40"/>
    </row>
    <row r="334" spans="1:7" x14ac:dyDescent="0.25">
      <c r="A334" s="11" t="s">
        <v>68</v>
      </c>
      <c r="B334" s="17">
        <v>17.734999999999999</v>
      </c>
      <c r="C334" s="38">
        <v>20129418</v>
      </c>
      <c r="D334" s="28">
        <v>3.2000000000000002E-3</v>
      </c>
      <c r="E334" s="40"/>
      <c r="F334" s="40"/>
      <c r="G334" s="40"/>
    </row>
    <row r="335" spans="1:7" x14ac:dyDescent="0.25">
      <c r="A335" s="11" t="s">
        <v>69</v>
      </c>
      <c r="B335" s="17">
        <v>14.89</v>
      </c>
      <c r="C335" s="38">
        <v>259889</v>
      </c>
      <c r="D335" s="28">
        <v>6.4999999999999997E-3</v>
      </c>
      <c r="E335" s="40"/>
      <c r="F335" s="40"/>
      <c r="G335" s="40"/>
    </row>
    <row r="338" spans="1:24" ht="15.75" x14ac:dyDescent="0.25">
      <c r="A338" s="151" t="s">
        <v>108</v>
      </c>
      <c r="B338" s="151"/>
      <c r="C338" s="151"/>
      <c r="D338" s="151"/>
      <c r="E338" s="151"/>
      <c r="F338" s="151"/>
      <c r="G338" s="151"/>
    </row>
    <row r="339" spans="1:24" ht="18.75" x14ac:dyDescent="0.3">
      <c r="A339" s="20"/>
      <c r="B339" s="145" t="s">
        <v>101</v>
      </c>
      <c r="C339" s="146"/>
      <c r="D339" s="147"/>
      <c r="E339" s="145" t="s">
        <v>102</v>
      </c>
      <c r="F339" s="146"/>
      <c r="G339" s="147"/>
      <c r="I339" s="52" t="s">
        <v>127</v>
      </c>
      <c r="J339" s="52" t="s">
        <v>128</v>
      </c>
      <c r="K339" s="52" t="s">
        <v>129</v>
      </c>
      <c r="T339" s="6"/>
      <c r="U339" s="136" t="s">
        <v>174</v>
      </c>
      <c r="V339" s="136"/>
      <c r="W339" s="136"/>
      <c r="X339" s="136"/>
    </row>
    <row r="340" spans="1:24" ht="15.75" x14ac:dyDescent="0.25">
      <c r="A340" s="8" t="s">
        <v>61</v>
      </c>
      <c r="B340" s="14" t="s">
        <v>62</v>
      </c>
      <c r="C340" s="14" t="s">
        <v>63</v>
      </c>
      <c r="D340" s="14" t="s">
        <v>64</v>
      </c>
      <c r="E340" s="12" t="s">
        <v>62</v>
      </c>
      <c r="F340" s="12" t="s">
        <v>65</v>
      </c>
      <c r="G340" s="12" t="s">
        <v>64</v>
      </c>
      <c r="I340" s="87">
        <f>E341-B341</f>
        <v>5.5659999999999998</v>
      </c>
      <c r="J340" s="87">
        <f>B348-E341</f>
        <v>5.6769999999999996</v>
      </c>
      <c r="K340" s="87">
        <f>E348-B348</f>
        <v>5.843</v>
      </c>
      <c r="T340" s="6"/>
      <c r="U340" s="12" t="s">
        <v>134</v>
      </c>
      <c r="V340" s="12" t="s">
        <v>135</v>
      </c>
      <c r="W340" s="12" t="s">
        <v>136</v>
      </c>
      <c r="X340" s="12" t="s">
        <v>137</v>
      </c>
    </row>
    <row r="341" spans="1:24" x14ac:dyDescent="0.25">
      <c r="A341" s="9" t="s">
        <v>66</v>
      </c>
      <c r="B341" s="17">
        <v>5.28</v>
      </c>
      <c r="C341" s="17"/>
      <c r="D341" s="17"/>
      <c r="E341" s="19">
        <v>10.846</v>
      </c>
      <c r="F341" s="19"/>
      <c r="G341" s="19"/>
      <c r="I341" s="87">
        <f t="shared" ref="I341:I343" si="106">E342-B342</f>
        <v>4.8070000000000013</v>
      </c>
      <c r="J341" s="87">
        <f t="shared" ref="J341:J343" si="107">B349-E342</f>
        <v>4.8509999999999991</v>
      </c>
      <c r="K341" s="87">
        <f t="shared" ref="K341:K343" si="108">E349-B349</f>
        <v>4.8159999999999989</v>
      </c>
      <c r="T341" s="65" t="s">
        <v>66</v>
      </c>
      <c r="U341" s="7">
        <f>180/B341</f>
        <v>34.090909090909086</v>
      </c>
      <c r="V341" s="7">
        <f>360/E341</f>
        <v>33.191960169647793</v>
      </c>
      <c r="W341" s="7">
        <f>540/B348</f>
        <v>32.681716395327726</v>
      </c>
      <c r="X341" s="6">
        <f>720/E348</f>
        <v>32.191719574353932</v>
      </c>
    </row>
    <row r="342" spans="1:24" ht="18.75" x14ac:dyDescent="0.3">
      <c r="A342" s="9" t="s">
        <v>67</v>
      </c>
      <c r="B342" s="17">
        <v>4.8099999999999996</v>
      </c>
      <c r="C342" s="17">
        <v>10000001</v>
      </c>
      <c r="D342" s="17"/>
      <c r="E342" s="19">
        <v>9.6170000000000009</v>
      </c>
      <c r="F342" s="19">
        <v>20000001</v>
      </c>
      <c r="G342" s="19"/>
      <c r="I342" s="87">
        <f t="shared" si="106"/>
        <v>4.0380000000000003</v>
      </c>
      <c r="J342" s="87">
        <f t="shared" si="107"/>
        <v>4.2530000000000001</v>
      </c>
      <c r="K342" s="87">
        <f t="shared" si="108"/>
        <v>4.093</v>
      </c>
      <c r="M342" s="141" t="s">
        <v>173</v>
      </c>
      <c r="N342" s="141"/>
      <c r="O342" s="141"/>
      <c r="P342" s="141"/>
      <c r="Q342" s="141"/>
      <c r="R342" s="141"/>
      <c r="T342" s="65" t="s">
        <v>67</v>
      </c>
      <c r="U342" s="7">
        <f t="shared" ref="U342:U344" si="109">180/B342</f>
        <v>37.422037422037427</v>
      </c>
      <c r="V342" s="7">
        <f t="shared" ref="V342:V344" si="110">360/E342</f>
        <v>37.433711136529062</v>
      </c>
      <c r="W342" s="7">
        <f t="shared" ref="W342:W344" si="111">540/B349</f>
        <v>37.323748963229193</v>
      </c>
      <c r="X342" s="6">
        <f t="shared" ref="X342:X343" si="112">720/E349</f>
        <v>37.336652146857503</v>
      </c>
    </row>
    <row r="343" spans="1:24" ht="21" x14ac:dyDescent="0.3">
      <c r="A343" s="9" t="s">
        <v>68</v>
      </c>
      <c r="B343" s="17">
        <v>3.8690000000000002</v>
      </c>
      <c r="C343" s="17">
        <v>5000000</v>
      </c>
      <c r="D343" s="17">
        <v>0</v>
      </c>
      <c r="E343" s="19">
        <v>7.907</v>
      </c>
      <c r="F343" s="19">
        <v>10000051</v>
      </c>
      <c r="G343" s="19" t="s">
        <v>117</v>
      </c>
      <c r="I343" s="87">
        <f t="shared" si="106"/>
        <v>3.2439999999999998</v>
      </c>
      <c r="J343" s="87">
        <f t="shared" si="107"/>
        <v>3.5950000000000006</v>
      </c>
      <c r="K343" s="87">
        <f t="shared" si="108"/>
        <v>3.484</v>
      </c>
      <c r="M343" s="6"/>
      <c r="N343" s="6"/>
      <c r="O343" s="12" t="s">
        <v>134</v>
      </c>
      <c r="P343" s="12" t="s">
        <v>135</v>
      </c>
      <c r="Q343" s="12" t="s">
        <v>136</v>
      </c>
      <c r="R343" s="12" t="s">
        <v>137</v>
      </c>
      <c r="T343" s="65" t="s">
        <v>68</v>
      </c>
      <c r="U343" s="7">
        <f t="shared" si="109"/>
        <v>46.523649521840269</v>
      </c>
      <c r="V343" s="7">
        <f t="shared" si="110"/>
        <v>45.529277855065132</v>
      </c>
      <c r="W343" s="7">
        <f t="shared" si="111"/>
        <v>44.407894736842103</v>
      </c>
      <c r="X343" s="6">
        <f t="shared" si="112"/>
        <v>44.299513935888761</v>
      </c>
    </row>
    <row r="344" spans="1:24" ht="21" x14ac:dyDescent="0.3">
      <c r="A344" s="9" t="s">
        <v>69</v>
      </c>
      <c r="B344" s="17">
        <v>2.91</v>
      </c>
      <c r="C344" s="17">
        <v>0</v>
      </c>
      <c r="D344" s="17">
        <v>0</v>
      </c>
      <c r="E344" s="19">
        <v>6.1539999999999999</v>
      </c>
      <c r="F344" s="19">
        <v>87</v>
      </c>
      <c r="G344" s="19" t="s">
        <v>118</v>
      </c>
      <c r="M344" s="63" t="s">
        <v>67</v>
      </c>
      <c r="N344" s="63"/>
      <c r="O344" s="7">
        <v>1</v>
      </c>
      <c r="P344" s="7">
        <v>1</v>
      </c>
      <c r="Q344" s="7">
        <v>1</v>
      </c>
      <c r="R344" s="7">
        <v>1</v>
      </c>
      <c r="T344" s="65" t="s">
        <v>69</v>
      </c>
      <c r="U344" s="7">
        <f t="shared" si="109"/>
        <v>61.855670103092784</v>
      </c>
      <c r="V344" s="7">
        <f t="shared" si="110"/>
        <v>58.498537536561585</v>
      </c>
      <c r="W344" s="7">
        <f t="shared" si="111"/>
        <v>55.390296440660578</v>
      </c>
      <c r="X344" s="6">
        <f>720/E351</f>
        <v>54.409430968034457</v>
      </c>
    </row>
    <row r="345" spans="1:24" ht="15.75" x14ac:dyDescent="0.25">
      <c r="A345" s="21"/>
      <c r="I345" s="66"/>
      <c r="J345" s="66"/>
      <c r="K345" s="66"/>
      <c r="M345" s="63" t="s">
        <v>68</v>
      </c>
      <c r="N345" s="63"/>
      <c r="O345" s="7">
        <f>1-D343</f>
        <v>1</v>
      </c>
      <c r="P345" s="7">
        <v>0.99999740000000004</v>
      </c>
      <c r="Q345" s="7">
        <v>0.99993699999999996</v>
      </c>
      <c r="R345" s="7">
        <f>1-G350</f>
        <v>0.99950000000000006</v>
      </c>
      <c r="T345" s="6"/>
      <c r="U345" s="12" t="s">
        <v>138</v>
      </c>
      <c r="V345" s="12" t="s">
        <v>139</v>
      </c>
      <c r="W345" s="12" t="s">
        <v>140</v>
      </c>
      <c r="X345" s="12" t="s">
        <v>141</v>
      </c>
    </row>
    <row r="346" spans="1:24" ht="15.75" x14ac:dyDescent="0.25">
      <c r="A346" s="20"/>
      <c r="B346" s="145" t="s">
        <v>100</v>
      </c>
      <c r="C346" s="159"/>
      <c r="D346" s="160"/>
      <c r="E346" s="145" t="s">
        <v>99</v>
      </c>
      <c r="F346" s="146"/>
      <c r="G346" s="147"/>
      <c r="I346" s="91"/>
      <c r="J346" s="91"/>
      <c r="K346" s="91"/>
      <c r="M346" s="63" t="s">
        <v>69</v>
      </c>
      <c r="N346" s="63"/>
      <c r="O346" s="7">
        <f>1-D344</f>
        <v>1</v>
      </c>
      <c r="P346" s="7">
        <v>0.99999559999999998</v>
      </c>
      <c r="Q346" s="7">
        <v>0.99987400000000004</v>
      </c>
      <c r="R346" s="7">
        <f>1-G351</f>
        <v>0.999</v>
      </c>
      <c r="T346" s="65" t="s">
        <v>66</v>
      </c>
      <c r="U346" s="7">
        <f>250/B356</f>
        <v>44.610992148465378</v>
      </c>
      <c r="V346" s="7">
        <f>500/E356</f>
        <v>43.836577240049095</v>
      </c>
      <c r="W346" s="7">
        <f>750/B363</f>
        <v>43.039136921840928</v>
      </c>
      <c r="X346" s="7">
        <f>1000/E363</f>
        <v>42.542329617969877</v>
      </c>
    </row>
    <row r="347" spans="1:24" ht="15.75" x14ac:dyDescent="0.25">
      <c r="A347" s="8" t="s">
        <v>61</v>
      </c>
      <c r="B347" s="15" t="s">
        <v>62</v>
      </c>
      <c r="C347" s="15" t="s">
        <v>63</v>
      </c>
      <c r="D347" s="15" t="s">
        <v>64</v>
      </c>
      <c r="E347" s="13" t="s">
        <v>62</v>
      </c>
      <c r="F347" s="13" t="s">
        <v>65</v>
      </c>
      <c r="G347" s="13" t="s">
        <v>64</v>
      </c>
      <c r="I347" s="66"/>
      <c r="J347" s="66"/>
      <c r="K347" s="66"/>
      <c r="M347" s="6"/>
      <c r="N347" s="6"/>
      <c r="O347" s="12" t="s">
        <v>138</v>
      </c>
      <c r="P347" s="12" t="s">
        <v>139</v>
      </c>
      <c r="Q347" s="12" t="s">
        <v>140</v>
      </c>
      <c r="R347" s="12" t="s">
        <v>141</v>
      </c>
      <c r="T347" s="65" t="s">
        <v>67</v>
      </c>
      <c r="U347" s="7">
        <f t="shared" ref="U347:U349" si="113">250/B357</f>
        <v>48.638132295719849</v>
      </c>
      <c r="V347" s="7">
        <f t="shared" ref="V347:V349" si="114">500/E357</f>
        <v>49.40711462450593</v>
      </c>
      <c r="W347" s="7">
        <f t="shared" ref="W347:W349" si="115">750/B364</f>
        <v>49.02922141596391</v>
      </c>
      <c r="X347" s="7">
        <f t="shared" ref="X347:X349" si="116">1000/E364</f>
        <v>49.022010882886413</v>
      </c>
    </row>
    <row r="348" spans="1:24" x14ac:dyDescent="0.25">
      <c r="A348" s="9" t="s">
        <v>66</v>
      </c>
      <c r="B348" s="16">
        <v>16.523</v>
      </c>
      <c r="C348" s="16"/>
      <c r="D348" s="16"/>
      <c r="E348" s="18">
        <v>22.366</v>
      </c>
      <c r="F348" s="18"/>
      <c r="G348" s="18"/>
      <c r="M348" s="63" t="s">
        <v>67</v>
      </c>
      <c r="N348" s="63"/>
      <c r="O348" s="7">
        <v>1</v>
      </c>
      <c r="P348" s="7">
        <v>1</v>
      </c>
      <c r="Q348" s="7">
        <v>1</v>
      </c>
      <c r="R348" s="7">
        <v>1</v>
      </c>
      <c r="T348" s="65" t="s">
        <v>68</v>
      </c>
      <c r="U348" s="7">
        <f t="shared" si="113"/>
        <v>59.665871121718375</v>
      </c>
      <c r="V348" s="7">
        <f t="shared" si="114"/>
        <v>58.934464875058936</v>
      </c>
      <c r="W348" s="7">
        <f t="shared" si="115"/>
        <v>57.081969708501411</v>
      </c>
      <c r="X348" s="7">
        <f t="shared" si="116"/>
        <v>57.494394296556081</v>
      </c>
    </row>
    <row r="349" spans="1:24" x14ac:dyDescent="0.25">
      <c r="A349" s="9" t="s">
        <v>67</v>
      </c>
      <c r="B349" s="16">
        <v>14.468</v>
      </c>
      <c r="C349" s="16">
        <v>30000001</v>
      </c>
      <c r="D349" s="16"/>
      <c r="E349" s="18">
        <v>19.283999999999999</v>
      </c>
      <c r="F349" s="18">
        <v>40000001</v>
      </c>
      <c r="G349" s="18"/>
      <c r="M349" s="63" t="s">
        <v>68</v>
      </c>
      <c r="N349" s="63"/>
      <c r="O349" s="7">
        <f>1-D359</f>
        <v>1</v>
      </c>
      <c r="P349" s="7">
        <v>0.99999729999999998</v>
      </c>
      <c r="Q349" s="7">
        <v>0.99993699999999996</v>
      </c>
      <c r="R349" s="7">
        <f>1-G365</f>
        <v>0.99950000000000006</v>
      </c>
      <c r="T349" s="65" t="s">
        <v>69</v>
      </c>
      <c r="U349" s="7">
        <f t="shared" si="113"/>
        <v>76.92307692307692</v>
      </c>
      <c r="V349" s="7">
        <f t="shared" si="114"/>
        <v>74.107010523195498</v>
      </c>
      <c r="W349" s="7">
        <f t="shared" si="115"/>
        <v>70.165590794274493</v>
      </c>
      <c r="X349" s="7">
        <f t="shared" si="116"/>
        <v>69.362558091142404</v>
      </c>
    </row>
    <row r="350" spans="1:24" ht="21" x14ac:dyDescent="0.3">
      <c r="A350" s="9" t="s">
        <v>68</v>
      </c>
      <c r="B350" s="16">
        <v>12.16</v>
      </c>
      <c r="C350" s="16">
        <v>15001888</v>
      </c>
      <c r="D350" s="16" t="s">
        <v>116</v>
      </c>
      <c r="E350" s="18">
        <v>16.253</v>
      </c>
      <c r="F350" s="18">
        <v>20020398</v>
      </c>
      <c r="G350" s="18">
        <v>5.0000000000000001E-4</v>
      </c>
      <c r="M350" s="63" t="s">
        <v>69</v>
      </c>
      <c r="N350" s="63"/>
      <c r="O350" s="7">
        <v>1</v>
      </c>
      <c r="P350" s="7">
        <v>0.99999479999999996</v>
      </c>
      <c r="Q350" s="7">
        <v>0.99987300000000001</v>
      </c>
      <c r="R350" s="7">
        <f>1-G366</f>
        <v>0.999</v>
      </c>
      <c r="T350" s="6"/>
      <c r="U350" s="12" t="s">
        <v>130</v>
      </c>
      <c r="V350" s="12" t="s">
        <v>131</v>
      </c>
      <c r="W350" s="12" t="s">
        <v>133</v>
      </c>
      <c r="X350" s="12" t="s">
        <v>132</v>
      </c>
    </row>
    <row r="351" spans="1:24" ht="21" x14ac:dyDescent="0.3">
      <c r="A351" s="9" t="s">
        <v>69</v>
      </c>
      <c r="B351" s="16">
        <v>9.7490000000000006</v>
      </c>
      <c r="C351" s="16">
        <v>3781</v>
      </c>
      <c r="D351" s="16" t="s">
        <v>115</v>
      </c>
      <c r="E351" s="18">
        <v>13.233000000000001</v>
      </c>
      <c r="F351" s="18">
        <v>40725</v>
      </c>
      <c r="G351" s="18">
        <v>1E-3</v>
      </c>
      <c r="M351" s="6"/>
      <c r="N351" s="6"/>
      <c r="O351" s="12" t="s">
        <v>130</v>
      </c>
      <c r="P351" s="12" t="s">
        <v>131</v>
      </c>
      <c r="Q351" s="12" t="s">
        <v>133</v>
      </c>
      <c r="R351" s="12" t="s">
        <v>132</v>
      </c>
      <c r="T351" s="65" t="s">
        <v>66</v>
      </c>
      <c r="U351" s="6">
        <f>300/B371</f>
        <v>52.770448548812666</v>
      </c>
      <c r="V351" s="6">
        <f>600/E371</f>
        <v>51.675135647231073</v>
      </c>
      <c r="W351" s="6">
        <f>900/B378</f>
        <v>50.684237202230101</v>
      </c>
      <c r="X351" s="6">
        <f>1200/E378</f>
        <v>50.104384133611696</v>
      </c>
    </row>
    <row r="352" spans="1:24" x14ac:dyDescent="0.25">
      <c r="M352" s="63" t="s">
        <v>67</v>
      </c>
      <c r="N352" s="63"/>
      <c r="O352" s="7">
        <v>1</v>
      </c>
      <c r="P352" s="7">
        <v>1</v>
      </c>
      <c r="Q352" s="7">
        <v>1</v>
      </c>
      <c r="R352" s="7">
        <v>1</v>
      </c>
      <c r="T352" s="65" t="s">
        <v>67</v>
      </c>
      <c r="U352" s="6">
        <f t="shared" ref="U352:U354" si="117">300/B372</f>
        <v>57.416267942583737</v>
      </c>
      <c r="V352" s="6">
        <f t="shared" ref="V352:V354" si="118">600/E372</f>
        <v>57.372346528973033</v>
      </c>
      <c r="W352" s="6">
        <f t="shared" ref="W352:W354" si="119">900/B379</f>
        <v>57.482276298141407</v>
      </c>
      <c r="X352" s="6">
        <f t="shared" ref="X352:X354" si="120">1200/E379</f>
        <v>57.562239171103755</v>
      </c>
    </row>
    <row r="353" spans="1:24" x14ac:dyDescent="0.25">
      <c r="M353" s="63" t="s">
        <v>68</v>
      </c>
      <c r="N353" s="63"/>
      <c r="O353" s="7">
        <f>1-D373</f>
        <v>1</v>
      </c>
      <c r="P353" s="7">
        <v>0.99999800000000005</v>
      </c>
      <c r="Q353" s="7">
        <v>0.99994000000000005</v>
      </c>
      <c r="R353" s="6">
        <f>1-G380</f>
        <v>0.99948999999999999</v>
      </c>
      <c r="T353" s="65" t="s">
        <v>68</v>
      </c>
      <c r="U353" s="6">
        <f t="shared" si="117"/>
        <v>70.126227208976161</v>
      </c>
      <c r="V353" s="6">
        <f t="shared" si="118"/>
        <v>68.933823529411754</v>
      </c>
      <c r="W353" s="6">
        <f t="shared" si="119"/>
        <v>67.755778062184746</v>
      </c>
      <c r="X353" s="6">
        <f t="shared" si="120"/>
        <v>67.351405960599422</v>
      </c>
    </row>
    <row r="354" spans="1:24" ht="15.75" x14ac:dyDescent="0.25">
      <c r="A354" s="22"/>
      <c r="B354" s="138" t="s">
        <v>97</v>
      </c>
      <c r="C354" s="139"/>
      <c r="D354" s="140"/>
      <c r="E354" s="138" t="s">
        <v>98</v>
      </c>
      <c r="F354" s="139"/>
      <c r="G354" s="140"/>
      <c r="I354" s="52" t="s">
        <v>127</v>
      </c>
      <c r="J354" s="52" t="s">
        <v>128</v>
      </c>
      <c r="K354" s="52" t="s">
        <v>129</v>
      </c>
      <c r="M354" s="63" t="s">
        <v>69</v>
      </c>
      <c r="N354" s="63"/>
      <c r="O354" s="7">
        <f>1-D374</f>
        <v>1</v>
      </c>
      <c r="P354" s="7">
        <v>0.99999539999999998</v>
      </c>
      <c r="Q354" s="7">
        <v>0.99987999999999999</v>
      </c>
      <c r="R354" s="6">
        <f>1-G381</f>
        <v>0.999</v>
      </c>
      <c r="T354" s="65" t="s">
        <v>69</v>
      </c>
      <c r="U354" s="6">
        <f t="shared" si="117"/>
        <v>90.198436560432953</v>
      </c>
      <c r="V354" s="6">
        <f t="shared" si="118"/>
        <v>86.033839977057639</v>
      </c>
      <c r="W354" s="6">
        <f t="shared" si="119"/>
        <v>82.941664362731544</v>
      </c>
      <c r="X354" s="6">
        <f t="shared" si="120"/>
        <v>81.179813286429436</v>
      </c>
    </row>
    <row r="355" spans="1:24" ht="15.75" x14ac:dyDescent="0.25">
      <c r="A355" s="10" t="s">
        <v>61</v>
      </c>
      <c r="B355" s="14" t="s">
        <v>62</v>
      </c>
      <c r="C355" s="14" t="s">
        <v>63</v>
      </c>
      <c r="D355" s="14" t="s">
        <v>64</v>
      </c>
      <c r="E355" s="12" t="s">
        <v>62</v>
      </c>
      <c r="F355" s="12" t="s">
        <v>65</v>
      </c>
      <c r="G355" s="12" t="s">
        <v>64</v>
      </c>
      <c r="I355" s="87">
        <f>E356-B356</f>
        <v>5.8020000000000005</v>
      </c>
      <c r="J355" s="87">
        <f>B363-E356</f>
        <v>6.0199999999999978</v>
      </c>
      <c r="K355" s="87">
        <f>E363-B363</f>
        <v>6.0800000000000018</v>
      </c>
    </row>
    <row r="356" spans="1:24" x14ac:dyDescent="0.25">
      <c r="A356" s="11" t="s">
        <v>66</v>
      </c>
      <c r="B356" s="28">
        <v>5.6040000000000001</v>
      </c>
      <c r="C356" s="36"/>
      <c r="D356" s="17"/>
      <c r="E356" s="29">
        <v>11.406000000000001</v>
      </c>
      <c r="F356" s="19"/>
      <c r="G356" s="19"/>
      <c r="I356" s="87">
        <f t="shared" ref="I356:I358" si="121">E357-B357</f>
        <v>4.9799999999999995</v>
      </c>
      <c r="J356" s="87">
        <f t="shared" ref="J356:J358" si="122">B364-E357</f>
        <v>5.1770000000000014</v>
      </c>
      <c r="K356" s="87">
        <f t="shared" ref="K356:K358" si="123">E364-B364</f>
        <v>5.1020000000000003</v>
      </c>
    </row>
    <row r="357" spans="1:24" x14ac:dyDescent="0.25">
      <c r="A357" s="11" t="s">
        <v>67</v>
      </c>
      <c r="B357" s="28">
        <v>5.14</v>
      </c>
      <c r="C357" s="17">
        <v>10000001</v>
      </c>
      <c r="D357" s="36"/>
      <c r="E357" s="29">
        <v>10.119999999999999</v>
      </c>
      <c r="F357" s="19">
        <v>20000001</v>
      </c>
      <c r="G357" s="19"/>
      <c r="I357" s="87">
        <f t="shared" si="121"/>
        <v>4.2939999999999996</v>
      </c>
      <c r="J357" s="87">
        <f t="shared" si="122"/>
        <v>4.6549999999999994</v>
      </c>
      <c r="K357" s="87">
        <f t="shared" si="123"/>
        <v>4.2540000000000013</v>
      </c>
    </row>
    <row r="358" spans="1:24" ht="21" x14ac:dyDescent="0.3">
      <c r="A358" s="11" t="s">
        <v>68</v>
      </c>
      <c r="B358" s="28">
        <v>4.1900000000000004</v>
      </c>
      <c r="C358" s="17">
        <v>5000000</v>
      </c>
      <c r="D358" s="17">
        <v>0</v>
      </c>
      <c r="E358" s="29">
        <v>8.484</v>
      </c>
      <c r="F358" s="19">
        <v>10000054</v>
      </c>
      <c r="G358" s="19" t="s">
        <v>119</v>
      </c>
      <c r="I358" s="87">
        <f t="shared" si="121"/>
        <v>3.4969999999999999</v>
      </c>
      <c r="J358" s="87">
        <f t="shared" si="122"/>
        <v>3.9420000000000002</v>
      </c>
      <c r="K358" s="87">
        <f t="shared" si="123"/>
        <v>3.7279999999999998</v>
      </c>
      <c r="M358" s="141" t="s">
        <v>176</v>
      </c>
      <c r="N358" s="141"/>
      <c r="O358" s="141"/>
      <c r="P358" s="141"/>
      <c r="Q358" s="141"/>
      <c r="R358" s="141"/>
      <c r="T358" s="142" t="s">
        <v>191</v>
      </c>
      <c r="U358" s="143"/>
      <c r="V358" s="143"/>
      <c r="W358" s="143"/>
      <c r="X358" s="144"/>
    </row>
    <row r="359" spans="1:24" ht="21" x14ac:dyDescent="0.3">
      <c r="A359" s="11" t="s">
        <v>69</v>
      </c>
      <c r="B359" s="28">
        <v>3.25</v>
      </c>
      <c r="C359" s="17">
        <v>0</v>
      </c>
      <c r="D359" s="17">
        <v>0</v>
      </c>
      <c r="E359" s="29">
        <v>6.7469999999999999</v>
      </c>
      <c r="F359" s="19">
        <v>104</v>
      </c>
      <c r="G359" s="19" t="s">
        <v>120</v>
      </c>
      <c r="M359" s="6"/>
      <c r="N359" s="6"/>
      <c r="O359" s="12" t="s">
        <v>134</v>
      </c>
      <c r="P359" s="12" t="s">
        <v>135</v>
      </c>
      <c r="Q359" s="12" t="s">
        <v>136</v>
      </c>
      <c r="R359" s="12" t="s">
        <v>137</v>
      </c>
      <c r="T359" s="6"/>
      <c r="U359" s="12" t="s">
        <v>134</v>
      </c>
      <c r="V359" s="12" t="s">
        <v>135</v>
      </c>
      <c r="W359" s="12" t="s">
        <v>136</v>
      </c>
      <c r="X359" s="12" t="s">
        <v>137</v>
      </c>
    </row>
    <row r="360" spans="1:24" x14ac:dyDescent="0.25">
      <c r="A360" s="23"/>
      <c r="M360" s="65" t="s">
        <v>66</v>
      </c>
      <c r="N360" s="65"/>
      <c r="O360" s="7">
        <f>10000000/B341</f>
        <v>1893939.3939393938</v>
      </c>
      <c r="P360" s="7">
        <f>20000000/E341</f>
        <v>1843997.7872026553</v>
      </c>
      <c r="Q360" s="7">
        <f>30000000/B348</f>
        <v>1815650.9108515403</v>
      </c>
      <c r="R360" s="6">
        <f>40000000/E348</f>
        <v>1788428.865241885</v>
      </c>
      <c r="T360" s="65" t="s">
        <v>66</v>
      </c>
      <c r="U360" s="7">
        <f>B341/10000000</f>
        <v>5.2800000000000007E-7</v>
      </c>
      <c r="V360" s="7">
        <f>E341/20000000</f>
        <v>5.4229999999999998E-7</v>
      </c>
      <c r="W360" s="7">
        <f>B348/30000000</f>
        <v>5.5076666666666668E-7</v>
      </c>
      <c r="X360" s="6">
        <f>E348/40000000</f>
        <v>5.5914999999999997E-7</v>
      </c>
    </row>
    <row r="361" spans="1:24" ht="15.75" x14ac:dyDescent="0.25">
      <c r="A361" s="22"/>
      <c r="B361" s="138" t="s">
        <v>103</v>
      </c>
      <c r="C361" s="139"/>
      <c r="D361" s="140"/>
      <c r="E361" s="138" t="s">
        <v>104</v>
      </c>
      <c r="F361" s="139"/>
      <c r="G361" s="140"/>
      <c r="M361" s="65" t="s">
        <v>67</v>
      </c>
      <c r="N361" s="65"/>
      <c r="O361" s="7">
        <f t="shared" ref="O361:O363" si="124">10000000/B342</f>
        <v>2079002.0790020791</v>
      </c>
      <c r="P361" s="7">
        <f t="shared" ref="P361:P363" si="125">20000000/E342</f>
        <v>2079650.6186960589</v>
      </c>
      <c r="Q361" s="7">
        <f t="shared" ref="Q361:Q363" si="126">30000000/B349</f>
        <v>2073541.6090682887</v>
      </c>
      <c r="R361" s="6">
        <f t="shared" ref="R361:R363" si="127">40000000/E349</f>
        <v>2074258.4526031944</v>
      </c>
      <c r="T361" s="65" t="s">
        <v>67</v>
      </c>
      <c r="U361" s="7">
        <f t="shared" ref="U361:U363" si="128">B342/10000000</f>
        <v>4.8099999999999993E-7</v>
      </c>
      <c r="V361" s="7">
        <f t="shared" ref="V361:V363" si="129">E342/20000000</f>
        <v>4.8085000000000002E-7</v>
      </c>
      <c r="W361" s="7">
        <f t="shared" ref="W361:W363" si="130">B349/30000000</f>
        <v>4.8226666666666662E-7</v>
      </c>
      <c r="X361" s="6">
        <f t="shared" ref="X361:X363" si="131">E349/40000000</f>
        <v>4.8210000000000001E-7</v>
      </c>
    </row>
    <row r="362" spans="1:24" ht="15.75" x14ac:dyDescent="0.25">
      <c r="A362" s="10" t="s">
        <v>61</v>
      </c>
      <c r="B362" s="15" t="s">
        <v>62</v>
      </c>
      <c r="C362" s="15" t="s">
        <v>63</v>
      </c>
      <c r="D362" s="15" t="s">
        <v>64</v>
      </c>
      <c r="E362" s="13" t="s">
        <v>62</v>
      </c>
      <c r="F362" s="13" t="s">
        <v>65</v>
      </c>
      <c r="G362" s="13" t="s">
        <v>64</v>
      </c>
      <c r="M362" s="65" t="s">
        <v>68</v>
      </c>
      <c r="N362" s="65"/>
      <c r="O362" s="7">
        <f t="shared" si="124"/>
        <v>2584647.1956577925</v>
      </c>
      <c r="P362" s="7">
        <f t="shared" si="125"/>
        <v>2529404.325281396</v>
      </c>
      <c r="Q362" s="7">
        <f t="shared" si="126"/>
        <v>2467105.2631578948</v>
      </c>
      <c r="R362" s="6">
        <f t="shared" si="127"/>
        <v>2461084.1075493754</v>
      </c>
      <c r="T362" s="65" t="s">
        <v>68</v>
      </c>
      <c r="U362" s="7">
        <f t="shared" si="128"/>
        <v>3.869E-7</v>
      </c>
      <c r="V362" s="7">
        <f t="shared" si="129"/>
        <v>3.9535E-7</v>
      </c>
      <c r="W362" s="7">
        <f t="shared" si="130"/>
        <v>4.0533333333333336E-7</v>
      </c>
      <c r="X362" s="6">
        <f t="shared" si="131"/>
        <v>4.0632499999999998E-7</v>
      </c>
    </row>
    <row r="363" spans="1:24" x14ac:dyDescent="0.25">
      <c r="A363" s="11" t="s">
        <v>66</v>
      </c>
      <c r="B363" s="16">
        <v>17.425999999999998</v>
      </c>
      <c r="C363" s="16"/>
      <c r="D363" s="16"/>
      <c r="E363" s="18">
        <v>23.506</v>
      </c>
      <c r="F363" s="18"/>
      <c r="G363" s="18"/>
      <c r="M363" s="65" t="s">
        <v>69</v>
      </c>
      <c r="N363" s="65"/>
      <c r="O363" s="7">
        <f t="shared" si="124"/>
        <v>3436426.1168384878</v>
      </c>
      <c r="P363" s="7">
        <f t="shared" si="125"/>
        <v>3249918.7520311992</v>
      </c>
      <c r="Q363" s="7">
        <f t="shared" si="126"/>
        <v>3077238.6911478098</v>
      </c>
      <c r="R363" s="6">
        <f t="shared" si="127"/>
        <v>3022746.1648908034</v>
      </c>
      <c r="T363" s="65" t="s">
        <v>69</v>
      </c>
      <c r="U363" s="7">
        <f t="shared" si="128"/>
        <v>2.91E-7</v>
      </c>
      <c r="V363" s="7">
        <f t="shared" si="129"/>
        <v>3.0769999999999998E-7</v>
      </c>
      <c r="W363" s="7">
        <f t="shared" si="130"/>
        <v>3.2496666666666671E-7</v>
      </c>
      <c r="X363" s="6">
        <f t="shared" si="131"/>
        <v>3.3082500000000003E-7</v>
      </c>
    </row>
    <row r="364" spans="1:24" ht="15.75" x14ac:dyDescent="0.25">
      <c r="A364" s="11" t="s">
        <v>67</v>
      </c>
      <c r="B364" s="16">
        <v>15.297000000000001</v>
      </c>
      <c r="C364" s="16">
        <v>30000001</v>
      </c>
      <c r="D364" s="16"/>
      <c r="E364" s="18">
        <v>20.399000000000001</v>
      </c>
      <c r="F364" s="18">
        <v>40000001</v>
      </c>
      <c r="G364" s="18"/>
      <c r="M364" s="6"/>
      <c r="N364" s="6"/>
      <c r="O364" s="12" t="s">
        <v>138</v>
      </c>
      <c r="P364" s="12" t="s">
        <v>139</v>
      </c>
      <c r="Q364" s="12" t="s">
        <v>140</v>
      </c>
      <c r="R364" s="12" t="s">
        <v>141</v>
      </c>
      <c r="T364" s="6"/>
      <c r="U364" s="12" t="s">
        <v>138</v>
      </c>
      <c r="V364" s="12" t="s">
        <v>139</v>
      </c>
      <c r="W364" s="12" t="s">
        <v>140</v>
      </c>
      <c r="X364" s="12" t="s">
        <v>141</v>
      </c>
    </row>
    <row r="365" spans="1:24" ht="21" x14ac:dyDescent="0.3">
      <c r="A365" s="11" t="s">
        <v>68</v>
      </c>
      <c r="B365" s="16">
        <v>13.138999999999999</v>
      </c>
      <c r="C365" s="16">
        <v>15001888</v>
      </c>
      <c r="D365" s="16" t="s">
        <v>116</v>
      </c>
      <c r="E365" s="18">
        <v>17.393000000000001</v>
      </c>
      <c r="F365" s="18">
        <v>20020409</v>
      </c>
      <c r="G365" s="18">
        <v>5.0000000000000001E-4</v>
      </c>
      <c r="M365" s="65" t="s">
        <v>66</v>
      </c>
      <c r="N365" s="65"/>
      <c r="O365" s="7">
        <f>10000000/B356</f>
        <v>1784439.6859386154</v>
      </c>
      <c r="P365" s="7">
        <f>20000000/E356</f>
        <v>1753463.0896019638</v>
      </c>
      <c r="Q365" s="7">
        <f>30000000/B363</f>
        <v>1721565.4768736372</v>
      </c>
      <c r="R365" s="7">
        <f>40000000/E363</f>
        <v>1701693.1847187951</v>
      </c>
      <c r="T365" s="65" t="s">
        <v>66</v>
      </c>
      <c r="U365" s="7">
        <f>B356/10000000</f>
        <v>5.6039999999999996E-7</v>
      </c>
      <c r="V365" s="7">
        <f>E356/20000000</f>
        <v>5.7030000000000007E-7</v>
      </c>
      <c r="W365" s="7">
        <f>B363/30000000</f>
        <v>5.8086666666666661E-7</v>
      </c>
      <c r="X365" s="7">
        <f>E363/40000000</f>
        <v>5.8765E-7</v>
      </c>
    </row>
    <row r="366" spans="1:24" ht="21" x14ac:dyDescent="0.3">
      <c r="A366" s="11" t="s">
        <v>69</v>
      </c>
      <c r="B366" s="16">
        <v>10.689</v>
      </c>
      <c r="C366" s="16">
        <v>3810</v>
      </c>
      <c r="D366" s="16" t="s">
        <v>121</v>
      </c>
      <c r="E366" s="18">
        <v>14.417</v>
      </c>
      <c r="F366" s="18">
        <v>40766</v>
      </c>
      <c r="G366" s="18">
        <v>1E-3</v>
      </c>
      <c r="M366" s="65" t="s">
        <v>67</v>
      </c>
      <c r="N366" s="65"/>
      <c r="O366" s="7">
        <f t="shared" ref="O366:O368" si="132">10000000/B357</f>
        <v>1945525.2918287939</v>
      </c>
      <c r="P366" s="7">
        <f t="shared" ref="P366:P368" si="133">20000000/E357</f>
        <v>1976284.5849802373</v>
      </c>
      <c r="Q366" s="7">
        <f t="shared" ref="Q366:Q368" si="134">30000000/B364</f>
        <v>1961168.8566385566</v>
      </c>
      <c r="R366" s="7">
        <f t="shared" ref="R366:R368" si="135">40000000/E364</f>
        <v>1960880.4353154565</v>
      </c>
      <c r="T366" s="65" t="s">
        <v>67</v>
      </c>
      <c r="U366" s="7">
        <f t="shared" ref="U366:U368" si="136">B357/10000000</f>
        <v>5.1399999999999997E-7</v>
      </c>
      <c r="V366" s="7">
        <f t="shared" ref="V366:V368" si="137">E357/20000000</f>
        <v>5.06E-7</v>
      </c>
      <c r="W366" s="7">
        <f t="shared" ref="W366:W368" si="138">B364/30000000</f>
        <v>5.0989999999999998E-7</v>
      </c>
      <c r="X366" s="7">
        <f t="shared" ref="X366:X368" si="139">E364/40000000</f>
        <v>5.0997500000000004E-7</v>
      </c>
    </row>
    <row r="367" spans="1:24" x14ac:dyDescent="0.25">
      <c r="M367" s="65" t="s">
        <v>68</v>
      </c>
      <c r="N367" s="65"/>
      <c r="O367" s="7">
        <f t="shared" si="132"/>
        <v>2386634.8448687349</v>
      </c>
      <c r="P367" s="7">
        <f t="shared" si="133"/>
        <v>2357378.5950023574</v>
      </c>
      <c r="Q367" s="7">
        <f t="shared" si="134"/>
        <v>2283278.7883400563</v>
      </c>
      <c r="R367" s="7">
        <f t="shared" si="135"/>
        <v>2299775.7718622433</v>
      </c>
      <c r="T367" s="65" t="s">
        <v>68</v>
      </c>
      <c r="U367" s="7">
        <f t="shared" si="136"/>
        <v>4.1900000000000003E-7</v>
      </c>
      <c r="V367" s="7">
        <f t="shared" si="137"/>
        <v>4.242E-7</v>
      </c>
      <c r="W367" s="7">
        <f t="shared" si="138"/>
        <v>4.3796666666666662E-7</v>
      </c>
      <c r="X367" s="7">
        <f t="shared" si="139"/>
        <v>4.34825E-7</v>
      </c>
    </row>
    <row r="368" spans="1:24" x14ac:dyDescent="0.25">
      <c r="M368" s="65" t="s">
        <v>69</v>
      </c>
      <c r="N368" s="65"/>
      <c r="O368" s="7">
        <f t="shared" si="132"/>
        <v>3076923.076923077</v>
      </c>
      <c r="P368" s="7">
        <f t="shared" si="133"/>
        <v>2964280.4209278198</v>
      </c>
      <c r="Q368" s="7">
        <f t="shared" si="134"/>
        <v>2806623.6317709796</v>
      </c>
      <c r="R368" s="7">
        <f t="shared" si="135"/>
        <v>2774502.323645696</v>
      </c>
      <c r="T368" s="65" t="s">
        <v>69</v>
      </c>
      <c r="U368" s="7">
        <f t="shared" si="136"/>
        <v>3.2500000000000001E-7</v>
      </c>
      <c r="V368" s="7">
        <f t="shared" si="137"/>
        <v>3.3734999999999999E-7</v>
      </c>
      <c r="W368" s="7">
        <f t="shared" si="138"/>
        <v>3.5629999999999998E-7</v>
      </c>
      <c r="X368" s="7">
        <f t="shared" si="139"/>
        <v>3.6042499999999997E-7</v>
      </c>
    </row>
    <row r="369" spans="1:24" ht="15.75" x14ac:dyDescent="0.25">
      <c r="A369" s="24"/>
      <c r="B369" s="148" t="s">
        <v>96</v>
      </c>
      <c r="C369" s="162"/>
      <c r="D369" s="163"/>
      <c r="E369" s="148" t="s">
        <v>95</v>
      </c>
      <c r="F369" s="157"/>
      <c r="G369" s="158"/>
      <c r="I369" s="52" t="s">
        <v>127</v>
      </c>
      <c r="J369" s="52" t="s">
        <v>128</v>
      </c>
      <c r="K369" s="52" t="s">
        <v>129</v>
      </c>
      <c r="M369" s="6"/>
      <c r="N369" s="6"/>
      <c r="O369" s="12" t="s">
        <v>130</v>
      </c>
      <c r="P369" s="12" t="s">
        <v>131</v>
      </c>
      <c r="Q369" s="12" t="s">
        <v>133</v>
      </c>
      <c r="R369" s="12" t="s">
        <v>132</v>
      </c>
      <c r="T369" s="6"/>
      <c r="U369" s="12" t="s">
        <v>130</v>
      </c>
      <c r="V369" s="12" t="s">
        <v>131</v>
      </c>
      <c r="W369" s="12" t="s">
        <v>133</v>
      </c>
      <c r="X369" s="12" t="s">
        <v>132</v>
      </c>
    </row>
    <row r="370" spans="1:24" ht="15.75" x14ac:dyDescent="0.25">
      <c r="A370" s="25" t="s">
        <v>61</v>
      </c>
      <c r="B370" s="14" t="s">
        <v>62</v>
      </c>
      <c r="C370" s="14" t="s">
        <v>63</v>
      </c>
      <c r="D370" s="14" t="s">
        <v>64</v>
      </c>
      <c r="E370" s="12" t="s">
        <v>62</v>
      </c>
      <c r="F370" s="12" t="s">
        <v>65</v>
      </c>
      <c r="G370" s="12" t="s">
        <v>64</v>
      </c>
      <c r="I370" s="87">
        <f>E371-B371</f>
        <v>5.926000000000001</v>
      </c>
      <c r="J370" s="87">
        <f>B378-E371</f>
        <v>6.1460000000000008</v>
      </c>
      <c r="K370" s="87">
        <f>E378-B378</f>
        <v>6.1929999999999978</v>
      </c>
      <c r="M370" s="65" t="s">
        <v>66</v>
      </c>
      <c r="N370" s="65"/>
      <c r="O370" s="6">
        <f>10000000/B371</f>
        <v>1759014.9516270889</v>
      </c>
      <c r="P370" s="6">
        <f>20000000/E371</f>
        <v>1722504.5215743689</v>
      </c>
      <c r="Q370" s="6">
        <f>30000000/B378</f>
        <v>1689474.57340767</v>
      </c>
      <c r="R370" s="6">
        <f>40000000/E378</f>
        <v>1670146.1377870564</v>
      </c>
      <c r="T370" s="65" t="s">
        <v>66</v>
      </c>
      <c r="U370" s="6">
        <f>B371/10000000</f>
        <v>5.6849999999999994E-7</v>
      </c>
      <c r="V370" s="6">
        <f>E371/20000000</f>
        <v>5.8054999999999999E-7</v>
      </c>
      <c r="W370" s="6">
        <f>B378/30000000</f>
        <v>5.919E-7</v>
      </c>
      <c r="X370" s="6">
        <f>E378/40000000</f>
        <v>5.9874999999999998E-7</v>
      </c>
    </row>
    <row r="371" spans="1:24" x14ac:dyDescent="0.25">
      <c r="A371" s="26" t="s">
        <v>66</v>
      </c>
      <c r="B371" s="17">
        <v>5.6849999999999996</v>
      </c>
      <c r="C371" s="17"/>
      <c r="D371" s="17"/>
      <c r="E371" s="29">
        <v>11.611000000000001</v>
      </c>
      <c r="F371" s="19"/>
      <c r="G371" s="19"/>
      <c r="I371" s="87">
        <f t="shared" ref="I371:I373" si="140">E372-B372</f>
        <v>5.2330000000000005</v>
      </c>
      <c r="J371" s="87">
        <f t="shared" ref="J371:J373" si="141">B379-E372</f>
        <v>5.1989999999999998</v>
      </c>
      <c r="K371" s="87">
        <f t="shared" ref="K371:K373" si="142">E379-B379</f>
        <v>5.1900000000000013</v>
      </c>
      <c r="M371" s="65" t="s">
        <v>67</v>
      </c>
      <c r="N371" s="65"/>
      <c r="O371" s="6">
        <f t="shared" ref="O371:O373" si="143">10000000/B372</f>
        <v>1913875.5980861245</v>
      </c>
      <c r="P371" s="6">
        <f t="shared" ref="P371:P373" si="144">20000000/E372</f>
        <v>1912411.5509657678</v>
      </c>
      <c r="Q371" s="6">
        <f t="shared" ref="Q371:Q373" si="145">30000000/B379</f>
        <v>1916075.8766047135</v>
      </c>
      <c r="R371" s="6">
        <f t="shared" ref="R371:R373" si="146">40000000/E379</f>
        <v>1918741.3057034584</v>
      </c>
      <c r="T371" s="65" t="s">
        <v>67</v>
      </c>
      <c r="U371" s="6">
        <f t="shared" ref="U371:U373" si="147">B372/10000000</f>
        <v>5.2249999999999997E-7</v>
      </c>
      <c r="V371" s="6">
        <f t="shared" ref="V371:V373" si="148">E372/20000000</f>
        <v>5.229E-7</v>
      </c>
      <c r="W371" s="6">
        <f t="shared" ref="W371:W373" si="149">B379/30000000</f>
        <v>5.2190000000000003E-7</v>
      </c>
      <c r="X371" s="6">
        <f t="shared" ref="X371:X373" si="150">E379/40000000</f>
        <v>5.2117500000000003E-7</v>
      </c>
    </row>
    <row r="372" spans="1:24" x14ac:dyDescent="0.25">
      <c r="A372" s="26" t="s">
        <v>67</v>
      </c>
      <c r="B372" s="17">
        <v>5.2249999999999996</v>
      </c>
      <c r="C372" s="17">
        <v>10000001</v>
      </c>
      <c r="D372" s="17"/>
      <c r="E372" s="29">
        <v>10.458</v>
      </c>
      <c r="F372" s="19">
        <v>20000001</v>
      </c>
      <c r="G372" s="19"/>
      <c r="I372" s="87">
        <f t="shared" si="140"/>
        <v>4.426000000000001</v>
      </c>
      <c r="J372" s="87">
        <f t="shared" si="141"/>
        <v>4.5789999999999988</v>
      </c>
      <c r="K372" s="87">
        <f t="shared" si="142"/>
        <v>4.5340000000000007</v>
      </c>
      <c r="M372" s="65" t="s">
        <v>68</v>
      </c>
      <c r="N372" s="65"/>
      <c r="O372" s="6">
        <f t="shared" si="143"/>
        <v>2337540.9069658723</v>
      </c>
      <c r="P372" s="6">
        <f t="shared" si="144"/>
        <v>2297794.1176470588</v>
      </c>
      <c r="Q372" s="6">
        <f t="shared" si="145"/>
        <v>2258525.9354061582</v>
      </c>
      <c r="R372" s="6">
        <f t="shared" si="146"/>
        <v>2245046.8653533142</v>
      </c>
      <c r="T372" s="65" t="s">
        <v>68</v>
      </c>
      <c r="U372" s="6">
        <f t="shared" si="147"/>
        <v>4.2779999999999995E-7</v>
      </c>
      <c r="V372" s="6">
        <f t="shared" si="148"/>
        <v>4.3520000000000003E-7</v>
      </c>
      <c r="W372" s="6">
        <f t="shared" si="149"/>
        <v>4.4276666666666667E-7</v>
      </c>
      <c r="X372" s="6">
        <f t="shared" si="150"/>
        <v>4.4542500000000001E-7</v>
      </c>
    </row>
    <row r="373" spans="1:24" ht="21" x14ac:dyDescent="0.3">
      <c r="A373" s="26" t="s">
        <v>68</v>
      </c>
      <c r="B373" s="17">
        <v>4.2779999999999996</v>
      </c>
      <c r="C373" s="17">
        <v>5000000</v>
      </c>
      <c r="D373" s="17">
        <v>0</v>
      </c>
      <c r="E373" s="29">
        <v>8.7040000000000006</v>
      </c>
      <c r="F373" s="19">
        <v>10000044</v>
      </c>
      <c r="G373" s="19" t="s">
        <v>126</v>
      </c>
      <c r="I373" s="87">
        <f t="shared" si="140"/>
        <v>3.6480000000000001</v>
      </c>
      <c r="J373" s="87">
        <f t="shared" si="141"/>
        <v>3.8770000000000007</v>
      </c>
      <c r="K373" s="87">
        <f t="shared" si="142"/>
        <v>3.9309999999999992</v>
      </c>
      <c r="M373" s="65" t="s">
        <v>69</v>
      </c>
      <c r="N373" s="65"/>
      <c r="O373" s="6">
        <f t="shared" si="143"/>
        <v>3006614.5520144319</v>
      </c>
      <c r="P373" s="6">
        <f t="shared" si="144"/>
        <v>2867794.6659019212</v>
      </c>
      <c r="Q373" s="6">
        <f t="shared" si="145"/>
        <v>2764722.1454243846</v>
      </c>
      <c r="R373" s="6">
        <f t="shared" si="146"/>
        <v>2705993.7762143146</v>
      </c>
      <c r="T373" s="65" t="s">
        <v>69</v>
      </c>
      <c r="U373" s="6">
        <f t="shared" si="147"/>
        <v>3.326E-7</v>
      </c>
      <c r="V373" s="6">
        <f t="shared" si="148"/>
        <v>3.4869999999999999E-7</v>
      </c>
      <c r="W373" s="6">
        <f t="shared" si="149"/>
        <v>3.6170000000000002E-7</v>
      </c>
      <c r="X373" s="6">
        <f t="shared" si="150"/>
        <v>3.6955000000000002E-7</v>
      </c>
    </row>
    <row r="374" spans="1:24" ht="21" x14ac:dyDescent="0.3">
      <c r="A374" s="26" t="s">
        <v>69</v>
      </c>
      <c r="B374" s="17">
        <v>3.3260000000000001</v>
      </c>
      <c r="C374" s="17">
        <v>0</v>
      </c>
      <c r="D374" s="17">
        <v>0</v>
      </c>
      <c r="E374" s="29">
        <v>6.9740000000000002</v>
      </c>
      <c r="F374" s="19">
        <v>92</v>
      </c>
      <c r="G374" s="19" t="s">
        <v>122</v>
      </c>
    </row>
    <row r="375" spans="1:24" x14ac:dyDescent="0.25">
      <c r="A375" s="27"/>
    </row>
    <row r="376" spans="1:24" ht="15.75" x14ac:dyDescent="0.25">
      <c r="A376" s="24"/>
      <c r="B376" s="148" t="s">
        <v>94</v>
      </c>
      <c r="C376" s="157"/>
      <c r="D376" s="158"/>
      <c r="E376" s="148" t="s">
        <v>93</v>
      </c>
      <c r="F376" s="157"/>
      <c r="G376" s="158"/>
    </row>
    <row r="377" spans="1:24" ht="15.75" x14ac:dyDescent="0.25">
      <c r="A377" s="25" t="s">
        <v>61</v>
      </c>
      <c r="B377" s="15" t="s">
        <v>62</v>
      </c>
      <c r="C377" s="15" t="s">
        <v>63</v>
      </c>
      <c r="D377" s="15" t="s">
        <v>64</v>
      </c>
      <c r="E377" s="13" t="s">
        <v>62</v>
      </c>
      <c r="F377" s="13" t="s">
        <v>65</v>
      </c>
      <c r="G377" s="13" t="s">
        <v>64</v>
      </c>
    </row>
    <row r="378" spans="1:24" x14ac:dyDescent="0.25">
      <c r="A378" s="26" t="s">
        <v>66</v>
      </c>
      <c r="B378" s="16">
        <v>17.757000000000001</v>
      </c>
      <c r="C378" s="16"/>
      <c r="D378" s="16"/>
      <c r="E378" s="18">
        <v>23.95</v>
      </c>
      <c r="F378" s="18"/>
      <c r="G378" s="18"/>
    </row>
    <row r="379" spans="1:24" x14ac:dyDescent="0.25">
      <c r="A379" s="26" t="s">
        <v>67</v>
      </c>
      <c r="B379" s="16">
        <v>15.657</v>
      </c>
      <c r="C379" s="16">
        <v>30000001</v>
      </c>
      <c r="D379" s="16"/>
      <c r="E379" s="18">
        <v>20.847000000000001</v>
      </c>
      <c r="F379" s="18">
        <v>40000001</v>
      </c>
      <c r="G379" s="18"/>
    </row>
    <row r="380" spans="1:24" ht="21" x14ac:dyDescent="0.3">
      <c r="A380" s="26" t="s">
        <v>68</v>
      </c>
      <c r="B380" s="16">
        <v>13.282999999999999</v>
      </c>
      <c r="C380" s="16">
        <v>15001779</v>
      </c>
      <c r="D380" s="16" t="s">
        <v>123</v>
      </c>
      <c r="E380" s="18">
        <v>17.817</v>
      </c>
      <c r="F380" s="18">
        <v>20020304</v>
      </c>
      <c r="G380" s="18">
        <v>5.1000000000000004E-4</v>
      </c>
    </row>
    <row r="381" spans="1:24" ht="21" x14ac:dyDescent="0.3">
      <c r="A381" s="26" t="s">
        <v>69</v>
      </c>
      <c r="B381" s="16">
        <v>10.851000000000001</v>
      </c>
      <c r="C381" s="16">
        <v>3658</v>
      </c>
      <c r="D381" s="16" t="s">
        <v>124</v>
      </c>
      <c r="E381" s="18">
        <v>14.782</v>
      </c>
      <c r="F381" s="18">
        <v>40836</v>
      </c>
      <c r="G381" s="18">
        <v>1E-3</v>
      </c>
    </row>
    <row r="383" spans="1:24" x14ac:dyDescent="0.25">
      <c r="G383" t="s">
        <v>125</v>
      </c>
    </row>
    <row r="385" spans="1:15" ht="18.75" x14ac:dyDescent="0.3">
      <c r="B385" s="164" t="s">
        <v>109</v>
      </c>
      <c r="C385" s="165"/>
      <c r="D385" s="165"/>
    </row>
    <row r="387" spans="1:15" ht="18.75" x14ac:dyDescent="0.3">
      <c r="A387" s="20"/>
      <c r="B387" s="145" t="s">
        <v>110</v>
      </c>
      <c r="C387" s="159"/>
      <c r="D387" s="160"/>
      <c r="G387" s="141" t="s">
        <v>188</v>
      </c>
      <c r="H387" s="141"/>
    </row>
    <row r="388" spans="1:15" ht="18.75" x14ac:dyDescent="0.3">
      <c r="A388" s="8" t="s">
        <v>61</v>
      </c>
      <c r="B388" s="14" t="s">
        <v>62</v>
      </c>
      <c r="C388" s="14" t="s">
        <v>63</v>
      </c>
      <c r="D388" s="14" t="s">
        <v>64</v>
      </c>
      <c r="F388" s="6"/>
      <c r="G388" s="12" t="s">
        <v>177</v>
      </c>
      <c r="H388" s="12" t="s">
        <v>178</v>
      </c>
      <c r="I388" s="12" t="s">
        <v>179</v>
      </c>
      <c r="K388" s="182" t="s">
        <v>181</v>
      </c>
      <c r="L388" s="182"/>
      <c r="M388" s="182"/>
      <c r="N388" s="182"/>
      <c r="O388" s="182"/>
    </row>
    <row r="389" spans="1:15" ht="18.75" x14ac:dyDescent="0.3">
      <c r="A389" s="9" t="s">
        <v>66</v>
      </c>
      <c r="B389" s="17">
        <v>9.15</v>
      </c>
      <c r="C389" s="17"/>
      <c r="D389" s="17"/>
      <c r="F389" s="63" t="s">
        <v>67</v>
      </c>
      <c r="G389" s="7">
        <v>1</v>
      </c>
      <c r="H389" s="7">
        <v>1</v>
      </c>
      <c r="I389" s="7">
        <v>1</v>
      </c>
      <c r="K389" s="92"/>
      <c r="L389" s="12" t="s">
        <v>177</v>
      </c>
      <c r="M389" s="12" t="s">
        <v>178</v>
      </c>
      <c r="N389" s="12"/>
      <c r="O389" s="12" t="s">
        <v>179</v>
      </c>
    </row>
    <row r="390" spans="1:15" x14ac:dyDescent="0.25">
      <c r="A390" s="9" t="s">
        <v>67</v>
      </c>
      <c r="B390" s="17">
        <v>9.3829999999999991</v>
      </c>
      <c r="C390" s="17">
        <v>62816502</v>
      </c>
      <c r="D390" s="17"/>
      <c r="F390" s="63" t="s">
        <v>68</v>
      </c>
      <c r="G390" s="7">
        <v>1</v>
      </c>
      <c r="H390" s="7">
        <f>1-D399</f>
        <v>0.99956699999999998</v>
      </c>
      <c r="I390" s="7">
        <v>1</v>
      </c>
      <c r="K390" s="93" t="s">
        <v>66</v>
      </c>
      <c r="L390" s="7">
        <f>1139/B389</f>
        <v>124.48087431693989</v>
      </c>
      <c r="M390" s="7">
        <f>1524/B397</f>
        <v>127.67026891178689</v>
      </c>
      <c r="N390" s="7"/>
      <c r="O390" s="7">
        <f>154/B405</f>
        <v>166.48648648648648</v>
      </c>
    </row>
    <row r="391" spans="1:15" x14ac:dyDescent="0.25">
      <c r="A391" s="9" t="s">
        <v>68</v>
      </c>
      <c r="B391" s="17">
        <v>9.6560000000000006</v>
      </c>
      <c r="C391" s="17">
        <v>31408251</v>
      </c>
      <c r="D391" s="17">
        <v>0</v>
      </c>
      <c r="F391" s="63" t="s">
        <v>69</v>
      </c>
      <c r="G391" s="7">
        <v>1</v>
      </c>
      <c r="H391" s="7">
        <f>1-D400</f>
        <v>0.99934999999999996</v>
      </c>
      <c r="I391" s="7">
        <v>1</v>
      </c>
      <c r="K391" s="93" t="s">
        <v>67</v>
      </c>
      <c r="L391" s="7">
        <f>1139/B390</f>
        <v>121.38974741553875</v>
      </c>
      <c r="M391" s="7">
        <f>1524/B398</f>
        <v>121.01000476417342</v>
      </c>
      <c r="N391" s="7"/>
      <c r="O391" s="7">
        <f>154/B406</f>
        <v>162.96296296296296</v>
      </c>
    </row>
    <row r="392" spans="1:15" ht="17.25" x14ac:dyDescent="0.25">
      <c r="A392" s="9" t="s">
        <v>69</v>
      </c>
      <c r="B392" s="17">
        <v>9.8320000000000007</v>
      </c>
      <c r="C392" s="17">
        <v>17</v>
      </c>
      <c r="D392" s="17" t="s">
        <v>113</v>
      </c>
      <c r="K392" s="93" t="s">
        <v>68</v>
      </c>
      <c r="L392" s="7">
        <f>1082/B391</f>
        <v>112.05468102734051</v>
      </c>
      <c r="M392" s="7">
        <f>1610/B399</f>
        <v>128.45061432902506</v>
      </c>
      <c r="N392" s="7"/>
      <c r="O392" s="7">
        <f>135/B407</f>
        <v>157.1594877764843</v>
      </c>
    </row>
    <row r="393" spans="1:15" ht="18.75" x14ac:dyDescent="0.3">
      <c r="F393" s="182" t="s">
        <v>180</v>
      </c>
      <c r="G393" s="182"/>
      <c r="H393" s="182"/>
      <c r="I393" s="182"/>
      <c r="K393" s="93" t="s">
        <v>69</v>
      </c>
      <c r="L393" s="7">
        <f>1072/B392</f>
        <v>109.03173311635476</v>
      </c>
      <c r="M393" s="7">
        <f>1707/B400</f>
        <v>136.47265749920052</v>
      </c>
      <c r="N393" s="7"/>
      <c r="O393" s="7">
        <f>116/B408</f>
        <v>149.67741935483872</v>
      </c>
    </row>
    <row r="394" spans="1:15" ht="18.75" x14ac:dyDescent="0.3">
      <c r="F394" s="92"/>
      <c r="G394" s="12" t="s">
        <v>177</v>
      </c>
      <c r="H394" s="12" t="s">
        <v>178</v>
      </c>
      <c r="I394" s="12" t="s">
        <v>179</v>
      </c>
    </row>
    <row r="395" spans="1:15" ht="15.75" x14ac:dyDescent="0.25">
      <c r="A395" s="22"/>
      <c r="B395" s="138" t="s">
        <v>111</v>
      </c>
      <c r="C395" s="139"/>
      <c r="D395" s="140"/>
      <c r="F395" s="93" t="s">
        <v>66</v>
      </c>
      <c r="G395" s="7">
        <f>62816502/B389</f>
        <v>6865191.4754098356</v>
      </c>
      <c r="H395" s="7">
        <f>81223209/B397</f>
        <v>6804323.4481025385</v>
      </c>
      <c r="I395" s="7">
        <f>4820370/B405</f>
        <v>5211210.8108108109</v>
      </c>
    </row>
    <row r="396" spans="1:15" ht="18.75" x14ac:dyDescent="0.3">
      <c r="A396" s="10" t="s">
        <v>61</v>
      </c>
      <c r="B396" s="44" t="s">
        <v>62</v>
      </c>
      <c r="C396" s="44" t="s">
        <v>63</v>
      </c>
      <c r="D396" s="44" t="s">
        <v>64</v>
      </c>
      <c r="F396" s="93" t="s">
        <v>67</v>
      </c>
      <c r="G396" s="7">
        <f t="shared" ref="G396:G398" si="151">62816502/B390</f>
        <v>6694714.0573377395</v>
      </c>
      <c r="H396" s="7">
        <f t="shared" ref="H396:H398" si="152">81223209/B398</f>
        <v>6449357.5512148645</v>
      </c>
      <c r="I396" s="7">
        <f t="shared" ref="I396:I398" si="153">4820370/B406</f>
        <v>5100920.6349206353</v>
      </c>
      <c r="K396" s="97"/>
      <c r="L396" s="180" t="s">
        <v>157</v>
      </c>
      <c r="M396" s="181"/>
      <c r="N396" s="121"/>
    </row>
    <row r="397" spans="1:15" x14ac:dyDescent="0.25">
      <c r="A397" s="11" t="s">
        <v>66</v>
      </c>
      <c r="B397" s="42">
        <v>11.936999999999999</v>
      </c>
      <c r="C397" s="43"/>
      <c r="D397" s="43"/>
      <c r="F397" s="93" t="s">
        <v>68</v>
      </c>
      <c r="G397" s="7">
        <f t="shared" si="151"/>
        <v>6505437.2410936197</v>
      </c>
      <c r="H397" s="7">
        <f t="shared" si="152"/>
        <v>6480230.4930588799</v>
      </c>
      <c r="I397" s="7">
        <f t="shared" si="153"/>
        <v>5611606.5192083819</v>
      </c>
      <c r="K397" s="98" t="s">
        <v>0</v>
      </c>
      <c r="L397" s="98" t="s">
        <v>192</v>
      </c>
      <c r="M397" s="98" t="s">
        <v>193</v>
      </c>
      <c r="N397" s="124"/>
    </row>
    <row r="398" spans="1:15" x14ac:dyDescent="0.25">
      <c r="A398" s="11" t="s">
        <v>67</v>
      </c>
      <c r="B398" s="42">
        <v>12.593999999999999</v>
      </c>
      <c r="C398" s="43">
        <v>81223209</v>
      </c>
      <c r="D398" s="43"/>
      <c r="F398" s="93" t="s">
        <v>69</v>
      </c>
      <c r="G398" s="7">
        <f t="shared" si="151"/>
        <v>6388985.1505288845</v>
      </c>
      <c r="H398" s="7">
        <f t="shared" si="152"/>
        <v>6493700.7515190281</v>
      </c>
      <c r="I398" s="7">
        <f t="shared" si="153"/>
        <v>6219832.2580645159</v>
      </c>
      <c r="K398" s="6" t="s">
        <v>4</v>
      </c>
      <c r="L398" s="7">
        <v>1138957196</v>
      </c>
      <c r="M398" s="7">
        <f>(1301*1303*64)/62816502</f>
        <v>1.7271415718118146</v>
      </c>
      <c r="N398" s="61"/>
    </row>
    <row r="399" spans="1:15" x14ac:dyDescent="0.25">
      <c r="A399" s="11" t="s">
        <v>68</v>
      </c>
      <c r="B399" s="42">
        <v>12.534000000000001</v>
      </c>
      <c r="C399" s="43">
        <v>40646805</v>
      </c>
      <c r="D399" s="43">
        <v>4.3300000000000001E-4</v>
      </c>
      <c r="K399" s="6" t="s">
        <v>5</v>
      </c>
      <c r="L399" s="7">
        <v>1523718989</v>
      </c>
      <c r="M399" s="7">
        <f>(1301*1303*64)/81223209</f>
        <v>1.3357388034250162</v>
      </c>
      <c r="N399" s="61"/>
    </row>
    <row r="400" spans="1:15" x14ac:dyDescent="0.25">
      <c r="A400" s="11" t="s">
        <v>69</v>
      </c>
      <c r="B400" s="42">
        <v>12.507999999999999</v>
      </c>
      <c r="C400" s="43">
        <v>52682</v>
      </c>
      <c r="D400" s="43">
        <v>6.4999999999999997E-4</v>
      </c>
      <c r="K400" s="6" t="s">
        <v>10</v>
      </c>
      <c r="L400" s="7">
        <v>154251840</v>
      </c>
      <c r="M400" s="7">
        <f>(1301*1303*64)/4820370</f>
        <v>22.507191771585997</v>
      </c>
      <c r="N400" s="61"/>
    </row>
    <row r="401" spans="1:14" ht="18.75" x14ac:dyDescent="0.3">
      <c r="F401" s="182" t="s">
        <v>189</v>
      </c>
      <c r="G401" s="182"/>
      <c r="H401" s="182"/>
      <c r="I401" s="182"/>
      <c r="K401" s="66"/>
      <c r="L401" s="61"/>
      <c r="M401" s="61"/>
      <c r="N401" s="61"/>
    </row>
    <row r="402" spans="1:14" ht="18.75" x14ac:dyDescent="0.3">
      <c r="F402" s="92"/>
      <c r="G402" s="12" t="s">
        <v>177</v>
      </c>
      <c r="H402" s="12" t="s">
        <v>178</v>
      </c>
      <c r="I402" s="12" t="s">
        <v>179</v>
      </c>
      <c r="K402" s="66"/>
      <c r="L402" s="66"/>
      <c r="M402" s="66"/>
      <c r="N402" s="66"/>
    </row>
    <row r="403" spans="1:14" ht="15.75" x14ac:dyDescent="0.25">
      <c r="A403" s="24"/>
      <c r="B403" s="148" t="s">
        <v>112</v>
      </c>
      <c r="C403" s="162"/>
      <c r="D403" s="163"/>
      <c r="F403" s="93" t="s">
        <v>66</v>
      </c>
      <c r="G403" s="7">
        <f>B389/62816502</f>
        <v>1.4566236114198145E-7</v>
      </c>
      <c r="H403" s="7">
        <f>B397/81223209</f>
        <v>1.4696538276393388E-7</v>
      </c>
      <c r="I403" s="7">
        <f>B405/4820370</f>
        <v>1.918939832419503E-7</v>
      </c>
      <c r="K403" s="66"/>
      <c r="L403" s="61"/>
      <c r="M403" s="61"/>
      <c r="N403" s="61"/>
    </row>
    <row r="404" spans="1:14" ht="15.75" x14ac:dyDescent="0.25">
      <c r="A404" s="25" t="s">
        <v>61</v>
      </c>
      <c r="B404" s="46" t="s">
        <v>62</v>
      </c>
      <c r="C404" s="46" t="s">
        <v>63</v>
      </c>
      <c r="D404" s="46" t="s">
        <v>64</v>
      </c>
      <c r="F404" s="93" t="s">
        <v>67</v>
      </c>
      <c r="G404" s="7">
        <f t="shared" ref="G404:G406" si="154">B390/62816502</f>
        <v>1.4937157755138928E-7</v>
      </c>
      <c r="H404" s="7">
        <f>B398/81223209</f>
        <v>1.5505420378059674E-7</v>
      </c>
      <c r="I404" s="7">
        <f t="shared" ref="I404:I406" si="155">B406/4820370</f>
        <v>1.9604304233907356E-7</v>
      </c>
      <c r="K404" s="66"/>
      <c r="L404" s="61"/>
      <c r="M404" s="61"/>
      <c r="N404" s="61"/>
    </row>
    <row r="405" spans="1:14" x14ac:dyDescent="0.25">
      <c r="A405" s="26" t="s">
        <v>66</v>
      </c>
      <c r="B405" s="45">
        <v>0.92500000000000004</v>
      </c>
      <c r="C405" s="45"/>
      <c r="D405" s="45"/>
      <c r="F405" s="93" t="s">
        <v>68</v>
      </c>
      <c r="G405" s="7">
        <f t="shared" si="154"/>
        <v>1.537175693100517E-7</v>
      </c>
      <c r="H405" s="7">
        <f t="shared" ref="H405:H406" si="156">B399/81223209</f>
        <v>1.5431549866491977E-7</v>
      </c>
      <c r="I405" s="7">
        <f t="shared" si="155"/>
        <v>1.7820208822144358E-7</v>
      </c>
      <c r="K405" s="66"/>
      <c r="L405" s="61"/>
      <c r="M405" s="61"/>
      <c r="N405" s="61"/>
    </row>
    <row r="406" spans="1:14" x14ac:dyDescent="0.25">
      <c r="A406" s="26" t="s">
        <v>67</v>
      </c>
      <c r="B406" s="45">
        <v>0.94499999999999995</v>
      </c>
      <c r="C406" s="45">
        <v>4820370</v>
      </c>
      <c r="D406" s="45"/>
      <c r="F406" s="93" t="s">
        <v>69</v>
      </c>
      <c r="G406" s="7">
        <f t="shared" si="154"/>
        <v>1.5651938084677177E-7</v>
      </c>
      <c r="H406" s="7">
        <f t="shared" si="156"/>
        <v>1.5399539311479307E-7</v>
      </c>
      <c r="I406" s="7">
        <f t="shared" si="155"/>
        <v>1.6077604001352595E-7</v>
      </c>
      <c r="K406" s="66"/>
      <c r="L406" s="66"/>
      <c r="M406" s="66"/>
      <c r="N406" s="66"/>
    </row>
    <row r="407" spans="1:14" x14ac:dyDescent="0.25">
      <c r="A407" s="26" t="s">
        <v>68</v>
      </c>
      <c r="B407" s="45">
        <v>0.85899999999999999</v>
      </c>
      <c r="C407" s="45">
        <v>2410185</v>
      </c>
      <c r="D407" s="45">
        <v>0</v>
      </c>
      <c r="K407" s="66"/>
      <c r="L407" s="61"/>
      <c r="M407" s="61"/>
      <c r="N407" s="61"/>
    </row>
    <row r="408" spans="1:14" x14ac:dyDescent="0.25">
      <c r="A408" s="26" t="s">
        <v>69</v>
      </c>
      <c r="B408" s="45">
        <v>0.77500000000000002</v>
      </c>
      <c r="C408" s="45">
        <v>0</v>
      </c>
      <c r="D408" s="45">
        <v>0</v>
      </c>
      <c r="K408" s="66"/>
      <c r="L408" s="61"/>
      <c r="M408" s="61"/>
      <c r="N408" s="61"/>
    </row>
  </sheetData>
  <mergeCells count="142">
    <mergeCell ref="L396:M396"/>
    <mergeCell ref="F393:I393"/>
    <mergeCell ref="F401:I401"/>
    <mergeCell ref="K388:O388"/>
    <mergeCell ref="G387:H387"/>
    <mergeCell ref="P211:T211"/>
    <mergeCell ref="I209:M209"/>
    <mergeCell ref="U264:X264"/>
    <mergeCell ref="M267:R267"/>
    <mergeCell ref="U339:X339"/>
    <mergeCell ref="M342:R342"/>
    <mergeCell ref="M283:R283"/>
    <mergeCell ref="T283:X283"/>
    <mergeCell ref="T358:X358"/>
    <mergeCell ref="M358:R358"/>
    <mergeCell ref="A263:G263"/>
    <mergeCell ref="B264:D264"/>
    <mergeCell ref="E264:G264"/>
    <mergeCell ref="B226:D226"/>
    <mergeCell ref="B228:C228"/>
    <mergeCell ref="D228:E228"/>
    <mergeCell ref="F228:G228"/>
    <mergeCell ref="B227:E227"/>
    <mergeCell ref="B255:C255"/>
    <mergeCell ref="O58:S58"/>
    <mergeCell ref="O105:S105"/>
    <mergeCell ref="O152:S152"/>
    <mergeCell ref="I197:M197"/>
    <mergeCell ref="B96:D96"/>
    <mergeCell ref="E96:G96"/>
    <mergeCell ref="A104:G104"/>
    <mergeCell ref="E166:G166"/>
    <mergeCell ref="B135:D135"/>
    <mergeCell ref="B142:D142"/>
    <mergeCell ref="E142:G142"/>
    <mergeCell ref="A150:G150"/>
    <mergeCell ref="B72:D72"/>
    <mergeCell ref="E72:G72"/>
    <mergeCell ref="B79:D79"/>
    <mergeCell ref="E79:G79"/>
    <mergeCell ref="B88:D88"/>
    <mergeCell ref="E88:G88"/>
    <mergeCell ref="B105:D105"/>
    <mergeCell ref="A55:G55"/>
    <mergeCell ref="B57:D57"/>
    <mergeCell ref="E57:G57"/>
    <mergeCell ref="B64:D64"/>
    <mergeCell ref="E64:G64"/>
    <mergeCell ref="A2:D2"/>
    <mergeCell ref="G2:K2"/>
    <mergeCell ref="A21:D21"/>
    <mergeCell ref="A40:D40"/>
    <mergeCell ref="A56:G56"/>
    <mergeCell ref="B173:D173"/>
    <mergeCell ref="E173:G173"/>
    <mergeCell ref="B181:D181"/>
    <mergeCell ref="E181:G181"/>
    <mergeCell ref="B188:D188"/>
    <mergeCell ref="E188:G188"/>
    <mergeCell ref="B112:D112"/>
    <mergeCell ref="E112:G112"/>
    <mergeCell ref="B120:D120"/>
    <mergeCell ref="E120:G120"/>
    <mergeCell ref="B127:D127"/>
    <mergeCell ref="E127:G127"/>
    <mergeCell ref="B158:D158"/>
    <mergeCell ref="E158:G158"/>
    <mergeCell ref="B403:D403"/>
    <mergeCell ref="B385:D385"/>
    <mergeCell ref="B310:D310"/>
    <mergeCell ref="F312:G312"/>
    <mergeCell ref="B301:D301"/>
    <mergeCell ref="E301:G301"/>
    <mergeCell ref="B387:D387"/>
    <mergeCell ref="B395:D395"/>
    <mergeCell ref="B279:D279"/>
    <mergeCell ref="E279:G279"/>
    <mergeCell ref="B286:D286"/>
    <mergeCell ref="E286:G286"/>
    <mergeCell ref="B294:D294"/>
    <mergeCell ref="E294:G294"/>
    <mergeCell ref="B376:D376"/>
    <mergeCell ref="E376:G376"/>
    <mergeCell ref="A311:B311"/>
    <mergeCell ref="B312:D312"/>
    <mergeCell ref="B321:D321"/>
    <mergeCell ref="B330:D330"/>
    <mergeCell ref="B354:D354"/>
    <mergeCell ref="E354:G354"/>
    <mergeCell ref="B361:D361"/>
    <mergeCell ref="B369:D369"/>
    <mergeCell ref="V197:AD197"/>
    <mergeCell ref="B271:D271"/>
    <mergeCell ref="E271:G271"/>
    <mergeCell ref="F255:G255"/>
    <mergeCell ref="D255:E255"/>
    <mergeCell ref="B246:C246"/>
    <mergeCell ref="D246:E246"/>
    <mergeCell ref="F246:G246"/>
    <mergeCell ref="B254:E254"/>
    <mergeCell ref="B236:E236"/>
    <mergeCell ref="B237:C237"/>
    <mergeCell ref="D237:E237"/>
    <mergeCell ref="F237:G237"/>
    <mergeCell ref="B245:E245"/>
    <mergeCell ref="E211:G211"/>
    <mergeCell ref="B218:D218"/>
    <mergeCell ref="B211:D211"/>
    <mergeCell ref="E197:G197"/>
    <mergeCell ref="B204:D204"/>
    <mergeCell ref="E204:G204"/>
    <mergeCell ref="E369:G369"/>
    <mergeCell ref="A338:G338"/>
    <mergeCell ref="B339:D339"/>
    <mergeCell ref="E339:G339"/>
    <mergeCell ref="B346:D346"/>
    <mergeCell ref="E346:G346"/>
    <mergeCell ref="F330:G330"/>
    <mergeCell ref="F321:G321"/>
    <mergeCell ref="M45:O45"/>
    <mergeCell ref="J45:L45"/>
    <mergeCell ref="I44:O44"/>
    <mergeCell ref="AA102:AI102"/>
    <mergeCell ref="E361:G361"/>
    <mergeCell ref="O120:S120"/>
    <mergeCell ref="O80:S80"/>
    <mergeCell ref="O168:S168"/>
    <mergeCell ref="U120:Y120"/>
    <mergeCell ref="U168:Y168"/>
    <mergeCell ref="E151:G151"/>
    <mergeCell ref="E135:G135"/>
    <mergeCell ref="V80:Y80"/>
    <mergeCell ref="V59:Y59"/>
    <mergeCell ref="V102:Y102"/>
    <mergeCell ref="V149:Y149"/>
    <mergeCell ref="Q198:T198"/>
    <mergeCell ref="E105:G105"/>
    <mergeCell ref="A196:G196"/>
    <mergeCell ref="B166:D166"/>
    <mergeCell ref="B151:D151"/>
    <mergeCell ref="E218:G218"/>
    <mergeCell ref="B197:D19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222"/>
  <sheetViews>
    <sheetView tabSelected="1" topLeftCell="K34" zoomScale="86" zoomScaleNormal="86" workbookViewId="0">
      <selection activeCell="N89" sqref="N89"/>
    </sheetView>
  </sheetViews>
  <sheetFormatPr defaultRowHeight="15" x14ac:dyDescent="0.25"/>
  <cols>
    <col min="1" max="1" width="14.28515625" customWidth="1"/>
    <col min="2" max="2" width="13.28515625" customWidth="1"/>
    <col min="3" max="3" width="13.140625" customWidth="1"/>
    <col min="4" max="4" width="12.5703125" customWidth="1"/>
    <col min="5" max="5" width="12.7109375" customWidth="1"/>
    <col min="7" max="7" width="12.7109375" customWidth="1"/>
    <col min="8" max="8" width="13.28515625" customWidth="1"/>
    <col min="9" max="9" width="12.7109375" customWidth="1"/>
    <col min="10" max="10" width="13.28515625" customWidth="1"/>
    <col min="11" max="11" width="12.85546875" customWidth="1"/>
    <col min="12" max="13" width="12.5703125" customWidth="1"/>
    <col min="14" max="14" width="13" customWidth="1"/>
    <col min="15" max="15" width="12.85546875" customWidth="1"/>
    <col min="16" max="16" width="13.140625" customWidth="1"/>
    <col min="17" max="17" width="12.42578125" customWidth="1"/>
    <col min="19" max="19" width="12.5703125" customWidth="1"/>
    <col min="20" max="20" width="13.42578125" customWidth="1"/>
    <col min="21" max="21" width="12.85546875" customWidth="1"/>
    <col min="22" max="22" width="12.7109375" customWidth="1"/>
    <col min="23" max="23" width="13" customWidth="1"/>
    <col min="24" max="24" width="14.42578125" customWidth="1"/>
    <col min="25" max="25" width="15" customWidth="1"/>
    <col min="26" max="26" width="15.5703125" customWidth="1"/>
    <col min="27" max="27" width="15.85546875" customWidth="1"/>
    <col min="28" max="28" width="8.5703125" customWidth="1"/>
    <col min="29" max="29" width="11.5703125" customWidth="1"/>
    <col min="30" max="30" width="15.85546875" customWidth="1"/>
    <col min="31" max="31" width="17.140625" customWidth="1"/>
    <col min="32" max="32" width="11.85546875" customWidth="1"/>
    <col min="33" max="33" width="12.140625" customWidth="1"/>
    <col min="34" max="34" width="12.28515625" customWidth="1"/>
    <col min="35" max="35" width="11.42578125" customWidth="1"/>
    <col min="36" max="36" width="12.140625" customWidth="1"/>
    <col min="37" max="37" width="11.140625" customWidth="1"/>
  </cols>
  <sheetData>
    <row r="3" spans="1:32" ht="18.75" x14ac:dyDescent="0.3">
      <c r="D3" s="189" t="s">
        <v>205</v>
      </c>
      <c r="E3" s="189"/>
      <c r="K3" s="166" t="s">
        <v>92</v>
      </c>
      <c r="L3" s="167"/>
      <c r="M3" s="167"/>
      <c r="S3" s="166" t="s">
        <v>114</v>
      </c>
      <c r="T3" s="167"/>
      <c r="U3" s="167"/>
    </row>
    <row r="4" spans="1:32" ht="18.75" x14ac:dyDescent="0.3">
      <c r="A4" s="151" t="s">
        <v>74</v>
      </c>
      <c r="B4" s="151"/>
      <c r="C4" s="151"/>
      <c r="D4" s="151"/>
      <c r="E4" s="151"/>
      <c r="F4" s="151"/>
      <c r="G4" s="151"/>
      <c r="Y4" s="6"/>
      <c r="Z4" s="190" t="s">
        <v>207</v>
      </c>
      <c r="AA4" s="191"/>
      <c r="AB4" s="192"/>
    </row>
    <row r="5" spans="1:32" ht="15.75" x14ac:dyDescent="0.25">
      <c r="A5" s="20"/>
      <c r="B5" s="145" t="s">
        <v>101</v>
      </c>
      <c r="C5" s="146"/>
      <c r="D5" s="147"/>
      <c r="E5" s="145" t="s">
        <v>102</v>
      </c>
      <c r="F5" s="146"/>
      <c r="G5" s="147"/>
      <c r="I5" s="20"/>
      <c r="J5" s="145" t="s">
        <v>101</v>
      </c>
      <c r="K5" s="146"/>
      <c r="L5" s="147"/>
      <c r="M5" s="145" t="s">
        <v>102</v>
      </c>
      <c r="N5" s="146"/>
      <c r="O5" s="147"/>
      <c r="Q5" s="20"/>
      <c r="R5" s="145" t="s">
        <v>101</v>
      </c>
      <c r="S5" s="146"/>
      <c r="T5" s="147"/>
      <c r="U5" s="145" t="s">
        <v>102</v>
      </c>
      <c r="V5" s="146"/>
      <c r="W5" s="147"/>
      <c r="Z5" s="106" t="s">
        <v>205</v>
      </c>
      <c r="AA5" s="107" t="s">
        <v>206</v>
      </c>
      <c r="AB5" s="104" t="s">
        <v>209</v>
      </c>
      <c r="AC5" s="106" t="s">
        <v>114</v>
      </c>
      <c r="AD5" s="105" t="s">
        <v>210</v>
      </c>
      <c r="AE5" s="105" t="s">
        <v>211</v>
      </c>
      <c r="AF5" t="s">
        <v>214</v>
      </c>
    </row>
    <row r="6" spans="1:32" ht="15.75" x14ac:dyDescent="0.25">
      <c r="A6" s="8" t="s">
        <v>61</v>
      </c>
      <c r="B6" s="14" t="s">
        <v>62</v>
      </c>
      <c r="C6" s="14" t="s">
        <v>63</v>
      </c>
      <c r="D6" s="14" t="s">
        <v>64</v>
      </c>
      <c r="E6" s="12" t="s">
        <v>62</v>
      </c>
      <c r="F6" s="12" t="s">
        <v>65</v>
      </c>
      <c r="G6" s="12" t="s">
        <v>64</v>
      </c>
      <c r="I6" s="8" t="s">
        <v>61</v>
      </c>
      <c r="J6" s="14" t="s">
        <v>62</v>
      </c>
      <c r="K6" s="14" t="s">
        <v>63</v>
      </c>
      <c r="L6" s="14" t="s">
        <v>64</v>
      </c>
      <c r="M6" s="12" t="s">
        <v>62</v>
      </c>
      <c r="N6" s="12" t="s">
        <v>65</v>
      </c>
      <c r="O6" s="12" t="s">
        <v>64</v>
      </c>
      <c r="Q6" s="8" t="s">
        <v>61</v>
      </c>
      <c r="R6" s="14" t="s">
        <v>62</v>
      </c>
      <c r="S6" s="14" t="s">
        <v>63</v>
      </c>
      <c r="T6" s="14" t="s">
        <v>64</v>
      </c>
      <c r="U6" s="12" t="s">
        <v>62</v>
      </c>
      <c r="V6" s="12" t="s">
        <v>65</v>
      </c>
      <c r="W6" s="12" t="s">
        <v>64</v>
      </c>
      <c r="Y6" s="101" t="s">
        <v>134</v>
      </c>
      <c r="Z6" s="18">
        <v>0</v>
      </c>
      <c r="AA6" s="17">
        <v>1.1999999999999999E-3</v>
      </c>
      <c r="AB6" s="7">
        <f>AA6-Z6</f>
        <v>1.1999999999999999E-3</v>
      </c>
      <c r="AC6" s="34">
        <v>0</v>
      </c>
      <c r="AD6" s="7">
        <f>AC6-Z6</f>
        <v>0</v>
      </c>
      <c r="AE6" s="7">
        <f>AA6-AC6</f>
        <v>1.1999999999999999E-3</v>
      </c>
      <c r="AF6">
        <f>AVERAGE(AB6:AB17)</f>
        <v>2.9475000000000005E-3</v>
      </c>
    </row>
    <row r="7" spans="1:32" x14ac:dyDescent="0.25">
      <c r="A7" s="9" t="s">
        <v>66</v>
      </c>
      <c r="B7" s="17">
        <v>1.43</v>
      </c>
      <c r="C7" s="17"/>
      <c r="D7" s="17"/>
      <c r="E7" s="19">
        <v>2.8370000000000002</v>
      </c>
      <c r="F7" s="19"/>
      <c r="G7" s="19"/>
      <c r="I7" s="9" t="s">
        <v>66</v>
      </c>
      <c r="J7" s="17">
        <v>2.7650000000000001</v>
      </c>
      <c r="K7" s="17"/>
      <c r="L7" s="17"/>
      <c r="M7" s="19">
        <v>5.6589999999999998</v>
      </c>
      <c r="N7" s="19"/>
      <c r="O7" s="19"/>
      <c r="Q7" s="9" t="s">
        <v>66</v>
      </c>
      <c r="R7" s="17">
        <v>5.28</v>
      </c>
      <c r="S7" s="17"/>
      <c r="T7" s="17"/>
      <c r="U7" s="19">
        <v>10.846</v>
      </c>
      <c r="V7" s="19"/>
      <c r="W7" s="19"/>
      <c r="Y7" s="101" t="s">
        <v>135</v>
      </c>
      <c r="Z7" s="18">
        <v>0</v>
      </c>
      <c r="AA7" s="28">
        <v>2.3999999999999998E-3</v>
      </c>
      <c r="AB7" s="7">
        <f t="shared" ref="AB7:AB17" si="0">AA7-Z7</f>
        <v>2.3999999999999998E-3</v>
      </c>
      <c r="AC7" s="34">
        <v>2.6000000000000001E-6</v>
      </c>
      <c r="AD7" s="7">
        <f t="shared" ref="AD7:AD17" si="1">AC7-Z7</f>
        <v>2.6000000000000001E-6</v>
      </c>
      <c r="AE7" s="7">
        <f t="shared" ref="AE7:AE17" si="2">AA7-AC7</f>
        <v>2.3973999999999996E-3</v>
      </c>
    </row>
    <row r="8" spans="1:32" x14ac:dyDescent="0.25">
      <c r="A8" s="9" t="s">
        <v>67</v>
      </c>
      <c r="B8" s="17">
        <v>1.4670000000000001</v>
      </c>
      <c r="C8" s="17">
        <v>10000000</v>
      </c>
      <c r="D8" s="17"/>
      <c r="E8" s="19">
        <v>2.915</v>
      </c>
      <c r="F8" s="19">
        <v>20000000</v>
      </c>
      <c r="G8" s="19"/>
      <c r="I8" s="9" t="s">
        <v>67</v>
      </c>
      <c r="J8" s="17">
        <v>2.7930000000000001</v>
      </c>
      <c r="K8" s="17">
        <v>10000001</v>
      </c>
      <c r="L8" s="17"/>
      <c r="M8" s="19">
        <v>5.6260000000000003</v>
      </c>
      <c r="N8" s="19">
        <v>20000001</v>
      </c>
      <c r="O8" s="19"/>
      <c r="Q8" s="9" t="s">
        <v>67</v>
      </c>
      <c r="R8" s="17">
        <v>4.8099999999999996</v>
      </c>
      <c r="S8" s="17">
        <v>10000001</v>
      </c>
      <c r="T8" s="17"/>
      <c r="U8" s="19">
        <v>9.6170000000000009</v>
      </c>
      <c r="V8" s="19">
        <v>20000001</v>
      </c>
      <c r="W8" s="19"/>
      <c r="Y8" s="101" t="s">
        <v>136</v>
      </c>
      <c r="Z8" s="18">
        <v>0</v>
      </c>
      <c r="AA8" s="17">
        <v>3.7000000000000002E-3</v>
      </c>
      <c r="AB8" s="7">
        <f t="shared" si="0"/>
        <v>3.7000000000000002E-3</v>
      </c>
      <c r="AC8" s="34">
        <v>6.3E-5</v>
      </c>
      <c r="AD8" s="7">
        <f t="shared" si="1"/>
        <v>6.3E-5</v>
      </c>
      <c r="AE8" s="7">
        <f t="shared" si="2"/>
        <v>3.637E-3</v>
      </c>
      <c r="AF8" t="s">
        <v>213</v>
      </c>
    </row>
    <row r="9" spans="1:32" ht="21" x14ac:dyDescent="0.3">
      <c r="A9" s="9" t="s">
        <v>68</v>
      </c>
      <c r="B9" s="17">
        <v>1.464</v>
      </c>
      <c r="C9" s="17">
        <v>5000000</v>
      </c>
      <c r="D9" s="17">
        <v>0</v>
      </c>
      <c r="E9" s="19">
        <v>2.895</v>
      </c>
      <c r="F9" s="19">
        <v>10000000</v>
      </c>
      <c r="G9" s="19">
        <v>0</v>
      </c>
      <c r="I9" s="9" t="s">
        <v>68</v>
      </c>
      <c r="J9" s="17">
        <v>2.7989999999999999</v>
      </c>
      <c r="K9" s="17">
        <v>5012059</v>
      </c>
      <c r="L9" s="17">
        <v>1.1999999999999999E-3</v>
      </c>
      <c r="M9" s="19">
        <v>5.6070000000000002</v>
      </c>
      <c r="N9" s="19">
        <v>10048733</v>
      </c>
      <c r="O9" s="19">
        <v>2.3999999999999998E-3</v>
      </c>
      <c r="Q9" s="9" t="s">
        <v>68</v>
      </c>
      <c r="R9" s="17">
        <v>3.8690000000000002</v>
      </c>
      <c r="S9" s="17">
        <v>5000000</v>
      </c>
      <c r="T9" s="17">
        <v>0</v>
      </c>
      <c r="U9" s="19">
        <v>7.907</v>
      </c>
      <c r="V9" s="19">
        <v>10000051</v>
      </c>
      <c r="W9" s="19" t="s">
        <v>117</v>
      </c>
      <c r="Y9" s="101" t="s">
        <v>137</v>
      </c>
      <c r="Z9" s="18">
        <v>0</v>
      </c>
      <c r="AA9" s="28">
        <v>4.8999999999999998E-3</v>
      </c>
      <c r="AB9" s="7">
        <f t="shared" si="0"/>
        <v>4.8999999999999998E-3</v>
      </c>
      <c r="AC9" s="34">
        <v>5.0000000000000001E-4</v>
      </c>
      <c r="AD9" s="7">
        <f t="shared" si="1"/>
        <v>5.0000000000000001E-4</v>
      </c>
      <c r="AE9" s="7">
        <f t="shared" si="2"/>
        <v>4.3999999999999994E-3</v>
      </c>
      <c r="AF9">
        <f>AVERAGE(AD6:AD17)</f>
        <v>1.4441666666666669E-5</v>
      </c>
    </row>
    <row r="10" spans="1:32" ht="21" x14ac:dyDescent="0.3">
      <c r="A10" s="9" t="s">
        <v>69</v>
      </c>
      <c r="B10" s="17">
        <v>1.4610000000000001</v>
      </c>
      <c r="C10" s="17">
        <v>0</v>
      </c>
      <c r="D10" s="17">
        <v>0</v>
      </c>
      <c r="E10" s="19">
        <v>2.8809999999999998</v>
      </c>
      <c r="F10" s="19">
        <v>0</v>
      </c>
      <c r="G10" s="19">
        <v>0</v>
      </c>
      <c r="I10" s="9" t="s">
        <v>69</v>
      </c>
      <c r="J10" s="17">
        <v>2.8170000000000002</v>
      </c>
      <c r="K10" s="17">
        <v>24300</v>
      </c>
      <c r="L10" s="17">
        <v>2.3999999999999998E-3</v>
      </c>
      <c r="M10" s="19">
        <v>5.6580000000000004</v>
      </c>
      <c r="N10" s="19">
        <v>97958</v>
      </c>
      <c r="O10" s="19">
        <v>4.8999999999999998E-3</v>
      </c>
      <c r="Q10" s="9" t="s">
        <v>69</v>
      </c>
      <c r="R10" s="17">
        <v>2.91</v>
      </c>
      <c r="S10" s="17">
        <v>0</v>
      </c>
      <c r="T10" s="17">
        <v>0</v>
      </c>
      <c r="U10" s="19">
        <v>6.1539999999999999</v>
      </c>
      <c r="V10" s="19">
        <v>87</v>
      </c>
      <c r="W10" s="19" t="s">
        <v>118</v>
      </c>
      <c r="Y10" s="101" t="s">
        <v>138</v>
      </c>
      <c r="Z10" s="18">
        <v>0</v>
      </c>
      <c r="AA10" s="17">
        <v>1.1999999999999999E-3</v>
      </c>
      <c r="AB10" s="7">
        <f t="shared" si="0"/>
        <v>1.1999999999999999E-3</v>
      </c>
      <c r="AC10" s="34">
        <v>0</v>
      </c>
      <c r="AD10" s="7">
        <f t="shared" si="1"/>
        <v>0</v>
      </c>
      <c r="AE10" s="7">
        <f t="shared" si="2"/>
        <v>1.1999999999999999E-3</v>
      </c>
    </row>
    <row r="11" spans="1:32" x14ac:dyDescent="0.25">
      <c r="A11" s="21"/>
      <c r="I11" s="21"/>
      <c r="Q11" s="21"/>
      <c r="Y11" s="101" t="s">
        <v>139</v>
      </c>
      <c r="Z11" s="18">
        <v>0</v>
      </c>
      <c r="AA11" s="28">
        <v>2.5000000000000001E-3</v>
      </c>
      <c r="AB11" s="7">
        <f t="shared" si="0"/>
        <v>2.5000000000000001E-3</v>
      </c>
      <c r="AC11" s="34">
        <v>2.7E-6</v>
      </c>
      <c r="AD11" s="7">
        <f t="shared" si="1"/>
        <v>2.7E-6</v>
      </c>
      <c r="AE11" s="7">
        <f t="shared" si="2"/>
        <v>2.4973E-3</v>
      </c>
      <c r="AF11" t="s">
        <v>212</v>
      </c>
    </row>
    <row r="12" spans="1:32" ht="15.75" x14ac:dyDescent="0.25">
      <c r="A12" s="20"/>
      <c r="B12" s="145" t="s">
        <v>100</v>
      </c>
      <c r="C12" s="146"/>
      <c r="D12" s="147"/>
      <c r="E12" s="145" t="s">
        <v>99</v>
      </c>
      <c r="F12" s="146"/>
      <c r="G12" s="147"/>
      <c r="I12" s="20"/>
      <c r="J12" s="145" t="s">
        <v>100</v>
      </c>
      <c r="K12" s="159"/>
      <c r="L12" s="160"/>
      <c r="M12" s="145" t="s">
        <v>99</v>
      </c>
      <c r="N12" s="146"/>
      <c r="O12" s="147"/>
      <c r="Q12" s="20"/>
      <c r="R12" s="145" t="s">
        <v>100</v>
      </c>
      <c r="S12" s="159"/>
      <c r="T12" s="160"/>
      <c r="U12" s="145" t="s">
        <v>99</v>
      </c>
      <c r="V12" s="146"/>
      <c r="W12" s="147"/>
      <c r="Y12" s="101" t="s">
        <v>140</v>
      </c>
      <c r="Z12" s="18">
        <v>0</v>
      </c>
      <c r="AA12" s="17">
        <v>3.7000000000000002E-3</v>
      </c>
      <c r="AB12" s="7">
        <f t="shared" si="0"/>
        <v>3.7000000000000002E-3</v>
      </c>
      <c r="AC12" s="34">
        <v>6.3E-5</v>
      </c>
      <c r="AD12" s="7">
        <f t="shared" si="1"/>
        <v>6.3E-5</v>
      </c>
      <c r="AE12" s="7">
        <f t="shared" si="2"/>
        <v>3.637E-3</v>
      </c>
      <c r="AF12">
        <f>AVERAGE(AE6:AE17)</f>
        <v>2.9330583333333333E-3</v>
      </c>
    </row>
    <row r="13" spans="1:32" ht="15.75" x14ac:dyDescent="0.25">
      <c r="A13" s="8" t="s">
        <v>61</v>
      </c>
      <c r="B13" s="15" t="s">
        <v>62</v>
      </c>
      <c r="C13" s="15" t="s">
        <v>63</v>
      </c>
      <c r="D13" s="15" t="s">
        <v>64</v>
      </c>
      <c r="E13" s="13" t="s">
        <v>62</v>
      </c>
      <c r="F13" s="13" t="s">
        <v>65</v>
      </c>
      <c r="G13" s="13" t="s">
        <v>64</v>
      </c>
      <c r="I13" s="8" t="s">
        <v>61</v>
      </c>
      <c r="J13" s="15" t="s">
        <v>62</v>
      </c>
      <c r="K13" s="15" t="s">
        <v>63</v>
      </c>
      <c r="L13" s="15" t="s">
        <v>64</v>
      </c>
      <c r="M13" s="13" t="s">
        <v>62</v>
      </c>
      <c r="N13" s="13" t="s">
        <v>65</v>
      </c>
      <c r="O13" s="13" t="s">
        <v>64</v>
      </c>
      <c r="Q13" s="8" t="s">
        <v>61</v>
      </c>
      <c r="R13" s="15" t="s">
        <v>62</v>
      </c>
      <c r="S13" s="15" t="s">
        <v>63</v>
      </c>
      <c r="T13" s="15" t="s">
        <v>64</v>
      </c>
      <c r="U13" s="13" t="s">
        <v>62</v>
      </c>
      <c r="V13" s="13" t="s">
        <v>65</v>
      </c>
      <c r="W13" s="13" t="s">
        <v>64</v>
      </c>
      <c r="Y13" s="101" t="s">
        <v>141</v>
      </c>
      <c r="Z13" s="108">
        <v>0</v>
      </c>
      <c r="AA13" s="28">
        <v>4.8999999999999998E-3</v>
      </c>
      <c r="AB13" s="7">
        <f t="shared" si="0"/>
        <v>4.8999999999999998E-3</v>
      </c>
      <c r="AC13" s="34">
        <v>5.0000000000000001E-4</v>
      </c>
      <c r="AD13" s="7">
        <f t="shared" si="1"/>
        <v>5.0000000000000001E-4</v>
      </c>
      <c r="AE13" s="7">
        <f t="shared" si="2"/>
        <v>4.3999999999999994E-3</v>
      </c>
    </row>
    <row r="14" spans="1:32" x14ac:dyDescent="0.25">
      <c r="A14" s="9" t="s">
        <v>66</v>
      </c>
      <c r="B14" s="16">
        <v>4.2480000000000002</v>
      </c>
      <c r="C14" s="16"/>
      <c r="D14" s="16"/>
      <c r="E14" s="18">
        <v>5.6710000000000003</v>
      </c>
      <c r="F14" s="18"/>
      <c r="G14" s="18"/>
      <c r="I14" s="9" t="s">
        <v>66</v>
      </c>
      <c r="J14" s="16">
        <v>8.8000000000000007</v>
      </c>
      <c r="K14" s="16"/>
      <c r="L14" s="16"/>
      <c r="M14" s="18">
        <v>11.723000000000001</v>
      </c>
      <c r="N14" s="18"/>
      <c r="O14" s="18"/>
      <c r="Q14" s="9" t="s">
        <v>66</v>
      </c>
      <c r="R14" s="16">
        <v>16.523</v>
      </c>
      <c r="S14" s="16"/>
      <c r="T14" s="16"/>
      <c r="U14" s="18">
        <v>22.366</v>
      </c>
      <c r="V14" s="18"/>
      <c r="W14" s="18"/>
      <c r="Y14" s="101" t="s">
        <v>130</v>
      </c>
      <c r="Z14" s="18">
        <v>0</v>
      </c>
      <c r="AA14" s="17">
        <v>1.2999999999999999E-3</v>
      </c>
      <c r="AB14" s="7">
        <f t="shared" si="0"/>
        <v>1.2999999999999999E-3</v>
      </c>
      <c r="AC14" s="34">
        <v>0</v>
      </c>
      <c r="AD14" s="7">
        <f t="shared" si="1"/>
        <v>0</v>
      </c>
      <c r="AE14" s="7">
        <f t="shared" si="2"/>
        <v>1.2999999999999999E-3</v>
      </c>
    </row>
    <row r="15" spans="1:32" x14ac:dyDescent="0.25">
      <c r="A15" s="9" t="s">
        <v>67</v>
      </c>
      <c r="B15" s="16">
        <v>4.3959999999999999</v>
      </c>
      <c r="C15" s="16">
        <v>30000000</v>
      </c>
      <c r="D15" s="16"/>
      <c r="E15" s="18">
        <v>5.8339999999999996</v>
      </c>
      <c r="F15" s="18">
        <v>40000000</v>
      </c>
      <c r="G15" s="18"/>
      <c r="I15" s="9" t="s">
        <v>67</v>
      </c>
      <c r="J15" s="16">
        <v>8.3650000000000002</v>
      </c>
      <c r="K15" s="16">
        <v>30000001</v>
      </c>
      <c r="L15" s="16"/>
      <c r="M15" s="18">
        <v>11.157</v>
      </c>
      <c r="N15" s="18">
        <v>40000001</v>
      </c>
      <c r="O15" s="18"/>
      <c r="Q15" s="9" t="s">
        <v>67</v>
      </c>
      <c r="R15" s="16">
        <v>14.468</v>
      </c>
      <c r="S15" s="16">
        <v>30000001</v>
      </c>
      <c r="T15" s="16"/>
      <c r="U15" s="18">
        <v>19.283999999999999</v>
      </c>
      <c r="V15" s="18">
        <v>40000001</v>
      </c>
      <c r="W15" s="18"/>
      <c r="Y15" s="101" t="s">
        <v>131</v>
      </c>
      <c r="Z15" s="18">
        <v>2.1000000000000001E-4</v>
      </c>
      <c r="AA15" s="28">
        <v>2.5000000000000001E-3</v>
      </c>
      <c r="AB15" s="7">
        <f t="shared" si="0"/>
        <v>2.2899999999999999E-3</v>
      </c>
      <c r="AC15" s="34">
        <v>1.9999999999999999E-6</v>
      </c>
      <c r="AD15" s="7">
        <f t="shared" si="1"/>
        <v>-2.0800000000000001E-4</v>
      </c>
      <c r="AE15" s="7">
        <f t="shared" si="2"/>
        <v>2.4980000000000002E-3</v>
      </c>
    </row>
    <row r="16" spans="1:32" ht="21" x14ac:dyDescent="0.3">
      <c r="A16" s="9" t="s">
        <v>68</v>
      </c>
      <c r="B16" s="16">
        <v>4.3490000000000002</v>
      </c>
      <c r="C16" s="16">
        <v>15000000</v>
      </c>
      <c r="D16" s="16">
        <v>0</v>
      </c>
      <c r="E16" s="18">
        <v>5.7969999999999997</v>
      </c>
      <c r="F16" s="18">
        <v>20000000</v>
      </c>
      <c r="G16" s="18">
        <v>0</v>
      </c>
      <c r="I16" s="9" t="s">
        <v>68</v>
      </c>
      <c r="J16" s="16">
        <v>8.4380000000000006</v>
      </c>
      <c r="K16" s="16">
        <v>15110235</v>
      </c>
      <c r="L16" s="16">
        <v>3.7000000000000002E-3</v>
      </c>
      <c r="M16" s="18">
        <v>11.144</v>
      </c>
      <c r="N16" s="18">
        <v>20195884</v>
      </c>
      <c r="O16" s="18">
        <v>4.8999999999999998E-3</v>
      </c>
      <c r="Q16" s="9" t="s">
        <v>68</v>
      </c>
      <c r="R16" s="16">
        <v>12.16</v>
      </c>
      <c r="S16" s="16">
        <v>15001888</v>
      </c>
      <c r="T16" s="16" t="s">
        <v>116</v>
      </c>
      <c r="U16" s="18">
        <v>16.253</v>
      </c>
      <c r="V16" s="18">
        <v>20020398</v>
      </c>
      <c r="W16" s="18">
        <v>5.0000000000000001E-4</v>
      </c>
      <c r="Y16" s="101" t="s">
        <v>133</v>
      </c>
      <c r="Z16" s="108">
        <v>4.6000000000000001E-4</v>
      </c>
      <c r="AA16" s="17">
        <v>3.7000000000000002E-3</v>
      </c>
      <c r="AB16" s="7">
        <f t="shared" si="0"/>
        <v>3.2400000000000003E-3</v>
      </c>
      <c r="AC16" s="34">
        <v>6.0000000000000002E-5</v>
      </c>
      <c r="AD16" s="7">
        <f t="shared" si="1"/>
        <v>-4.0000000000000002E-4</v>
      </c>
      <c r="AE16" s="7">
        <f t="shared" si="2"/>
        <v>3.64E-3</v>
      </c>
    </row>
    <row r="17" spans="1:32" ht="21" x14ac:dyDescent="0.3">
      <c r="A17" s="9" t="s">
        <v>69</v>
      </c>
      <c r="B17" s="16">
        <v>4.3150000000000004</v>
      </c>
      <c r="C17" s="16">
        <v>0</v>
      </c>
      <c r="D17" s="16">
        <v>0</v>
      </c>
      <c r="E17" s="18">
        <v>5.7619999999999996</v>
      </c>
      <c r="F17" s="18">
        <v>0</v>
      </c>
      <c r="G17" s="18">
        <v>0</v>
      </c>
      <c r="I17" s="9" t="s">
        <v>69</v>
      </c>
      <c r="J17" s="16">
        <v>8.5090000000000003</v>
      </c>
      <c r="K17" s="16">
        <v>221277</v>
      </c>
      <c r="L17" s="16">
        <v>7.4000000000000003E-3</v>
      </c>
      <c r="M17" s="18">
        <v>11.179</v>
      </c>
      <c r="N17" s="18">
        <v>393327</v>
      </c>
      <c r="O17" s="18">
        <v>9.7999999999999997E-3</v>
      </c>
      <c r="Q17" s="9" t="s">
        <v>69</v>
      </c>
      <c r="R17" s="16">
        <v>9.7490000000000006</v>
      </c>
      <c r="S17" s="16">
        <v>3781</v>
      </c>
      <c r="T17" s="16" t="s">
        <v>115</v>
      </c>
      <c r="U17" s="18">
        <v>13.233000000000001</v>
      </c>
      <c r="V17" s="18">
        <v>40725</v>
      </c>
      <c r="W17" s="18">
        <v>1E-3</v>
      </c>
      <c r="Y17" s="101" t="s">
        <v>132</v>
      </c>
      <c r="Z17" s="18">
        <v>8.5999999999999998E-4</v>
      </c>
      <c r="AA17" s="28">
        <v>4.8999999999999998E-3</v>
      </c>
      <c r="AB17" s="7">
        <f t="shared" si="0"/>
        <v>4.0400000000000002E-3</v>
      </c>
      <c r="AC17" s="34">
        <v>5.1000000000000004E-4</v>
      </c>
      <c r="AD17" s="7">
        <f t="shared" si="1"/>
        <v>-3.4999999999999994E-4</v>
      </c>
      <c r="AE17" s="7">
        <f t="shared" si="2"/>
        <v>4.3899999999999998E-3</v>
      </c>
    </row>
    <row r="20" spans="1:32" ht="18.75" x14ac:dyDescent="0.3">
      <c r="A20" s="22"/>
      <c r="B20" s="138" t="s">
        <v>97</v>
      </c>
      <c r="C20" s="152"/>
      <c r="D20" s="153"/>
      <c r="E20" s="138" t="s">
        <v>98</v>
      </c>
      <c r="F20" s="152"/>
      <c r="G20" s="153"/>
      <c r="I20" s="22"/>
      <c r="J20" s="138" t="s">
        <v>97</v>
      </c>
      <c r="K20" s="139"/>
      <c r="L20" s="140"/>
      <c r="M20" s="138" t="s">
        <v>98</v>
      </c>
      <c r="N20" s="139"/>
      <c r="O20" s="140"/>
      <c r="Q20" s="22"/>
      <c r="R20" s="138" t="s">
        <v>97</v>
      </c>
      <c r="S20" s="139"/>
      <c r="T20" s="140"/>
      <c r="U20" s="138" t="s">
        <v>98</v>
      </c>
      <c r="V20" s="139"/>
      <c r="W20" s="140"/>
      <c r="Y20" s="110"/>
      <c r="Z20" s="186" t="s">
        <v>208</v>
      </c>
      <c r="AA20" s="187"/>
      <c r="AB20" s="188"/>
    </row>
    <row r="21" spans="1:32" ht="15.75" x14ac:dyDescent="0.25">
      <c r="A21" s="10" t="s">
        <v>61</v>
      </c>
      <c r="B21" s="14" t="s">
        <v>62</v>
      </c>
      <c r="C21" s="14" t="s">
        <v>63</v>
      </c>
      <c r="D21" s="14" t="s">
        <v>64</v>
      </c>
      <c r="E21" s="12" t="s">
        <v>62</v>
      </c>
      <c r="F21" s="12" t="s">
        <v>65</v>
      </c>
      <c r="G21" s="12" t="s">
        <v>64</v>
      </c>
      <c r="I21" s="10" t="s">
        <v>61</v>
      </c>
      <c r="J21" s="14" t="s">
        <v>62</v>
      </c>
      <c r="K21" s="14" t="s">
        <v>63</v>
      </c>
      <c r="L21" s="14" t="s">
        <v>64</v>
      </c>
      <c r="M21" s="12" t="s">
        <v>62</v>
      </c>
      <c r="N21" s="12" t="s">
        <v>65</v>
      </c>
      <c r="O21" s="12" t="s">
        <v>64</v>
      </c>
      <c r="Q21" s="10" t="s">
        <v>61</v>
      </c>
      <c r="R21" s="14" t="s">
        <v>62</v>
      </c>
      <c r="S21" s="14" t="s">
        <v>63</v>
      </c>
      <c r="T21" s="14" t="s">
        <v>64</v>
      </c>
      <c r="U21" s="12" t="s">
        <v>62</v>
      </c>
      <c r="V21" s="12" t="s">
        <v>65</v>
      </c>
      <c r="W21" s="12" t="s">
        <v>64</v>
      </c>
      <c r="Y21" s="6"/>
      <c r="Z21" s="102" t="s">
        <v>205</v>
      </c>
      <c r="AA21" s="12" t="s">
        <v>206</v>
      </c>
      <c r="AB21" s="111" t="s">
        <v>209</v>
      </c>
      <c r="AC21" s="102" t="s">
        <v>114</v>
      </c>
      <c r="AD21" s="112" t="s">
        <v>210</v>
      </c>
      <c r="AE21" s="112" t="s">
        <v>211</v>
      </c>
      <c r="AF21" t="s">
        <v>214</v>
      </c>
    </row>
    <row r="22" spans="1:32" x14ac:dyDescent="0.25">
      <c r="A22" s="11" t="s">
        <v>66</v>
      </c>
      <c r="B22" s="17">
        <v>1.5980000000000001</v>
      </c>
      <c r="C22" s="17"/>
      <c r="D22" s="17"/>
      <c r="E22" s="19">
        <v>3.19</v>
      </c>
      <c r="F22" s="19"/>
      <c r="G22" s="19"/>
      <c r="I22" s="11" t="s">
        <v>66</v>
      </c>
      <c r="J22" s="28">
        <v>2.9380000000000002</v>
      </c>
      <c r="K22" s="17"/>
      <c r="L22" s="17"/>
      <c r="M22" s="29">
        <v>6.06</v>
      </c>
      <c r="N22" s="19"/>
      <c r="O22" s="19"/>
      <c r="Q22" s="11" t="s">
        <v>66</v>
      </c>
      <c r="R22" s="28">
        <v>5.6040000000000001</v>
      </c>
      <c r="S22" s="36"/>
      <c r="T22" s="17"/>
      <c r="U22" s="29">
        <v>11.406000000000001</v>
      </c>
      <c r="V22" s="19"/>
      <c r="W22" s="19"/>
      <c r="Y22" s="101" t="s">
        <v>134</v>
      </c>
      <c r="Z22" s="18">
        <v>0</v>
      </c>
      <c r="AA22" s="17">
        <v>2.3999999999999998E-3</v>
      </c>
      <c r="AB22" s="6">
        <f>AA22-Z22</f>
        <v>2.3999999999999998E-3</v>
      </c>
      <c r="AC22" s="34">
        <v>0</v>
      </c>
      <c r="AD22" s="6">
        <f>AC22-Z22</f>
        <v>0</v>
      </c>
      <c r="AE22" s="6">
        <f>AA22-AC22</f>
        <v>2.3999999999999998E-3</v>
      </c>
      <c r="AF22">
        <f>AVERAGE(AB22:AB33)</f>
        <v>5.9060000000000007E-3</v>
      </c>
    </row>
    <row r="23" spans="1:32" x14ac:dyDescent="0.25">
      <c r="A23" s="11" t="s">
        <v>67</v>
      </c>
      <c r="B23" s="17">
        <v>1.63</v>
      </c>
      <c r="C23" s="17">
        <v>10000000</v>
      </c>
      <c r="D23" s="17"/>
      <c r="E23" s="19">
        <v>3.25</v>
      </c>
      <c r="F23" s="19">
        <v>20000000</v>
      </c>
      <c r="G23" s="19"/>
      <c r="I23" s="11" t="s">
        <v>67</v>
      </c>
      <c r="J23" s="28">
        <v>2.9729999999999999</v>
      </c>
      <c r="K23" s="17">
        <v>10000001</v>
      </c>
      <c r="L23" s="17"/>
      <c r="M23" s="29">
        <v>5.97</v>
      </c>
      <c r="N23" s="19">
        <v>20000001</v>
      </c>
      <c r="O23" s="19"/>
      <c r="Q23" s="11" t="s">
        <v>67</v>
      </c>
      <c r="R23" s="28">
        <v>5.14</v>
      </c>
      <c r="S23" s="17">
        <v>10000001</v>
      </c>
      <c r="T23" s="36"/>
      <c r="U23" s="29">
        <v>10.119999999999999</v>
      </c>
      <c r="V23" s="19">
        <v>20000001</v>
      </c>
      <c r="W23" s="19"/>
      <c r="Y23" s="101" t="s">
        <v>135</v>
      </c>
      <c r="Z23" s="18">
        <v>0</v>
      </c>
      <c r="AA23" s="28">
        <v>4.8999999999999998E-3</v>
      </c>
      <c r="AB23" s="6">
        <f t="shared" ref="AB23:AB33" si="3">AA23-Z23</f>
        <v>4.8999999999999998E-3</v>
      </c>
      <c r="AC23" s="34">
        <v>4.4000000000000002E-6</v>
      </c>
      <c r="AD23" s="6">
        <f t="shared" ref="AD23:AD33" si="4">AC23-Z23</f>
        <v>4.4000000000000002E-6</v>
      </c>
      <c r="AE23" s="6">
        <f t="shared" ref="AE23:AE33" si="5">AA23-AC23</f>
        <v>4.8956E-3</v>
      </c>
    </row>
    <row r="24" spans="1:32" ht="21" x14ac:dyDescent="0.3">
      <c r="A24" s="11" t="s">
        <v>68</v>
      </c>
      <c r="B24" s="17">
        <v>1.617</v>
      </c>
      <c r="C24" s="17">
        <v>5000000</v>
      </c>
      <c r="D24" s="17">
        <v>0</v>
      </c>
      <c r="E24" s="19">
        <v>3.4359999999999999</v>
      </c>
      <c r="F24" s="19">
        <v>10000000</v>
      </c>
      <c r="G24" s="19">
        <v>0</v>
      </c>
      <c r="I24" s="11" t="s">
        <v>68</v>
      </c>
      <c r="J24" s="28">
        <v>2.9820000000000002</v>
      </c>
      <c r="K24" s="17">
        <v>5012365</v>
      </c>
      <c r="L24" s="17">
        <v>1.1999999999999999E-3</v>
      </c>
      <c r="M24" s="29">
        <v>5.9950000000000001</v>
      </c>
      <c r="N24" s="19">
        <v>10049437</v>
      </c>
      <c r="O24" s="19">
        <v>2.5000000000000001E-3</v>
      </c>
      <c r="Q24" s="11" t="s">
        <v>68</v>
      </c>
      <c r="R24" s="28">
        <v>4.1900000000000004</v>
      </c>
      <c r="S24" s="17">
        <v>5000000</v>
      </c>
      <c r="T24" s="17">
        <v>0</v>
      </c>
      <c r="U24" s="29">
        <v>8.484</v>
      </c>
      <c r="V24" s="19">
        <v>10000054</v>
      </c>
      <c r="W24" s="19" t="s">
        <v>119</v>
      </c>
      <c r="Y24" s="101" t="s">
        <v>136</v>
      </c>
      <c r="Z24" s="18">
        <v>0</v>
      </c>
      <c r="AA24" s="17">
        <v>7.4000000000000003E-3</v>
      </c>
      <c r="AB24" s="6">
        <f t="shared" si="3"/>
        <v>7.4000000000000003E-3</v>
      </c>
      <c r="AC24" s="34">
        <v>1.26E-4</v>
      </c>
      <c r="AD24" s="6">
        <f t="shared" si="4"/>
        <v>1.26E-4</v>
      </c>
      <c r="AE24" s="6">
        <f t="shared" si="5"/>
        <v>7.2740000000000001E-3</v>
      </c>
      <c r="AF24" t="s">
        <v>213</v>
      </c>
    </row>
    <row r="25" spans="1:32" ht="21" x14ac:dyDescent="0.3">
      <c r="A25" s="11" t="s">
        <v>69</v>
      </c>
      <c r="B25" s="17">
        <v>1.6160000000000001</v>
      </c>
      <c r="C25" s="17">
        <v>0</v>
      </c>
      <c r="D25" s="17">
        <v>0</v>
      </c>
      <c r="E25" s="19">
        <v>3.4279999999999999</v>
      </c>
      <c r="F25" s="19">
        <v>0</v>
      </c>
      <c r="G25" s="19">
        <v>0</v>
      </c>
      <c r="I25" s="11" t="s">
        <v>69</v>
      </c>
      <c r="J25" s="28">
        <v>2.992</v>
      </c>
      <c r="K25" s="17">
        <v>24725</v>
      </c>
      <c r="L25" s="17">
        <v>2.5000000000000001E-3</v>
      </c>
      <c r="M25" s="29">
        <v>6.0229999999999997</v>
      </c>
      <c r="N25" s="19">
        <v>98495</v>
      </c>
      <c r="O25" s="19">
        <v>4.8999999999999998E-3</v>
      </c>
      <c r="Q25" s="11" t="s">
        <v>69</v>
      </c>
      <c r="R25" s="28">
        <v>3.25</v>
      </c>
      <c r="S25" s="17">
        <v>0</v>
      </c>
      <c r="T25" s="17">
        <v>0</v>
      </c>
      <c r="U25" s="29">
        <v>6.7469999999999999</v>
      </c>
      <c r="V25" s="19">
        <v>104</v>
      </c>
      <c r="W25" s="19" t="s">
        <v>120</v>
      </c>
      <c r="Y25" s="101" t="s">
        <v>137</v>
      </c>
      <c r="Z25" s="18">
        <v>0</v>
      </c>
      <c r="AA25" s="28">
        <v>9.7999999999999997E-3</v>
      </c>
      <c r="AB25" s="6">
        <f t="shared" si="3"/>
        <v>9.7999999999999997E-3</v>
      </c>
      <c r="AC25" s="34">
        <v>1E-4</v>
      </c>
      <c r="AD25" s="6">
        <f t="shared" si="4"/>
        <v>1E-4</v>
      </c>
      <c r="AE25" s="6">
        <f t="shared" si="5"/>
        <v>9.7000000000000003E-3</v>
      </c>
      <c r="AF25">
        <f>AVERAGE(AD22:AD33)</f>
        <v>-1.284E-4</v>
      </c>
    </row>
    <row r="26" spans="1:32" x14ac:dyDescent="0.25">
      <c r="A26" s="23"/>
      <c r="I26" s="23"/>
      <c r="Q26" s="23"/>
      <c r="Y26" s="101" t="s">
        <v>138</v>
      </c>
      <c r="Z26" s="18">
        <v>0</v>
      </c>
      <c r="AA26" s="17">
        <v>2.5000000000000001E-3</v>
      </c>
      <c r="AB26" s="6">
        <f t="shared" si="3"/>
        <v>2.5000000000000001E-3</v>
      </c>
      <c r="AC26" s="34">
        <v>0</v>
      </c>
      <c r="AD26" s="6">
        <f t="shared" si="4"/>
        <v>0</v>
      </c>
      <c r="AE26" s="6">
        <f t="shared" si="5"/>
        <v>2.5000000000000001E-3</v>
      </c>
    </row>
    <row r="27" spans="1:32" ht="15.75" x14ac:dyDescent="0.25">
      <c r="A27" s="22"/>
      <c r="B27" s="138" t="s">
        <v>103</v>
      </c>
      <c r="C27" s="152"/>
      <c r="D27" s="153"/>
      <c r="E27" s="138" t="s">
        <v>104</v>
      </c>
      <c r="F27" s="152"/>
      <c r="G27" s="153"/>
      <c r="I27" s="22"/>
      <c r="J27" s="138" t="s">
        <v>103</v>
      </c>
      <c r="K27" s="139"/>
      <c r="L27" s="140"/>
      <c r="M27" s="138" t="s">
        <v>104</v>
      </c>
      <c r="N27" s="139"/>
      <c r="O27" s="140"/>
      <c r="Q27" s="22"/>
      <c r="R27" s="138" t="s">
        <v>103</v>
      </c>
      <c r="S27" s="139"/>
      <c r="T27" s="140"/>
      <c r="U27" s="138" t="s">
        <v>104</v>
      </c>
      <c r="V27" s="139"/>
      <c r="W27" s="140"/>
      <c r="Y27" s="101" t="s">
        <v>139</v>
      </c>
      <c r="Z27" s="18">
        <v>0</v>
      </c>
      <c r="AA27" s="28">
        <v>4.8999999999999998E-3</v>
      </c>
      <c r="AB27" s="6">
        <f t="shared" si="3"/>
        <v>4.8999999999999998E-3</v>
      </c>
      <c r="AC27" s="34">
        <v>5.2000000000000002E-6</v>
      </c>
      <c r="AD27" s="6">
        <f t="shared" si="4"/>
        <v>5.2000000000000002E-6</v>
      </c>
      <c r="AE27" s="6">
        <f t="shared" si="5"/>
        <v>4.8947999999999995E-3</v>
      </c>
      <c r="AF27" t="s">
        <v>212</v>
      </c>
    </row>
    <row r="28" spans="1:32" ht="15.75" x14ac:dyDescent="0.25">
      <c r="A28" s="10" t="s">
        <v>61</v>
      </c>
      <c r="B28" s="15" t="s">
        <v>62</v>
      </c>
      <c r="C28" s="15" t="s">
        <v>63</v>
      </c>
      <c r="D28" s="15" t="s">
        <v>64</v>
      </c>
      <c r="E28" s="13" t="s">
        <v>62</v>
      </c>
      <c r="F28" s="13" t="s">
        <v>65</v>
      </c>
      <c r="G28" s="13" t="s">
        <v>64</v>
      </c>
      <c r="I28" s="10" t="s">
        <v>61</v>
      </c>
      <c r="J28" s="15" t="s">
        <v>62</v>
      </c>
      <c r="K28" s="15" t="s">
        <v>63</v>
      </c>
      <c r="L28" s="15" t="s">
        <v>64</v>
      </c>
      <c r="M28" s="13" t="s">
        <v>62</v>
      </c>
      <c r="N28" s="13" t="s">
        <v>65</v>
      </c>
      <c r="O28" s="13" t="s">
        <v>64</v>
      </c>
      <c r="Q28" s="10" t="s">
        <v>61</v>
      </c>
      <c r="R28" s="15" t="s">
        <v>62</v>
      </c>
      <c r="S28" s="15" t="s">
        <v>63</v>
      </c>
      <c r="T28" s="15" t="s">
        <v>64</v>
      </c>
      <c r="U28" s="13" t="s">
        <v>62</v>
      </c>
      <c r="V28" s="13" t="s">
        <v>65</v>
      </c>
      <c r="W28" s="13" t="s">
        <v>64</v>
      </c>
      <c r="Y28" s="101" t="s">
        <v>140</v>
      </c>
      <c r="Z28" s="18">
        <v>0</v>
      </c>
      <c r="AA28" s="17">
        <v>7.4000000000000003E-3</v>
      </c>
      <c r="AB28" s="6">
        <f t="shared" si="3"/>
        <v>7.4000000000000003E-3</v>
      </c>
      <c r="AC28" s="34">
        <v>1.27E-4</v>
      </c>
      <c r="AD28" s="6">
        <f t="shared" si="4"/>
        <v>1.27E-4</v>
      </c>
      <c r="AE28" s="6">
        <f t="shared" si="5"/>
        <v>7.273E-3</v>
      </c>
      <c r="AF28">
        <f>AVERAGE(AE22:AE33)</f>
        <v>6.0343999999999997E-3</v>
      </c>
    </row>
    <row r="29" spans="1:32" x14ac:dyDescent="0.25">
      <c r="A29" s="11" t="s">
        <v>66</v>
      </c>
      <c r="B29" s="16">
        <v>4.78</v>
      </c>
      <c r="C29" s="16"/>
      <c r="D29" s="16"/>
      <c r="E29" s="18">
        <v>6.3970000000000002</v>
      </c>
      <c r="F29" s="18"/>
      <c r="G29" s="18"/>
      <c r="I29" s="11" t="s">
        <v>66</v>
      </c>
      <c r="J29" s="16">
        <v>9.19</v>
      </c>
      <c r="K29" s="16"/>
      <c r="L29" s="16"/>
      <c r="M29" s="18">
        <v>12.707000000000001</v>
      </c>
      <c r="N29" s="18"/>
      <c r="O29" s="18"/>
      <c r="Q29" s="11" t="s">
        <v>66</v>
      </c>
      <c r="R29" s="16">
        <v>17.425999999999998</v>
      </c>
      <c r="S29" s="16"/>
      <c r="T29" s="16"/>
      <c r="U29" s="18">
        <v>23.506</v>
      </c>
      <c r="V29" s="18"/>
      <c r="W29" s="18"/>
      <c r="Y29" s="101" t="s">
        <v>141</v>
      </c>
      <c r="Z29" s="108">
        <v>0</v>
      </c>
      <c r="AA29" s="28">
        <v>9.7999999999999997E-3</v>
      </c>
      <c r="AB29" s="6">
        <f t="shared" si="3"/>
        <v>9.7999999999999997E-3</v>
      </c>
      <c r="AC29" s="34">
        <v>1E-4</v>
      </c>
      <c r="AD29" s="6">
        <f t="shared" si="4"/>
        <v>1E-4</v>
      </c>
      <c r="AE29" s="6">
        <f t="shared" si="5"/>
        <v>9.7000000000000003E-3</v>
      </c>
    </row>
    <row r="30" spans="1:32" x14ac:dyDescent="0.25">
      <c r="A30" s="11" t="s">
        <v>67</v>
      </c>
      <c r="B30" s="16">
        <v>4.9269999999999996</v>
      </c>
      <c r="C30" s="16">
        <v>30000000</v>
      </c>
      <c r="D30" s="16"/>
      <c r="E30" s="18">
        <v>6.5629999999999997</v>
      </c>
      <c r="F30" s="18">
        <v>40000000</v>
      </c>
      <c r="G30" s="18"/>
      <c r="I30" s="11" t="s">
        <v>67</v>
      </c>
      <c r="J30" s="16">
        <v>8.9410000000000007</v>
      </c>
      <c r="K30" s="16">
        <v>30000001</v>
      </c>
      <c r="L30" s="16"/>
      <c r="M30" s="18">
        <v>12.012</v>
      </c>
      <c r="N30" s="18">
        <v>40000001</v>
      </c>
      <c r="O30" s="18"/>
      <c r="Q30" s="11" t="s">
        <v>67</v>
      </c>
      <c r="R30" s="16">
        <v>15.297000000000001</v>
      </c>
      <c r="S30" s="16">
        <v>30000001</v>
      </c>
      <c r="T30" s="16"/>
      <c r="U30" s="18">
        <v>20.399000000000001</v>
      </c>
      <c r="V30" s="18">
        <v>40000001</v>
      </c>
      <c r="W30" s="18"/>
      <c r="Y30" s="101" t="s">
        <v>130</v>
      </c>
      <c r="Z30" s="108">
        <v>9.7999999999999997E-5</v>
      </c>
      <c r="AA30" s="17">
        <v>2.5999999999999999E-3</v>
      </c>
      <c r="AB30" s="6">
        <f t="shared" si="3"/>
        <v>2.5019999999999999E-3</v>
      </c>
      <c r="AC30" s="34">
        <v>0</v>
      </c>
      <c r="AD30" s="6">
        <f t="shared" si="4"/>
        <v>-9.7999999999999997E-5</v>
      </c>
      <c r="AE30" s="6">
        <f t="shared" si="5"/>
        <v>2.5999999999999999E-3</v>
      </c>
    </row>
    <row r="31" spans="1:32" ht="21" x14ac:dyDescent="0.3">
      <c r="A31" s="11" t="s">
        <v>68</v>
      </c>
      <c r="B31" s="16">
        <v>4.8630000000000004</v>
      </c>
      <c r="C31" s="16">
        <v>15000000</v>
      </c>
      <c r="D31" s="16">
        <v>0</v>
      </c>
      <c r="E31" s="18">
        <v>6.5570000000000004</v>
      </c>
      <c r="F31" s="18">
        <v>20000000</v>
      </c>
      <c r="G31" s="18">
        <v>0</v>
      </c>
      <c r="I31" s="11" t="s">
        <v>68</v>
      </c>
      <c r="J31" s="16">
        <v>8.9640000000000004</v>
      </c>
      <c r="K31" s="16">
        <v>15110864</v>
      </c>
      <c r="L31" s="16">
        <v>3.7000000000000002E-3</v>
      </c>
      <c r="M31" s="18">
        <v>12.119</v>
      </c>
      <c r="N31" s="18">
        <v>20196601</v>
      </c>
      <c r="O31" s="18">
        <v>4.8999999999999998E-3</v>
      </c>
      <c r="Q31" s="11" t="s">
        <v>68</v>
      </c>
      <c r="R31" s="16">
        <v>13.138999999999999</v>
      </c>
      <c r="S31" s="16">
        <v>15001888</v>
      </c>
      <c r="T31" s="16" t="s">
        <v>116</v>
      </c>
      <c r="U31" s="18">
        <v>17.393000000000001</v>
      </c>
      <c r="V31" s="18">
        <v>20020409</v>
      </c>
      <c r="W31" s="18">
        <v>5.0000000000000001E-4</v>
      </c>
      <c r="Y31" s="101" t="s">
        <v>131</v>
      </c>
      <c r="Z31" s="18">
        <v>4.0000000000000002E-4</v>
      </c>
      <c r="AA31" s="28">
        <v>5.0000000000000001E-3</v>
      </c>
      <c r="AB31" s="6">
        <f t="shared" si="3"/>
        <v>4.5999999999999999E-3</v>
      </c>
      <c r="AC31" s="34">
        <v>4.6E-6</v>
      </c>
      <c r="AD31" s="6">
        <f t="shared" si="4"/>
        <v>-3.9540000000000002E-4</v>
      </c>
      <c r="AE31" s="6">
        <f t="shared" si="5"/>
        <v>4.9954000000000005E-3</v>
      </c>
    </row>
    <row r="32" spans="1:32" ht="21" x14ac:dyDescent="0.3">
      <c r="A32" s="11" t="s">
        <v>69</v>
      </c>
      <c r="B32" s="16">
        <v>4.8230000000000004</v>
      </c>
      <c r="C32" s="16">
        <v>0</v>
      </c>
      <c r="D32" s="16">
        <v>0</v>
      </c>
      <c r="E32" s="18">
        <v>6.5679999999999996</v>
      </c>
      <c r="F32" s="18">
        <v>0</v>
      </c>
      <c r="G32" s="18">
        <v>0</v>
      </c>
      <c r="I32" s="11" t="s">
        <v>69</v>
      </c>
      <c r="J32" s="16">
        <v>8.9749999999999996</v>
      </c>
      <c r="K32" s="16">
        <v>221666</v>
      </c>
      <c r="L32" s="16">
        <v>7.4000000000000003E-3</v>
      </c>
      <c r="M32" s="18">
        <v>12.151999999999999</v>
      </c>
      <c r="N32" s="18">
        <v>392764</v>
      </c>
      <c r="O32" s="18">
        <v>9.7999999999999997E-3</v>
      </c>
      <c r="Q32" s="11" t="s">
        <v>69</v>
      </c>
      <c r="R32" s="16">
        <v>10.689</v>
      </c>
      <c r="S32" s="16">
        <v>3810</v>
      </c>
      <c r="T32" s="16" t="s">
        <v>121</v>
      </c>
      <c r="U32" s="18">
        <v>14.417</v>
      </c>
      <c r="V32" s="18">
        <v>40766</v>
      </c>
      <c r="W32" s="18">
        <v>1E-3</v>
      </c>
      <c r="Y32" s="101" t="s">
        <v>133</v>
      </c>
      <c r="Z32" s="108">
        <v>9.3000000000000005E-4</v>
      </c>
      <c r="AA32" s="17">
        <v>7.4000000000000003E-3</v>
      </c>
      <c r="AB32" s="6">
        <f t="shared" si="3"/>
        <v>6.4700000000000001E-3</v>
      </c>
      <c r="AC32" s="34">
        <v>1.2E-4</v>
      </c>
      <c r="AD32" s="6">
        <f t="shared" si="4"/>
        <v>-8.1000000000000006E-4</v>
      </c>
      <c r="AE32" s="6">
        <f t="shared" si="5"/>
        <v>7.28E-3</v>
      </c>
    </row>
    <row r="33" spans="1:38" x14ac:dyDescent="0.25">
      <c r="Y33" s="101" t="s">
        <v>132</v>
      </c>
      <c r="Z33" s="18">
        <v>1.6999999999999999E-3</v>
      </c>
      <c r="AA33" s="28">
        <v>9.9000000000000008E-3</v>
      </c>
      <c r="AB33" s="6">
        <f t="shared" si="3"/>
        <v>8.2000000000000007E-3</v>
      </c>
      <c r="AC33" s="34">
        <v>1E-3</v>
      </c>
      <c r="AD33" s="6">
        <f t="shared" si="4"/>
        <v>-6.9999999999999988E-4</v>
      </c>
      <c r="AE33" s="6">
        <f t="shared" si="5"/>
        <v>8.9000000000000017E-3</v>
      </c>
    </row>
    <row r="35" spans="1:38" ht="15.75" x14ac:dyDescent="0.25">
      <c r="A35" s="24"/>
      <c r="B35" s="148" t="s">
        <v>96</v>
      </c>
      <c r="C35" s="168"/>
      <c r="D35" s="169"/>
      <c r="E35" s="148" t="s">
        <v>95</v>
      </c>
      <c r="F35" s="149"/>
      <c r="G35" s="150"/>
      <c r="I35" s="24"/>
      <c r="J35" s="148" t="s">
        <v>96</v>
      </c>
      <c r="K35" s="162"/>
      <c r="L35" s="163"/>
      <c r="M35" s="148" t="s">
        <v>95</v>
      </c>
      <c r="N35" s="157"/>
      <c r="O35" s="158"/>
      <c r="Q35" s="24"/>
      <c r="R35" s="148" t="s">
        <v>96</v>
      </c>
      <c r="S35" s="162"/>
      <c r="T35" s="163"/>
      <c r="U35" s="148" t="s">
        <v>95</v>
      </c>
      <c r="V35" s="157"/>
      <c r="W35" s="158"/>
    </row>
    <row r="36" spans="1:38" ht="18.75" x14ac:dyDescent="0.3">
      <c r="A36" s="25" t="s">
        <v>61</v>
      </c>
      <c r="B36" s="14" t="s">
        <v>62</v>
      </c>
      <c r="C36" s="14" t="s">
        <v>63</v>
      </c>
      <c r="D36" s="14" t="s">
        <v>64</v>
      </c>
      <c r="E36" s="12" t="s">
        <v>62</v>
      </c>
      <c r="F36" s="12" t="s">
        <v>65</v>
      </c>
      <c r="G36" s="12" t="s">
        <v>64</v>
      </c>
      <c r="I36" s="25" t="s">
        <v>61</v>
      </c>
      <c r="J36" s="14" t="s">
        <v>62</v>
      </c>
      <c r="K36" s="14" t="s">
        <v>63</v>
      </c>
      <c r="L36" s="14" t="s">
        <v>64</v>
      </c>
      <c r="M36" s="12" t="s">
        <v>62</v>
      </c>
      <c r="N36" s="12" t="s">
        <v>65</v>
      </c>
      <c r="O36" s="12" t="s">
        <v>64</v>
      </c>
      <c r="Q36" s="25" t="s">
        <v>61</v>
      </c>
      <c r="R36" s="14" t="s">
        <v>62</v>
      </c>
      <c r="S36" s="14" t="s">
        <v>63</v>
      </c>
      <c r="T36" s="14" t="s">
        <v>64</v>
      </c>
      <c r="U36" s="12" t="s">
        <v>62</v>
      </c>
      <c r="V36" s="12" t="s">
        <v>65</v>
      </c>
      <c r="W36" s="12" t="s">
        <v>64</v>
      </c>
      <c r="Y36" s="193" t="s">
        <v>205</v>
      </c>
      <c r="Z36" s="193"/>
      <c r="AA36" s="193"/>
      <c r="AB36" s="193"/>
      <c r="AC36" s="6"/>
      <c r="AD36" s="193" t="s">
        <v>206</v>
      </c>
      <c r="AE36" s="193"/>
      <c r="AF36" s="193"/>
      <c r="AG36" s="193"/>
      <c r="AH36" s="6"/>
      <c r="AI36" s="193" t="s">
        <v>114</v>
      </c>
      <c r="AJ36" s="193"/>
      <c r="AK36" s="193"/>
      <c r="AL36" s="193"/>
    </row>
    <row r="37" spans="1:38" x14ac:dyDescent="0.25">
      <c r="A37" s="26" t="s">
        <v>66</v>
      </c>
      <c r="B37" s="17">
        <v>1.843</v>
      </c>
      <c r="C37" s="17"/>
      <c r="D37" s="17"/>
      <c r="E37" s="19">
        <v>3.73</v>
      </c>
      <c r="F37" s="19"/>
      <c r="G37" s="19"/>
      <c r="I37" s="26" t="s">
        <v>66</v>
      </c>
      <c r="J37" s="17">
        <v>3.0720000000000001</v>
      </c>
      <c r="K37" s="17"/>
      <c r="L37" s="17"/>
      <c r="M37" s="29">
        <v>6.31</v>
      </c>
      <c r="N37" s="19"/>
      <c r="O37" s="19"/>
      <c r="Q37" s="26" t="s">
        <v>66</v>
      </c>
      <c r="R37" s="17">
        <v>5.6849999999999996</v>
      </c>
      <c r="S37" s="17"/>
      <c r="T37" s="17"/>
      <c r="U37" s="29">
        <v>11.611000000000001</v>
      </c>
      <c r="V37" s="19"/>
      <c r="W37" s="19"/>
      <c r="Y37" s="101" t="s">
        <v>227</v>
      </c>
      <c r="Z37" s="6"/>
      <c r="AA37" s="6"/>
      <c r="AB37" s="6"/>
      <c r="AC37" s="6"/>
      <c r="AD37" s="101" t="s">
        <v>227</v>
      </c>
      <c r="AE37" s="6"/>
      <c r="AF37" s="6"/>
      <c r="AG37" s="6"/>
      <c r="AH37" s="6"/>
      <c r="AI37" s="101" t="s">
        <v>227</v>
      </c>
      <c r="AJ37" s="6"/>
      <c r="AK37" s="6"/>
      <c r="AL37" s="6"/>
    </row>
    <row r="38" spans="1:38" x14ac:dyDescent="0.25">
      <c r="A38" s="26" t="s">
        <v>67</v>
      </c>
      <c r="B38" s="17">
        <v>1.865</v>
      </c>
      <c r="C38" s="17">
        <v>10000000</v>
      </c>
      <c r="D38" s="17"/>
      <c r="E38" s="19">
        <v>3.77</v>
      </c>
      <c r="F38" s="19">
        <v>20000000</v>
      </c>
      <c r="G38" s="19"/>
      <c r="I38" s="26" t="s">
        <v>67</v>
      </c>
      <c r="J38" s="17">
        <v>3.0939999999999999</v>
      </c>
      <c r="K38" s="17">
        <v>10000001</v>
      </c>
      <c r="L38" s="17"/>
      <c r="M38" s="29">
        <v>6.2489999999999997</v>
      </c>
      <c r="N38" s="19">
        <v>20000001</v>
      </c>
      <c r="O38" s="19"/>
      <c r="Q38" s="26" t="s">
        <v>67</v>
      </c>
      <c r="R38" s="17">
        <v>5.2249999999999996</v>
      </c>
      <c r="S38" s="17">
        <v>10000001</v>
      </c>
      <c r="T38" s="17"/>
      <c r="U38" s="29">
        <v>10.458</v>
      </c>
      <c r="V38" s="19">
        <v>20000001</v>
      </c>
      <c r="W38" s="19"/>
      <c r="Y38" s="112" t="s">
        <v>127</v>
      </c>
      <c r="Z38" s="112" t="s">
        <v>128</v>
      </c>
      <c r="AA38" s="112" t="s">
        <v>129</v>
      </c>
      <c r="AB38" s="6" t="s">
        <v>204</v>
      </c>
      <c r="AC38" s="6"/>
      <c r="AD38" s="112" t="s">
        <v>127</v>
      </c>
      <c r="AE38" s="112" t="s">
        <v>128</v>
      </c>
      <c r="AF38" s="112" t="s">
        <v>129</v>
      </c>
      <c r="AG38" s="6" t="s">
        <v>204</v>
      </c>
      <c r="AH38" s="6"/>
      <c r="AI38" s="112" t="s">
        <v>127</v>
      </c>
      <c r="AJ38" s="112" t="s">
        <v>128</v>
      </c>
      <c r="AK38" s="112" t="s">
        <v>129</v>
      </c>
      <c r="AL38" s="6" t="s">
        <v>204</v>
      </c>
    </row>
    <row r="39" spans="1:38" ht="21" x14ac:dyDescent="0.3">
      <c r="A39" s="26" t="s">
        <v>68</v>
      </c>
      <c r="B39" s="17">
        <v>1.891</v>
      </c>
      <c r="C39" s="17">
        <v>5000000</v>
      </c>
      <c r="D39" s="17">
        <v>0</v>
      </c>
      <c r="E39" s="19">
        <v>3.77</v>
      </c>
      <c r="F39" s="19">
        <v>10004188</v>
      </c>
      <c r="G39" s="19">
        <v>2.1000000000000001E-4</v>
      </c>
      <c r="I39" s="26" t="s">
        <v>68</v>
      </c>
      <c r="J39" s="17">
        <v>3.0939999999999999</v>
      </c>
      <c r="K39" s="17">
        <v>5012904</v>
      </c>
      <c r="L39" s="17">
        <v>1.2999999999999999E-3</v>
      </c>
      <c r="M39" s="29">
        <v>6.242</v>
      </c>
      <c r="N39" s="19">
        <v>10049773</v>
      </c>
      <c r="O39" s="19">
        <v>2.5000000000000001E-3</v>
      </c>
      <c r="Q39" s="26" t="s">
        <v>68</v>
      </c>
      <c r="R39" s="17">
        <v>4.2779999999999996</v>
      </c>
      <c r="S39" s="17">
        <v>5000000</v>
      </c>
      <c r="T39" s="17">
        <v>0</v>
      </c>
      <c r="U39" s="29">
        <v>8.7040000000000006</v>
      </c>
      <c r="V39" s="19">
        <v>10000044</v>
      </c>
      <c r="W39" s="19" t="s">
        <v>126</v>
      </c>
      <c r="Y39" s="6">
        <v>1.4070000000000003</v>
      </c>
      <c r="Z39" s="6">
        <v>1.411</v>
      </c>
      <c r="AA39" s="6">
        <v>1.423</v>
      </c>
      <c r="AB39" s="6">
        <v>1.4136666666666668</v>
      </c>
      <c r="AC39" s="6"/>
      <c r="AD39" s="6">
        <f>M7-J7</f>
        <v>2.8939999999999997</v>
      </c>
      <c r="AE39" s="6">
        <f>J14-M7</f>
        <v>3.1410000000000009</v>
      </c>
      <c r="AF39" s="6">
        <f>M14-J14</f>
        <v>2.923</v>
      </c>
      <c r="AG39" s="6">
        <f>AVERAGE(Sheet2!J7,Sheet2!AD39:AF39)</f>
        <v>2.9307500000000002</v>
      </c>
      <c r="AH39" s="6"/>
      <c r="AI39" s="6">
        <f>U7-R7</f>
        <v>5.5659999999999998</v>
      </c>
      <c r="AJ39" s="6">
        <f>R14-U7</f>
        <v>5.6769999999999996</v>
      </c>
      <c r="AK39" s="6">
        <f>U14-R14</f>
        <v>5.843</v>
      </c>
      <c r="AL39" s="6">
        <f>AVERAGE(R7,AI39:AK39)</f>
        <v>5.5914999999999999</v>
      </c>
    </row>
    <row r="40" spans="1:38" ht="21" x14ac:dyDescent="0.3">
      <c r="A40" s="26" t="s">
        <v>69</v>
      </c>
      <c r="B40" s="17">
        <v>1.8680000000000001</v>
      </c>
      <c r="C40" s="17">
        <v>980</v>
      </c>
      <c r="D40" s="17">
        <v>9.7999999999999997E-5</v>
      </c>
      <c r="E40" s="19">
        <v>3.78</v>
      </c>
      <c r="F40" s="19">
        <v>7985</v>
      </c>
      <c r="G40" s="19">
        <v>4.0000000000000002E-4</v>
      </c>
      <c r="I40" s="26" t="s">
        <v>69</v>
      </c>
      <c r="J40" s="17">
        <v>3.1059999999999999</v>
      </c>
      <c r="K40" s="17">
        <v>25801</v>
      </c>
      <c r="L40" s="17">
        <v>2.5999999999999999E-3</v>
      </c>
      <c r="M40" s="29">
        <v>6.2640000000000002</v>
      </c>
      <c r="N40" s="19">
        <v>99242</v>
      </c>
      <c r="O40" s="19">
        <v>5.0000000000000001E-3</v>
      </c>
      <c r="Q40" s="26" t="s">
        <v>69</v>
      </c>
      <c r="R40" s="17">
        <v>3.3260000000000001</v>
      </c>
      <c r="S40" s="17">
        <v>0</v>
      </c>
      <c r="T40" s="17">
        <v>0</v>
      </c>
      <c r="U40" s="29">
        <v>6.9740000000000002</v>
      </c>
      <c r="V40" s="19">
        <v>92</v>
      </c>
      <c r="W40" s="19" t="s">
        <v>122</v>
      </c>
      <c r="Y40" s="6">
        <v>1.448</v>
      </c>
      <c r="Z40" s="6">
        <v>1.4809999999999999</v>
      </c>
      <c r="AA40" s="6">
        <v>1.4379999999999997</v>
      </c>
      <c r="AB40" s="6">
        <v>1.4556666666666664</v>
      </c>
      <c r="AC40" s="6"/>
      <c r="AD40" s="6">
        <f t="shared" ref="AD40:AD42" si="6">M8-J8</f>
        <v>2.8330000000000002</v>
      </c>
      <c r="AE40" s="6">
        <f t="shared" ref="AE40:AE42" si="7">J15-M8</f>
        <v>2.7389999999999999</v>
      </c>
      <c r="AF40" s="6">
        <f t="shared" ref="AF40:AF42" si="8">M15-J15</f>
        <v>2.7919999999999998</v>
      </c>
      <c r="AG40" s="6">
        <f>AVERAGE(Sheet2!J8,Sheet2!AD40:AF40)</f>
        <v>2.78925</v>
      </c>
      <c r="AH40" s="6"/>
      <c r="AI40" s="6">
        <f t="shared" ref="AI40:AI42" si="9">U8-R8</f>
        <v>4.8070000000000013</v>
      </c>
      <c r="AJ40" s="6">
        <f t="shared" ref="AJ40:AJ42" si="10">R15-U8</f>
        <v>4.8509999999999991</v>
      </c>
      <c r="AK40" s="6">
        <f t="shared" ref="AK40:AK42" si="11">U15-R15</f>
        <v>4.8159999999999989</v>
      </c>
      <c r="AL40" s="6">
        <f t="shared" ref="AL40:AL42" si="12">AVERAGE(R8,AI40:AK40)</f>
        <v>4.8209999999999997</v>
      </c>
    </row>
    <row r="41" spans="1:38" x14ac:dyDescent="0.25">
      <c r="A41" s="27"/>
      <c r="I41" s="27"/>
      <c r="Q41" s="27"/>
      <c r="Y41" s="6">
        <v>1.431</v>
      </c>
      <c r="Z41" s="6">
        <v>1.4540000000000002</v>
      </c>
      <c r="AA41" s="6">
        <v>1.4479999999999995</v>
      </c>
      <c r="AB41" s="6">
        <v>1.4443333333333335</v>
      </c>
      <c r="AC41" s="6"/>
      <c r="AD41" s="6">
        <f t="shared" si="6"/>
        <v>2.8080000000000003</v>
      </c>
      <c r="AE41" s="6">
        <f t="shared" si="7"/>
        <v>2.8310000000000004</v>
      </c>
      <c r="AF41" s="6">
        <f t="shared" si="8"/>
        <v>2.7059999999999995</v>
      </c>
      <c r="AG41" s="6">
        <f>AVERAGE(Sheet2!J9,Sheet2!AD41:AF41)</f>
        <v>2.786</v>
      </c>
      <c r="AH41" s="6"/>
      <c r="AI41" s="6">
        <f t="shared" si="9"/>
        <v>4.0380000000000003</v>
      </c>
      <c r="AJ41" s="6">
        <f t="shared" si="10"/>
        <v>4.2530000000000001</v>
      </c>
      <c r="AK41" s="6">
        <f t="shared" si="11"/>
        <v>4.093</v>
      </c>
      <c r="AL41" s="6">
        <f t="shared" si="12"/>
        <v>4.06325</v>
      </c>
    </row>
    <row r="42" spans="1:38" ht="15.75" x14ac:dyDescent="0.25">
      <c r="A42" s="24"/>
      <c r="B42" s="148" t="s">
        <v>94</v>
      </c>
      <c r="C42" s="149"/>
      <c r="D42" s="150"/>
      <c r="E42" s="148" t="s">
        <v>93</v>
      </c>
      <c r="F42" s="149"/>
      <c r="G42" s="150"/>
      <c r="I42" s="24"/>
      <c r="J42" s="148" t="s">
        <v>94</v>
      </c>
      <c r="K42" s="157"/>
      <c r="L42" s="158"/>
      <c r="M42" s="148" t="s">
        <v>93</v>
      </c>
      <c r="N42" s="157"/>
      <c r="O42" s="158"/>
      <c r="Q42" s="24"/>
      <c r="R42" s="148" t="s">
        <v>94</v>
      </c>
      <c r="S42" s="157"/>
      <c r="T42" s="158"/>
      <c r="U42" s="148" t="s">
        <v>93</v>
      </c>
      <c r="V42" s="157"/>
      <c r="W42" s="158"/>
      <c r="Y42" s="6">
        <v>1.4199999999999997</v>
      </c>
      <c r="Z42" s="6">
        <v>1.4340000000000006</v>
      </c>
      <c r="AA42" s="6">
        <v>1.4469999999999992</v>
      </c>
      <c r="AB42" s="6">
        <v>1.4336666666666664</v>
      </c>
      <c r="AC42" s="6"/>
      <c r="AD42" s="6">
        <f t="shared" si="6"/>
        <v>2.8410000000000002</v>
      </c>
      <c r="AE42" s="6">
        <f t="shared" si="7"/>
        <v>2.851</v>
      </c>
      <c r="AF42" s="6">
        <f t="shared" si="8"/>
        <v>2.67</v>
      </c>
      <c r="AG42" s="6">
        <f>AVERAGE(Sheet2!J10,Sheet2!AD42:AF42)</f>
        <v>2.7947500000000001</v>
      </c>
      <c r="AH42" s="6"/>
      <c r="AI42" s="6">
        <f t="shared" si="9"/>
        <v>3.2439999999999998</v>
      </c>
      <c r="AJ42" s="6">
        <f t="shared" si="10"/>
        <v>3.5950000000000006</v>
      </c>
      <c r="AK42" s="6">
        <f t="shared" si="11"/>
        <v>3.484</v>
      </c>
      <c r="AL42" s="6">
        <f t="shared" si="12"/>
        <v>3.3082500000000001</v>
      </c>
    </row>
    <row r="43" spans="1:38" ht="15.75" x14ac:dyDescent="0.25">
      <c r="A43" s="25" t="s">
        <v>61</v>
      </c>
      <c r="B43" s="15" t="s">
        <v>62</v>
      </c>
      <c r="C43" s="15" t="s">
        <v>63</v>
      </c>
      <c r="D43" s="15" t="s">
        <v>64</v>
      </c>
      <c r="E43" s="13" t="s">
        <v>62</v>
      </c>
      <c r="F43" s="13" t="s">
        <v>65</v>
      </c>
      <c r="G43" s="13" t="s">
        <v>64</v>
      </c>
      <c r="I43" s="25" t="s">
        <v>61</v>
      </c>
      <c r="J43" s="15" t="s">
        <v>62</v>
      </c>
      <c r="K43" s="15" t="s">
        <v>63</v>
      </c>
      <c r="L43" s="15" t="s">
        <v>64</v>
      </c>
      <c r="M43" s="13" t="s">
        <v>62</v>
      </c>
      <c r="N43" s="13" t="s">
        <v>65</v>
      </c>
      <c r="O43" s="13" t="s">
        <v>64</v>
      </c>
      <c r="Q43" s="25" t="s">
        <v>61</v>
      </c>
      <c r="R43" s="15" t="s">
        <v>62</v>
      </c>
      <c r="S43" s="15" t="s">
        <v>63</v>
      </c>
      <c r="T43" s="15" t="s">
        <v>64</v>
      </c>
      <c r="U43" s="13" t="s">
        <v>62</v>
      </c>
      <c r="V43" s="13" t="s">
        <v>65</v>
      </c>
      <c r="W43" s="13" t="s">
        <v>64</v>
      </c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</row>
    <row r="44" spans="1:38" x14ac:dyDescent="0.25">
      <c r="A44" s="26" t="s">
        <v>66</v>
      </c>
      <c r="B44" s="16">
        <v>5.532</v>
      </c>
      <c r="C44" s="16"/>
      <c r="D44" s="16"/>
      <c r="E44" s="18">
        <v>7.423</v>
      </c>
      <c r="F44" s="18"/>
      <c r="G44" s="18"/>
      <c r="I44" s="26" t="s">
        <v>66</v>
      </c>
      <c r="J44" s="16">
        <v>9.5660000000000007</v>
      </c>
      <c r="K44" s="16"/>
      <c r="L44" s="16"/>
      <c r="M44" s="18">
        <v>12.965</v>
      </c>
      <c r="N44" s="18"/>
      <c r="O44" s="18"/>
      <c r="Q44" s="26" t="s">
        <v>66</v>
      </c>
      <c r="R44" s="16">
        <v>17.757000000000001</v>
      </c>
      <c r="S44" s="16"/>
      <c r="T44" s="16"/>
      <c r="U44" s="18">
        <v>23.95</v>
      </c>
      <c r="V44" s="18"/>
      <c r="W44" s="18"/>
      <c r="Y44" s="112" t="s">
        <v>228</v>
      </c>
      <c r="Z44" s="6"/>
      <c r="AA44" s="6"/>
      <c r="AB44" s="6"/>
      <c r="AC44" s="6"/>
      <c r="AD44" s="112" t="s">
        <v>228</v>
      </c>
      <c r="AE44" s="6"/>
      <c r="AF44" s="6"/>
      <c r="AG44" s="6"/>
      <c r="AH44" s="6"/>
      <c r="AI44" s="112" t="s">
        <v>228</v>
      </c>
      <c r="AJ44" s="6"/>
      <c r="AK44" s="6"/>
      <c r="AL44" s="6"/>
    </row>
    <row r="45" spans="1:38" x14ac:dyDescent="0.25">
      <c r="A45" s="26" t="s">
        <v>67</v>
      </c>
      <c r="B45" s="16">
        <v>5.61</v>
      </c>
      <c r="C45" s="16">
        <v>30000000</v>
      </c>
      <c r="D45" s="16"/>
      <c r="E45" s="18">
        <v>7.5039999999999996</v>
      </c>
      <c r="F45" s="18">
        <v>40000000</v>
      </c>
      <c r="G45" s="18"/>
      <c r="I45" s="26" t="s">
        <v>67</v>
      </c>
      <c r="J45" s="16">
        <v>9.2840000000000007</v>
      </c>
      <c r="K45" s="16">
        <v>30000001</v>
      </c>
      <c r="L45" s="16"/>
      <c r="M45" s="18">
        <v>12.404</v>
      </c>
      <c r="N45" s="18">
        <v>40000001</v>
      </c>
      <c r="O45" s="18"/>
      <c r="Q45" s="26" t="s">
        <v>67</v>
      </c>
      <c r="R45" s="16">
        <v>15.657</v>
      </c>
      <c r="S45" s="16">
        <v>30000001</v>
      </c>
      <c r="T45" s="16"/>
      <c r="U45" s="18">
        <v>20.847000000000001</v>
      </c>
      <c r="V45" s="18">
        <v>40000001</v>
      </c>
      <c r="W45" s="18"/>
      <c r="Y45" s="112" t="s">
        <v>127</v>
      </c>
      <c r="Z45" s="112" t="s">
        <v>128</v>
      </c>
      <c r="AA45" s="112" t="s">
        <v>129</v>
      </c>
      <c r="AB45" s="6" t="s">
        <v>204</v>
      </c>
      <c r="AC45" s="6"/>
      <c r="AD45" s="112" t="s">
        <v>127</v>
      </c>
      <c r="AE45" s="112" t="s">
        <v>128</v>
      </c>
      <c r="AF45" s="112" t="s">
        <v>129</v>
      </c>
      <c r="AG45" s="6" t="s">
        <v>204</v>
      </c>
      <c r="AH45" s="6"/>
      <c r="AI45" s="112" t="s">
        <v>127</v>
      </c>
      <c r="AJ45" s="112" t="s">
        <v>128</v>
      </c>
      <c r="AK45" s="112" t="s">
        <v>129</v>
      </c>
      <c r="AL45" s="6" t="s">
        <v>204</v>
      </c>
    </row>
    <row r="46" spans="1:38" ht="21" x14ac:dyDescent="0.3">
      <c r="A46" s="26" t="s">
        <v>68</v>
      </c>
      <c r="B46" s="16">
        <v>5.6230000000000002</v>
      </c>
      <c r="C46" s="16">
        <v>15013729</v>
      </c>
      <c r="D46" s="16">
        <v>4.6000000000000001E-4</v>
      </c>
      <c r="E46" s="18">
        <v>7.5570000000000004</v>
      </c>
      <c r="F46" s="18">
        <v>20034461</v>
      </c>
      <c r="G46" s="18">
        <v>8.5999999999999998E-4</v>
      </c>
      <c r="I46" s="26" t="s">
        <v>68</v>
      </c>
      <c r="J46" s="16">
        <v>9.2889999999999997</v>
      </c>
      <c r="K46" s="16">
        <v>15111698</v>
      </c>
      <c r="L46" s="16">
        <v>3.7000000000000002E-3</v>
      </c>
      <c r="M46" s="18">
        <v>12.378</v>
      </c>
      <c r="N46" s="18">
        <v>20197276</v>
      </c>
      <c r="O46" s="18">
        <v>4.8999999999999998E-3</v>
      </c>
      <c r="Q46" s="26" t="s">
        <v>68</v>
      </c>
      <c r="R46" s="16">
        <v>13.282999999999999</v>
      </c>
      <c r="S46" s="16">
        <v>15001779</v>
      </c>
      <c r="T46" s="16" t="s">
        <v>123</v>
      </c>
      <c r="U46" s="18">
        <v>17.817</v>
      </c>
      <c r="V46" s="18">
        <v>20020304</v>
      </c>
      <c r="W46" s="18">
        <v>5.1000000000000004E-4</v>
      </c>
      <c r="Y46" s="6">
        <v>1.5919999999999999</v>
      </c>
      <c r="Z46" s="6">
        <v>1.5900000000000003</v>
      </c>
      <c r="AA46" s="6">
        <v>1.617</v>
      </c>
      <c r="AB46" s="6">
        <v>1.5996666666666668</v>
      </c>
      <c r="AC46" s="6"/>
      <c r="AD46" s="6">
        <f>M22-J22</f>
        <v>3.1219999999999994</v>
      </c>
      <c r="AE46" s="6">
        <f>J29-M22</f>
        <v>3.13</v>
      </c>
      <c r="AF46" s="6">
        <f>M29-J29</f>
        <v>3.5170000000000012</v>
      </c>
      <c r="AG46" s="6">
        <f>AVERAGE(J22,AD46:AF46)</f>
        <v>3.1767500000000002</v>
      </c>
      <c r="AH46" s="6"/>
      <c r="AI46" s="6">
        <f>U22-R22</f>
        <v>5.8020000000000005</v>
      </c>
      <c r="AJ46" s="6">
        <f>R29-U22</f>
        <v>6.0199999999999978</v>
      </c>
      <c r="AK46" s="6">
        <f>U29-R29</f>
        <v>6.0800000000000018</v>
      </c>
      <c r="AL46" s="6">
        <f>AVERAGE(R22,AI46:AK46)</f>
        <v>5.8765000000000001</v>
      </c>
    </row>
    <row r="47" spans="1:38" ht="21" x14ac:dyDescent="0.3">
      <c r="A47" s="26" t="s">
        <v>69</v>
      </c>
      <c r="B47" s="16">
        <v>5.633</v>
      </c>
      <c r="C47" s="16">
        <v>27827</v>
      </c>
      <c r="D47" s="16">
        <v>9.3000000000000005E-4</v>
      </c>
      <c r="E47" s="18">
        <v>7.6040000000000001</v>
      </c>
      <c r="F47" s="18">
        <v>67314</v>
      </c>
      <c r="G47" s="18">
        <v>1.6999999999999999E-3</v>
      </c>
      <c r="I47" s="26" t="s">
        <v>69</v>
      </c>
      <c r="J47" s="16">
        <v>9.3339999999999996</v>
      </c>
      <c r="K47" s="16">
        <v>222052</v>
      </c>
      <c r="L47" s="16">
        <v>7.4000000000000003E-3</v>
      </c>
      <c r="M47" s="18">
        <v>12.474</v>
      </c>
      <c r="N47" s="18">
        <v>394366</v>
      </c>
      <c r="O47" s="18">
        <v>9.9000000000000008E-3</v>
      </c>
      <c r="Q47" s="26" t="s">
        <v>69</v>
      </c>
      <c r="R47" s="16">
        <v>10.851000000000001</v>
      </c>
      <c r="S47" s="16">
        <v>3658</v>
      </c>
      <c r="T47" s="16" t="s">
        <v>124</v>
      </c>
      <c r="U47" s="18">
        <v>14.782</v>
      </c>
      <c r="V47" s="18">
        <v>40836</v>
      </c>
      <c r="W47" s="18">
        <v>1E-3</v>
      </c>
      <c r="Y47" s="6">
        <v>1.62</v>
      </c>
      <c r="Z47" s="6">
        <v>1.6769999999999996</v>
      </c>
      <c r="AA47" s="6">
        <v>1.6360000000000001</v>
      </c>
      <c r="AB47" s="6">
        <v>1.6443333333333332</v>
      </c>
      <c r="AC47" s="6"/>
      <c r="AD47" s="6">
        <f t="shared" ref="AD47:AD49" si="13">M23-J23</f>
        <v>2.9969999999999999</v>
      </c>
      <c r="AE47" s="6">
        <f t="shared" ref="AE47:AE49" si="14">J30-M23</f>
        <v>2.971000000000001</v>
      </c>
      <c r="AF47" s="6">
        <f t="shared" ref="AF47:AF49" si="15">M30-J30</f>
        <v>3.0709999999999997</v>
      </c>
      <c r="AG47" s="6">
        <f t="shared" ref="AG47:AG49" si="16">AVERAGE(J23,AD47:AF47)</f>
        <v>3.0030000000000001</v>
      </c>
      <c r="AH47" s="6"/>
      <c r="AI47" s="6">
        <f t="shared" ref="AI47:AI49" si="17">U23-R23</f>
        <v>4.9799999999999995</v>
      </c>
      <c r="AJ47" s="6">
        <f t="shared" ref="AJ47:AJ49" si="18">R30-U23</f>
        <v>5.1770000000000014</v>
      </c>
      <c r="AK47" s="6">
        <f t="shared" ref="AK47:AK49" si="19">U30-R30</f>
        <v>5.1020000000000003</v>
      </c>
      <c r="AL47" s="6">
        <f t="shared" ref="AL47:AL49" si="20">AVERAGE(R23,AI47:AK47)</f>
        <v>5.0997500000000002</v>
      </c>
    </row>
    <row r="48" spans="1:38" x14ac:dyDescent="0.25">
      <c r="Y48" s="6">
        <v>1.819</v>
      </c>
      <c r="Z48" s="6">
        <v>1.4270000000000005</v>
      </c>
      <c r="AA48" s="6">
        <v>1.694</v>
      </c>
      <c r="AB48" s="6">
        <v>1.6466666666666667</v>
      </c>
      <c r="AC48" s="6"/>
      <c r="AD48" s="6">
        <f t="shared" si="13"/>
        <v>3.0129999999999999</v>
      </c>
      <c r="AE48" s="6">
        <f t="shared" si="14"/>
        <v>2.9690000000000003</v>
      </c>
      <c r="AF48" s="6">
        <f t="shared" si="15"/>
        <v>3.1549999999999994</v>
      </c>
      <c r="AG48" s="6">
        <f t="shared" si="16"/>
        <v>3.0297499999999999</v>
      </c>
      <c r="AH48" s="6"/>
      <c r="AI48" s="6">
        <f t="shared" si="17"/>
        <v>4.2939999999999996</v>
      </c>
      <c r="AJ48" s="6">
        <f t="shared" si="18"/>
        <v>4.6549999999999994</v>
      </c>
      <c r="AK48" s="6">
        <f t="shared" si="19"/>
        <v>4.2540000000000013</v>
      </c>
      <c r="AL48" s="6">
        <f t="shared" si="20"/>
        <v>4.3482500000000002</v>
      </c>
    </row>
    <row r="49" spans="1:38" ht="18.75" x14ac:dyDescent="0.3">
      <c r="T49" s="196" t="s">
        <v>270</v>
      </c>
      <c r="Y49" s="6">
        <v>1.8119999999999998</v>
      </c>
      <c r="Z49" s="6">
        <v>1.3950000000000005</v>
      </c>
      <c r="AA49" s="6">
        <v>1.7449999999999992</v>
      </c>
      <c r="AB49" s="6">
        <v>1.6506666666666667</v>
      </c>
      <c r="AC49" s="6"/>
      <c r="AD49" s="6">
        <f t="shared" si="13"/>
        <v>3.0309999999999997</v>
      </c>
      <c r="AE49" s="6">
        <f t="shared" si="14"/>
        <v>2.952</v>
      </c>
      <c r="AF49" s="6">
        <f t="shared" si="15"/>
        <v>3.1769999999999996</v>
      </c>
      <c r="AG49" s="6">
        <f t="shared" si="16"/>
        <v>3.0379999999999998</v>
      </c>
      <c r="AH49" s="6"/>
      <c r="AI49" s="6">
        <f t="shared" si="17"/>
        <v>3.4969999999999999</v>
      </c>
      <c r="AJ49" s="6">
        <f t="shared" si="18"/>
        <v>3.9420000000000002</v>
      </c>
      <c r="AK49" s="6">
        <f t="shared" si="19"/>
        <v>3.7279999999999998</v>
      </c>
      <c r="AL49" s="6">
        <f t="shared" si="20"/>
        <v>3.60425</v>
      </c>
    </row>
    <row r="50" spans="1:38" ht="18.75" x14ac:dyDescent="0.3">
      <c r="T50" s="196" t="s">
        <v>206</v>
      </c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18.75" x14ac:dyDescent="0.3">
      <c r="A51" s="136" t="s">
        <v>165</v>
      </c>
      <c r="B51" s="136"/>
      <c r="C51" s="136"/>
      <c r="D51" s="136"/>
      <c r="E51" s="136"/>
      <c r="G51" s="132" t="s">
        <v>175</v>
      </c>
      <c r="H51" s="132"/>
      <c r="I51" s="132"/>
      <c r="J51" s="132"/>
      <c r="K51" s="132"/>
      <c r="M51" s="133" t="s">
        <v>176</v>
      </c>
      <c r="N51" s="134"/>
      <c r="O51" s="134"/>
      <c r="P51" s="134"/>
      <c r="Q51" s="135"/>
      <c r="T51" s="113" t="s">
        <v>249</v>
      </c>
      <c r="U51" s="113" t="s">
        <v>237</v>
      </c>
      <c r="V51" s="113" t="s">
        <v>250</v>
      </c>
      <c r="W51" s="113" t="s">
        <v>237</v>
      </c>
      <c r="Y51" s="112" t="s">
        <v>229</v>
      </c>
      <c r="Z51" s="6"/>
      <c r="AA51" s="6"/>
      <c r="AB51" s="6"/>
      <c r="AC51" s="6"/>
      <c r="AD51" s="112" t="s">
        <v>229</v>
      </c>
      <c r="AE51" s="6"/>
      <c r="AF51" s="6"/>
      <c r="AG51" s="6"/>
      <c r="AH51" s="6"/>
      <c r="AI51" s="112" t="s">
        <v>229</v>
      </c>
      <c r="AJ51" s="6"/>
      <c r="AK51" s="6"/>
      <c r="AL51" s="6"/>
    </row>
    <row r="52" spans="1:38" x14ac:dyDescent="0.25">
      <c r="A52" s="6"/>
      <c r="B52" s="112" t="s">
        <v>134</v>
      </c>
      <c r="C52" s="112" t="s">
        <v>135</v>
      </c>
      <c r="D52" s="112" t="s">
        <v>136</v>
      </c>
      <c r="E52" s="112" t="s">
        <v>137</v>
      </c>
      <c r="G52" s="6"/>
      <c r="H52" s="112" t="s">
        <v>134</v>
      </c>
      <c r="I52" s="112" t="s">
        <v>135</v>
      </c>
      <c r="J52" s="112" t="s">
        <v>136</v>
      </c>
      <c r="K52" s="112" t="s">
        <v>137</v>
      </c>
      <c r="M52" s="6"/>
      <c r="N52" s="112" t="s">
        <v>134</v>
      </c>
      <c r="O52" s="112" t="s">
        <v>135</v>
      </c>
      <c r="P52" s="112" t="s">
        <v>136</v>
      </c>
      <c r="Q52" s="112" t="s">
        <v>137</v>
      </c>
      <c r="S52" s="199" t="s">
        <v>66</v>
      </c>
      <c r="T52" s="6">
        <f>MAX(H53:K53,H58:K58,H63:K63)</f>
        <v>3616636.5280289329</v>
      </c>
      <c r="U52" s="6" t="s">
        <v>264</v>
      </c>
      <c r="V52" s="6">
        <f>MIN(H53:K53,H58:K58,H63:K63)</f>
        <v>3085229.4639413808</v>
      </c>
      <c r="W52" s="6" t="s">
        <v>252</v>
      </c>
      <c r="Y52" s="112" t="s">
        <v>127</v>
      </c>
      <c r="Z52" s="112" t="s">
        <v>128</v>
      </c>
      <c r="AA52" s="112" t="s">
        <v>129</v>
      </c>
      <c r="AB52" s="6" t="s">
        <v>204</v>
      </c>
      <c r="AC52" s="6"/>
      <c r="AD52" s="112" t="s">
        <v>127</v>
      </c>
      <c r="AE52" s="112" t="s">
        <v>128</v>
      </c>
      <c r="AF52" s="112" t="s">
        <v>129</v>
      </c>
      <c r="AG52" s="6" t="s">
        <v>204</v>
      </c>
      <c r="AH52" s="6"/>
      <c r="AI52" s="112" t="s">
        <v>127</v>
      </c>
      <c r="AJ52" s="112" t="s">
        <v>128</v>
      </c>
      <c r="AK52" s="112" t="s">
        <v>129</v>
      </c>
      <c r="AL52" s="6" t="s">
        <v>204</v>
      </c>
    </row>
    <row r="53" spans="1:38" x14ac:dyDescent="0.25">
      <c r="A53" s="112" t="s">
        <v>66</v>
      </c>
      <c r="B53" s="6">
        <v>6993006.9930069931</v>
      </c>
      <c r="C53" s="6">
        <v>7049700.3877335209</v>
      </c>
      <c r="D53" s="6">
        <v>7062146.892655367</v>
      </c>
      <c r="E53" s="6">
        <v>7053429.7302063126</v>
      </c>
      <c r="G53" s="112" t="s">
        <v>66</v>
      </c>
      <c r="H53" s="6">
        <v>3616636.5280289329</v>
      </c>
      <c r="I53" s="6">
        <v>3534193.3203746248</v>
      </c>
      <c r="J53" s="6">
        <v>3409090.9090909087</v>
      </c>
      <c r="K53" s="6">
        <v>3412095.8798942249</v>
      </c>
      <c r="M53" s="112" t="s">
        <v>66</v>
      </c>
      <c r="N53" s="6">
        <v>1893939.3939393938</v>
      </c>
      <c r="O53" s="6">
        <v>1843997.7872026553</v>
      </c>
      <c r="P53" s="6">
        <v>1815650.9108515403</v>
      </c>
      <c r="Q53" s="6">
        <v>1788428.865241885</v>
      </c>
      <c r="S53" s="199" t="s">
        <v>67</v>
      </c>
      <c r="T53" s="6">
        <f t="shared" ref="T53:T55" si="21">MAX(H54:K54,H59:K59,H64:K64)</f>
        <v>3586371.7872086074</v>
      </c>
      <c r="U53" s="6" t="s">
        <v>256</v>
      </c>
      <c r="V53" s="6">
        <f t="shared" ref="V53:V55" si="22">MIN(H54:K54,H59:K59,H64:K64)</f>
        <v>3200512.0819331096</v>
      </c>
      <c r="W53" s="6" t="s">
        <v>267</v>
      </c>
      <c r="Y53" s="6">
        <v>1.887</v>
      </c>
      <c r="Z53" s="6">
        <v>1.802</v>
      </c>
      <c r="AA53" s="6">
        <v>1.891</v>
      </c>
      <c r="AB53" s="6">
        <v>1.86</v>
      </c>
      <c r="AC53" s="6"/>
      <c r="AD53" s="6">
        <f>M37-J37</f>
        <v>3.2379999999999995</v>
      </c>
      <c r="AE53" s="6">
        <f>J44-M37</f>
        <v>3.2560000000000011</v>
      </c>
      <c r="AF53" s="6">
        <f>M44-J44</f>
        <v>3.3989999999999991</v>
      </c>
      <c r="AG53" s="6">
        <f>AVERAGE(J37,AD53:AF53)</f>
        <v>3.24125</v>
      </c>
      <c r="AH53" s="6"/>
      <c r="AI53" s="6">
        <f>U37-R37</f>
        <v>5.926000000000001</v>
      </c>
      <c r="AJ53" s="6">
        <f>R44-U37</f>
        <v>6.1460000000000008</v>
      </c>
      <c r="AK53" s="6">
        <f>U44-R44</f>
        <v>6.1929999999999978</v>
      </c>
      <c r="AL53" s="6">
        <f>AVERAGEA(R37,AI53:AK53)</f>
        <v>5.9874999999999998</v>
      </c>
    </row>
    <row r="54" spans="1:38" x14ac:dyDescent="0.25">
      <c r="A54" s="112" t="s">
        <v>67</v>
      </c>
      <c r="B54" s="6">
        <v>6816632.5835037492</v>
      </c>
      <c r="C54" s="6">
        <v>6861063.4648370501</v>
      </c>
      <c r="D54" s="6">
        <v>6824385.8052775254</v>
      </c>
      <c r="E54" s="6">
        <v>6856359.2732259175</v>
      </c>
      <c r="G54" s="112" t="s">
        <v>67</v>
      </c>
      <c r="H54" s="6">
        <v>3580379.520229144</v>
      </c>
      <c r="I54" s="6">
        <v>3554923.5691432632</v>
      </c>
      <c r="J54" s="6">
        <v>3586371.7872086074</v>
      </c>
      <c r="K54" s="6">
        <v>3585193.152281079</v>
      </c>
      <c r="M54" s="112" t="s">
        <v>67</v>
      </c>
      <c r="N54" s="6">
        <v>2079002.0790020791</v>
      </c>
      <c r="O54" s="6">
        <v>2079650.6186960589</v>
      </c>
      <c r="P54" s="6">
        <v>2073541.6090682887</v>
      </c>
      <c r="Q54" s="6">
        <v>2074258.4526031944</v>
      </c>
      <c r="S54" s="199" t="s">
        <v>68</v>
      </c>
      <c r="T54" s="6">
        <f t="shared" si="21"/>
        <v>3589375.4486719309</v>
      </c>
      <c r="U54" s="6" t="s">
        <v>251</v>
      </c>
      <c r="V54" s="6">
        <f t="shared" si="22"/>
        <v>3204101.2495994875</v>
      </c>
      <c r="W54" s="6" t="s">
        <v>267</v>
      </c>
      <c r="Y54" s="6">
        <v>1.905</v>
      </c>
      <c r="Z54" s="6">
        <v>1.8400000000000003</v>
      </c>
      <c r="AA54" s="6">
        <v>1.8939999999999992</v>
      </c>
      <c r="AB54" s="6">
        <v>1.8796666666666664</v>
      </c>
      <c r="AC54" s="6"/>
      <c r="AD54" s="6">
        <f t="shared" ref="AD54:AD56" si="23">M38-J38</f>
        <v>3.1549999999999998</v>
      </c>
      <c r="AE54" s="6">
        <f t="shared" ref="AE54:AE56" si="24">J45-M38</f>
        <v>3.035000000000001</v>
      </c>
      <c r="AF54" s="6">
        <f t="shared" ref="AF54:AF56" si="25">M45-J45</f>
        <v>3.1199999999999992</v>
      </c>
      <c r="AG54" s="6">
        <f t="shared" ref="AG54:AG56" si="26">AVERAGE(J38,AD54:AF54)</f>
        <v>3.101</v>
      </c>
      <c r="AH54" s="6"/>
      <c r="AI54" s="6">
        <f t="shared" ref="AI54:AI56" si="27">U38-R38</f>
        <v>5.2330000000000005</v>
      </c>
      <c r="AJ54" s="6">
        <f t="shared" ref="AJ54:AJ56" si="28">R45-U38</f>
        <v>5.1989999999999998</v>
      </c>
      <c r="AK54" s="6">
        <f t="shared" ref="AK54:AK56" si="29">U45-R45</f>
        <v>5.1900000000000013</v>
      </c>
      <c r="AL54" s="6">
        <f t="shared" ref="AL54:AL56" si="30">AVERAGEA(R38,AI54:AK54)</f>
        <v>5.2117500000000003</v>
      </c>
    </row>
    <row r="55" spans="1:38" x14ac:dyDescent="0.25">
      <c r="A55" s="112" t="s">
        <v>68</v>
      </c>
      <c r="B55" s="6">
        <v>6830601.0928961746</v>
      </c>
      <c r="C55" s="6">
        <v>6908462.86701209</v>
      </c>
      <c r="D55" s="6">
        <v>6898137.5028742235</v>
      </c>
      <c r="E55" s="6">
        <v>6900120.7521131625</v>
      </c>
      <c r="G55" s="112" t="s">
        <v>68</v>
      </c>
      <c r="H55" s="6">
        <v>3572704.5373347625</v>
      </c>
      <c r="I55" s="6">
        <v>3566969.8591046906</v>
      </c>
      <c r="J55" s="6">
        <v>3555344.8684522398</v>
      </c>
      <c r="K55" s="6">
        <v>3589375.4486719309</v>
      </c>
      <c r="M55" s="112" t="s">
        <v>68</v>
      </c>
      <c r="N55" s="6">
        <v>2584647.1956577925</v>
      </c>
      <c r="O55" s="6">
        <v>2529404.325281396</v>
      </c>
      <c r="P55" s="6">
        <v>2467105.2631578948</v>
      </c>
      <c r="Q55" s="6">
        <v>2461084.1075493754</v>
      </c>
      <c r="S55" s="199" t="s">
        <v>69</v>
      </c>
      <c r="T55" s="6">
        <f t="shared" si="21"/>
        <v>3578137.5793899274</v>
      </c>
      <c r="U55" s="6" t="s">
        <v>251</v>
      </c>
      <c r="V55" s="6">
        <f t="shared" si="22"/>
        <v>3192848.0204342273</v>
      </c>
      <c r="W55" s="6" t="s">
        <v>267</v>
      </c>
      <c r="Y55" s="6">
        <v>1.879</v>
      </c>
      <c r="Z55" s="6">
        <v>1.8530000000000002</v>
      </c>
      <c r="AA55" s="6">
        <v>1.9340000000000002</v>
      </c>
      <c r="AB55" s="6">
        <v>1.8886666666666667</v>
      </c>
      <c r="AC55" s="6"/>
      <c r="AD55" s="6">
        <f t="shared" si="23"/>
        <v>3.1480000000000001</v>
      </c>
      <c r="AE55" s="6">
        <f t="shared" si="24"/>
        <v>3.0469999999999997</v>
      </c>
      <c r="AF55" s="6">
        <f t="shared" si="25"/>
        <v>3.0890000000000004</v>
      </c>
      <c r="AG55" s="6">
        <f t="shared" si="26"/>
        <v>3.0945</v>
      </c>
      <c r="AH55" s="6"/>
      <c r="AI55" s="6">
        <f t="shared" si="27"/>
        <v>4.426000000000001</v>
      </c>
      <c r="AJ55" s="6">
        <f t="shared" si="28"/>
        <v>4.5789999999999988</v>
      </c>
      <c r="AK55" s="6">
        <f t="shared" si="29"/>
        <v>4.5340000000000007</v>
      </c>
      <c r="AL55" s="6">
        <f t="shared" si="30"/>
        <v>4.45425</v>
      </c>
    </row>
    <row r="56" spans="1:38" x14ac:dyDescent="0.25">
      <c r="A56" s="112" t="s">
        <v>69</v>
      </c>
      <c r="B56" s="6">
        <v>6844626.9678302528</v>
      </c>
      <c r="C56" s="6">
        <v>6942034.015966679</v>
      </c>
      <c r="D56" s="6">
        <v>6952491.3093858622</v>
      </c>
      <c r="E56" s="6">
        <v>6942034.015966679</v>
      </c>
      <c r="G56" s="112" t="s">
        <v>69</v>
      </c>
      <c r="H56" s="6">
        <v>3549875.7543485975</v>
      </c>
      <c r="I56" s="6">
        <v>3534817.9568752209</v>
      </c>
      <c r="J56" s="6">
        <v>3525678.6931484309</v>
      </c>
      <c r="K56" s="6">
        <v>3578137.5793899274</v>
      </c>
      <c r="M56" s="112" t="s">
        <v>69</v>
      </c>
      <c r="N56" s="6">
        <v>3436426.1168384878</v>
      </c>
      <c r="O56" s="6">
        <v>3249918.7520311992</v>
      </c>
      <c r="P56" s="6">
        <v>3077238.6911478098</v>
      </c>
      <c r="Q56" s="6">
        <v>3022746.1648908034</v>
      </c>
      <c r="Y56" s="6">
        <v>1.9119999999999997</v>
      </c>
      <c r="Z56" s="6">
        <v>1.8530000000000002</v>
      </c>
      <c r="AA56" s="6">
        <v>1.9710000000000001</v>
      </c>
      <c r="AB56" s="6">
        <v>1.9119999999999999</v>
      </c>
      <c r="AC56" s="6"/>
      <c r="AD56" s="6">
        <f t="shared" si="23"/>
        <v>3.1580000000000004</v>
      </c>
      <c r="AE56" s="6">
        <f t="shared" si="24"/>
        <v>3.0699999999999994</v>
      </c>
      <c r="AF56" s="6">
        <f t="shared" si="25"/>
        <v>3.1400000000000006</v>
      </c>
      <c r="AG56" s="6">
        <f t="shared" si="26"/>
        <v>3.1185</v>
      </c>
      <c r="AH56" s="6"/>
      <c r="AI56" s="6">
        <f t="shared" si="27"/>
        <v>3.6480000000000001</v>
      </c>
      <c r="AJ56" s="6">
        <f t="shared" si="28"/>
        <v>3.8770000000000007</v>
      </c>
      <c r="AK56" s="6">
        <f t="shared" si="29"/>
        <v>3.9309999999999992</v>
      </c>
      <c r="AL56" s="6">
        <f t="shared" si="30"/>
        <v>3.6955</v>
      </c>
    </row>
    <row r="57" spans="1:38" ht="18.75" x14ac:dyDescent="0.3">
      <c r="A57" s="112"/>
      <c r="B57" s="112" t="s">
        <v>138</v>
      </c>
      <c r="C57" s="112" t="s">
        <v>139</v>
      </c>
      <c r="D57" s="112" t="s">
        <v>140</v>
      </c>
      <c r="E57" s="112" t="s">
        <v>141</v>
      </c>
      <c r="G57" s="112"/>
      <c r="H57" s="112" t="s">
        <v>138</v>
      </c>
      <c r="I57" s="112" t="s">
        <v>139</v>
      </c>
      <c r="J57" s="112" t="s">
        <v>140</v>
      </c>
      <c r="K57" s="112" t="s">
        <v>141</v>
      </c>
      <c r="M57" s="112"/>
      <c r="N57" s="112" t="s">
        <v>138</v>
      </c>
      <c r="O57" s="112" t="s">
        <v>139</v>
      </c>
      <c r="P57" s="112" t="s">
        <v>140</v>
      </c>
      <c r="Q57" s="112" t="s">
        <v>141</v>
      </c>
      <c r="U57" s="196" t="s">
        <v>114</v>
      </c>
    </row>
    <row r="58" spans="1:38" x14ac:dyDescent="0.25">
      <c r="A58" s="112" t="s">
        <v>66</v>
      </c>
      <c r="B58" s="6">
        <v>6257822.2778473087</v>
      </c>
      <c r="C58" s="6">
        <v>6269592.476489028</v>
      </c>
      <c r="D58" s="6">
        <v>6276150.6276150625</v>
      </c>
      <c r="E58" s="6">
        <v>6252931.0614350475</v>
      </c>
      <c r="G58" s="112" t="s">
        <v>66</v>
      </c>
      <c r="H58" s="6">
        <v>3403675.9700476513</v>
      </c>
      <c r="I58" s="6">
        <v>3300330.0330033004</v>
      </c>
      <c r="J58" s="6">
        <v>3264417.8454842223</v>
      </c>
      <c r="K58" s="6">
        <v>3147871.2520657904</v>
      </c>
      <c r="M58" s="112" t="s">
        <v>66</v>
      </c>
      <c r="N58" s="6">
        <v>1784439.6859386154</v>
      </c>
      <c r="O58" s="6">
        <v>1753463.0896019638</v>
      </c>
      <c r="P58" s="6">
        <v>1721565.4768736372</v>
      </c>
      <c r="Q58" s="6">
        <v>1701693.1847187951</v>
      </c>
      <c r="T58" s="113" t="s">
        <v>249</v>
      </c>
      <c r="U58" s="113" t="s">
        <v>237</v>
      </c>
      <c r="V58" s="113" t="s">
        <v>250</v>
      </c>
      <c r="W58" s="113" t="s">
        <v>237</v>
      </c>
    </row>
    <row r="59" spans="1:38" x14ac:dyDescent="0.25">
      <c r="A59" s="112" t="s">
        <v>67</v>
      </c>
      <c r="B59" s="6">
        <v>6134969.325153375</v>
      </c>
      <c r="C59" s="6">
        <v>6153846.153846154</v>
      </c>
      <c r="D59" s="6">
        <v>6088897.909478385</v>
      </c>
      <c r="E59" s="6">
        <v>6094773.7315252172</v>
      </c>
      <c r="G59" s="112" t="s">
        <v>67</v>
      </c>
      <c r="H59" s="6">
        <v>3363605.7854019511</v>
      </c>
      <c r="I59" s="6">
        <v>3350083.7520938027</v>
      </c>
      <c r="J59" s="6">
        <v>3355329.3815009505</v>
      </c>
      <c r="K59" s="6">
        <v>3330003.33000333</v>
      </c>
      <c r="M59" s="112" t="s">
        <v>67</v>
      </c>
      <c r="N59" s="6">
        <v>1945525.2918287939</v>
      </c>
      <c r="O59" s="6">
        <v>1976284.5849802373</v>
      </c>
      <c r="P59" s="6">
        <v>1961168.8566385566</v>
      </c>
      <c r="Q59" s="6">
        <v>1960880.4353154565</v>
      </c>
      <c r="S59" s="199" t="s">
        <v>66</v>
      </c>
      <c r="T59" s="6">
        <f>MAX(N53:Q53,N58:Q58,N63:Q63,)</f>
        <v>1893939.3939393938</v>
      </c>
      <c r="U59" s="6" t="s">
        <v>264</v>
      </c>
      <c r="V59" s="6">
        <f>MIN(N53:Q53,N58:Q58,N63:Q63)</f>
        <v>1670146.1377870564</v>
      </c>
      <c r="W59" s="6" t="s">
        <v>252</v>
      </c>
    </row>
    <row r="60" spans="1:38" ht="18.75" x14ac:dyDescent="0.3">
      <c r="A60" s="112" t="s">
        <v>68</v>
      </c>
      <c r="B60" s="6">
        <v>6184291.8985776128</v>
      </c>
      <c r="C60" s="6">
        <v>5820721.7694994183</v>
      </c>
      <c r="D60" s="6">
        <v>6169031.4620604562</v>
      </c>
      <c r="E60" s="6">
        <v>6100350.7701692842</v>
      </c>
      <c r="G60" s="112" t="s">
        <v>68</v>
      </c>
      <c r="H60" s="6">
        <v>3353454.0576794096</v>
      </c>
      <c r="I60" s="6">
        <v>3336113.4278565473</v>
      </c>
      <c r="J60" s="6">
        <v>3346720.2141900933</v>
      </c>
      <c r="K60" s="6">
        <v>3300602.3599306876</v>
      </c>
      <c r="M60" s="112" t="s">
        <v>68</v>
      </c>
      <c r="N60" s="6">
        <v>2386634.8448687349</v>
      </c>
      <c r="O60" s="6">
        <v>2357378.5950023574</v>
      </c>
      <c r="P60" s="6">
        <v>2283278.7883400563</v>
      </c>
      <c r="Q60" s="6">
        <v>2299775.7718622433</v>
      </c>
      <c r="S60" s="199" t="s">
        <v>67</v>
      </c>
      <c r="T60" s="6">
        <f t="shared" ref="T60:T62" si="31">MAX(N54:Q54,N59:Q59,N64:Q64,)</f>
        <v>2079650.6186960589</v>
      </c>
      <c r="U60" s="6" t="s">
        <v>257</v>
      </c>
      <c r="V60" s="6">
        <f t="shared" ref="V60:V62" si="32">MIN(N54:Q54,N59:Q59,N64:Q64)</f>
        <v>1912411.5509657678</v>
      </c>
      <c r="W60" s="6" t="s">
        <v>267</v>
      </c>
      <c r="AE60" s="122" t="s">
        <v>230</v>
      </c>
      <c r="AF60" s="122"/>
      <c r="AG60" s="6"/>
      <c r="AH60" s="6"/>
      <c r="AI60" s="6"/>
      <c r="AJ60" s="6"/>
      <c r="AK60" s="6"/>
      <c r="AL60" s="6"/>
    </row>
    <row r="61" spans="1:38" ht="18.75" x14ac:dyDescent="0.3">
      <c r="A61" s="112" t="s">
        <v>69</v>
      </c>
      <c r="B61" s="6">
        <v>6188118.8118811874</v>
      </c>
      <c r="C61" s="6">
        <v>5834305.7176196035</v>
      </c>
      <c r="D61" s="6">
        <v>6220194.8994401824</v>
      </c>
      <c r="E61" s="6">
        <v>6090133.9829476252</v>
      </c>
      <c r="G61" s="112" t="s">
        <v>69</v>
      </c>
      <c r="H61" s="6">
        <v>3342245.9893048126</v>
      </c>
      <c r="I61" s="6">
        <v>3320604.3499916987</v>
      </c>
      <c r="J61" s="6">
        <v>3342618.3844011142</v>
      </c>
      <c r="K61" s="6">
        <v>3291639.2363396971</v>
      </c>
      <c r="M61" s="112" t="s">
        <v>69</v>
      </c>
      <c r="N61" s="6">
        <v>3076923.076923077</v>
      </c>
      <c r="O61" s="6">
        <v>2964280.4209278198</v>
      </c>
      <c r="P61" s="6">
        <v>2806623.6317709796</v>
      </c>
      <c r="Q61" s="6">
        <v>2774502.323645696</v>
      </c>
      <c r="S61" s="199" t="s">
        <v>68</v>
      </c>
      <c r="T61" s="6">
        <f t="shared" si="31"/>
        <v>2584647.1956577925</v>
      </c>
      <c r="U61" s="6" t="s">
        <v>264</v>
      </c>
      <c r="V61" s="6">
        <f t="shared" si="32"/>
        <v>2245046.8653533142</v>
      </c>
      <c r="W61" s="6" t="s">
        <v>252</v>
      </c>
      <c r="AE61" s="6"/>
      <c r="AF61" s="6"/>
      <c r="AG61" s="122" t="s">
        <v>205</v>
      </c>
      <c r="AH61" s="122" t="s">
        <v>206</v>
      </c>
      <c r="AI61" s="122" t="s">
        <v>114</v>
      </c>
      <c r="AJ61" s="122" t="s">
        <v>231</v>
      </c>
      <c r="AK61" s="122" t="s">
        <v>217</v>
      </c>
      <c r="AL61" s="122" t="s">
        <v>232</v>
      </c>
    </row>
    <row r="62" spans="1:38" ht="18.75" x14ac:dyDescent="0.3">
      <c r="A62" s="112"/>
      <c r="B62" s="112" t="s">
        <v>130</v>
      </c>
      <c r="C62" s="112" t="s">
        <v>131</v>
      </c>
      <c r="D62" s="112" t="s">
        <v>133</v>
      </c>
      <c r="E62" s="112" t="s">
        <v>132</v>
      </c>
      <c r="G62" s="112"/>
      <c r="H62" s="112" t="s">
        <v>130</v>
      </c>
      <c r="I62" s="112" t="s">
        <v>131</v>
      </c>
      <c r="J62" s="112" t="s">
        <v>133</v>
      </c>
      <c r="K62" s="112" t="s">
        <v>132</v>
      </c>
      <c r="M62" s="112"/>
      <c r="N62" s="112" t="s">
        <v>130</v>
      </c>
      <c r="O62" s="112" t="s">
        <v>131</v>
      </c>
      <c r="P62" s="112" t="s">
        <v>133</v>
      </c>
      <c r="Q62" s="112" t="s">
        <v>132</v>
      </c>
      <c r="S62" s="199" t="s">
        <v>69</v>
      </c>
      <c r="T62" s="6">
        <f t="shared" si="31"/>
        <v>3436426.1168384878</v>
      </c>
      <c r="U62" s="6" t="s">
        <v>264</v>
      </c>
      <c r="V62" s="6">
        <f t="shared" si="32"/>
        <v>2705993.7762143146</v>
      </c>
      <c r="W62" s="6" t="s">
        <v>252</v>
      </c>
      <c r="AE62" s="122" t="s">
        <v>153</v>
      </c>
      <c r="AF62" s="6">
        <v>10000000</v>
      </c>
      <c r="AG62" s="6">
        <v>10.849299200000001</v>
      </c>
      <c r="AH62" s="6">
        <f>(100663296*8)/AF62</f>
        <v>80.530636799999996</v>
      </c>
      <c r="AI62" s="6">
        <f>(71887938*8)/AF62</f>
        <v>57.5103504</v>
      </c>
      <c r="AJ62" s="6">
        <f>AH62/AG62</f>
        <v>7.422657935362313</v>
      </c>
      <c r="AK62" s="6">
        <f>AH62/AI62</f>
        <v>1.4002807536363053</v>
      </c>
      <c r="AL62" s="6">
        <f>AI62/AG62</f>
        <v>5.3008355046563738</v>
      </c>
    </row>
    <row r="63" spans="1:38" ht="18.75" x14ac:dyDescent="0.3">
      <c r="A63" s="112" t="s">
        <v>66</v>
      </c>
      <c r="B63" s="6">
        <v>5425935.9739555074</v>
      </c>
      <c r="C63" s="6">
        <v>5361930.2949061664</v>
      </c>
      <c r="D63" s="6">
        <v>5422993.492407809</v>
      </c>
      <c r="E63" s="6">
        <v>5388656.8772733398</v>
      </c>
      <c r="G63" s="112" t="s">
        <v>66</v>
      </c>
      <c r="H63" s="6">
        <v>3255208.3333333335</v>
      </c>
      <c r="I63" s="6">
        <v>3169572.107765452</v>
      </c>
      <c r="J63" s="6">
        <v>3136107.0457871626</v>
      </c>
      <c r="K63" s="6">
        <v>3085229.4639413808</v>
      </c>
      <c r="M63" s="112" t="s">
        <v>66</v>
      </c>
      <c r="N63" s="6">
        <v>1759014.9516270889</v>
      </c>
      <c r="O63" s="6">
        <v>1722504.5215743689</v>
      </c>
      <c r="P63" s="6">
        <v>1689474.57340767</v>
      </c>
      <c r="Q63" s="6">
        <v>1670146.1377870564</v>
      </c>
      <c r="AE63" s="122" t="s">
        <v>154</v>
      </c>
      <c r="AF63" s="6">
        <v>20000000</v>
      </c>
      <c r="AG63" s="6">
        <v>5.4246496000000004</v>
      </c>
      <c r="AH63" s="6">
        <f t="shared" ref="AH63:AH65" si="33">(100663296*8)/AF63</f>
        <v>40.265318399999998</v>
      </c>
      <c r="AI63" s="6">
        <f t="shared" ref="AI63:AI65" si="34">(71887938*8)/AF63</f>
        <v>28.7551752</v>
      </c>
      <c r="AJ63" s="6">
        <f t="shared" ref="AJ63:AJ65" si="35">AH63/AG63</f>
        <v>7.422657935362313</v>
      </c>
      <c r="AK63" s="6">
        <f t="shared" ref="AK63:AK65" si="36">AH63/AI63</f>
        <v>1.4002807536363053</v>
      </c>
      <c r="AL63" s="6">
        <f t="shared" ref="AL63:AL65" si="37">AI63/AG63</f>
        <v>5.3008355046563738</v>
      </c>
    </row>
    <row r="64" spans="1:38" ht="18.75" x14ac:dyDescent="0.3">
      <c r="A64" s="112" t="s">
        <v>67</v>
      </c>
      <c r="B64" s="6">
        <v>5361930.2949061664</v>
      </c>
      <c r="C64" s="6">
        <v>5305039.7877984084</v>
      </c>
      <c r="D64" s="6">
        <v>5347593.5828876998</v>
      </c>
      <c r="E64" s="6">
        <v>5330490.4051172715</v>
      </c>
      <c r="G64" s="112" t="s">
        <v>67</v>
      </c>
      <c r="H64" s="6">
        <v>3232062.0555914673</v>
      </c>
      <c r="I64" s="6">
        <v>3200512.0819331096</v>
      </c>
      <c r="J64" s="6">
        <v>3231365.7906074966</v>
      </c>
      <c r="K64" s="6">
        <v>3224766.2044501775</v>
      </c>
      <c r="M64" s="112" t="s">
        <v>67</v>
      </c>
      <c r="N64" s="6">
        <v>1913875.5980861245</v>
      </c>
      <c r="O64" s="6">
        <v>1912411.5509657678</v>
      </c>
      <c r="P64" s="6">
        <v>1916075.8766047135</v>
      </c>
      <c r="Q64" s="6">
        <v>1918741.3057034584</v>
      </c>
      <c r="AE64" s="122" t="s">
        <v>155</v>
      </c>
      <c r="AF64" s="6">
        <v>30000000</v>
      </c>
      <c r="AG64" s="6">
        <v>3.6164330666666666</v>
      </c>
      <c r="AH64" s="6">
        <f t="shared" si="33"/>
        <v>26.843545599999999</v>
      </c>
      <c r="AI64" s="6">
        <f t="shared" si="34"/>
        <v>19.170116799999999</v>
      </c>
      <c r="AJ64" s="6">
        <f t="shared" si="35"/>
        <v>7.422657935362313</v>
      </c>
      <c r="AK64" s="6">
        <f t="shared" si="36"/>
        <v>1.4002807536363056</v>
      </c>
      <c r="AL64" s="6">
        <f t="shared" si="37"/>
        <v>5.3008355046563738</v>
      </c>
    </row>
    <row r="65" spans="1:38" ht="18.75" x14ac:dyDescent="0.3">
      <c r="A65" s="112" t="s">
        <v>68</v>
      </c>
      <c r="B65" s="6">
        <v>5288207.2977260705</v>
      </c>
      <c r="C65" s="6">
        <v>5305039.7877984084</v>
      </c>
      <c r="D65" s="6">
        <v>5335230.304108127</v>
      </c>
      <c r="E65" s="6">
        <v>5293105.729786952</v>
      </c>
      <c r="G65" s="112" t="s">
        <v>68</v>
      </c>
      <c r="H65" s="6">
        <v>3232062.0555914673</v>
      </c>
      <c r="I65" s="6">
        <v>3204101.2495994875</v>
      </c>
      <c r="J65" s="6">
        <v>3229626.4398751212</v>
      </c>
      <c r="K65" s="6">
        <v>3231539.828728389</v>
      </c>
      <c r="M65" s="112" t="s">
        <v>68</v>
      </c>
      <c r="N65" s="6">
        <v>2337540.9069658723</v>
      </c>
      <c r="O65" s="6">
        <v>2297794.1176470588</v>
      </c>
      <c r="P65" s="6">
        <v>2258525.9354061582</v>
      </c>
      <c r="Q65" s="6">
        <v>2245046.8653533142</v>
      </c>
      <c r="AE65" s="122" t="s">
        <v>156</v>
      </c>
      <c r="AF65" s="6">
        <v>40000000</v>
      </c>
      <c r="AG65" s="6">
        <v>2.7123248000000002</v>
      </c>
      <c r="AH65" s="6">
        <f t="shared" si="33"/>
        <v>20.132659199999999</v>
      </c>
      <c r="AI65" s="6">
        <f t="shared" si="34"/>
        <v>14.3775876</v>
      </c>
      <c r="AJ65" s="6">
        <f t="shared" si="35"/>
        <v>7.422657935362313</v>
      </c>
      <c r="AK65" s="6">
        <f t="shared" si="36"/>
        <v>1.4002807536363053</v>
      </c>
      <c r="AL65" s="6">
        <f t="shared" si="37"/>
        <v>5.3008355046563738</v>
      </c>
    </row>
    <row r="66" spans="1:38" x14ac:dyDescent="0.25">
      <c r="A66" s="112" t="s">
        <v>69</v>
      </c>
      <c r="B66" s="6">
        <v>5353319.0578158451</v>
      </c>
      <c r="C66" s="6">
        <v>5291005.291005291</v>
      </c>
      <c r="D66" s="6">
        <v>5325758.9206461925</v>
      </c>
      <c r="E66" s="6">
        <v>5260389.2688058913</v>
      </c>
      <c r="G66" s="112" t="s">
        <v>69</v>
      </c>
      <c r="H66" s="6">
        <v>3219575.0160978753</v>
      </c>
      <c r="I66" s="6">
        <v>3192848.0204342273</v>
      </c>
      <c r="J66" s="6">
        <v>3214056.1388472253</v>
      </c>
      <c r="K66" s="6">
        <v>3206669.8733365401</v>
      </c>
      <c r="M66" s="112" t="s">
        <v>69</v>
      </c>
      <c r="N66" s="6">
        <v>3006614.5520144319</v>
      </c>
      <c r="O66" s="6">
        <v>2867794.6659019212</v>
      </c>
      <c r="P66" s="6">
        <v>2764722.1454243846</v>
      </c>
      <c r="Q66" s="6">
        <v>2705993.7762143146</v>
      </c>
    </row>
    <row r="69" spans="1:38" ht="18.75" x14ac:dyDescent="0.3">
      <c r="A69" s="6"/>
      <c r="B69" s="186" t="s">
        <v>218</v>
      </c>
      <c r="C69" s="187"/>
      <c r="D69" s="188"/>
      <c r="E69" s="132" t="s">
        <v>219</v>
      </c>
      <c r="F69" s="132"/>
      <c r="G69" s="132"/>
      <c r="J69" s="6"/>
      <c r="K69" s="186" t="s">
        <v>218</v>
      </c>
      <c r="L69" s="187"/>
      <c r="M69" s="188"/>
      <c r="N69" s="132" t="s">
        <v>194</v>
      </c>
      <c r="O69" s="132"/>
      <c r="P69" s="132"/>
      <c r="S69" s="6"/>
      <c r="T69" s="186" t="s">
        <v>218</v>
      </c>
      <c r="U69" s="187"/>
      <c r="V69" s="188"/>
      <c r="W69" s="132" t="s">
        <v>221</v>
      </c>
      <c r="X69" s="132"/>
      <c r="Y69" s="132"/>
    </row>
    <row r="70" spans="1:38" ht="15.75" x14ac:dyDescent="0.25">
      <c r="B70" s="12" t="s">
        <v>205</v>
      </c>
      <c r="C70" s="12" t="s">
        <v>206</v>
      </c>
      <c r="D70" s="12" t="s">
        <v>114</v>
      </c>
      <c r="E70" s="12" t="s">
        <v>215</v>
      </c>
      <c r="F70" s="111" t="s">
        <v>216</v>
      </c>
      <c r="G70" s="111" t="s">
        <v>217</v>
      </c>
      <c r="H70" t="s">
        <v>223</v>
      </c>
      <c r="K70" s="12" t="s">
        <v>205</v>
      </c>
      <c r="L70" s="12" t="s">
        <v>206</v>
      </c>
      <c r="M70" s="12" t="s">
        <v>114</v>
      </c>
      <c r="N70" s="12" t="s">
        <v>215</v>
      </c>
      <c r="O70" s="111" t="s">
        <v>216</v>
      </c>
      <c r="P70" s="111" t="s">
        <v>217</v>
      </c>
      <c r="Q70" t="s">
        <v>223</v>
      </c>
      <c r="T70" s="12" t="s">
        <v>205</v>
      </c>
      <c r="U70" s="12" t="s">
        <v>206</v>
      </c>
      <c r="V70" s="12" t="s">
        <v>114</v>
      </c>
      <c r="W70" s="12" t="s">
        <v>215</v>
      </c>
      <c r="X70" s="111" t="s">
        <v>216</v>
      </c>
      <c r="Y70" s="111" t="s">
        <v>217</v>
      </c>
      <c r="Z70" t="s">
        <v>223</v>
      </c>
    </row>
    <row r="71" spans="1:38" x14ac:dyDescent="0.25">
      <c r="A71" s="101" t="s">
        <v>134</v>
      </c>
      <c r="B71" s="114">
        <v>6993006.9930069931</v>
      </c>
      <c r="C71" s="115">
        <v>3616636.5280289329</v>
      </c>
      <c r="D71" s="116">
        <v>1893939.3939393938</v>
      </c>
      <c r="E71" s="103">
        <f>B71/C71</f>
        <v>1.9335664335664338</v>
      </c>
      <c r="F71" s="7">
        <f>B71/D71</f>
        <v>3.6923076923076925</v>
      </c>
      <c r="G71" s="7">
        <f>C71/D71</f>
        <v>1.9095840867992766</v>
      </c>
      <c r="H71">
        <f>AVERAGE(E71:E82)</f>
        <v>1.8790501413036624</v>
      </c>
      <c r="J71" s="101" t="s">
        <v>134</v>
      </c>
      <c r="K71" s="114">
        <v>6816632.5835037492</v>
      </c>
      <c r="L71" s="115">
        <v>3580379.520229144</v>
      </c>
      <c r="M71" s="116">
        <v>2079002.0790020791</v>
      </c>
      <c r="N71" s="103">
        <f>K71/L71</f>
        <v>1.9038854805725973</v>
      </c>
      <c r="O71" s="7">
        <f>K71/M71</f>
        <v>3.2788002726653032</v>
      </c>
      <c r="P71" s="7">
        <f>L71/M71</f>
        <v>1.7221625492302182</v>
      </c>
      <c r="Q71">
        <f>AVERAGE(N71:N82)</f>
        <v>1.7982842820885985</v>
      </c>
      <c r="S71" s="101" t="s">
        <v>134</v>
      </c>
      <c r="T71" s="114">
        <v>6830601.0928961746</v>
      </c>
      <c r="U71" s="115">
        <v>3572704.5373347625</v>
      </c>
      <c r="V71" s="116">
        <v>2584647.1956577925</v>
      </c>
      <c r="W71" s="103">
        <f>T71/U71</f>
        <v>1.9118852459016393</v>
      </c>
      <c r="X71" s="7">
        <f>T71/V71</f>
        <v>2.6427595628415301</v>
      </c>
      <c r="Y71" s="7">
        <f>U71/V71</f>
        <v>1.3822793854948197</v>
      </c>
      <c r="Z71">
        <f>AVERAGE(W71:W82)</f>
        <v>1.7977942609000728</v>
      </c>
    </row>
    <row r="72" spans="1:38" x14ac:dyDescent="0.25">
      <c r="A72" s="101" t="s">
        <v>135</v>
      </c>
      <c r="B72" s="114">
        <v>7049700.3877335209</v>
      </c>
      <c r="C72" s="115">
        <v>3534193.3203746248</v>
      </c>
      <c r="D72" s="116">
        <v>1843997.7872026553</v>
      </c>
      <c r="E72" s="103">
        <f t="shared" ref="E72:E82" si="38">B72/C72</f>
        <v>1.9947127247091996</v>
      </c>
      <c r="F72" s="7">
        <f t="shared" ref="F72:F82" si="39">B72/D72</f>
        <v>3.8230525202678884</v>
      </c>
      <c r="G72" s="7">
        <f t="shared" ref="G72:G82" si="40">C72/D72</f>
        <v>1.9165930376391591</v>
      </c>
      <c r="J72" s="101" t="s">
        <v>135</v>
      </c>
      <c r="K72" s="114">
        <v>6861063.4648370501</v>
      </c>
      <c r="L72" s="115">
        <v>3554923.5691432632</v>
      </c>
      <c r="M72" s="116">
        <v>2079650.6186960589</v>
      </c>
      <c r="N72" s="103">
        <f t="shared" ref="N72:N82" si="41">K72/L72</f>
        <v>1.9300171526586622</v>
      </c>
      <c r="O72" s="7">
        <f t="shared" ref="O72:O82" si="42">K72/M72</f>
        <v>3.2991423670668958</v>
      </c>
      <c r="P72" s="7">
        <f t="shared" ref="P72:P82" si="43">L72/M72</f>
        <v>1.7093849982225382</v>
      </c>
      <c r="S72" s="101" t="s">
        <v>135</v>
      </c>
      <c r="T72" s="114">
        <v>6908462.86701209</v>
      </c>
      <c r="U72" s="115">
        <v>3566969.8591046906</v>
      </c>
      <c r="V72" s="116">
        <v>2529404.325281396</v>
      </c>
      <c r="W72" s="103">
        <f t="shared" ref="W72:W82" si="44">T72/U72</f>
        <v>1.9367875647668393</v>
      </c>
      <c r="X72" s="7">
        <f t="shared" ref="X72:X82" si="45">T72/V72</f>
        <v>2.7312607944732301</v>
      </c>
      <c r="Y72" s="7">
        <f t="shared" ref="Y72:Y82" si="46">U72/V72</f>
        <v>1.4102015337970395</v>
      </c>
    </row>
    <row r="73" spans="1:38" x14ac:dyDescent="0.25">
      <c r="A73" s="101" t="s">
        <v>136</v>
      </c>
      <c r="B73" s="114">
        <v>7062146.892655367</v>
      </c>
      <c r="C73" s="115">
        <v>3409090.9090909087</v>
      </c>
      <c r="D73" s="116">
        <v>1815650.9108515403</v>
      </c>
      <c r="E73" s="103">
        <f t="shared" si="38"/>
        <v>2.0715630885122414</v>
      </c>
      <c r="F73" s="7">
        <f t="shared" si="39"/>
        <v>3.8895951035781544</v>
      </c>
      <c r="G73" s="7">
        <f t="shared" si="40"/>
        <v>1.8776136363636362</v>
      </c>
      <c r="H73" t="s">
        <v>224</v>
      </c>
      <c r="J73" s="101" t="s">
        <v>136</v>
      </c>
      <c r="K73" s="114">
        <v>6824385.8052775254</v>
      </c>
      <c r="L73" s="115">
        <v>3586371.7872086074</v>
      </c>
      <c r="M73" s="116">
        <v>2073541.6090682887</v>
      </c>
      <c r="N73" s="103">
        <f t="shared" si="41"/>
        <v>1.9028662420382165</v>
      </c>
      <c r="O73" s="7">
        <f t="shared" si="42"/>
        <v>3.291173794358508</v>
      </c>
      <c r="P73" s="7">
        <f t="shared" si="43"/>
        <v>1.7295875672444709</v>
      </c>
      <c r="Q73" t="s">
        <v>224</v>
      </c>
      <c r="S73" s="101" t="s">
        <v>136</v>
      </c>
      <c r="T73" s="114">
        <v>6898137.5028742235</v>
      </c>
      <c r="U73" s="115">
        <v>3555344.8684522398</v>
      </c>
      <c r="V73" s="116">
        <v>2467105.2631578948</v>
      </c>
      <c r="W73" s="103">
        <f t="shared" si="44"/>
        <v>1.9402161416417567</v>
      </c>
      <c r="X73" s="7">
        <f t="shared" si="45"/>
        <v>2.796045067831685</v>
      </c>
      <c r="Y73" s="7">
        <f t="shared" si="46"/>
        <v>1.4410997866793078</v>
      </c>
      <c r="Z73" t="s">
        <v>224</v>
      </c>
    </row>
    <row r="74" spans="1:38" x14ac:dyDescent="0.25">
      <c r="A74" s="101" t="s">
        <v>137</v>
      </c>
      <c r="B74" s="114">
        <v>7053429.7302063126</v>
      </c>
      <c r="C74" s="115">
        <v>3412095.8798942249</v>
      </c>
      <c r="D74" s="116">
        <v>1788428.865241885</v>
      </c>
      <c r="E74" s="103">
        <f t="shared" si="38"/>
        <v>2.067183918180215</v>
      </c>
      <c r="F74" s="7">
        <f t="shared" si="39"/>
        <v>3.94392523364486</v>
      </c>
      <c r="G74" s="7">
        <f t="shared" si="40"/>
        <v>1.9078734112428559</v>
      </c>
      <c r="H74">
        <f>AVERAGE(F71:F82)</f>
        <v>3.532107980315331</v>
      </c>
      <c r="J74" s="101" t="s">
        <v>137</v>
      </c>
      <c r="K74" s="114">
        <v>6856359.2732259175</v>
      </c>
      <c r="L74" s="115">
        <v>3585193.152281079</v>
      </c>
      <c r="M74" s="116">
        <v>2074258.4526031944</v>
      </c>
      <c r="N74" s="103">
        <f t="shared" si="41"/>
        <v>1.9124100102845392</v>
      </c>
      <c r="O74" s="7">
        <f t="shared" si="42"/>
        <v>3.3054508056222147</v>
      </c>
      <c r="P74" s="7">
        <f t="shared" si="43"/>
        <v>1.7284216187147081</v>
      </c>
      <c r="Q74">
        <f>AVERAGE(O71:O82)</f>
        <v>3.0666116846991547</v>
      </c>
      <c r="S74" s="101" t="s">
        <v>137</v>
      </c>
      <c r="T74" s="114">
        <v>6900120.7521131625</v>
      </c>
      <c r="U74" s="115">
        <v>3589375.4486719309</v>
      </c>
      <c r="V74" s="116">
        <v>2461084.1075493754</v>
      </c>
      <c r="W74" s="103">
        <f t="shared" si="44"/>
        <v>1.9223736415387271</v>
      </c>
      <c r="X74" s="7">
        <f t="shared" si="45"/>
        <v>2.803691564602381</v>
      </c>
      <c r="Y74" s="7">
        <f t="shared" si="46"/>
        <v>1.4584529791816223</v>
      </c>
      <c r="Z74">
        <f>AVERAGE(X71:X82)</f>
        <v>2.5566277328725122</v>
      </c>
    </row>
    <row r="75" spans="1:38" x14ac:dyDescent="0.25">
      <c r="A75" s="101" t="s">
        <v>138</v>
      </c>
      <c r="B75" s="114">
        <v>6257822.2778473087</v>
      </c>
      <c r="C75" s="115">
        <v>3403675.9700476513</v>
      </c>
      <c r="D75" s="116">
        <v>1784439.6859386154</v>
      </c>
      <c r="E75" s="103">
        <f t="shared" si="38"/>
        <v>1.8385481852315393</v>
      </c>
      <c r="F75" s="7">
        <f t="shared" si="39"/>
        <v>3.5068836045056315</v>
      </c>
      <c r="G75" s="7">
        <f t="shared" si="40"/>
        <v>1.9074200136147037</v>
      </c>
      <c r="J75" s="101" t="s">
        <v>138</v>
      </c>
      <c r="K75" s="114">
        <v>6134969.325153375</v>
      </c>
      <c r="L75" s="115">
        <v>3363605.7854019511</v>
      </c>
      <c r="M75" s="116">
        <v>1945525.2918287939</v>
      </c>
      <c r="N75" s="103">
        <f t="shared" si="41"/>
        <v>1.8239263803680983</v>
      </c>
      <c r="O75" s="7">
        <f t="shared" si="42"/>
        <v>3.1533742331288344</v>
      </c>
      <c r="P75" s="7">
        <f t="shared" si="43"/>
        <v>1.7288933736966028</v>
      </c>
      <c r="S75" s="101" t="s">
        <v>138</v>
      </c>
      <c r="T75" s="114">
        <v>6184291.8985776128</v>
      </c>
      <c r="U75" s="115">
        <v>3353454.0576794096</v>
      </c>
      <c r="V75" s="116">
        <v>2386634.8448687349</v>
      </c>
      <c r="W75" s="103">
        <f t="shared" si="44"/>
        <v>1.8441558441558443</v>
      </c>
      <c r="X75" s="7">
        <f t="shared" si="45"/>
        <v>2.5912183055040199</v>
      </c>
      <c r="Y75" s="7">
        <f t="shared" si="46"/>
        <v>1.4050972501676726</v>
      </c>
    </row>
    <row r="76" spans="1:38" x14ac:dyDescent="0.25">
      <c r="A76" s="101" t="s">
        <v>139</v>
      </c>
      <c r="B76" s="114">
        <v>6269592.476489028</v>
      </c>
      <c r="C76" s="115">
        <v>3300330.0330033004</v>
      </c>
      <c r="D76" s="116">
        <v>1753463.0896019638</v>
      </c>
      <c r="E76" s="103">
        <f t="shared" si="38"/>
        <v>1.8996865203761755</v>
      </c>
      <c r="F76" s="7">
        <f t="shared" si="39"/>
        <v>3.5755485893416927</v>
      </c>
      <c r="G76" s="7">
        <f t="shared" si="40"/>
        <v>1.8821782178217823</v>
      </c>
      <c r="H76" t="s">
        <v>225</v>
      </c>
      <c r="J76" s="101" t="s">
        <v>139</v>
      </c>
      <c r="K76" s="114">
        <v>6153846.153846154</v>
      </c>
      <c r="L76" s="115">
        <v>3350083.7520938027</v>
      </c>
      <c r="M76" s="116">
        <v>1976284.5849802373</v>
      </c>
      <c r="N76" s="103">
        <f t="shared" si="41"/>
        <v>1.8369230769230769</v>
      </c>
      <c r="O76" s="7">
        <f t="shared" si="42"/>
        <v>3.1138461538461537</v>
      </c>
      <c r="P76" s="7">
        <f t="shared" si="43"/>
        <v>1.6951423785594639</v>
      </c>
      <c r="Q76" t="s">
        <v>225</v>
      </c>
      <c r="S76" s="101" t="s">
        <v>139</v>
      </c>
      <c r="T76" s="114">
        <v>5820721.7694994183</v>
      </c>
      <c r="U76" s="115">
        <v>3336113.4278565473</v>
      </c>
      <c r="V76" s="116">
        <v>2357378.5950023574</v>
      </c>
      <c r="W76" s="103">
        <f t="shared" si="44"/>
        <v>1.7447613504074506</v>
      </c>
      <c r="X76" s="7">
        <f t="shared" si="45"/>
        <v>2.4691501746216531</v>
      </c>
      <c r="Y76" s="7">
        <f t="shared" si="46"/>
        <v>1.4151793160967474</v>
      </c>
      <c r="Z76" t="s">
        <v>225</v>
      </c>
    </row>
    <row r="77" spans="1:38" x14ac:dyDescent="0.25">
      <c r="A77" s="101" t="s">
        <v>140</v>
      </c>
      <c r="B77" s="114">
        <v>6276150.6276150625</v>
      </c>
      <c r="C77" s="115">
        <v>3264417.8454842223</v>
      </c>
      <c r="D77" s="116">
        <v>1721565.4768736372</v>
      </c>
      <c r="E77" s="103">
        <f t="shared" si="38"/>
        <v>1.9225941422594139</v>
      </c>
      <c r="F77" s="7">
        <f t="shared" si="39"/>
        <v>3.6456066945606693</v>
      </c>
      <c r="G77" s="7">
        <f t="shared" si="40"/>
        <v>1.8961915125136017</v>
      </c>
      <c r="H77">
        <f>AVERAGE(G71:G82)</f>
        <v>1.8784603653225862</v>
      </c>
      <c r="J77" s="101" t="s">
        <v>140</v>
      </c>
      <c r="K77" s="114">
        <v>6088897.909478385</v>
      </c>
      <c r="L77" s="115">
        <v>3355329.3815009505</v>
      </c>
      <c r="M77" s="116">
        <v>1961168.8566385566</v>
      </c>
      <c r="N77" s="103">
        <f t="shared" si="41"/>
        <v>1.814694540288208</v>
      </c>
      <c r="O77" s="7">
        <f t="shared" si="42"/>
        <v>3.1047290440430286</v>
      </c>
      <c r="P77" s="7">
        <f t="shared" si="43"/>
        <v>1.7108824516273347</v>
      </c>
      <c r="Q77">
        <f>AVERAGE(P71:P82)</f>
        <v>1.7043425758271267</v>
      </c>
      <c r="S77" s="101" t="s">
        <v>140</v>
      </c>
      <c r="T77" s="114">
        <v>6169031.4620604562</v>
      </c>
      <c r="U77" s="115">
        <v>3346720.2141900933</v>
      </c>
      <c r="V77" s="116">
        <v>2283278.7883400563</v>
      </c>
      <c r="W77" s="103">
        <f t="shared" si="44"/>
        <v>1.8433066008636645</v>
      </c>
      <c r="X77" s="7">
        <f t="shared" si="45"/>
        <v>2.701830146000411</v>
      </c>
      <c r="Y77" s="7">
        <f t="shared" si="46"/>
        <v>1.465751896474788</v>
      </c>
      <c r="Z77">
        <f>AVERAGE(Y71:Y82)</f>
        <v>1.4216439284858311</v>
      </c>
    </row>
    <row r="78" spans="1:38" x14ac:dyDescent="0.25">
      <c r="A78" s="101" t="s">
        <v>141</v>
      </c>
      <c r="B78" s="114">
        <v>6252931.0614350475</v>
      </c>
      <c r="C78" s="115">
        <v>3147871.2520657904</v>
      </c>
      <c r="D78" s="116">
        <v>1701693.1847187951</v>
      </c>
      <c r="E78" s="103">
        <f t="shared" si="38"/>
        <v>1.9863998749413789</v>
      </c>
      <c r="F78" s="7">
        <f t="shared" si="39"/>
        <v>3.674534938252306</v>
      </c>
      <c r="G78" s="7">
        <f t="shared" si="40"/>
        <v>1.8498465412764618</v>
      </c>
      <c r="J78" s="101" t="s">
        <v>141</v>
      </c>
      <c r="K78" s="114">
        <v>6094773.7315252172</v>
      </c>
      <c r="L78" s="115">
        <v>3330003.33000333</v>
      </c>
      <c r="M78" s="116">
        <v>1960880.4353154565</v>
      </c>
      <c r="N78" s="103">
        <f t="shared" si="41"/>
        <v>1.8302605515770227</v>
      </c>
      <c r="O78" s="7">
        <f t="shared" si="42"/>
        <v>3.1081822337345728</v>
      </c>
      <c r="P78" s="7">
        <f t="shared" si="43"/>
        <v>1.6982184482184484</v>
      </c>
      <c r="S78" s="101" t="s">
        <v>141</v>
      </c>
      <c r="T78" s="114">
        <v>6100350.7701692842</v>
      </c>
      <c r="U78" s="115">
        <v>3300602.3599306876</v>
      </c>
      <c r="V78" s="116">
        <v>2299775.7718622433</v>
      </c>
      <c r="W78" s="103">
        <f t="shared" si="44"/>
        <v>1.8482537745920387</v>
      </c>
      <c r="X78" s="7">
        <f t="shared" si="45"/>
        <v>2.6525850236388591</v>
      </c>
      <c r="Y78" s="7">
        <f t="shared" si="46"/>
        <v>1.4351844211568614</v>
      </c>
    </row>
    <row r="79" spans="1:38" x14ac:dyDescent="0.25">
      <c r="A79" s="101" t="s">
        <v>130</v>
      </c>
      <c r="B79" s="114">
        <v>5425935.9739555074</v>
      </c>
      <c r="C79" s="115">
        <v>3255208.3333333335</v>
      </c>
      <c r="D79" s="116">
        <v>1759014.9516270889</v>
      </c>
      <c r="E79" s="103">
        <f t="shared" si="38"/>
        <v>1.6668475311991318</v>
      </c>
      <c r="F79" s="7">
        <f t="shared" si="39"/>
        <v>3.0846446011937059</v>
      </c>
      <c r="G79" s="7">
        <f t="shared" si="40"/>
        <v>1.8505859375</v>
      </c>
      <c r="J79" s="101" t="s">
        <v>130</v>
      </c>
      <c r="K79" s="114">
        <v>5361930.2949061664</v>
      </c>
      <c r="L79" s="115">
        <v>3232062.0555914673</v>
      </c>
      <c r="M79" s="116">
        <v>1913875.5980861245</v>
      </c>
      <c r="N79" s="103">
        <f t="shared" si="41"/>
        <v>1.658981233243968</v>
      </c>
      <c r="O79" s="7">
        <f t="shared" si="42"/>
        <v>2.8016085790884717</v>
      </c>
      <c r="P79" s="7">
        <f t="shared" si="43"/>
        <v>1.6887524240465415</v>
      </c>
      <c r="S79" s="101" t="s">
        <v>130</v>
      </c>
      <c r="T79" s="114">
        <v>5288207.2977260705</v>
      </c>
      <c r="U79" s="115">
        <v>3232062.0555914673</v>
      </c>
      <c r="V79" s="116">
        <v>2337540.9069658723</v>
      </c>
      <c r="W79" s="103">
        <f t="shared" si="44"/>
        <v>1.6361713379164462</v>
      </c>
      <c r="X79" s="7">
        <f t="shared" si="45"/>
        <v>2.2622950819672125</v>
      </c>
      <c r="Y79" s="7">
        <f t="shared" si="46"/>
        <v>1.3826761473820295</v>
      </c>
    </row>
    <row r="80" spans="1:38" x14ac:dyDescent="0.25">
      <c r="A80" s="101" t="s">
        <v>131</v>
      </c>
      <c r="B80" s="114">
        <v>5361930.2949061664</v>
      </c>
      <c r="C80" s="115">
        <v>3169572.107765452</v>
      </c>
      <c r="D80" s="116">
        <v>1722504.5215743689</v>
      </c>
      <c r="E80" s="103">
        <f t="shared" si="38"/>
        <v>1.6916890080428952</v>
      </c>
      <c r="F80" s="7">
        <f t="shared" si="39"/>
        <v>3.1128686327077753</v>
      </c>
      <c r="G80" s="7">
        <f t="shared" si="40"/>
        <v>1.8400950871632333</v>
      </c>
      <c r="J80" s="101" t="s">
        <v>131</v>
      </c>
      <c r="K80" s="114">
        <v>5305039.7877984084</v>
      </c>
      <c r="L80" s="115">
        <v>3200512.0819331096</v>
      </c>
      <c r="M80" s="116">
        <v>1912411.5509657678</v>
      </c>
      <c r="N80" s="103">
        <f t="shared" si="41"/>
        <v>1.6575596816976126</v>
      </c>
      <c r="O80" s="7">
        <f t="shared" si="42"/>
        <v>2.7740053050397879</v>
      </c>
      <c r="P80" s="7">
        <f t="shared" si="43"/>
        <v>1.673547767642823</v>
      </c>
      <c r="S80" s="101" t="s">
        <v>131</v>
      </c>
      <c r="T80" s="114">
        <v>5305039.7877984084</v>
      </c>
      <c r="U80" s="115">
        <v>3204101.2495994875</v>
      </c>
      <c r="V80" s="116">
        <v>2297794.1176470588</v>
      </c>
      <c r="W80" s="103">
        <f t="shared" si="44"/>
        <v>1.6557029177718832</v>
      </c>
      <c r="X80" s="7">
        <f t="shared" si="45"/>
        <v>2.3087533156498674</v>
      </c>
      <c r="Y80" s="7">
        <f t="shared" si="46"/>
        <v>1.3944248638256971</v>
      </c>
    </row>
    <row r="81" spans="1:25" x14ac:dyDescent="0.25">
      <c r="A81" s="101" t="s">
        <v>133</v>
      </c>
      <c r="B81" s="114">
        <v>5422993.492407809</v>
      </c>
      <c r="C81" s="115">
        <v>3136107.0457871626</v>
      </c>
      <c r="D81" s="116">
        <v>1689474.57340767</v>
      </c>
      <c r="E81" s="103">
        <f t="shared" si="38"/>
        <v>1.7292118582791034</v>
      </c>
      <c r="F81" s="7">
        <f t="shared" si="39"/>
        <v>3.2098698481561825</v>
      </c>
      <c r="G81" s="7">
        <f t="shared" si="40"/>
        <v>1.8562617604014218</v>
      </c>
      <c r="J81" s="101" t="s">
        <v>133</v>
      </c>
      <c r="K81" s="114">
        <v>5347593.5828876998</v>
      </c>
      <c r="L81" s="115">
        <v>3231365.7906074966</v>
      </c>
      <c r="M81" s="116">
        <v>1916075.8766047135</v>
      </c>
      <c r="N81" s="103">
        <f t="shared" si="41"/>
        <v>1.6549019607843136</v>
      </c>
      <c r="O81" s="7">
        <f t="shared" si="42"/>
        <v>2.7909090909090906</v>
      </c>
      <c r="P81" s="7">
        <f t="shared" si="43"/>
        <v>1.6864498061180526</v>
      </c>
      <c r="S81" s="101" t="s">
        <v>133</v>
      </c>
      <c r="T81" s="114">
        <v>5335230.304108127</v>
      </c>
      <c r="U81" s="115">
        <v>3229626.4398751212</v>
      </c>
      <c r="V81" s="116">
        <v>2258525.9354061582</v>
      </c>
      <c r="W81" s="103">
        <f t="shared" si="44"/>
        <v>1.651965143162013</v>
      </c>
      <c r="X81" s="7">
        <f t="shared" si="45"/>
        <v>2.3622621376489419</v>
      </c>
      <c r="Y81" s="7">
        <f t="shared" si="46"/>
        <v>1.4299709333620412</v>
      </c>
    </row>
    <row r="82" spans="1:25" x14ac:dyDescent="0.25">
      <c r="A82" s="101" t="s">
        <v>132</v>
      </c>
      <c r="B82" s="114">
        <v>5388656.8772733398</v>
      </c>
      <c r="C82" s="115">
        <v>3085229.4639413808</v>
      </c>
      <c r="D82" s="116">
        <v>1670146.1377870564</v>
      </c>
      <c r="E82" s="103">
        <f t="shared" si="38"/>
        <v>1.7465984103462211</v>
      </c>
      <c r="F82" s="7">
        <f t="shared" si="39"/>
        <v>3.2264583052674123</v>
      </c>
      <c r="G82" s="7">
        <f t="shared" si="40"/>
        <v>1.8472811415349017</v>
      </c>
      <c r="J82" s="101" t="s">
        <v>132</v>
      </c>
      <c r="K82" s="114">
        <v>5330490.4051172715</v>
      </c>
      <c r="L82" s="115">
        <v>3224766.2044501775</v>
      </c>
      <c r="M82" s="116">
        <v>1918741.3057034584</v>
      </c>
      <c r="N82" s="103">
        <f t="shared" si="41"/>
        <v>1.6529850746268657</v>
      </c>
      <c r="O82" s="7">
        <f t="shared" si="42"/>
        <v>2.7781183368869944</v>
      </c>
      <c r="P82" s="7">
        <f t="shared" si="43"/>
        <v>1.6806675266043214</v>
      </c>
      <c r="S82" s="101" t="s">
        <v>132</v>
      </c>
      <c r="T82" s="114">
        <v>5293105.729786952</v>
      </c>
      <c r="U82" s="115">
        <v>3231539.828728389</v>
      </c>
      <c r="V82" s="116">
        <v>2245046.8653533142</v>
      </c>
      <c r="W82" s="103">
        <f t="shared" si="44"/>
        <v>1.6379515680825723</v>
      </c>
      <c r="X82" s="7">
        <f t="shared" si="45"/>
        <v>2.3576816196903532</v>
      </c>
      <c r="Y82" s="7">
        <f t="shared" si="46"/>
        <v>1.4394086282113427</v>
      </c>
    </row>
    <row r="85" spans="1:25" ht="18.75" x14ac:dyDescent="0.3">
      <c r="A85" s="6"/>
      <c r="B85" s="186" t="s">
        <v>218</v>
      </c>
      <c r="C85" s="187"/>
      <c r="D85" s="188"/>
      <c r="E85" s="132" t="s">
        <v>220</v>
      </c>
      <c r="F85" s="132"/>
      <c r="G85" s="132"/>
      <c r="I85" s="161"/>
      <c r="J85" s="161"/>
      <c r="K85" s="161"/>
    </row>
    <row r="86" spans="1:25" ht="15.75" x14ac:dyDescent="0.25">
      <c r="B86" s="12" t="s">
        <v>205</v>
      </c>
      <c r="C86" s="12" t="s">
        <v>206</v>
      </c>
      <c r="D86" s="12" t="s">
        <v>114</v>
      </c>
      <c r="E86" s="12" t="s">
        <v>215</v>
      </c>
      <c r="F86" s="111" t="s">
        <v>216</v>
      </c>
      <c r="G86" s="111" t="s">
        <v>217</v>
      </c>
      <c r="H86" t="s">
        <v>223</v>
      </c>
      <c r="I86" s="109"/>
      <c r="J86" s="41"/>
      <c r="K86" s="41"/>
    </row>
    <row r="87" spans="1:25" x14ac:dyDescent="0.25">
      <c r="A87" s="101" t="s">
        <v>134</v>
      </c>
      <c r="B87" s="114">
        <v>6844626.9678302528</v>
      </c>
      <c r="C87" s="115">
        <v>3549875.7543485975</v>
      </c>
      <c r="D87" s="116">
        <v>3436426.1168384878</v>
      </c>
      <c r="E87" s="103">
        <f>B87/C87</f>
        <v>1.9281314168377823</v>
      </c>
      <c r="F87" s="7">
        <f>B87/D87</f>
        <v>1.9917864476386036</v>
      </c>
      <c r="G87" s="7">
        <f>C87/D87</f>
        <v>1.033013844515442</v>
      </c>
      <c r="H87">
        <f>AVERAGE(E87:E98)</f>
        <v>1.811751445882096</v>
      </c>
      <c r="I87" s="41"/>
      <c r="J87" s="41"/>
      <c r="K87" s="41"/>
    </row>
    <row r="88" spans="1:25" x14ac:dyDescent="0.25">
      <c r="A88" s="101" t="s">
        <v>135</v>
      </c>
      <c r="B88" s="114">
        <v>6942034.015966679</v>
      </c>
      <c r="C88" s="115">
        <v>3534817.9568752209</v>
      </c>
      <c r="D88" s="116">
        <v>3249918.7520311992</v>
      </c>
      <c r="E88" s="103">
        <f t="shared" ref="E88:E98" si="47">B88/C88</f>
        <v>1.9639014231169736</v>
      </c>
      <c r="F88" s="7">
        <f t="shared" ref="F88:F98" si="48">B88/D88</f>
        <v>2.1360638667129472</v>
      </c>
      <c r="G88" s="7">
        <f t="shared" ref="G88:G98" si="49">C88/D88</f>
        <v>1.0876634853305054</v>
      </c>
      <c r="I88" s="41"/>
      <c r="J88" s="41"/>
      <c r="K88" s="41"/>
    </row>
    <row r="89" spans="1:25" x14ac:dyDescent="0.25">
      <c r="A89" s="101" t="s">
        <v>136</v>
      </c>
      <c r="B89" s="114">
        <v>6952491.3093858622</v>
      </c>
      <c r="C89" s="115">
        <v>3525678.6931484309</v>
      </c>
      <c r="D89" s="116">
        <v>3077238.6911478098</v>
      </c>
      <c r="E89" s="103">
        <f t="shared" si="47"/>
        <v>1.9719582850521435</v>
      </c>
      <c r="F89" s="7">
        <f t="shared" si="48"/>
        <v>2.2593279258400925</v>
      </c>
      <c r="G89" s="7">
        <f t="shared" si="49"/>
        <v>1.1457280526501352</v>
      </c>
      <c r="H89" t="s">
        <v>224</v>
      </c>
      <c r="I89" s="41"/>
      <c r="J89" s="41"/>
      <c r="K89" s="41"/>
    </row>
    <row r="90" spans="1:25" x14ac:dyDescent="0.25">
      <c r="A90" s="101" t="s">
        <v>137</v>
      </c>
      <c r="B90" s="114">
        <v>6942034.015966679</v>
      </c>
      <c r="C90" s="115">
        <v>3578137.5793899274</v>
      </c>
      <c r="D90" s="116">
        <v>3022746.1648908034</v>
      </c>
      <c r="E90" s="103">
        <f t="shared" si="47"/>
        <v>1.9401249566122876</v>
      </c>
      <c r="F90" s="7">
        <f t="shared" si="48"/>
        <v>2.2965984033321765</v>
      </c>
      <c r="G90" s="7">
        <f t="shared" si="49"/>
        <v>1.1837373647016727</v>
      </c>
      <c r="H90">
        <f>AVERAGE(F87:F98)</f>
        <v>2.0475167995155545</v>
      </c>
      <c r="I90" s="41"/>
      <c r="J90" s="41"/>
      <c r="K90" s="41"/>
    </row>
    <row r="91" spans="1:25" x14ac:dyDescent="0.25">
      <c r="A91" s="101" t="s">
        <v>138</v>
      </c>
      <c r="B91" s="114">
        <v>6188118.8118811874</v>
      </c>
      <c r="C91" s="115">
        <v>3342245.9893048126</v>
      </c>
      <c r="D91" s="116">
        <v>3076923.076923077</v>
      </c>
      <c r="E91" s="103">
        <f t="shared" si="47"/>
        <v>1.8514851485148514</v>
      </c>
      <c r="F91" s="7">
        <f t="shared" si="48"/>
        <v>2.011138613861386</v>
      </c>
      <c r="G91" s="7">
        <f t="shared" si="49"/>
        <v>1.0862299465240641</v>
      </c>
      <c r="I91" s="41"/>
      <c r="J91" s="41"/>
      <c r="K91" s="41"/>
    </row>
    <row r="92" spans="1:25" x14ac:dyDescent="0.25">
      <c r="A92" s="101" t="s">
        <v>139</v>
      </c>
      <c r="B92" s="114">
        <v>5834305.7176196035</v>
      </c>
      <c r="C92" s="115">
        <v>3320604.3499916987</v>
      </c>
      <c r="D92" s="116">
        <v>2964280.4209278198</v>
      </c>
      <c r="E92" s="103">
        <f t="shared" si="47"/>
        <v>1.7570011668611434</v>
      </c>
      <c r="F92" s="7">
        <f t="shared" si="48"/>
        <v>1.9682030338389733</v>
      </c>
      <c r="G92" s="7">
        <f t="shared" si="49"/>
        <v>1.1202058774696995</v>
      </c>
      <c r="H92" t="s">
        <v>225</v>
      </c>
      <c r="I92" s="41"/>
      <c r="J92" s="41"/>
      <c r="K92" s="41"/>
    </row>
    <row r="93" spans="1:25" x14ac:dyDescent="0.25">
      <c r="A93" s="101" t="s">
        <v>140</v>
      </c>
      <c r="B93" s="114">
        <v>6220194.8994401824</v>
      </c>
      <c r="C93" s="115">
        <v>3342618.3844011142</v>
      </c>
      <c r="D93" s="116">
        <v>2806623.6317709796</v>
      </c>
      <c r="E93" s="103">
        <f t="shared" si="47"/>
        <v>1.8608749740825212</v>
      </c>
      <c r="F93" s="7">
        <f t="shared" si="48"/>
        <v>2.216255442670537</v>
      </c>
      <c r="G93" s="7">
        <f t="shared" si="49"/>
        <v>1.1909749303621169</v>
      </c>
      <c r="H93">
        <f>AVERAGE(G87:G98)</f>
        <v>1.1304723571252919</v>
      </c>
      <c r="I93" s="41"/>
      <c r="J93" s="41"/>
      <c r="K93" s="41"/>
    </row>
    <row r="94" spans="1:25" x14ac:dyDescent="0.25">
      <c r="A94" s="101" t="s">
        <v>141</v>
      </c>
      <c r="B94" s="114">
        <v>6090133.9829476252</v>
      </c>
      <c r="C94" s="115">
        <v>3291639.2363396971</v>
      </c>
      <c r="D94" s="116">
        <v>2774502.323645696</v>
      </c>
      <c r="E94" s="103">
        <f t="shared" si="47"/>
        <v>1.8501827040194885</v>
      </c>
      <c r="F94" s="7">
        <f t="shared" si="48"/>
        <v>2.1950365408038977</v>
      </c>
      <c r="G94" s="7">
        <f t="shared" si="49"/>
        <v>1.1863890717577354</v>
      </c>
      <c r="I94" s="41"/>
      <c r="J94" s="41"/>
      <c r="K94" s="41"/>
    </row>
    <row r="95" spans="1:25" x14ac:dyDescent="0.25">
      <c r="A95" s="101" t="s">
        <v>130</v>
      </c>
      <c r="B95" s="114">
        <v>5353319.0578158451</v>
      </c>
      <c r="C95" s="115">
        <v>3219575.0160978753</v>
      </c>
      <c r="D95" s="116">
        <v>3006614.5520144319</v>
      </c>
      <c r="E95" s="103">
        <f t="shared" si="47"/>
        <v>1.6627408993576014</v>
      </c>
      <c r="F95" s="7">
        <f t="shared" si="48"/>
        <v>1.78051391862955</v>
      </c>
      <c r="G95" s="7">
        <f t="shared" si="49"/>
        <v>1.0708306503541534</v>
      </c>
      <c r="I95" s="41"/>
      <c r="J95" s="41"/>
      <c r="K95" s="41"/>
    </row>
    <row r="96" spans="1:25" x14ac:dyDescent="0.25">
      <c r="A96" s="101" t="s">
        <v>131</v>
      </c>
      <c r="B96" s="114">
        <v>5291005.291005291</v>
      </c>
      <c r="C96" s="115">
        <v>3192848.0204342273</v>
      </c>
      <c r="D96" s="116">
        <v>2867794.6659019212</v>
      </c>
      <c r="E96" s="103">
        <f t="shared" si="47"/>
        <v>1.6571428571428573</v>
      </c>
      <c r="F96" s="7">
        <f t="shared" si="48"/>
        <v>1.8449735449735452</v>
      </c>
      <c r="G96" s="7">
        <f t="shared" si="49"/>
        <v>1.1133461047254152</v>
      </c>
      <c r="I96" s="41"/>
      <c r="J96" s="41"/>
      <c r="K96" s="41"/>
    </row>
    <row r="97" spans="1:24" x14ac:dyDescent="0.25">
      <c r="A97" s="101" t="s">
        <v>133</v>
      </c>
      <c r="B97" s="114">
        <v>5325758.9206461925</v>
      </c>
      <c r="C97" s="115">
        <v>3214056.1388472253</v>
      </c>
      <c r="D97" s="116">
        <v>2764722.1454243846</v>
      </c>
      <c r="E97" s="103">
        <f t="shared" si="47"/>
        <v>1.6570211255103853</v>
      </c>
      <c r="F97" s="7">
        <f t="shared" si="48"/>
        <v>1.9263270015977281</v>
      </c>
      <c r="G97" s="7">
        <f t="shared" si="49"/>
        <v>1.1625241054210416</v>
      </c>
      <c r="I97" s="41"/>
      <c r="J97" s="41"/>
      <c r="K97" s="41"/>
    </row>
    <row r="98" spans="1:24" x14ac:dyDescent="0.25">
      <c r="A98" s="101" t="s">
        <v>132</v>
      </c>
      <c r="B98" s="114">
        <v>5260389.2688058913</v>
      </c>
      <c r="C98" s="115">
        <v>3206669.8733365401</v>
      </c>
      <c r="D98" s="116">
        <v>2705993.7762143146</v>
      </c>
      <c r="E98" s="103">
        <f t="shared" si="47"/>
        <v>1.6404523934771171</v>
      </c>
      <c r="F98" s="7">
        <f t="shared" si="48"/>
        <v>1.9439768542872171</v>
      </c>
      <c r="G98" s="7">
        <f t="shared" si="49"/>
        <v>1.1850248516915185</v>
      </c>
      <c r="I98" s="41"/>
      <c r="J98" s="41"/>
      <c r="K98" s="41"/>
    </row>
    <row r="99" spans="1:24" x14ac:dyDescent="0.25">
      <c r="T99" s="41"/>
      <c r="U99" s="41"/>
    </row>
    <row r="100" spans="1:24" ht="18.75" x14ac:dyDescent="0.3">
      <c r="T100" s="41"/>
      <c r="U100" s="127" t="s">
        <v>268</v>
      </c>
    </row>
    <row r="101" spans="1:24" ht="18.75" x14ac:dyDescent="0.3">
      <c r="A101" s="142" t="s">
        <v>169</v>
      </c>
      <c r="B101" s="143"/>
      <c r="C101" s="143"/>
      <c r="D101" s="143"/>
      <c r="E101" s="144"/>
      <c r="G101" s="142" t="s">
        <v>190</v>
      </c>
      <c r="H101" s="143"/>
      <c r="I101" s="143"/>
      <c r="J101" s="143"/>
      <c r="K101" s="144"/>
      <c r="M101" s="142" t="s">
        <v>191</v>
      </c>
      <c r="N101" s="143"/>
      <c r="O101" s="143"/>
      <c r="P101" s="143"/>
      <c r="Q101" s="144"/>
      <c r="T101" s="41"/>
      <c r="U101" s="41"/>
      <c r="V101" s="195" t="s">
        <v>206</v>
      </c>
    </row>
    <row r="102" spans="1:24" x14ac:dyDescent="0.25">
      <c r="A102" s="6"/>
      <c r="B102" s="112" t="s">
        <v>134</v>
      </c>
      <c r="C102" s="112" t="s">
        <v>135</v>
      </c>
      <c r="D102" s="112" t="s">
        <v>136</v>
      </c>
      <c r="E102" s="112" t="s">
        <v>137</v>
      </c>
      <c r="G102" s="6"/>
      <c r="H102" s="112" t="s">
        <v>134</v>
      </c>
      <c r="I102" s="112" t="s">
        <v>135</v>
      </c>
      <c r="J102" s="112" t="s">
        <v>136</v>
      </c>
      <c r="K102" s="112" t="s">
        <v>137</v>
      </c>
      <c r="M102" s="6"/>
      <c r="N102" s="112" t="s">
        <v>134</v>
      </c>
      <c r="O102" s="112" t="s">
        <v>135</v>
      </c>
      <c r="P102" s="112" t="s">
        <v>136</v>
      </c>
      <c r="Q102" s="112" t="s">
        <v>137</v>
      </c>
      <c r="T102" s="41"/>
      <c r="U102" s="198" t="s">
        <v>249</v>
      </c>
      <c r="V102" s="113" t="s">
        <v>237</v>
      </c>
      <c r="W102" s="113" t="s">
        <v>250</v>
      </c>
      <c r="X102" s="113" t="s">
        <v>237</v>
      </c>
    </row>
    <row r="103" spans="1:24" x14ac:dyDescent="0.25">
      <c r="A103" s="112" t="s">
        <v>66</v>
      </c>
      <c r="B103" s="117">
        <v>1.43E-7</v>
      </c>
      <c r="C103" s="117">
        <v>1.4185000000000002E-7</v>
      </c>
      <c r="D103" s="117">
        <v>1.416E-7</v>
      </c>
      <c r="E103" s="117">
        <v>1.4177500000000001E-7</v>
      </c>
      <c r="G103" s="112" t="s">
        <v>66</v>
      </c>
      <c r="H103" s="6">
        <v>2.7650000000000002E-7</v>
      </c>
      <c r="I103" s="6">
        <v>2.8294999999999998E-7</v>
      </c>
      <c r="J103" s="6">
        <v>2.9333333333333337E-7</v>
      </c>
      <c r="K103" s="6">
        <v>2.93075E-7</v>
      </c>
      <c r="M103" s="112" t="s">
        <v>66</v>
      </c>
      <c r="N103" s="6">
        <v>5.2800000000000007E-7</v>
      </c>
      <c r="O103" s="6">
        <v>5.4229999999999998E-7</v>
      </c>
      <c r="P103" s="6">
        <v>5.5076666666666668E-7</v>
      </c>
      <c r="Q103" s="6">
        <v>5.5914999999999997E-7</v>
      </c>
      <c r="T103" s="111" t="s">
        <v>66</v>
      </c>
      <c r="U103" s="198">
        <v>3.24125E-7</v>
      </c>
      <c r="V103" s="6" t="s">
        <v>252</v>
      </c>
      <c r="W103" s="6">
        <v>2.7650000000000002E-7</v>
      </c>
      <c r="X103" s="6" t="s">
        <v>264</v>
      </c>
    </row>
    <row r="104" spans="1:24" x14ac:dyDescent="0.25">
      <c r="A104" s="112" t="s">
        <v>67</v>
      </c>
      <c r="B104" s="6">
        <v>1.4670000000000001E-7</v>
      </c>
      <c r="C104" s="6">
        <v>1.4574999999999999E-7</v>
      </c>
      <c r="D104" s="6">
        <v>1.4653333333333332E-7</v>
      </c>
      <c r="E104" s="6">
        <v>1.4585E-7</v>
      </c>
      <c r="G104" s="112" t="s">
        <v>67</v>
      </c>
      <c r="H104" s="6">
        <v>2.7930000000000002E-7</v>
      </c>
      <c r="I104" s="6">
        <v>2.8130000000000001E-7</v>
      </c>
      <c r="J104" s="6">
        <v>2.7883333333333334E-7</v>
      </c>
      <c r="K104" s="6">
        <v>2.7892499999999999E-7</v>
      </c>
      <c r="M104" s="112" t="s">
        <v>67</v>
      </c>
      <c r="N104" s="6">
        <v>4.8099999999999993E-7</v>
      </c>
      <c r="O104" s="6">
        <v>4.8085000000000002E-7</v>
      </c>
      <c r="P104" s="6">
        <v>4.8226666666666662E-7</v>
      </c>
      <c r="Q104" s="6">
        <v>4.8210000000000001E-7</v>
      </c>
      <c r="T104" s="111" t="s">
        <v>67</v>
      </c>
      <c r="U104" s="198">
        <v>3.1245000000000002E-7</v>
      </c>
      <c r="V104" s="6" t="s">
        <v>267</v>
      </c>
      <c r="W104" s="6">
        <v>2.7883333329999999E-7</v>
      </c>
      <c r="X104" s="6" t="s">
        <v>256</v>
      </c>
    </row>
    <row r="105" spans="1:24" x14ac:dyDescent="0.25">
      <c r="A105" s="112" t="s">
        <v>68</v>
      </c>
      <c r="B105" s="6">
        <v>1.4639999999999999E-7</v>
      </c>
      <c r="C105" s="6">
        <v>1.4475E-7</v>
      </c>
      <c r="D105" s="6">
        <v>1.4496666666666666E-7</v>
      </c>
      <c r="E105" s="6">
        <v>1.4492499999999998E-7</v>
      </c>
      <c r="G105" s="112" t="s">
        <v>68</v>
      </c>
      <c r="H105" s="6">
        <v>2.7990000000000001E-7</v>
      </c>
      <c r="I105" s="6">
        <v>2.8034999999999999E-7</v>
      </c>
      <c r="J105" s="6">
        <v>2.8126666666666671E-7</v>
      </c>
      <c r="K105" s="6">
        <v>2.7860000000000002E-7</v>
      </c>
      <c r="M105" s="112" t="s">
        <v>68</v>
      </c>
      <c r="N105" s="6">
        <v>3.869E-7</v>
      </c>
      <c r="O105" s="6">
        <v>3.9535E-7</v>
      </c>
      <c r="P105" s="6">
        <v>4.0533333333333336E-7</v>
      </c>
      <c r="Q105" s="6">
        <v>4.0632499999999998E-7</v>
      </c>
      <c r="T105" s="111" t="s">
        <v>68</v>
      </c>
      <c r="U105" s="198">
        <v>3.121E-7</v>
      </c>
      <c r="V105" s="6" t="s">
        <v>267</v>
      </c>
      <c r="W105" s="6">
        <v>2.7860000000000002E-7</v>
      </c>
      <c r="X105" s="6" t="s">
        <v>251</v>
      </c>
    </row>
    <row r="106" spans="1:24" x14ac:dyDescent="0.25">
      <c r="A106" s="112" t="s">
        <v>69</v>
      </c>
      <c r="B106" s="6">
        <v>1.4610000000000002E-7</v>
      </c>
      <c r="C106" s="6">
        <v>1.4405E-7</v>
      </c>
      <c r="D106" s="6">
        <v>1.4383333333333336E-7</v>
      </c>
      <c r="E106" s="6">
        <v>1.4405E-7</v>
      </c>
      <c r="G106" s="112" t="s">
        <v>69</v>
      </c>
      <c r="H106" s="6">
        <v>2.8170000000000004E-7</v>
      </c>
      <c r="I106" s="6">
        <v>2.8290000000000003E-7</v>
      </c>
      <c r="J106" s="6">
        <v>2.8363333333333333E-7</v>
      </c>
      <c r="K106" s="6">
        <v>2.7947500000000003E-7</v>
      </c>
      <c r="M106" s="112" t="s">
        <v>69</v>
      </c>
      <c r="N106" s="6">
        <v>2.91E-7</v>
      </c>
      <c r="O106" s="6">
        <v>3.0769999999999998E-7</v>
      </c>
      <c r="P106" s="6">
        <v>3.2496666666666671E-7</v>
      </c>
      <c r="Q106" s="6">
        <v>3.3082500000000003E-7</v>
      </c>
      <c r="T106" s="111" t="s">
        <v>69</v>
      </c>
      <c r="U106" s="198">
        <v>3.1320000000000003E-7</v>
      </c>
      <c r="V106" s="6" t="s">
        <v>267</v>
      </c>
      <c r="W106" s="6">
        <v>2.7947499999999998E-7</v>
      </c>
      <c r="X106" s="6" t="s">
        <v>251</v>
      </c>
    </row>
    <row r="107" spans="1:24" x14ac:dyDescent="0.25">
      <c r="A107" s="112"/>
      <c r="B107" s="113" t="s">
        <v>138</v>
      </c>
      <c r="C107" s="113" t="s">
        <v>139</v>
      </c>
      <c r="D107" s="113" t="s">
        <v>140</v>
      </c>
      <c r="E107" s="113" t="s">
        <v>141</v>
      </c>
      <c r="G107" s="112"/>
      <c r="H107" s="113" t="s">
        <v>138</v>
      </c>
      <c r="I107" s="113" t="s">
        <v>139</v>
      </c>
      <c r="J107" s="113" t="s">
        <v>140</v>
      </c>
      <c r="K107" s="113" t="s">
        <v>141</v>
      </c>
      <c r="M107" s="112"/>
      <c r="N107" s="113" t="s">
        <v>138</v>
      </c>
      <c r="O107" s="113" t="s">
        <v>139</v>
      </c>
      <c r="P107" s="113" t="s">
        <v>140</v>
      </c>
      <c r="Q107" s="113" t="s">
        <v>141</v>
      </c>
      <c r="T107" s="41"/>
      <c r="U107" s="41"/>
    </row>
    <row r="108" spans="1:24" ht="15.75" x14ac:dyDescent="0.25">
      <c r="A108" s="112" t="s">
        <v>66</v>
      </c>
      <c r="B108" s="6">
        <v>1.5980000000000001E-7</v>
      </c>
      <c r="C108" s="6">
        <v>1.5949999999999999E-7</v>
      </c>
      <c r="D108" s="6">
        <v>1.5933333333333333E-7</v>
      </c>
      <c r="E108" s="6">
        <v>1.59925E-7</v>
      </c>
      <c r="G108" s="112" t="s">
        <v>66</v>
      </c>
      <c r="H108" s="6">
        <v>2.938E-7</v>
      </c>
      <c r="I108" s="6">
        <v>3.03E-7</v>
      </c>
      <c r="J108" s="6">
        <v>3.0633333333333334E-7</v>
      </c>
      <c r="K108" s="6">
        <v>3.1767500000000004E-7</v>
      </c>
      <c r="M108" s="112" t="s">
        <v>66</v>
      </c>
      <c r="N108" s="6">
        <v>5.6039999999999996E-7</v>
      </c>
      <c r="O108" s="6">
        <v>5.7030000000000007E-7</v>
      </c>
      <c r="P108" s="6">
        <v>5.8086666666666661E-7</v>
      </c>
      <c r="Q108" s="6">
        <v>5.8765E-7</v>
      </c>
      <c r="T108" s="41"/>
      <c r="U108" s="41"/>
      <c r="V108" s="195" t="s">
        <v>114</v>
      </c>
    </row>
    <row r="109" spans="1:24" x14ac:dyDescent="0.25">
      <c r="A109" s="112" t="s">
        <v>67</v>
      </c>
      <c r="B109" s="6">
        <v>1.6299999999999999E-7</v>
      </c>
      <c r="C109" s="6">
        <v>1.6250000000000001E-7</v>
      </c>
      <c r="D109" s="6">
        <v>1.6423333333333333E-7</v>
      </c>
      <c r="E109" s="6">
        <v>1.6407499999999999E-7</v>
      </c>
      <c r="G109" s="112" t="s">
        <v>67</v>
      </c>
      <c r="H109" s="6">
        <v>2.973E-7</v>
      </c>
      <c r="I109" s="6">
        <v>2.9849999999999998E-7</v>
      </c>
      <c r="J109" s="6">
        <v>2.9803333333333335E-7</v>
      </c>
      <c r="K109" s="6">
        <v>3.0030000000000001E-7</v>
      </c>
      <c r="M109" s="112" t="s">
        <v>67</v>
      </c>
      <c r="N109" s="6">
        <v>5.1399999999999997E-7</v>
      </c>
      <c r="O109" s="6">
        <v>5.06E-7</v>
      </c>
      <c r="P109" s="6">
        <v>5.0989999999999998E-7</v>
      </c>
      <c r="Q109" s="6">
        <v>5.0997500000000004E-7</v>
      </c>
      <c r="T109" s="41"/>
      <c r="U109" s="198" t="s">
        <v>249</v>
      </c>
      <c r="V109" s="113" t="s">
        <v>237</v>
      </c>
      <c r="W109" s="113" t="s">
        <v>250</v>
      </c>
      <c r="X109" s="113" t="s">
        <v>237</v>
      </c>
    </row>
    <row r="110" spans="1:24" x14ac:dyDescent="0.25">
      <c r="A110" s="112" t="s">
        <v>68</v>
      </c>
      <c r="B110" s="6">
        <v>1.617E-7</v>
      </c>
      <c r="C110" s="6">
        <v>1.7179999999999999E-7</v>
      </c>
      <c r="D110" s="6">
        <v>1.621E-7</v>
      </c>
      <c r="E110" s="6">
        <v>1.6392500000000001E-7</v>
      </c>
      <c r="G110" s="112" t="s">
        <v>68</v>
      </c>
      <c r="H110" s="6">
        <v>2.9820000000000001E-7</v>
      </c>
      <c r="I110" s="6">
        <v>2.9975000000000002E-7</v>
      </c>
      <c r="J110" s="6">
        <v>2.988E-7</v>
      </c>
      <c r="K110" s="6">
        <v>3.02975E-7</v>
      </c>
      <c r="M110" s="112" t="s">
        <v>68</v>
      </c>
      <c r="N110" s="6">
        <v>4.1900000000000003E-7</v>
      </c>
      <c r="O110" s="6">
        <v>4.242E-7</v>
      </c>
      <c r="P110" s="6">
        <v>4.3796666666666662E-7</v>
      </c>
      <c r="Q110" s="6">
        <v>4.34825E-7</v>
      </c>
      <c r="T110" s="111" t="s">
        <v>66</v>
      </c>
      <c r="U110" s="198">
        <v>5.9874999999999998E-7</v>
      </c>
      <c r="V110" s="6" t="s">
        <v>252</v>
      </c>
      <c r="W110" s="6">
        <v>5.2799999999999996E-7</v>
      </c>
      <c r="X110" s="6" t="s">
        <v>264</v>
      </c>
    </row>
    <row r="111" spans="1:24" x14ac:dyDescent="0.25">
      <c r="A111" s="112" t="s">
        <v>69</v>
      </c>
      <c r="B111" s="6">
        <v>1.6160000000000002E-7</v>
      </c>
      <c r="C111" s="6">
        <v>1.7139999999999999E-7</v>
      </c>
      <c r="D111" s="6">
        <v>1.6076666666666668E-7</v>
      </c>
      <c r="E111" s="6">
        <v>1.642E-7</v>
      </c>
      <c r="G111" s="112" t="s">
        <v>69</v>
      </c>
      <c r="H111" s="6">
        <v>2.9919999999999998E-7</v>
      </c>
      <c r="I111" s="6">
        <v>3.0114999999999997E-7</v>
      </c>
      <c r="J111" s="6">
        <v>2.9916666666666668E-7</v>
      </c>
      <c r="K111" s="6">
        <v>3.0380000000000001E-7</v>
      </c>
      <c r="M111" s="112" t="s">
        <v>69</v>
      </c>
      <c r="N111" s="6">
        <v>3.2500000000000001E-7</v>
      </c>
      <c r="O111" s="6">
        <v>3.3734999999999999E-7</v>
      </c>
      <c r="P111" s="6">
        <v>3.5629999999999998E-7</v>
      </c>
      <c r="Q111" s="6">
        <v>3.6042499999999997E-7</v>
      </c>
      <c r="T111" s="111" t="s">
        <v>67</v>
      </c>
      <c r="U111" s="198">
        <v>5.229E-7</v>
      </c>
      <c r="V111" s="6" t="s">
        <v>267</v>
      </c>
      <c r="W111" s="6">
        <v>4.8085000000000002E-7</v>
      </c>
      <c r="X111" s="6" t="s">
        <v>257</v>
      </c>
    </row>
    <row r="112" spans="1:24" x14ac:dyDescent="0.25">
      <c r="A112" s="112"/>
      <c r="B112" s="113" t="s">
        <v>130</v>
      </c>
      <c r="C112" s="113" t="s">
        <v>131</v>
      </c>
      <c r="D112" s="113" t="s">
        <v>133</v>
      </c>
      <c r="E112" s="113" t="s">
        <v>132</v>
      </c>
      <c r="G112" s="112"/>
      <c r="H112" s="113" t="s">
        <v>130</v>
      </c>
      <c r="I112" s="113" t="s">
        <v>131</v>
      </c>
      <c r="J112" s="113" t="s">
        <v>133</v>
      </c>
      <c r="K112" s="113" t="s">
        <v>132</v>
      </c>
      <c r="M112" s="112"/>
      <c r="N112" s="113" t="s">
        <v>130</v>
      </c>
      <c r="O112" s="113" t="s">
        <v>131</v>
      </c>
      <c r="P112" s="113" t="s">
        <v>133</v>
      </c>
      <c r="Q112" s="113" t="s">
        <v>132</v>
      </c>
      <c r="T112" s="111" t="s">
        <v>68</v>
      </c>
      <c r="U112" s="6">
        <v>4.4542500000000001E-7</v>
      </c>
      <c r="V112" s="6" t="s">
        <v>252</v>
      </c>
      <c r="W112" s="6">
        <v>3.869E-7</v>
      </c>
      <c r="X112" s="6" t="s">
        <v>264</v>
      </c>
    </row>
    <row r="113" spans="1:26" x14ac:dyDescent="0.25">
      <c r="A113" s="112" t="s">
        <v>66</v>
      </c>
      <c r="B113" s="6">
        <v>1.843E-7</v>
      </c>
      <c r="C113" s="6">
        <v>1.8650000000000001E-7</v>
      </c>
      <c r="D113" s="6">
        <v>1.8440000000000001E-7</v>
      </c>
      <c r="E113" s="6">
        <v>1.8557499999999999E-7</v>
      </c>
      <c r="G113" s="112" t="s">
        <v>66</v>
      </c>
      <c r="H113" s="6">
        <v>3.072E-7</v>
      </c>
      <c r="I113" s="6">
        <v>3.1549999999999999E-7</v>
      </c>
      <c r="J113" s="6">
        <v>3.1886666666666668E-7</v>
      </c>
      <c r="K113" s="6">
        <v>3.24125E-7</v>
      </c>
      <c r="M113" s="112" t="s">
        <v>66</v>
      </c>
      <c r="N113" s="6">
        <v>5.6849999999999994E-7</v>
      </c>
      <c r="O113" s="6">
        <v>5.8054999999999999E-7</v>
      </c>
      <c r="P113" s="6">
        <v>5.919E-7</v>
      </c>
      <c r="Q113" s="6">
        <v>5.9874999999999998E-7</v>
      </c>
      <c r="T113" s="111" t="s">
        <v>69</v>
      </c>
      <c r="U113" s="6">
        <v>3.6955000000000002E-7</v>
      </c>
      <c r="V113" s="6" t="s">
        <v>252</v>
      </c>
      <c r="W113" s="6">
        <v>2.91E-7</v>
      </c>
      <c r="X113" s="6" t="s">
        <v>264</v>
      </c>
    </row>
    <row r="114" spans="1:26" x14ac:dyDescent="0.25">
      <c r="A114" s="112" t="s">
        <v>67</v>
      </c>
      <c r="B114" s="6">
        <v>1.8650000000000001E-7</v>
      </c>
      <c r="C114" s="6">
        <v>1.885E-7</v>
      </c>
      <c r="D114" s="6">
        <v>1.8700000000000002E-7</v>
      </c>
      <c r="E114" s="6">
        <v>1.8759999999999999E-7</v>
      </c>
      <c r="G114" s="112" t="s">
        <v>67</v>
      </c>
      <c r="H114" s="6">
        <v>3.094E-7</v>
      </c>
      <c r="I114" s="6">
        <v>3.1244999999999997E-7</v>
      </c>
      <c r="J114" s="6">
        <v>3.0946666666666671E-7</v>
      </c>
      <c r="K114" s="6">
        <v>3.101E-7</v>
      </c>
      <c r="M114" s="112" t="s">
        <v>67</v>
      </c>
      <c r="N114" s="6">
        <v>5.2249999999999997E-7</v>
      </c>
      <c r="O114" s="6">
        <v>5.229E-7</v>
      </c>
      <c r="P114" s="6">
        <v>5.2190000000000003E-7</v>
      </c>
      <c r="Q114" s="6">
        <v>5.2117500000000003E-7</v>
      </c>
    </row>
    <row r="115" spans="1:26" x14ac:dyDescent="0.25">
      <c r="A115" s="112" t="s">
        <v>68</v>
      </c>
      <c r="B115" s="6">
        <v>1.8909999999999999E-7</v>
      </c>
      <c r="C115" s="6">
        <v>1.885E-7</v>
      </c>
      <c r="D115" s="6">
        <v>1.8743333333333335E-7</v>
      </c>
      <c r="E115" s="6">
        <v>1.8892500000000001E-7</v>
      </c>
      <c r="G115" s="112" t="s">
        <v>68</v>
      </c>
      <c r="H115" s="6">
        <v>3.094E-7</v>
      </c>
      <c r="I115" s="6">
        <v>3.121E-7</v>
      </c>
      <c r="J115" s="6">
        <v>3.0963333333333332E-7</v>
      </c>
      <c r="K115" s="6">
        <v>3.0945000000000001E-7</v>
      </c>
      <c r="M115" s="112" t="s">
        <v>68</v>
      </c>
      <c r="N115" s="6">
        <v>4.2779999999999995E-7</v>
      </c>
      <c r="O115" s="6">
        <v>4.3520000000000003E-7</v>
      </c>
      <c r="P115" s="6">
        <v>4.4276666666666667E-7</v>
      </c>
      <c r="Q115" s="6">
        <v>4.4542500000000001E-7</v>
      </c>
    </row>
    <row r="116" spans="1:26" x14ac:dyDescent="0.25">
      <c r="A116" s="112" t="s">
        <v>69</v>
      </c>
      <c r="B116" s="6">
        <v>1.8680000000000001E-7</v>
      </c>
      <c r="C116" s="6">
        <v>1.8899999999999999E-7</v>
      </c>
      <c r="D116" s="6">
        <v>1.8776666666666667E-7</v>
      </c>
      <c r="E116" s="6">
        <v>1.9010000000000001E-7</v>
      </c>
      <c r="G116" s="112" t="s">
        <v>69</v>
      </c>
      <c r="H116" s="6">
        <v>3.1059999999999999E-7</v>
      </c>
      <c r="I116" s="6">
        <v>3.1320000000000003E-7</v>
      </c>
      <c r="J116" s="6">
        <v>3.1113333333333333E-7</v>
      </c>
      <c r="K116" s="6">
        <v>3.1185000000000003E-7</v>
      </c>
      <c r="M116" s="112" t="s">
        <v>69</v>
      </c>
      <c r="N116" s="6">
        <v>3.326E-7</v>
      </c>
      <c r="O116" s="6">
        <v>3.4869999999999999E-7</v>
      </c>
      <c r="P116" s="6">
        <v>3.6170000000000002E-7</v>
      </c>
      <c r="Q116" s="6">
        <v>3.6955000000000002E-7</v>
      </c>
    </row>
    <row r="119" spans="1:26" ht="18.75" x14ac:dyDescent="0.3">
      <c r="A119" s="6"/>
      <c r="B119" s="186" t="s">
        <v>222</v>
      </c>
      <c r="C119" s="187"/>
      <c r="D119" s="188"/>
      <c r="E119" s="132" t="s">
        <v>219</v>
      </c>
      <c r="F119" s="132"/>
      <c r="G119" s="132"/>
      <c r="J119" s="6"/>
      <c r="K119" s="186" t="s">
        <v>222</v>
      </c>
      <c r="L119" s="187"/>
      <c r="M119" s="188"/>
      <c r="N119" s="132" t="s">
        <v>194</v>
      </c>
      <c r="O119" s="132"/>
      <c r="P119" s="132"/>
      <c r="S119" s="6"/>
      <c r="T119" s="186" t="s">
        <v>222</v>
      </c>
      <c r="U119" s="187"/>
      <c r="V119" s="188"/>
      <c r="W119" s="132" t="s">
        <v>221</v>
      </c>
      <c r="X119" s="132"/>
      <c r="Y119" s="132"/>
    </row>
    <row r="120" spans="1:26" ht="15.75" x14ac:dyDescent="0.25">
      <c r="B120" s="12" t="s">
        <v>205</v>
      </c>
      <c r="C120" s="12" t="s">
        <v>206</v>
      </c>
      <c r="D120" s="12" t="s">
        <v>114</v>
      </c>
      <c r="E120" s="12" t="s">
        <v>215</v>
      </c>
      <c r="F120" s="111" t="s">
        <v>216</v>
      </c>
      <c r="G120" s="111" t="s">
        <v>217</v>
      </c>
      <c r="H120" t="s">
        <v>223</v>
      </c>
      <c r="K120" s="12" t="s">
        <v>205</v>
      </c>
      <c r="L120" s="12" t="s">
        <v>206</v>
      </c>
      <c r="M120" s="12" t="s">
        <v>114</v>
      </c>
      <c r="N120" s="12" t="s">
        <v>215</v>
      </c>
      <c r="O120" s="111" t="s">
        <v>216</v>
      </c>
      <c r="P120" s="111" t="s">
        <v>217</v>
      </c>
      <c r="Q120" t="s">
        <v>223</v>
      </c>
      <c r="T120" s="12" t="s">
        <v>205</v>
      </c>
      <c r="U120" s="12" t="s">
        <v>206</v>
      </c>
      <c r="V120" s="12" t="s">
        <v>114</v>
      </c>
      <c r="W120" s="12" t="s">
        <v>215</v>
      </c>
      <c r="X120" s="111" t="s">
        <v>216</v>
      </c>
      <c r="Y120" s="111" t="s">
        <v>217</v>
      </c>
      <c r="Z120" t="s">
        <v>223</v>
      </c>
    </row>
    <row r="121" spans="1:26" x14ac:dyDescent="0.25">
      <c r="A121" s="101" t="s">
        <v>134</v>
      </c>
      <c r="B121" s="118">
        <v>1.43E-7</v>
      </c>
      <c r="C121" s="115">
        <v>2.7650000000000002E-7</v>
      </c>
      <c r="D121" s="116">
        <v>5.2800000000000007E-7</v>
      </c>
      <c r="E121" s="103">
        <f>B121/C121</f>
        <v>0.51717902350813738</v>
      </c>
      <c r="F121" s="7">
        <f>B121/D121</f>
        <v>0.27083333333333331</v>
      </c>
      <c r="G121" s="7">
        <f>C121/D121</f>
        <v>0.52367424242424243</v>
      </c>
      <c r="H121">
        <f>AVERAGE(E121:E132)</f>
        <v>0.53506209583552511</v>
      </c>
      <c r="J121" s="101" t="s">
        <v>134</v>
      </c>
      <c r="K121" s="114">
        <v>1.4670000000000001E-7</v>
      </c>
      <c r="L121" s="115">
        <v>2.7930000000000002E-7</v>
      </c>
      <c r="M121" s="116">
        <v>4.8099999999999993E-7</v>
      </c>
      <c r="N121" s="103">
        <f>K121/L121</f>
        <v>0.52524167561761548</v>
      </c>
      <c r="O121" s="7">
        <f>K121/M121</f>
        <v>0.30498960498960503</v>
      </c>
      <c r="P121" s="7">
        <f>L121/M121</f>
        <v>0.58066528066528078</v>
      </c>
      <c r="Q121">
        <f>AVERAGE(N121:N132)</f>
        <v>0.55809887009205228</v>
      </c>
      <c r="S121" s="101" t="s">
        <v>134</v>
      </c>
      <c r="T121" s="114">
        <v>1.4639999999999999E-7</v>
      </c>
      <c r="U121" s="115">
        <v>2.7990000000000001E-7</v>
      </c>
      <c r="V121" s="116">
        <v>3.869E-7</v>
      </c>
      <c r="W121" s="103">
        <f>T121/U121</f>
        <v>0.52304394426580914</v>
      </c>
      <c r="X121" s="7">
        <f>T121/V121</f>
        <v>0.37839234944430084</v>
      </c>
      <c r="Y121" s="7">
        <f>U121/V121</f>
        <v>0.72344275006461622</v>
      </c>
      <c r="Z121">
        <f>AVERAGE(W121:W132)</f>
        <v>0.55874385756299505</v>
      </c>
    </row>
    <row r="122" spans="1:26" x14ac:dyDescent="0.25">
      <c r="A122" s="101" t="s">
        <v>135</v>
      </c>
      <c r="B122" s="118">
        <v>1.4185000000000002E-7</v>
      </c>
      <c r="C122" s="115">
        <v>2.8294999999999998E-7</v>
      </c>
      <c r="D122" s="116">
        <v>5.4229999999999998E-7</v>
      </c>
      <c r="E122" s="103">
        <f t="shared" ref="E122:E132" si="50">B122/C122</f>
        <v>0.50132532249514061</v>
      </c>
      <c r="F122" s="7">
        <f t="shared" ref="F122:F132" si="51">B122/D122</f>
        <v>0.2615710861146967</v>
      </c>
      <c r="G122" s="7">
        <f t="shared" ref="G122:G132" si="52">C122/D122</f>
        <v>0.52175917388899129</v>
      </c>
      <c r="J122" s="101" t="s">
        <v>135</v>
      </c>
      <c r="K122" s="114">
        <v>1.4574999999999999E-7</v>
      </c>
      <c r="L122" s="115">
        <v>2.8130000000000001E-7</v>
      </c>
      <c r="M122" s="116">
        <v>4.8085000000000002E-7</v>
      </c>
      <c r="N122" s="103">
        <f t="shared" ref="N122:N132" si="53">K122/L122</f>
        <v>0.51813011020263056</v>
      </c>
      <c r="O122" s="7">
        <f t="shared" ref="O122:O132" si="54">K122/M122</f>
        <v>0.3031090776749506</v>
      </c>
      <c r="P122" s="7">
        <f t="shared" ref="P122:P132" si="55">L122/M122</f>
        <v>0.5850057190392014</v>
      </c>
      <c r="S122" s="101" t="s">
        <v>135</v>
      </c>
      <c r="T122" s="114">
        <v>1.4475E-7</v>
      </c>
      <c r="U122" s="115">
        <v>2.8034999999999999E-7</v>
      </c>
      <c r="V122" s="116">
        <v>3.9535E-7</v>
      </c>
      <c r="W122" s="103">
        <f t="shared" ref="W122:W132" si="56">T122/U122</f>
        <v>0.51631888710540397</v>
      </c>
      <c r="X122" s="7">
        <f t="shared" ref="X122:X132" si="57">T122/V122</f>
        <v>0.36613127608448209</v>
      </c>
      <c r="Y122" s="7">
        <f t="shared" ref="Y122:Y132" si="58">U122/V122</f>
        <v>0.70911850259263942</v>
      </c>
    </row>
    <row r="123" spans="1:26" x14ac:dyDescent="0.25">
      <c r="A123" s="101" t="s">
        <v>136</v>
      </c>
      <c r="B123" s="118">
        <v>1.416E-7</v>
      </c>
      <c r="C123" s="115">
        <v>2.9333333333333337E-7</v>
      </c>
      <c r="D123" s="116">
        <v>5.5076666666666668E-7</v>
      </c>
      <c r="E123" s="103">
        <f t="shared" si="50"/>
        <v>0.48272727272727267</v>
      </c>
      <c r="F123" s="7">
        <f t="shared" si="51"/>
        <v>0.25709616897657811</v>
      </c>
      <c r="G123" s="7">
        <f t="shared" si="52"/>
        <v>0.53259093384978518</v>
      </c>
      <c r="H123" t="s">
        <v>224</v>
      </c>
      <c r="J123" s="101" t="s">
        <v>136</v>
      </c>
      <c r="K123" s="114">
        <v>1.4653333333333332E-7</v>
      </c>
      <c r="L123" s="115">
        <v>2.7883333333333334E-7</v>
      </c>
      <c r="M123" s="116">
        <v>4.8226666666666662E-7</v>
      </c>
      <c r="N123" s="103">
        <f t="shared" si="53"/>
        <v>0.52552301255230116</v>
      </c>
      <c r="O123" s="7">
        <f t="shared" si="54"/>
        <v>0.30384296378213993</v>
      </c>
      <c r="P123" s="7">
        <f t="shared" si="55"/>
        <v>0.57817251866187458</v>
      </c>
      <c r="Q123" t="s">
        <v>224</v>
      </c>
      <c r="S123" s="101" t="s">
        <v>136</v>
      </c>
      <c r="T123" s="114">
        <v>1.4496666666666666E-7</v>
      </c>
      <c r="U123" s="115">
        <v>2.8126666666666671E-7</v>
      </c>
      <c r="V123" s="116">
        <v>4.0533333333333336E-7</v>
      </c>
      <c r="W123" s="103">
        <f t="shared" si="56"/>
        <v>0.51540649442995956</v>
      </c>
      <c r="X123" s="7">
        <f t="shared" si="57"/>
        <v>0.35764802631578946</v>
      </c>
      <c r="Y123" s="7">
        <f t="shared" si="58"/>
        <v>0.69391447368421055</v>
      </c>
      <c r="Z123" t="s">
        <v>224</v>
      </c>
    </row>
    <row r="124" spans="1:26" x14ac:dyDescent="0.25">
      <c r="A124" s="101" t="s">
        <v>137</v>
      </c>
      <c r="B124" s="118">
        <v>1.4177500000000001E-7</v>
      </c>
      <c r="C124" s="115">
        <v>2.93075E-7</v>
      </c>
      <c r="D124" s="116">
        <v>5.5914999999999997E-7</v>
      </c>
      <c r="E124" s="103">
        <f t="shared" si="50"/>
        <v>0.4837498933720038</v>
      </c>
      <c r="F124" s="7">
        <f t="shared" si="51"/>
        <v>0.25355450236966826</v>
      </c>
      <c r="G124" s="7">
        <f t="shared" si="52"/>
        <v>0.52414378968076547</v>
      </c>
      <c r="H124">
        <f>AVERAGE(F121:F132)</f>
        <v>0.28510349947179164</v>
      </c>
      <c r="J124" s="101" t="s">
        <v>137</v>
      </c>
      <c r="K124" s="114">
        <v>1.4585E-7</v>
      </c>
      <c r="L124" s="115">
        <v>2.7892499999999999E-7</v>
      </c>
      <c r="M124" s="116">
        <v>4.8210000000000001E-7</v>
      </c>
      <c r="N124" s="103">
        <f t="shared" si="53"/>
        <v>0.52290042126019542</v>
      </c>
      <c r="O124" s="7">
        <f t="shared" si="54"/>
        <v>0.30253059531217591</v>
      </c>
      <c r="P124" s="7">
        <f t="shared" si="55"/>
        <v>0.57856253889234599</v>
      </c>
      <c r="Q124">
        <f>AVERAGE(O121:O132)</f>
        <v>0.32768744163675573</v>
      </c>
      <c r="S124" s="101" t="s">
        <v>137</v>
      </c>
      <c r="T124" s="114">
        <v>1.4492499999999998E-7</v>
      </c>
      <c r="U124" s="115">
        <v>2.7860000000000002E-7</v>
      </c>
      <c r="V124" s="116">
        <v>4.0632499999999998E-7</v>
      </c>
      <c r="W124" s="103">
        <f t="shared" si="56"/>
        <v>0.52019023689877952</v>
      </c>
      <c r="X124" s="7">
        <f t="shared" si="57"/>
        <v>0.35667261428659319</v>
      </c>
      <c r="Y124" s="7">
        <f t="shared" si="58"/>
        <v>0.68565803236325606</v>
      </c>
      <c r="Z124">
        <f>AVERAGE(X121:X132)</f>
        <v>0.39329189153115335</v>
      </c>
    </row>
    <row r="125" spans="1:26" x14ac:dyDescent="0.25">
      <c r="A125" s="101" t="s">
        <v>138</v>
      </c>
      <c r="B125" s="114">
        <v>1.5980000000000001E-7</v>
      </c>
      <c r="C125" s="115">
        <v>2.938E-7</v>
      </c>
      <c r="D125" s="116">
        <v>5.6039999999999996E-7</v>
      </c>
      <c r="E125" s="103">
        <f t="shared" si="50"/>
        <v>0.54390742001361481</v>
      </c>
      <c r="F125" s="7">
        <f t="shared" si="51"/>
        <v>0.28515346181299078</v>
      </c>
      <c r="G125" s="7">
        <f t="shared" si="52"/>
        <v>0.52426837972876517</v>
      </c>
      <c r="J125" s="101" t="s">
        <v>138</v>
      </c>
      <c r="K125" s="114">
        <v>1.6299999999999999E-7</v>
      </c>
      <c r="L125" s="115">
        <v>2.973E-7</v>
      </c>
      <c r="M125" s="116">
        <v>5.1399999999999997E-7</v>
      </c>
      <c r="N125" s="103">
        <f t="shared" si="53"/>
        <v>0.54826774302051795</v>
      </c>
      <c r="O125" s="7">
        <f t="shared" si="54"/>
        <v>0.31712062256809337</v>
      </c>
      <c r="P125" s="7">
        <f t="shared" si="55"/>
        <v>0.57840466926070044</v>
      </c>
      <c r="S125" s="101" t="s">
        <v>138</v>
      </c>
      <c r="T125" s="114">
        <v>1.617E-7</v>
      </c>
      <c r="U125" s="115">
        <v>2.9820000000000001E-7</v>
      </c>
      <c r="V125" s="116">
        <v>4.1900000000000003E-7</v>
      </c>
      <c r="W125" s="103">
        <f t="shared" si="56"/>
        <v>0.54225352112676051</v>
      </c>
      <c r="X125" s="7">
        <f t="shared" si="57"/>
        <v>0.3859188544152744</v>
      </c>
      <c r="Y125" s="7">
        <f t="shared" si="58"/>
        <v>0.71169451073985679</v>
      </c>
    </row>
    <row r="126" spans="1:26" x14ac:dyDescent="0.25">
      <c r="A126" s="101" t="s">
        <v>139</v>
      </c>
      <c r="B126" s="114">
        <v>1.5949999999999999E-7</v>
      </c>
      <c r="C126" s="115">
        <v>3.03E-7</v>
      </c>
      <c r="D126" s="116">
        <v>5.7030000000000007E-7</v>
      </c>
      <c r="E126" s="103">
        <f t="shared" si="50"/>
        <v>0.52640264026402639</v>
      </c>
      <c r="F126" s="7">
        <f t="shared" si="51"/>
        <v>0.27967736279151317</v>
      </c>
      <c r="G126" s="7">
        <f t="shared" si="52"/>
        <v>0.53129931614939496</v>
      </c>
      <c r="H126" t="s">
        <v>225</v>
      </c>
      <c r="J126" s="101" t="s">
        <v>139</v>
      </c>
      <c r="K126" s="114">
        <v>1.6250000000000001E-7</v>
      </c>
      <c r="L126" s="115">
        <v>2.9849999999999998E-7</v>
      </c>
      <c r="M126" s="116">
        <v>5.06E-7</v>
      </c>
      <c r="N126" s="103">
        <f t="shared" si="53"/>
        <v>0.54438860971524294</v>
      </c>
      <c r="O126" s="7">
        <f t="shared" si="54"/>
        <v>0.32114624505928857</v>
      </c>
      <c r="P126" s="7">
        <f t="shared" si="55"/>
        <v>0.58992094861660072</v>
      </c>
      <c r="Q126" t="s">
        <v>225</v>
      </c>
      <c r="S126" s="101" t="s">
        <v>139</v>
      </c>
      <c r="T126" s="114">
        <v>1.7179999999999999E-7</v>
      </c>
      <c r="U126" s="115">
        <v>2.9975000000000002E-7</v>
      </c>
      <c r="V126" s="116">
        <v>4.242E-7</v>
      </c>
      <c r="W126" s="103">
        <f t="shared" si="56"/>
        <v>0.5731442869057547</v>
      </c>
      <c r="X126" s="7">
        <f t="shared" si="57"/>
        <v>0.40499764262140497</v>
      </c>
      <c r="Y126" s="7">
        <f t="shared" si="58"/>
        <v>0.70662423385195672</v>
      </c>
      <c r="Z126" t="s">
        <v>225</v>
      </c>
    </row>
    <row r="127" spans="1:26" x14ac:dyDescent="0.25">
      <c r="A127" s="101" t="s">
        <v>140</v>
      </c>
      <c r="B127" s="114">
        <v>1.5933333333333333E-7</v>
      </c>
      <c r="C127" s="115">
        <v>3.0633333333333334E-7</v>
      </c>
      <c r="D127" s="116">
        <v>5.8086666666666661E-7</v>
      </c>
      <c r="E127" s="103">
        <f t="shared" si="50"/>
        <v>0.52013057671381935</v>
      </c>
      <c r="F127" s="7">
        <f t="shared" si="51"/>
        <v>0.2743027659818662</v>
      </c>
      <c r="G127" s="7">
        <f t="shared" si="52"/>
        <v>0.52737289108229091</v>
      </c>
      <c r="H127">
        <f>AVERAGE(G121:G132)</f>
        <v>0.53246391012559624</v>
      </c>
      <c r="J127" s="101" t="s">
        <v>140</v>
      </c>
      <c r="K127" s="114">
        <v>1.6423333333333333E-7</v>
      </c>
      <c r="L127" s="115">
        <v>2.9803333333333335E-7</v>
      </c>
      <c r="M127" s="116">
        <v>5.0989999999999998E-7</v>
      </c>
      <c r="N127" s="103">
        <f t="shared" si="53"/>
        <v>0.55105692875517276</v>
      </c>
      <c r="O127" s="7">
        <f t="shared" si="54"/>
        <v>0.3220892985552723</v>
      </c>
      <c r="P127" s="7">
        <f t="shared" si="55"/>
        <v>0.58449369157351116</v>
      </c>
      <c r="Q127">
        <f>AVERAGE(P121:P132)</f>
        <v>0.58681059617448017</v>
      </c>
      <c r="S127" s="101" t="s">
        <v>140</v>
      </c>
      <c r="T127" s="114">
        <v>1.621E-7</v>
      </c>
      <c r="U127" s="115">
        <v>2.988E-7</v>
      </c>
      <c r="V127" s="116">
        <v>4.3796666666666662E-7</v>
      </c>
      <c r="W127" s="103">
        <f t="shared" si="56"/>
        <v>0.54250334672021416</v>
      </c>
      <c r="X127" s="7">
        <f t="shared" si="57"/>
        <v>0.37011949158992319</v>
      </c>
      <c r="Y127" s="7">
        <f t="shared" si="58"/>
        <v>0.68224370195600892</v>
      </c>
      <c r="Z127">
        <f>AVERAGE(Y121:Y132)</f>
        <v>0.703657678062381</v>
      </c>
    </row>
    <row r="128" spans="1:26" x14ac:dyDescent="0.25">
      <c r="A128" s="101" t="s">
        <v>141</v>
      </c>
      <c r="B128" s="114">
        <v>1.59925E-7</v>
      </c>
      <c r="C128" s="115">
        <v>3.1767500000000004E-7</v>
      </c>
      <c r="D128" s="116">
        <v>5.8765E-7</v>
      </c>
      <c r="E128" s="103">
        <f t="shared" si="50"/>
        <v>0.50342330998662144</v>
      </c>
      <c r="F128" s="7">
        <f t="shared" si="51"/>
        <v>0.27214328256615333</v>
      </c>
      <c r="G128" s="7">
        <f t="shared" si="52"/>
        <v>0.54058538245554333</v>
      </c>
      <c r="J128" s="101" t="s">
        <v>141</v>
      </c>
      <c r="K128" s="114">
        <v>1.6407499999999999E-7</v>
      </c>
      <c r="L128" s="115">
        <v>3.0030000000000001E-7</v>
      </c>
      <c r="M128" s="116">
        <v>5.0997500000000004E-7</v>
      </c>
      <c r="N128" s="103">
        <f t="shared" si="53"/>
        <v>0.54637029637029633</v>
      </c>
      <c r="O128" s="7">
        <f t="shared" si="54"/>
        <v>0.32173145742438353</v>
      </c>
      <c r="P128" s="7">
        <f t="shared" si="55"/>
        <v>0.58885239472523165</v>
      </c>
      <c r="S128" s="101" t="s">
        <v>141</v>
      </c>
      <c r="T128" s="114">
        <v>1.6392500000000001E-7</v>
      </c>
      <c r="U128" s="115">
        <v>3.02975E-7</v>
      </c>
      <c r="V128" s="116">
        <v>4.34825E-7</v>
      </c>
      <c r="W128" s="103">
        <f t="shared" si="56"/>
        <v>0.541051241851638</v>
      </c>
      <c r="X128" s="7">
        <f t="shared" si="57"/>
        <v>0.37699074340251826</v>
      </c>
      <c r="Y128" s="7">
        <f t="shared" si="58"/>
        <v>0.69677456447996322</v>
      </c>
    </row>
    <row r="129" spans="1:25" x14ac:dyDescent="0.25">
      <c r="A129" s="101" t="s">
        <v>130</v>
      </c>
      <c r="B129" s="114">
        <v>1.843E-7</v>
      </c>
      <c r="C129" s="115">
        <v>3.072E-7</v>
      </c>
      <c r="D129" s="116">
        <v>5.6849999999999994E-7</v>
      </c>
      <c r="E129" s="103">
        <f t="shared" si="50"/>
        <v>0.59993489583333337</v>
      </c>
      <c r="F129" s="7">
        <f t="shared" si="51"/>
        <v>0.32418645558487252</v>
      </c>
      <c r="G129" s="7">
        <f t="shared" si="52"/>
        <v>0.54036939313984178</v>
      </c>
      <c r="J129" s="101" t="s">
        <v>130</v>
      </c>
      <c r="K129" s="114">
        <v>1.8650000000000001E-7</v>
      </c>
      <c r="L129" s="115">
        <v>3.094E-7</v>
      </c>
      <c r="M129" s="116">
        <v>5.2249999999999997E-7</v>
      </c>
      <c r="N129" s="103">
        <f t="shared" si="53"/>
        <v>0.60277957336780863</v>
      </c>
      <c r="O129" s="7">
        <f t="shared" si="54"/>
        <v>0.35693779904306222</v>
      </c>
      <c r="P129" s="7">
        <f t="shared" si="55"/>
        <v>0.59215311004784688</v>
      </c>
      <c r="S129" s="101" t="s">
        <v>130</v>
      </c>
      <c r="T129" s="114">
        <v>1.8909999999999999E-7</v>
      </c>
      <c r="U129" s="115">
        <v>3.094E-7</v>
      </c>
      <c r="V129" s="116">
        <v>4.2779999999999995E-7</v>
      </c>
      <c r="W129" s="103">
        <f t="shared" si="56"/>
        <v>0.61118293471234642</v>
      </c>
      <c r="X129" s="7">
        <f t="shared" si="57"/>
        <v>0.4420289855072464</v>
      </c>
      <c r="Y129" s="7">
        <f t="shared" si="58"/>
        <v>0.72323515661524085</v>
      </c>
    </row>
    <row r="130" spans="1:25" x14ac:dyDescent="0.25">
      <c r="A130" s="101" t="s">
        <v>131</v>
      </c>
      <c r="B130" s="114">
        <v>1.8650000000000001E-7</v>
      </c>
      <c r="C130" s="115">
        <v>3.1549999999999999E-7</v>
      </c>
      <c r="D130" s="116">
        <v>5.8054999999999999E-7</v>
      </c>
      <c r="E130" s="103">
        <f t="shared" si="50"/>
        <v>0.59112519809825681</v>
      </c>
      <c r="F130" s="7">
        <f t="shared" si="51"/>
        <v>0.32124709327361989</v>
      </c>
      <c r="G130" s="7">
        <f t="shared" si="52"/>
        <v>0.54345017655671346</v>
      </c>
      <c r="J130" s="101" t="s">
        <v>131</v>
      </c>
      <c r="K130" s="114">
        <v>1.885E-7</v>
      </c>
      <c r="L130" s="115">
        <v>3.1244999999999997E-7</v>
      </c>
      <c r="M130" s="116">
        <v>5.229E-7</v>
      </c>
      <c r="N130" s="103">
        <f t="shared" si="53"/>
        <v>0.60329652744439122</v>
      </c>
      <c r="O130" s="7">
        <f t="shared" si="54"/>
        <v>0.36048957735704723</v>
      </c>
      <c r="P130" s="7">
        <f t="shared" si="55"/>
        <v>0.59753298909925412</v>
      </c>
      <c r="S130" s="101" t="s">
        <v>131</v>
      </c>
      <c r="T130" s="114">
        <v>1.885E-7</v>
      </c>
      <c r="U130" s="115">
        <v>3.121E-7</v>
      </c>
      <c r="V130" s="116">
        <v>4.3520000000000003E-7</v>
      </c>
      <c r="W130" s="103">
        <f t="shared" si="56"/>
        <v>0.60397308554950335</v>
      </c>
      <c r="X130" s="7">
        <f t="shared" si="57"/>
        <v>0.43313419117647056</v>
      </c>
      <c r="Y130" s="7">
        <f t="shared" si="58"/>
        <v>0.71714154411764697</v>
      </c>
    </row>
    <row r="131" spans="1:25" x14ac:dyDescent="0.25">
      <c r="A131" s="101" t="s">
        <v>133</v>
      </c>
      <c r="B131" s="114">
        <v>1.8440000000000001E-7</v>
      </c>
      <c r="C131" s="115">
        <v>3.1886666666666668E-7</v>
      </c>
      <c r="D131" s="116">
        <v>5.919E-7</v>
      </c>
      <c r="E131" s="103">
        <f t="shared" si="50"/>
        <v>0.57829813924315288</v>
      </c>
      <c r="F131" s="7">
        <f t="shared" si="51"/>
        <v>0.31153911133637441</v>
      </c>
      <c r="G131" s="7">
        <f t="shared" si="52"/>
        <v>0.53871712564059249</v>
      </c>
      <c r="J131" s="101" t="s">
        <v>133</v>
      </c>
      <c r="K131" s="114">
        <v>1.8700000000000002E-7</v>
      </c>
      <c r="L131" s="115">
        <v>3.0946666666666671E-7</v>
      </c>
      <c r="M131" s="116">
        <v>5.2190000000000003E-7</v>
      </c>
      <c r="N131" s="103">
        <f t="shared" si="53"/>
        <v>0.60426540284360186</v>
      </c>
      <c r="O131" s="7">
        <f t="shared" si="54"/>
        <v>0.35830618892508143</v>
      </c>
      <c r="P131" s="7">
        <f t="shared" si="55"/>
        <v>0.59296161461327201</v>
      </c>
      <c r="S131" s="101" t="s">
        <v>133</v>
      </c>
      <c r="T131" s="114">
        <v>1.8743333333333335E-7</v>
      </c>
      <c r="U131" s="115">
        <v>3.0963333333333332E-7</v>
      </c>
      <c r="V131" s="116">
        <v>4.4276666666666667E-7</v>
      </c>
      <c r="W131" s="103">
        <f t="shared" si="56"/>
        <v>0.60533964904726023</v>
      </c>
      <c r="X131" s="7">
        <f t="shared" si="57"/>
        <v>0.42332304449296099</v>
      </c>
      <c r="Y131" s="7">
        <f t="shared" si="58"/>
        <v>0.69931491379959343</v>
      </c>
    </row>
    <row r="132" spans="1:25" x14ac:dyDescent="0.25">
      <c r="A132" s="101" t="s">
        <v>132</v>
      </c>
      <c r="B132" s="114">
        <v>1.8557499999999999E-7</v>
      </c>
      <c r="C132" s="115">
        <v>3.24125E-7</v>
      </c>
      <c r="D132" s="116">
        <v>5.9874999999999998E-7</v>
      </c>
      <c r="E132" s="103">
        <f t="shared" si="50"/>
        <v>0.57254145777092169</v>
      </c>
      <c r="F132" s="7">
        <f t="shared" si="51"/>
        <v>0.30993736951983297</v>
      </c>
      <c r="G132" s="7">
        <f t="shared" si="52"/>
        <v>0.54133611691022965</v>
      </c>
      <c r="J132" s="101" t="s">
        <v>132</v>
      </c>
      <c r="K132" s="114">
        <v>1.8759999999999999E-7</v>
      </c>
      <c r="L132" s="115">
        <v>3.101E-7</v>
      </c>
      <c r="M132" s="116">
        <v>5.2117500000000003E-7</v>
      </c>
      <c r="N132" s="103">
        <f t="shared" si="53"/>
        <v>0.60496613995485327</v>
      </c>
      <c r="O132" s="7">
        <f t="shared" si="54"/>
        <v>0.35995586894996878</v>
      </c>
      <c r="P132" s="7">
        <f t="shared" si="55"/>
        <v>0.59500167889864242</v>
      </c>
      <c r="S132" s="101" t="s">
        <v>132</v>
      </c>
      <c r="T132" s="114">
        <v>1.8892500000000001E-7</v>
      </c>
      <c r="U132" s="115">
        <v>3.0945000000000001E-7</v>
      </c>
      <c r="V132" s="116">
        <v>4.4542500000000001E-7</v>
      </c>
      <c r="W132" s="103">
        <f t="shared" si="56"/>
        <v>0.61051866214251094</v>
      </c>
      <c r="X132" s="7">
        <f t="shared" si="57"/>
        <v>0.42414547903687488</v>
      </c>
      <c r="Y132" s="7">
        <f t="shared" si="58"/>
        <v>0.69472975248358315</v>
      </c>
    </row>
    <row r="135" spans="1:25" ht="18.75" x14ac:dyDescent="0.3">
      <c r="A135" s="6"/>
      <c r="B135" s="186" t="s">
        <v>222</v>
      </c>
      <c r="C135" s="187"/>
      <c r="D135" s="188"/>
      <c r="E135" s="132" t="s">
        <v>220</v>
      </c>
      <c r="F135" s="132"/>
      <c r="G135" s="132"/>
      <c r="I135" s="161"/>
      <c r="J135" s="161"/>
      <c r="K135" s="161"/>
    </row>
    <row r="136" spans="1:25" ht="15.75" x14ac:dyDescent="0.25">
      <c r="B136" s="12" t="s">
        <v>205</v>
      </c>
      <c r="C136" s="12" t="s">
        <v>206</v>
      </c>
      <c r="D136" s="12" t="s">
        <v>114</v>
      </c>
      <c r="E136" s="12" t="s">
        <v>215</v>
      </c>
      <c r="F136" s="111" t="s">
        <v>216</v>
      </c>
      <c r="G136" s="111" t="s">
        <v>217</v>
      </c>
      <c r="H136" t="s">
        <v>223</v>
      </c>
      <c r="I136" s="109"/>
    </row>
    <row r="137" spans="1:25" x14ac:dyDescent="0.25">
      <c r="A137" s="101" t="s">
        <v>134</v>
      </c>
      <c r="B137" s="114">
        <v>1.4610000000000002E-7</v>
      </c>
      <c r="C137" s="115">
        <v>2.8170000000000004E-7</v>
      </c>
      <c r="D137" s="116">
        <v>2.91E-7</v>
      </c>
      <c r="E137" s="103">
        <f>B137/C137</f>
        <v>0.51863684771033014</v>
      </c>
      <c r="F137" s="7">
        <f>B137/D137</f>
        <v>0.5020618556701032</v>
      </c>
      <c r="G137" s="7">
        <f>C137/D137</f>
        <v>0.96804123711340218</v>
      </c>
      <c r="H137">
        <f>AVERAGE(E137:E148)</f>
        <v>0.55462008054454848</v>
      </c>
      <c r="I137" s="41"/>
    </row>
    <row r="138" spans="1:25" x14ac:dyDescent="0.25">
      <c r="A138" s="101" t="s">
        <v>135</v>
      </c>
      <c r="B138" s="114">
        <v>1.4405E-7</v>
      </c>
      <c r="C138" s="115">
        <v>2.8290000000000003E-7</v>
      </c>
      <c r="D138" s="116">
        <v>3.0769999999999998E-7</v>
      </c>
      <c r="E138" s="103">
        <f t="shared" ref="E138:E148" si="59">B138/C138</f>
        <v>0.50919052668787557</v>
      </c>
      <c r="F138" s="7">
        <f t="shared" ref="F138:F148" si="60">B138/D138</f>
        <v>0.46815079623009426</v>
      </c>
      <c r="G138" s="7">
        <f t="shared" ref="G138:G148" si="61">C138/D138</f>
        <v>0.91940201494962637</v>
      </c>
      <c r="I138" s="41"/>
    </row>
    <row r="139" spans="1:25" x14ac:dyDescent="0.25">
      <c r="A139" s="101" t="s">
        <v>136</v>
      </c>
      <c r="B139" s="114">
        <v>1.4383333333333336E-7</v>
      </c>
      <c r="C139" s="115">
        <v>2.8363333333333333E-7</v>
      </c>
      <c r="D139" s="116">
        <v>3.2496666666666671E-7</v>
      </c>
      <c r="E139" s="103">
        <f t="shared" si="59"/>
        <v>0.50711011869784939</v>
      </c>
      <c r="F139" s="7">
        <f t="shared" si="60"/>
        <v>0.44260949841009334</v>
      </c>
      <c r="G139" s="7">
        <f t="shared" si="61"/>
        <v>0.87280746743255699</v>
      </c>
      <c r="H139" t="s">
        <v>224</v>
      </c>
      <c r="I139" s="41"/>
    </row>
    <row r="140" spans="1:25" x14ac:dyDescent="0.25">
      <c r="A140" s="101" t="s">
        <v>137</v>
      </c>
      <c r="B140" s="114">
        <v>1.4405E-7</v>
      </c>
      <c r="C140" s="115">
        <v>2.7947500000000003E-7</v>
      </c>
      <c r="D140" s="116">
        <v>3.3082500000000003E-7</v>
      </c>
      <c r="E140" s="103">
        <f t="shared" si="59"/>
        <v>0.51543071831111897</v>
      </c>
      <c r="F140" s="7">
        <f t="shared" si="60"/>
        <v>0.43542658505252019</v>
      </c>
      <c r="G140" s="7">
        <f t="shared" si="61"/>
        <v>0.84478198443285724</v>
      </c>
      <c r="H140">
        <f>AVERAGE(F137:F148)</f>
        <v>0.49146023705724157</v>
      </c>
      <c r="I140" s="41"/>
    </row>
    <row r="141" spans="1:25" x14ac:dyDescent="0.25">
      <c r="A141" s="101" t="s">
        <v>138</v>
      </c>
      <c r="B141" s="114">
        <v>1.6160000000000002E-7</v>
      </c>
      <c r="C141" s="115">
        <v>2.9919999999999998E-7</v>
      </c>
      <c r="D141" s="116">
        <v>3.2500000000000001E-7</v>
      </c>
      <c r="E141" s="103">
        <f t="shared" si="59"/>
        <v>0.5401069518716578</v>
      </c>
      <c r="F141" s="7">
        <f t="shared" si="60"/>
        <v>0.49723076923076925</v>
      </c>
      <c r="G141" s="7">
        <f t="shared" si="61"/>
        <v>0.9206153846153845</v>
      </c>
      <c r="I141" s="41"/>
    </row>
    <row r="142" spans="1:25" x14ac:dyDescent="0.25">
      <c r="A142" s="101" t="s">
        <v>139</v>
      </c>
      <c r="B142" s="114">
        <v>1.7139999999999999E-7</v>
      </c>
      <c r="C142" s="115">
        <v>3.0114999999999997E-7</v>
      </c>
      <c r="D142" s="116">
        <v>3.3734999999999999E-7</v>
      </c>
      <c r="E142" s="103">
        <f t="shared" si="59"/>
        <v>0.56915158558857715</v>
      </c>
      <c r="F142" s="7">
        <f t="shared" si="60"/>
        <v>0.50807766414702826</v>
      </c>
      <c r="G142" s="7">
        <f t="shared" si="61"/>
        <v>0.89269304876241284</v>
      </c>
      <c r="H142" t="s">
        <v>225</v>
      </c>
      <c r="I142" s="41"/>
    </row>
    <row r="143" spans="1:25" x14ac:dyDescent="0.25">
      <c r="A143" s="101" t="s">
        <v>140</v>
      </c>
      <c r="B143" s="114">
        <v>1.6076666666666668E-7</v>
      </c>
      <c r="C143" s="115">
        <v>2.9916666666666668E-7</v>
      </c>
      <c r="D143" s="116">
        <v>3.5629999999999998E-7</v>
      </c>
      <c r="E143" s="103">
        <f t="shared" si="59"/>
        <v>0.53738161559888586</v>
      </c>
      <c r="F143" s="7">
        <f t="shared" si="60"/>
        <v>0.45121152586771457</v>
      </c>
      <c r="G143" s="7">
        <f t="shared" si="61"/>
        <v>0.83964823650481812</v>
      </c>
      <c r="H143">
        <f>AVERAGE(G137:G148)</f>
        <v>0.88641602707579914</v>
      </c>
      <c r="I143" s="41"/>
    </row>
    <row r="144" spans="1:25" x14ac:dyDescent="0.25">
      <c r="A144" s="101" t="s">
        <v>141</v>
      </c>
      <c r="B144" s="114">
        <v>1.642E-7</v>
      </c>
      <c r="C144" s="115">
        <v>3.0380000000000001E-7</v>
      </c>
      <c r="D144" s="116">
        <v>3.6042499999999997E-7</v>
      </c>
      <c r="E144" s="103">
        <f t="shared" si="59"/>
        <v>0.54048716260697827</v>
      </c>
      <c r="F144" s="7">
        <f t="shared" si="60"/>
        <v>0.45557328154262333</v>
      </c>
      <c r="G144" s="7">
        <f t="shared" si="61"/>
        <v>0.84289380592356256</v>
      </c>
      <c r="I144" s="41"/>
    </row>
    <row r="145" spans="1:17" x14ac:dyDescent="0.25">
      <c r="A145" s="101" t="s">
        <v>130</v>
      </c>
      <c r="B145" s="114">
        <v>1.8680000000000001E-7</v>
      </c>
      <c r="C145" s="115">
        <v>3.1059999999999999E-7</v>
      </c>
      <c r="D145" s="116">
        <v>3.326E-7</v>
      </c>
      <c r="E145" s="103">
        <f t="shared" si="59"/>
        <v>0.60141661300708316</v>
      </c>
      <c r="F145" s="7">
        <f t="shared" si="60"/>
        <v>0.56163559831629584</v>
      </c>
      <c r="G145" s="7">
        <f t="shared" si="61"/>
        <v>0.93385447985568248</v>
      </c>
      <c r="I145" s="41"/>
    </row>
    <row r="146" spans="1:17" x14ac:dyDescent="0.25">
      <c r="A146" s="101" t="s">
        <v>131</v>
      </c>
      <c r="B146" s="114">
        <v>1.8899999999999999E-7</v>
      </c>
      <c r="C146" s="115">
        <v>3.1320000000000003E-7</v>
      </c>
      <c r="D146" s="116">
        <v>3.4869999999999999E-7</v>
      </c>
      <c r="E146" s="103">
        <f t="shared" si="59"/>
        <v>0.60344827586206884</v>
      </c>
      <c r="F146" s="7">
        <f t="shared" si="60"/>
        <v>0.54201319185546315</v>
      </c>
      <c r="G146" s="7">
        <f t="shared" si="61"/>
        <v>0.89819328936048193</v>
      </c>
      <c r="I146" s="41"/>
    </row>
    <row r="147" spans="1:17" x14ac:dyDescent="0.25">
      <c r="A147" s="101" t="s">
        <v>133</v>
      </c>
      <c r="B147" s="114">
        <v>1.8776666666666667E-7</v>
      </c>
      <c r="C147" s="115">
        <v>3.1113333333333333E-7</v>
      </c>
      <c r="D147" s="116">
        <v>3.6170000000000002E-7</v>
      </c>
      <c r="E147" s="103">
        <f t="shared" si="59"/>
        <v>0.60349260767088064</v>
      </c>
      <c r="F147" s="7">
        <f t="shared" si="60"/>
        <v>0.51912266150585196</v>
      </c>
      <c r="G147" s="7">
        <f t="shared" si="61"/>
        <v>0.86019721684637351</v>
      </c>
      <c r="I147" s="41"/>
    </row>
    <row r="148" spans="1:17" x14ac:dyDescent="0.25">
      <c r="A148" s="101" t="s">
        <v>132</v>
      </c>
      <c r="B148" s="114">
        <v>1.9010000000000001E-7</v>
      </c>
      <c r="C148" s="115">
        <v>3.1185000000000003E-7</v>
      </c>
      <c r="D148" s="116">
        <v>3.6955000000000002E-7</v>
      </c>
      <c r="E148" s="103">
        <f t="shared" si="59"/>
        <v>0.60958794292127627</v>
      </c>
      <c r="F148" s="7">
        <f t="shared" si="60"/>
        <v>0.51440941685834118</v>
      </c>
      <c r="G148" s="7">
        <f t="shared" si="61"/>
        <v>0.84386415911243406</v>
      </c>
      <c r="I148" s="41"/>
    </row>
    <row r="152" spans="1:17" ht="18.75" x14ac:dyDescent="0.3">
      <c r="A152" s="142" t="s">
        <v>160</v>
      </c>
      <c r="B152" s="143"/>
      <c r="C152" s="143"/>
      <c r="D152" s="143"/>
      <c r="E152" s="144"/>
      <c r="G152" s="142" t="s">
        <v>164</v>
      </c>
      <c r="H152" s="143"/>
      <c r="I152" s="143"/>
      <c r="J152" s="143"/>
      <c r="K152" s="144"/>
      <c r="M152" s="142" t="s">
        <v>174</v>
      </c>
      <c r="N152" s="143"/>
      <c r="O152" s="143"/>
      <c r="P152" s="143"/>
      <c r="Q152" s="144"/>
    </row>
    <row r="153" spans="1:17" x14ac:dyDescent="0.25">
      <c r="A153" s="6"/>
      <c r="B153" s="112" t="s">
        <v>134</v>
      </c>
      <c r="C153" s="112" t="s">
        <v>135</v>
      </c>
      <c r="D153" s="112" t="s">
        <v>136</v>
      </c>
      <c r="E153" s="112" t="s">
        <v>137</v>
      </c>
      <c r="G153" s="6"/>
      <c r="H153" s="112" t="s">
        <v>134</v>
      </c>
      <c r="I153" s="112" t="s">
        <v>135</v>
      </c>
      <c r="J153" s="112" t="s">
        <v>136</v>
      </c>
      <c r="K153" s="112" t="s">
        <v>137</v>
      </c>
      <c r="M153" s="6"/>
      <c r="N153" s="112" t="s">
        <v>134</v>
      </c>
      <c r="O153" s="112" t="s">
        <v>135</v>
      </c>
      <c r="P153" s="112" t="s">
        <v>136</v>
      </c>
      <c r="Q153" s="112" t="s">
        <v>137</v>
      </c>
    </row>
    <row r="154" spans="1:17" x14ac:dyDescent="0.25">
      <c r="A154" s="112" t="s">
        <v>66</v>
      </c>
      <c r="B154" s="6">
        <v>125.87412587412588</v>
      </c>
      <c r="C154" s="6">
        <v>126.89460697920337</v>
      </c>
      <c r="D154" s="6">
        <v>127.11864406779661</v>
      </c>
      <c r="E154" s="6">
        <v>126.96173514371363</v>
      </c>
      <c r="G154" s="112" t="s">
        <v>66</v>
      </c>
      <c r="H154" s="6">
        <v>65.099457504520799</v>
      </c>
      <c r="I154" s="6">
        <v>63.615479766743242</v>
      </c>
      <c r="J154" s="6">
        <v>61.36363636363636</v>
      </c>
      <c r="K154" s="6">
        <v>61.417725838096047</v>
      </c>
      <c r="M154" s="112" t="s">
        <v>66</v>
      </c>
      <c r="N154" s="6">
        <v>34.090909090909086</v>
      </c>
      <c r="O154" s="6">
        <v>33.191960169647793</v>
      </c>
      <c r="P154" s="6">
        <v>32.681716395327726</v>
      </c>
      <c r="Q154" s="6">
        <v>32.191719574353932</v>
      </c>
    </row>
    <row r="155" spans="1:17" x14ac:dyDescent="0.25">
      <c r="A155" s="112" t="s">
        <v>67</v>
      </c>
      <c r="B155" s="6">
        <v>122.69938650306747</v>
      </c>
      <c r="C155" s="6">
        <v>123.4991423670669</v>
      </c>
      <c r="D155" s="6">
        <v>122.83894449499546</v>
      </c>
      <c r="E155" s="6">
        <v>123.41446691806651</v>
      </c>
      <c r="G155" s="112" t="s">
        <v>67</v>
      </c>
      <c r="H155" s="6">
        <v>64.446831364124591</v>
      </c>
      <c r="I155" s="6">
        <v>63.988624244578737</v>
      </c>
      <c r="J155" s="6">
        <v>64.554692169754929</v>
      </c>
      <c r="K155" s="6">
        <v>64.533476741059431</v>
      </c>
      <c r="M155" s="112" t="s">
        <v>67</v>
      </c>
      <c r="N155" s="6">
        <v>37.422037422037427</v>
      </c>
      <c r="O155" s="6">
        <v>37.433711136529062</v>
      </c>
      <c r="P155" s="6">
        <v>37.323748963229193</v>
      </c>
      <c r="Q155" s="6">
        <v>37.336652146857503</v>
      </c>
    </row>
    <row r="156" spans="1:17" x14ac:dyDescent="0.25">
      <c r="A156" s="112" t="s">
        <v>68</v>
      </c>
      <c r="B156" s="6">
        <v>122.95081967213115</v>
      </c>
      <c r="C156" s="6">
        <v>124.35233160621762</v>
      </c>
      <c r="D156" s="6">
        <v>124.16647505173603</v>
      </c>
      <c r="E156" s="6">
        <v>124.20217353803692</v>
      </c>
      <c r="G156" s="112" t="s">
        <v>68</v>
      </c>
      <c r="H156" s="6">
        <v>64.308681672025727</v>
      </c>
      <c r="I156" s="6">
        <v>64.205457463884429</v>
      </c>
      <c r="J156" s="6">
        <v>63.996207632140312</v>
      </c>
      <c r="K156" s="6">
        <v>64.608758076094759</v>
      </c>
      <c r="M156" s="112" t="s">
        <v>68</v>
      </c>
      <c r="N156" s="6">
        <v>46.523649521840269</v>
      </c>
      <c r="O156" s="6">
        <v>45.529277855065132</v>
      </c>
      <c r="P156" s="6">
        <v>44.407894736842103</v>
      </c>
      <c r="Q156" s="6">
        <v>44.299513935888761</v>
      </c>
    </row>
    <row r="157" spans="1:17" x14ac:dyDescent="0.25">
      <c r="A157" s="112" t="s">
        <v>69</v>
      </c>
      <c r="B157" s="6">
        <v>123.20328542094455</v>
      </c>
      <c r="C157" s="6">
        <v>124.95661228740022</v>
      </c>
      <c r="D157" s="6">
        <v>125.14484356894553</v>
      </c>
      <c r="E157" s="6">
        <v>124.95661228740022</v>
      </c>
      <c r="G157" s="112" t="s">
        <v>69</v>
      </c>
      <c r="H157" s="6">
        <v>63.897763578274756</v>
      </c>
      <c r="I157" s="6">
        <v>63.62672322375397</v>
      </c>
      <c r="J157" s="6">
        <v>63.462216476671756</v>
      </c>
      <c r="K157" s="6">
        <v>64.406476429018696</v>
      </c>
      <c r="M157" s="112" t="s">
        <v>69</v>
      </c>
      <c r="N157" s="6">
        <v>61.855670103092784</v>
      </c>
      <c r="O157" s="6">
        <v>58.498537536561585</v>
      </c>
      <c r="P157" s="6">
        <v>55.390296440660578</v>
      </c>
      <c r="Q157" s="6">
        <v>54.409430968034457</v>
      </c>
    </row>
    <row r="158" spans="1:17" x14ac:dyDescent="0.25">
      <c r="A158" s="112"/>
      <c r="B158" s="112" t="s">
        <v>138</v>
      </c>
      <c r="C158" s="112" t="s">
        <v>139</v>
      </c>
      <c r="D158" s="112" t="s">
        <v>140</v>
      </c>
      <c r="E158" s="112" t="s">
        <v>141</v>
      </c>
      <c r="G158" s="112"/>
      <c r="H158" s="112" t="s">
        <v>138</v>
      </c>
      <c r="I158" s="112" t="s">
        <v>139</v>
      </c>
      <c r="J158" s="112" t="s">
        <v>140</v>
      </c>
      <c r="K158" s="112" t="s">
        <v>141</v>
      </c>
      <c r="M158" s="112"/>
      <c r="N158" s="112" t="s">
        <v>138</v>
      </c>
      <c r="O158" s="112" t="s">
        <v>139</v>
      </c>
      <c r="P158" s="112" t="s">
        <v>140</v>
      </c>
      <c r="Q158" s="112" t="s">
        <v>141</v>
      </c>
    </row>
    <row r="159" spans="1:17" x14ac:dyDescent="0.25">
      <c r="A159" s="112" t="s">
        <v>66</v>
      </c>
      <c r="B159" s="6">
        <v>156.44555694618273</v>
      </c>
      <c r="C159" s="6">
        <v>156.73981191222572</v>
      </c>
      <c r="D159" s="6">
        <v>156.90376569037656</v>
      </c>
      <c r="E159" s="6">
        <v>156.32327653587618</v>
      </c>
      <c r="G159" s="112" t="s">
        <v>66</v>
      </c>
      <c r="H159" s="6">
        <v>85.091899251191279</v>
      </c>
      <c r="I159" s="6">
        <v>82.508250825082513</v>
      </c>
      <c r="J159" s="6">
        <v>81.610446137105555</v>
      </c>
      <c r="K159" s="6">
        <v>78.696781301644762</v>
      </c>
      <c r="M159" s="112" t="s">
        <v>66</v>
      </c>
      <c r="N159" s="6">
        <v>44.610992148465378</v>
      </c>
      <c r="O159" s="6">
        <v>43.836577240049095</v>
      </c>
      <c r="P159" s="6">
        <v>43.039136921840928</v>
      </c>
      <c r="Q159" s="6">
        <v>42.542329617969877</v>
      </c>
    </row>
    <row r="160" spans="1:17" x14ac:dyDescent="0.25">
      <c r="A160" s="112" t="s">
        <v>67</v>
      </c>
      <c r="B160" s="6">
        <v>153.37423312883436</v>
      </c>
      <c r="C160" s="6">
        <v>153.84615384615384</v>
      </c>
      <c r="D160" s="6">
        <v>152.22244773695962</v>
      </c>
      <c r="E160" s="6">
        <v>152.36934328813044</v>
      </c>
      <c r="G160" s="112" t="s">
        <v>67</v>
      </c>
      <c r="H160" s="6">
        <v>84.090144635048773</v>
      </c>
      <c r="I160" s="6">
        <v>83.752093802345058</v>
      </c>
      <c r="J160" s="6">
        <v>83.883234537523762</v>
      </c>
      <c r="K160" s="6">
        <v>83.25008325008325</v>
      </c>
      <c r="M160" s="112" t="s">
        <v>67</v>
      </c>
      <c r="N160" s="6">
        <v>48.638132295719849</v>
      </c>
      <c r="O160" s="6">
        <v>49.40711462450593</v>
      </c>
      <c r="P160" s="6">
        <v>49.02922141596391</v>
      </c>
      <c r="Q160" s="6">
        <v>49.022010882886413</v>
      </c>
    </row>
    <row r="161" spans="1:26" x14ac:dyDescent="0.25">
      <c r="A161" s="112" t="s">
        <v>68</v>
      </c>
      <c r="B161" s="6">
        <v>154.60729746444034</v>
      </c>
      <c r="C161" s="6">
        <v>145.51804423748544</v>
      </c>
      <c r="D161" s="6">
        <v>154.22578655151139</v>
      </c>
      <c r="E161" s="6">
        <v>152.50876925423211</v>
      </c>
      <c r="G161" s="112" t="s">
        <v>68</v>
      </c>
      <c r="H161" s="6">
        <v>83.836351441985244</v>
      </c>
      <c r="I161" s="6">
        <v>83.402835696413675</v>
      </c>
      <c r="J161" s="6">
        <v>83.668005354752339</v>
      </c>
      <c r="K161" s="6">
        <v>82.515058998267179</v>
      </c>
      <c r="M161" s="112" t="s">
        <v>68</v>
      </c>
      <c r="N161" s="6">
        <v>59.665871121718375</v>
      </c>
      <c r="O161" s="6">
        <v>58.934464875058936</v>
      </c>
      <c r="P161" s="6">
        <v>57.081969708501411</v>
      </c>
      <c r="Q161" s="6">
        <v>57.494394296556081</v>
      </c>
    </row>
    <row r="162" spans="1:26" x14ac:dyDescent="0.25">
      <c r="A162" s="112" t="s">
        <v>69</v>
      </c>
      <c r="B162" s="6">
        <v>154.70297029702968</v>
      </c>
      <c r="C162" s="6">
        <v>145.85764294049008</v>
      </c>
      <c r="D162" s="6">
        <v>155.50487248600456</v>
      </c>
      <c r="E162" s="6">
        <v>152.25334957369063</v>
      </c>
      <c r="G162" s="112" t="s">
        <v>69</v>
      </c>
      <c r="H162" s="6">
        <v>83.556149732620327</v>
      </c>
      <c r="I162" s="6">
        <v>83.015108749792461</v>
      </c>
      <c r="J162" s="6">
        <v>83.565459610027858</v>
      </c>
      <c r="K162" s="6">
        <v>82.290980908492429</v>
      </c>
      <c r="M162" s="112" t="s">
        <v>69</v>
      </c>
      <c r="N162" s="6">
        <v>76.92307692307692</v>
      </c>
      <c r="O162" s="6">
        <v>74.107010523195498</v>
      </c>
      <c r="P162" s="6">
        <v>70.165590794274493</v>
      </c>
      <c r="Q162" s="6">
        <v>69.362558091142404</v>
      </c>
    </row>
    <row r="163" spans="1:26" x14ac:dyDescent="0.25">
      <c r="A163" s="112"/>
      <c r="B163" s="112" t="s">
        <v>130</v>
      </c>
      <c r="C163" s="112" t="s">
        <v>131</v>
      </c>
      <c r="D163" s="112" t="s">
        <v>133</v>
      </c>
      <c r="E163" s="112" t="s">
        <v>132</v>
      </c>
      <c r="G163" s="112"/>
      <c r="H163" s="112" t="s">
        <v>130</v>
      </c>
      <c r="I163" s="112" t="s">
        <v>131</v>
      </c>
      <c r="J163" s="112" t="s">
        <v>133</v>
      </c>
      <c r="K163" s="112" t="s">
        <v>132</v>
      </c>
      <c r="M163" s="112"/>
      <c r="N163" s="112" t="s">
        <v>130</v>
      </c>
      <c r="O163" s="112" t="s">
        <v>131</v>
      </c>
      <c r="P163" s="112" t="s">
        <v>133</v>
      </c>
      <c r="Q163" s="112" t="s">
        <v>132</v>
      </c>
    </row>
    <row r="164" spans="1:26" x14ac:dyDescent="0.25">
      <c r="A164" s="112" t="s">
        <v>66</v>
      </c>
      <c r="B164" s="6">
        <v>162.77807921866523</v>
      </c>
      <c r="C164" s="6">
        <v>160.857908847185</v>
      </c>
      <c r="D164" s="6">
        <v>162.68980477223428</v>
      </c>
      <c r="E164" s="6">
        <v>161.65970631820019</v>
      </c>
      <c r="G164" s="112" t="s">
        <v>66</v>
      </c>
      <c r="H164" s="6">
        <v>97.65625</v>
      </c>
      <c r="I164" s="6">
        <v>95.087163232963562</v>
      </c>
      <c r="J164" s="6">
        <v>94.083211373614873</v>
      </c>
      <c r="K164" s="6">
        <v>92.556883918241425</v>
      </c>
      <c r="M164" s="112" t="s">
        <v>66</v>
      </c>
      <c r="N164" s="6">
        <v>52.770448548812666</v>
      </c>
      <c r="O164" s="6">
        <v>51.675135647231073</v>
      </c>
      <c r="P164" s="6">
        <v>50.684237202230101</v>
      </c>
      <c r="Q164" s="6">
        <v>50.104384133611696</v>
      </c>
    </row>
    <row r="165" spans="1:26" x14ac:dyDescent="0.25">
      <c r="A165" s="112" t="s">
        <v>67</v>
      </c>
      <c r="B165" s="6">
        <v>160.857908847185</v>
      </c>
      <c r="C165" s="6">
        <v>159.15119363395226</v>
      </c>
      <c r="D165" s="6">
        <v>160.427807486631</v>
      </c>
      <c r="E165" s="6">
        <v>159.91471215351814</v>
      </c>
      <c r="G165" s="112" t="s">
        <v>67</v>
      </c>
      <c r="H165" s="6">
        <v>96.961861667744031</v>
      </c>
      <c r="I165" s="6">
        <v>96.015362457993291</v>
      </c>
      <c r="J165" s="6">
        <v>96.940973718224896</v>
      </c>
      <c r="K165" s="6">
        <v>96.742986133505326</v>
      </c>
      <c r="M165" s="112" t="s">
        <v>67</v>
      </c>
      <c r="N165" s="6">
        <v>57.416267942583737</v>
      </c>
      <c r="O165" s="6">
        <v>57.372346528973033</v>
      </c>
      <c r="P165" s="6">
        <v>57.482276298141407</v>
      </c>
      <c r="Q165" s="6">
        <v>57.562239171103755</v>
      </c>
    </row>
    <row r="166" spans="1:26" x14ac:dyDescent="0.25">
      <c r="A166" s="112" t="s">
        <v>68</v>
      </c>
      <c r="B166" s="6">
        <v>158.64621893178213</v>
      </c>
      <c r="C166" s="6">
        <v>159.15119363395226</v>
      </c>
      <c r="D166" s="6">
        <v>160.05690912324383</v>
      </c>
      <c r="E166" s="6">
        <v>158.79317189360856</v>
      </c>
      <c r="G166" s="112" t="s">
        <v>68</v>
      </c>
      <c r="H166" s="6">
        <v>96.961861667744031</v>
      </c>
      <c r="I166" s="6">
        <v>96.123037487984618</v>
      </c>
      <c r="J166" s="6">
        <v>96.88879319625363</v>
      </c>
      <c r="K166" s="6">
        <v>96.946194861851666</v>
      </c>
      <c r="M166" s="112" t="s">
        <v>68</v>
      </c>
      <c r="N166" s="6">
        <v>70.126227208976161</v>
      </c>
      <c r="O166" s="6">
        <v>68.933823529411754</v>
      </c>
      <c r="P166" s="6">
        <v>67.755778062184746</v>
      </c>
      <c r="Q166" s="6">
        <v>67.351405960599422</v>
      </c>
    </row>
    <row r="167" spans="1:26" x14ac:dyDescent="0.25">
      <c r="A167" s="112" t="s">
        <v>69</v>
      </c>
      <c r="B167" s="6">
        <v>160.59957173447538</v>
      </c>
      <c r="C167" s="6">
        <v>158.73015873015873</v>
      </c>
      <c r="D167" s="6">
        <v>159.77276761938577</v>
      </c>
      <c r="E167" s="6">
        <v>157.81167806417676</v>
      </c>
      <c r="G167" s="112" t="s">
        <v>69</v>
      </c>
      <c r="H167" s="6">
        <v>96.587250482936255</v>
      </c>
      <c r="I167" s="6">
        <v>95.785440613026822</v>
      </c>
      <c r="J167" s="6">
        <v>96.421684165416764</v>
      </c>
      <c r="K167" s="6">
        <v>96.200096200096198</v>
      </c>
      <c r="M167" s="112" t="s">
        <v>69</v>
      </c>
      <c r="N167" s="6">
        <v>90.198436560432953</v>
      </c>
      <c r="O167" s="6">
        <v>86.033839977057639</v>
      </c>
      <c r="P167" s="6">
        <v>82.941664362731544</v>
      </c>
      <c r="Q167" s="6">
        <v>81.179813286429436</v>
      </c>
    </row>
    <row r="171" spans="1:26" ht="18.75" x14ac:dyDescent="0.3">
      <c r="A171" s="6"/>
      <c r="B171" s="186" t="s">
        <v>226</v>
      </c>
      <c r="C171" s="187"/>
      <c r="D171" s="188"/>
      <c r="E171" s="132" t="s">
        <v>219</v>
      </c>
      <c r="F171" s="132"/>
      <c r="G171" s="132"/>
      <c r="J171" s="6"/>
      <c r="K171" s="186" t="s">
        <v>226</v>
      </c>
      <c r="L171" s="187"/>
      <c r="M171" s="188"/>
      <c r="N171" s="132" t="s">
        <v>194</v>
      </c>
      <c r="O171" s="132"/>
      <c r="P171" s="132"/>
      <c r="S171" s="6"/>
      <c r="T171" s="186" t="s">
        <v>226</v>
      </c>
      <c r="U171" s="187"/>
      <c r="V171" s="188"/>
      <c r="W171" s="132" t="s">
        <v>221</v>
      </c>
      <c r="X171" s="132"/>
      <c r="Y171" s="132"/>
    </row>
    <row r="172" spans="1:26" ht="15.75" x14ac:dyDescent="0.25">
      <c r="B172" s="12" t="s">
        <v>205</v>
      </c>
      <c r="C172" s="12" t="s">
        <v>206</v>
      </c>
      <c r="D172" s="12" t="s">
        <v>114</v>
      </c>
      <c r="E172" s="12" t="s">
        <v>215</v>
      </c>
      <c r="F172" s="111" t="s">
        <v>216</v>
      </c>
      <c r="G172" s="111" t="s">
        <v>217</v>
      </c>
      <c r="H172" t="s">
        <v>223</v>
      </c>
      <c r="K172" s="12" t="s">
        <v>205</v>
      </c>
      <c r="L172" s="12" t="s">
        <v>206</v>
      </c>
      <c r="M172" s="12" t="s">
        <v>114</v>
      </c>
      <c r="N172" s="12" t="s">
        <v>215</v>
      </c>
      <c r="O172" s="111" t="s">
        <v>216</v>
      </c>
      <c r="P172" s="111" t="s">
        <v>217</v>
      </c>
      <c r="Q172" t="s">
        <v>223</v>
      </c>
      <c r="T172" s="12" t="s">
        <v>205</v>
      </c>
      <c r="U172" s="12" t="s">
        <v>206</v>
      </c>
      <c r="V172" s="12" t="s">
        <v>114</v>
      </c>
      <c r="W172" s="12" t="s">
        <v>215</v>
      </c>
      <c r="X172" s="111" t="s">
        <v>216</v>
      </c>
      <c r="Y172" s="111" t="s">
        <v>217</v>
      </c>
      <c r="Z172" t="s">
        <v>223</v>
      </c>
    </row>
    <row r="173" spans="1:26" x14ac:dyDescent="0.25">
      <c r="A173" s="101" t="s">
        <v>134</v>
      </c>
      <c r="B173" s="114">
        <v>125.87412587412588</v>
      </c>
      <c r="C173" s="115">
        <v>65.099457504520799</v>
      </c>
      <c r="D173" s="116">
        <v>34.090909090909086</v>
      </c>
      <c r="E173" s="103">
        <f>B173/C173</f>
        <v>1.9335664335664335</v>
      </c>
      <c r="F173" s="7">
        <f>B173/D173</f>
        <v>3.692307692307693</v>
      </c>
      <c r="G173" s="7">
        <f>C173/D173</f>
        <v>1.909584086799277</v>
      </c>
      <c r="H173">
        <f>AVERAGE(E173:E184)</f>
        <v>1.8790501413036624</v>
      </c>
      <c r="J173" s="101" t="s">
        <v>134</v>
      </c>
      <c r="K173" s="114">
        <v>122.69938650306747</v>
      </c>
      <c r="L173" s="115">
        <v>64.446831364124591</v>
      </c>
      <c r="M173" s="116">
        <v>37.422037422037427</v>
      </c>
      <c r="N173" s="103">
        <f>K173/L173</f>
        <v>1.9038854805725971</v>
      </c>
      <c r="O173" s="7">
        <f>K173/M173</f>
        <v>3.2788002726653027</v>
      </c>
      <c r="P173" s="7">
        <f>L173/M173</f>
        <v>1.7221625492302179</v>
      </c>
      <c r="Q173">
        <f>AVERAGE(N173:N184)</f>
        <v>1.7982842820885985</v>
      </c>
      <c r="S173" s="101" t="s">
        <v>134</v>
      </c>
      <c r="T173" s="114">
        <v>122.95081967213115</v>
      </c>
      <c r="U173" s="115">
        <v>64.308681672025727</v>
      </c>
      <c r="V173" s="116">
        <v>46.523649521840269</v>
      </c>
      <c r="W173" s="103">
        <f>T173/U173</f>
        <v>1.9118852459016391</v>
      </c>
      <c r="X173" s="7">
        <f>T173/V173</f>
        <v>2.6427595628415301</v>
      </c>
      <c r="Y173" s="7">
        <f>U173/V173</f>
        <v>1.3822793854948197</v>
      </c>
      <c r="Z173">
        <f>AVERAGE(W173:W184)</f>
        <v>1.7977942609000734</v>
      </c>
    </row>
    <row r="174" spans="1:26" x14ac:dyDescent="0.25">
      <c r="A174" s="101" t="s">
        <v>135</v>
      </c>
      <c r="B174" s="114">
        <v>126.89460697920337</v>
      </c>
      <c r="C174" s="115">
        <v>63.615479766743242</v>
      </c>
      <c r="D174" s="116">
        <v>33.191960169647793</v>
      </c>
      <c r="E174" s="103">
        <f t="shared" ref="E174:E184" si="62">B174/C174</f>
        <v>1.9947127247091996</v>
      </c>
      <c r="F174" s="7">
        <f t="shared" ref="F174:F184" si="63">B174/D174</f>
        <v>3.8230525202678889</v>
      </c>
      <c r="G174" s="7">
        <f t="shared" ref="G174:G184" si="64">C174/D174</f>
        <v>1.9165930376391591</v>
      </c>
      <c r="J174" s="101" t="s">
        <v>135</v>
      </c>
      <c r="K174" s="114">
        <v>123.4991423670669</v>
      </c>
      <c r="L174" s="115">
        <v>63.988624244578737</v>
      </c>
      <c r="M174" s="116">
        <v>37.433711136529062</v>
      </c>
      <c r="N174" s="103">
        <f t="shared" ref="N174:N184" si="65">K174/L174</f>
        <v>1.9300171526586622</v>
      </c>
      <c r="O174" s="7">
        <f t="shared" ref="O174:O184" si="66">K174/M174</f>
        <v>3.2991423670668953</v>
      </c>
      <c r="P174" s="7">
        <f t="shared" ref="P174:P184" si="67">L174/M174</f>
        <v>1.7093849982225382</v>
      </c>
      <c r="S174" s="101" t="s">
        <v>135</v>
      </c>
      <c r="T174" s="114">
        <v>124.35233160621762</v>
      </c>
      <c r="U174" s="115">
        <v>64.205457463884429</v>
      </c>
      <c r="V174" s="116">
        <v>45.529277855065132</v>
      </c>
      <c r="W174" s="103">
        <f t="shared" ref="W174:W184" si="68">T174/U174</f>
        <v>1.9367875647668396</v>
      </c>
      <c r="X174" s="7">
        <f t="shared" ref="X174:X184" si="69">T174/V174</f>
        <v>2.7312607944732297</v>
      </c>
      <c r="Y174" s="7">
        <f t="shared" ref="Y174:Y184" si="70">U174/V174</f>
        <v>1.4102015337970393</v>
      </c>
    </row>
    <row r="175" spans="1:26" x14ac:dyDescent="0.25">
      <c r="A175" s="101" t="s">
        <v>136</v>
      </c>
      <c r="B175" s="114">
        <v>127.11864406779661</v>
      </c>
      <c r="C175" s="115">
        <v>61.36363636363636</v>
      </c>
      <c r="D175" s="116">
        <v>32.681716395327726</v>
      </c>
      <c r="E175" s="103">
        <f t="shared" si="62"/>
        <v>2.0715630885122414</v>
      </c>
      <c r="F175" s="7">
        <f t="shared" si="63"/>
        <v>3.8895951035781544</v>
      </c>
      <c r="G175" s="7">
        <f t="shared" si="64"/>
        <v>1.8776136363636362</v>
      </c>
      <c r="H175" t="s">
        <v>224</v>
      </c>
      <c r="J175" s="101" t="s">
        <v>136</v>
      </c>
      <c r="K175" s="114">
        <v>122.83894449499546</v>
      </c>
      <c r="L175" s="115">
        <v>64.554692169754929</v>
      </c>
      <c r="M175" s="116">
        <v>37.323748963229193</v>
      </c>
      <c r="N175" s="103">
        <f t="shared" si="65"/>
        <v>1.9028662420382167</v>
      </c>
      <c r="O175" s="7">
        <f t="shared" si="66"/>
        <v>3.2911737943585084</v>
      </c>
      <c r="P175" s="7">
        <f t="shared" si="67"/>
        <v>1.7295875672444712</v>
      </c>
      <c r="Q175" t="s">
        <v>224</v>
      </c>
      <c r="S175" s="101" t="s">
        <v>136</v>
      </c>
      <c r="T175" s="114">
        <v>124.16647505173603</v>
      </c>
      <c r="U175" s="115">
        <v>63.996207632140312</v>
      </c>
      <c r="V175" s="116">
        <v>44.407894736842103</v>
      </c>
      <c r="W175" s="103">
        <f t="shared" si="68"/>
        <v>1.9402161416417569</v>
      </c>
      <c r="X175" s="7">
        <f t="shared" si="69"/>
        <v>2.7960450678316855</v>
      </c>
      <c r="Y175" s="7">
        <f t="shared" si="70"/>
        <v>1.4410997866793078</v>
      </c>
      <c r="Z175" t="s">
        <v>224</v>
      </c>
    </row>
    <row r="176" spans="1:26" x14ac:dyDescent="0.25">
      <c r="A176" s="101" t="s">
        <v>137</v>
      </c>
      <c r="B176" s="114">
        <v>126.96173514371363</v>
      </c>
      <c r="C176" s="115">
        <v>61.417725838096047</v>
      </c>
      <c r="D176" s="116">
        <v>32.191719574353932</v>
      </c>
      <c r="E176" s="103">
        <f t="shared" si="62"/>
        <v>2.067183918180215</v>
      </c>
      <c r="F176" s="7">
        <f t="shared" si="63"/>
        <v>3.9439252336448591</v>
      </c>
      <c r="G176" s="7">
        <f t="shared" si="64"/>
        <v>1.9078734112428557</v>
      </c>
      <c r="H176">
        <f>AVERAGE(F173:F184)</f>
        <v>3.532107980315331</v>
      </c>
      <c r="J176" s="101" t="s">
        <v>137</v>
      </c>
      <c r="K176" s="114">
        <v>123.41446691806651</v>
      </c>
      <c r="L176" s="115">
        <v>64.533476741059431</v>
      </c>
      <c r="M176" s="116">
        <v>37.336652146857503</v>
      </c>
      <c r="N176" s="103">
        <f t="shared" si="65"/>
        <v>1.9124100102845387</v>
      </c>
      <c r="O176" s="7">
        <f t="shared" si="66"/>
        <v>3.3054508056222143</v>
      </c>
      <c r="P176" s="7">
        <f t="shared" si="67"/>
        <v>1.7284216187147081</v>
      </c>
      <c r="Q176">
        <f>AVERAGE(O173:O184)</f>
        <v>3.0666116846991542</v>
      </c>
      <c r="S176" s="101" t="s">
        <v>137</v>
      </c>
      <c r="T176" s="114">
        <v>124.20217353803692</v>
      </c>
      <c r="U176" s="115">
        <v>64.608758076094759</v>
      </c>
      <c r="V176" s="116">
        <v>44.299513935888761</v>
      </c>
      <c r="W176" s="103">
        <f t="shared" si="68"/>
        <v>1.9223736415387269</v>
      </c>
      <c r="X176" s="7">
        <f t="shared" si="69"/>
        <v>2.8036915646023806</v>
      </c>
      <c r="Y176" s="7">
        <f t="shared" si="70"/>
        <v>1.4584529791816223</v>
      </c>
      <c r="Z176">
        <f>AVERAGE(X173:X184)</f>
        <v>2.5566277328725118</v>
      </c>
    </row>
    <row r="177" spans="1:26" x14ac:dyDescent="0.25">
      <c r="A177" s="101" t="s">
        <v>138</v>
      </c>
      <c r="B177" s="114">
        <v>156.44555694618273</v>
      </c>
      <c r="C177" s="115">
        <v>85.091899251191279</v>
      </c>
      <c r="D177" s="116">
        <v>44.610992148465378</v>
      </c>
      <c r="E177" s="103">
        <f t="shared" si="62"/>
        <v>1.8385481852315397</v>
      </c>
      <c r="F177" s="7">
        <f t="shared" si="63"/>
        <v>3.5068836045056324</v>
      </c>
      <c r="G177" s="7">
        <f t="shared" si="64"/>
        <v>1.9074200136147039</v>
      </c>
      <c r="J177" s="101" t="s">
        <v>138</v>
      </c>
      <c r="K177" s="114">
        <v>153.37423312883436</v>
      </c>
      <c r="L177" s="115">
        <v>84.090144635048773</v>
      </c>
      <c r="M177" s="116">
        <v>48.638132295719849</v>
      </c>
      <c r="N177" s="103">
        <f t="shared" si="65"/>
        <v>1.8239263803680983</v>
      </c>
      <c r="O177" s="7">
        <f t="shared" si="66"/>
        <v>3.1533742331288344</v>
      </c>
      <c r="P177" s="7">
        <f t="shared" si="67"/>
        <v>1.7288933736966026</v>
      </c>
      <c r="S177" s="101" t="s">
        <v>138</v>
      </c>
      <c r="T177" s="114">
        <v>154.60729746444034</v>
      </c>
      <c r="U177" s="115">
        <v>83.836351441985244</v>
      </c>
      <c r="V177" s="116">
        <v>59.665871121718375</v>
      </c>
      <c r="W177" s="103">
        <f t="shared" si="68"/>
        <v>1.8441558441558443</v>
      </c>
      <c r="X177" s="7">
        <f t="shared" si="69"/>
        <v>2.5912183055040203</v>
      </c>
      <c r="Y177" s="7">
        <f t="shared" si="70"/>
        <v>1.4050972501676728</v>
      </c>
    </row>
    <row r="178" spans="1:26" x14ac:dyDescent="0.25">
      <c r="A178" s="101" t="s">
        <v>139</v>
      </c>
      <c r="B178" s="114">
        <v>156.73981191222572</v>
      </c>
      <c r="C178" s="115">
        <v>82.508250825082513</v>
      </c>
      <c r="D178" s="116">
        <v>43.836577240049095</v>
      </c>
      <c r="E178" s="103">
        <f t="shared" si="62"/>
        <v>1.8996865203761757</v>
      </c>
      <c r="F178" s="7">
        <f t="shared" si="63"/>
        <v>3.5755485893416932</v>
      </c>
      <c r="G178" s="7">
        <f t="shared" si="64"/>
        <v>1.8821782178217823</v>
      </c>
      <c r="H178" t="s">
        <v>225</v>
      </c>
      <c r="J178" s="101" t="s">
        <v>139</v>
      </c>
      <c r="K178" s="114">
        <v>153.84615384615384</v>
      </c>
      <c r="L178" s="115">
        <v>83.752093802345058</v>
      </c>
      <c r="M178" s="116">
        <v>49.40711462450593</v>
      </c>
      <c r="N178" s="103">
        <f t="shared" si="65"/>
        <v>1.8369230769230769</v>
      </c>
      <c r="O178" s="7">
        <f t="shared" si="66"/>
        <v>3.1138461538461537</v>
      </c>
      <c r="P178" s="7">
        <f t="shared" si="67"/>
        <v>1.6951423785594639</v>
      </c>
      <c r="Q178" t="s">
        <v>225</v>
      </c>
      <c r="S178" s="101" t="s">
        <v>139</v>
      </c>
      <c r="T178" s="114">
        <v>145.51804423748544</v>
      </c>
      <c r="U178" s="115">
        <v>83.402835696413675</v>
      </c>
      <c r="V178" s="116">
        <v>58.934464875058936</v>
      </c>
      <c r="W178" s="103">
        <f t="shared" si="68"/>
        <v>1.7447613504074504</v>
      </c>
      <c r="X178" s="7">
        <f t="shared" si="69"/>
        <v>2.4691501746216531</v>
      </c>
      <c r="Y178" s="7">
        <f t="shared" si="70"/>
        <v>1.4151793160967472</v>
      </c>
      <c r="Z178" t="s">
        <v>225</v>
      </c>
    </row>
    <row r="179" spans="1:26" x14ac:dyDescent="0.25">
      <c r="A179" s="101" t="s">
        <v>140</v>
      </c>
      <c r="B179" s="114">
        <v>156.90376569037656</v>
      </c>
      <c r="C179" s="115">
        <v>81.610446137105555</v>
      </c>
      <c r="D179" s="116">
        <v>43.039136921840928</v>
      </c>
      <c r="E179" s="103">
        <f t="shared" si="62"/>
        <v>1.9225941422594139</v>
      </c>
      <c r="F179" s="7">
        <f t="shared" si="63"/>
        <v>3.6456066945606693</v>
      </c>
      <c r="G179" s="7">
        <f t="shared" si="64"/>
        <v>1.8961915125136017</v>
      </c>
      <c r="H179">
        <f>AVERAGE(G173:G184)</f>
        <v>1.878460365322586</v>
      </c>
      <c r="J179" s="101" t="s">
        <v>140</v>
      </c>
      <c r="K179" s="114">
        <v>152.22244773695962</v>
      </c>
      <c r="L179" s="115">
        <v>83.883234537523762</v>
      </c>
      <c r="M179" s="116">
        <v>49.02922141596391</v>
      </c>
      <c r="N179" s="103">
        <f t="shared" si="65"/>
        <v>1.814694540288208</v>
      </c>
      <c r="O179" s="7">
        <f t="shared" si="66"/>
        <v>3.1047290440430286</v>
      </c>
      <c r="P179" s="7">
        <f t="shared" si="67"/>
        <v>1.7108824516273349</v>
      </c>
      <c r="Q179">
        <f>AVERAGE(P173:P184)</f>
        <v>1.7043425758271269</v>
      </c>
      <c r="S179" s="101" t="s">
        <v>140</v>
      </c>
      <c r="T179" s="114">
        <v>154.22578655151139</v>
      </c>
      <c r="U179" s="115">
        <v>83.668005354752339</v>
      </c>
      <c r="V179" s="116">
        <v>57.081969708501411</v>
      </c>
      <c r="W179" s="103">
        <f t="shared" si="68"/>
        <v>1.8433066008636643</v>
      </c>
      <c r="X179" s="7">
        <f t="shared" si="69"/>
        <v>2.7018301460004106</v>
      </c>
      <c r="Y179" s="7">
        <f t="shared" si="70"/>
        <v>1.465751896474788</v>
      </c>
      <c r="Z179">
        <f>AVERAGE(Y173:Y184)</f>
        <v>1.4216439284858307</v>
      </c>
    </row>
    <row r="180" spans="1:26" x14ac:dyDescent="0.25">
      <c r="A180" s="101" t="s">
        <v>141</v>
      </c>
      <c r="B180" s="114">
        <v>156.32327653587618</v>
      </c>
      <c r="C180" s="115">
        <v>78.696781301644762</v>
      </c>
      <c r="D180" s="116">
        <v>42.542329617969877</v>
      </c>
      <c r="E180" s="103">
        <f t="shared" si="62"/>
        <v>1.9863998749413785</v>
      </c>
      <c r="F180" s="7">
        <f t="shared" si="63"/>
        <v>3.6745349382523056</v>
      </c>
      <c r="G180" s="7">
        <f t="shared" si="64"/>
        <v>1.849846541276462</v>
      </c>
      <c r="J180" s="101" t="s">
        <v>141</v>
      </c>
      <c r="K180" s="114">
        <v>152.36934328813044</v>
      </c>
      <c r="L180" s="115">
        <v>83.25008325008325</v>
      </c>
      <c r="M180" s="116">
        <v>49.022010882886413</v>
      </c>
      <c r="N180" s="103">
        <f t="shared" si="65"/>
        <v>1.8302605515770227</v>
      </c>
      <c r="O180" s="7">
        <f t="shared" si="66"/>
        <v>3.1081822337345728</v>
      </c>
      <c r="P180" s="7">
        <f t="shared" si="67"/>
        <v>1.6982184482184484</v>
      </c>
      <c r="S180" s="101" t="s">
        <v>141</v>
      </c>
      <c r="T180" s="114">
        <v>152.50876925423211</v>
      </c>
      <c r="U180" s="115">
        <v>82.515058998267179</v>
      </c>
      <c r="V180" s="116">
        <v>57.494394296556081</v>
      </c>
      <c r="W180" s="103">
        <f t="shared" si="68"/>
        <v>1.8482537745920391</v>
      </c>
      <c r="X180" s="7">
        <f t="shared" si="69"/>
        <v>2.6525850236388591</v>
      </c>
      <c r="Y180" s="7">
        <f t="shared" si="70"/>
        <v>1.4351844211568612</v>
      </c>
    </row>
    <row r="181" spans="1:26" x14ac:dyDescent="0.25">
      <c r="A181" s="101" t="s">
        <v>130</v>
      </c>
      <c r="B181" s="114">
        <v>162.77807921866523</v>
      </c>
      <c r="C181" s="115">
        <v>97.65625</v>
      </c>
      <c r="D181" s="116">
        <v>52.770448548812666</v>
      </c>
      <c r="E181" s="103">
        <f t="shared" si="62"/>
        <v>1.666847531199132</v>
      </c>
      <c r="F181" s="7">
        <f t="shared" si="63"/>
        <v>3.0846446011937059</v>
      </c>
      <c r="G181" s="7">
        <f t="shared" si="64"/>
        <v>1.8505859375</v>
      </c>
      <c r="J181" s="101" t="s">
        <v>130</v>
      </c>
      <c r="K181" s="114">
        <v>160.857908847185</v>
      </c>
      <c r="L181" s="115">
        <v>96.961861667744031</v>
      </c>
      <c r="M181" s="116">
        <v>57.416267942583737</v>
      </c>
      <c r="N181" s="103">
        <f t="shared" si="65"/>
        <v>1.6589812332439677</v>
      </c>
      <c r="O181" s="7">
        <f t="shared" si="66"/>
        <v>2.8016085790884717</v>
      </c>
      <c r="P181" s="7">
        <f t="shared" si="67"/>
        <v>1.6887524240465417</v>
      </c>
      <c r="S181" s="101" t="s">
        <v>130</v>
      </c>
      <c r="T181" s="114">
        <v>158.64621893178213</v>
      </c>
      <c r="U181" s="115">
        <v>96.961861667744031</v>
      </c>
      <c r="V181" s="116">
        <v>70.126227208976161</v>
      </c>
      <c r="W181" s="103">
        <f t="shared" si="68"/>
        <v>1.6361713379164462</v>
      </c>
      <c r="X181" s="7">
        <f t="shared" si="69"/>
        <v>2.262295081967213</v>
      </c>
      <c r="Y181" s="7">
        <f t="shared" si="70"/>
        <v>1.3826761473820297</v>
      </c>
    </row>
    <row r="182" spans="1:26" x14ac:dyDescent="0.25">
      <c r="A182" s="101" t="s">
        <v>131</v>
      </c>
      <c r="B182" s="114">
        <v>160.857908847185</v>
      </c>
      <c r="C182" s="115">
        <v>95.087163232963562</v>
      </c>
      <c r="D182" s="116">
        <v>51.675135647231073</v>
      </c>
      <c r="E182" s="103">
        <f t="shared" si="62"/>
        <v>1.6916890080428955</v>
      </c>
      <c r="F182" s="7">
        <f t="shared" si="63"/>
        <v>3.1128686327077753</v>
      </c>
      <c r="G182" s="7">
        <f t="shared" si="64"/>
        <v>1.8400950871632331</v>
      </c>
      <c r="J182" s="101" t="s">
        <v>131</v>
      </c>
      <c r="K182" s="114">
        <v>159.15119363395226</v>
      </c>
      <c r="L182" s="115">
        <v>96.015362457993291</v>
      </c>
      <c r="M182" s="116">
        <v>57.372346528973033</v>
      </c>
      <c r="N182" s="103">
        <f t="shared" si="65"/>
        <v>1.6575596816976126</v>
      </c>
      <c r="O182" s="7">
        <f t="shared" si="66"/>
        <v>2.7740053050397879</v>
      </c>
      <c r="P182" s="7">
        <f t="shared" si="67"/>
        <v>1.6735477676428232</v>
      </c>
      <c r="S182" s="101" t="s">
        <v>131</v>
      </c>
      <c r="T182" s="114">
        <v>159.15119363395226</v>
      </c>
      <c r="U182" s="115">
        <v>96.123037487984618</v>
      </c>
      <c r="V182" s="116">
        <v>68.933823529411754</v>
      </c>
      <c r="W182" s="103">
        <f t="shared" si="68"/>
        <v>1.6557029177718834</v>
      </c>
      <c r="X182" s="7">
        <f t="shared" si="69"/>
        <v>2.3087533156498679</v>
      </c>
      <c r="Y182" s="7">
        <f t="shared" si="70"/>
        <v>1.3944248638256971</v>
      </c>
    </row>
    <row r="183" spans="1:26" x14ac:dyDescent="0.25">
      <c r="A183" s="101" t="s">
        <v>133</v>
      </c>
      <c r="B183" s="114">
        <v>162.68980477223428</v>
      </c>
      <c r="C183" s="115">
        <v>94.083211373614873</v>
      </c>
      <c r="D183" s="116">
        <v>50.684237202230101</v>
      </c>
      <c r="E183" s="103">
        <f t="shared" si="62"/>
        <v>1.7292118582791038</v>
      </c>
      <c r="F183" s="7">
        <f t="shared" si="63"/>
        <v>3.2098698481561829</v>
      </c>
      <c r="G183" s="7">
        <f t="shared" si="64"/>
        <v>1.8562617604014215</v>
      </c>
      <c r="J183" s="101" t="s">
        <v>133</v>
      </c>
      <c r="K183" s="114">
        <v>160.427807486631</v>
      </c>
      <c r="L183" s="115">
        <v>96.940973718224896</v>
      </c>
      <c r="M183" s="116">
        <v>57.482276298141407</v>
      </c>
      <c r="N183" s="103">
        <f t="shared" si="65"/>
        <v>1.6549019607843136</v>
      </c>
      <c r="O183" s="7">
        <f t="shared" si="66"/>
        <v>2.7909090909090906</v>
      </c>
      <c r="P183" s="7">
        <f t="shared" si="67"/>
        <v>1.6864498061180524</v>
      </c>
      <c r="S183" s="101" t="s">
        <v>133</v>
      </c>
      <c r="T183" s="114">
        <v>160.05690912324383</v>
      </c>
      <c r="U183" s="115">
        <v>96.88879319625363</v>
      </c>
      <c r="V183" s="116">
        <v>67.755778062184746</v>
      </c>
      <c r="W183" s="103">
        <f t="shared" si="68"/>
        <v>1.6519651431620133</v>
      </c>
      <c r="X183" s="7">
        <f t="shared" si="69"/>
        <v>2.3622621376489419</v>
      </c>
      <c r="Y183" s="7">
        <f t="shared" si="70"/>
        <v>1.4299709333620412</v>
      </c>
    </row>
    <row r="184" spans="1:26" x14ac:dyDescent="0.25">
      <c r="A184" s="101" t="s">
        <v>132</v>
      </c>
      <c r="B184" s="114">
        <v>161.65970631820019</v>
      </c>
      <c r="C184" s="115">
        <v>92.556883918241425</v>
      </c>
      <c r="D184" s="116">
        <v>50.104384133611696</v>
      </c>
      <c r="E184" s="103">
        <f t="shared" si="62"/>
        <v>1.7465984103462211</v>
      </c>
      <c r="F184" s="7">
        <f t="shared" si="63"/>
        <v>3.2264583052674118</v>
      </c>
      <c r="G184" s="7">
        <f t="shared" si="64"/>
        <v>1.8472811415349015</v>
      </c>
      <c r="J184" s="101" t="s">
        <v>132</v>
      </c>
      <c r="K184" s="114">
        <v>159.91471215351814</v>
      </c>
      <c r="L184" s="115">
        <v>96.742986133505326</v>
      </c>
      <c r="M184" s="116">
        <v>57.562239171103755</v>
      </c>
      <c r="N184" s="103">
        <f t="shared" si="65"/>
        <v>1.6529850746268657</v>
      </c>
      <c r="O184" s="7">
        <f t="shared" si="66"/>
        <v>2.7781183368869939</v>
      </c>
      <c r="P184" s="7">
        <f t="shared" si="67"/>
        <v>1.6806675266043214</v>
      </c>
      <c r="S184" s="101" t="s">
        <v>132</v>
      </c>
      <c r="T184" s="114">
        <v>158.79317189360856</v>
      </c>
      <c r="U184" s="115">
        <v>96.946194861851666</v>
      </c>
      <c r="V184" s="116">
        <v>67.351405960599422</v>
      </c>
      <c r="W184" s="103">
        <f t="shared" si="68"/>
        <v>1.6379515680825725</v>
      </c>
      <c r="X184" s="7">
        <f t="shared" si="69"/>
        <v>2.3576816196903532</v>
      </c>
      <c r="Y184" s="7">
        <f t="shared" si="70"/>
        <v>1.4394086282113427</v>
      </c>
    </row>
    <row r="187" spans="1:26" ht="18.75" x14ac:dyDescent="0.3">
      <c r="A187" s="6"/>
      <c r="B187" s="186" t="s">
        <v>226</v>
      </c>
      <c r="C187" s="187"/>
      <c r="D187" s="188"/>
      <c r="E187" s="132" t="s">
        <v>220</v>
      </c>
      <c r="F187" s="132"/>
      <c r="G187" s="132"/>
      <c r="I187" s="161"/>
      <c r="J187" s="161"/>
      <c r="K187" s="161"/>
    </row>
    <row r="188" spans="1:26" ht="18.75" x14ac:dyDescent="0.3">
      <c r="B188" s="12" t="s">
        <v>205</v>
      </c>
      <c r="C188" s="12" t="s">
        <v>206</v>
      </c>
      <c r="D188" s="12" t="s">
        <v>114</v>
      </c>
      <c r="E188" s="12" t="s">
        <v>215</v>
      </c>
      <c r="F188" s="111" t="s">
        <v>216</v>
      </c>
      <c r="G188" s="111" t="s">
        <v>217</v>
      </c>
      <c r="H188" t="s">
        <v>223</v>
      </c>
      <c r="I188" s="109"/>
      <c r="J188" s="41"/>
      <c r="K188" s="41"/>
      <c r="O188" s="196" t="s">
        <v>269</v>
      </c>
    </row>
    <row r="189" spans="1:26" ht="15.75" x14ac:dyDescent="0.25">
      <c r="A189" s="101" t="s">
        <v>134</v>
      </c>
      <c r="B189" s="114">
        <v>123.20328542094455</v>
      </c>
      <c r="C189" s="115">
        <v>63.897763578274756</v>
      </c>
      <c r="D189" s="116">
        <v>61.855670103092784</v>
      </c>
      <c r="E189" s="103">
        <f>B189/C189</f>
        <v>1.9281314168377823</v>
      </c>
      <c r="F189" s="7">
        <f>B189/D189</f>
        <v>1.9917864476386036</v>
      </c>
      <c r="G189" s="7">
        <f>C189/D189</f>
        <v>1.033013844515442</v>
      </c>
      <c r="H189">
        <f>AVERAGE(E189:E200)</f>
        <v>1.8117514458820965</v>
      </c>
      <c r="I189" s="41"/>
      <c r="J189" s="41"/>
      <c r="K189" s="41"/>
      <c r="O189" s="195" t="s">
        <v>206</v>
      </c>
    </row>
    <row r="190" spans="1:26" x14ac:dyDescent="0.25">
      <c r="A190" s="101" t="s">
        <v>135</v>
      </c>
      <c r="B190" s="114">
        <v>124.95661228740022</v>
      </c>
      <c r="C190" s="115">
        <v>63.62672322375397</v>
      </c>
      <c r="D190" s="116">
        <v>58.498537536561585</v>
      </c>
      <c r="E190" s="103">
        <f t="shared" ref="E190:E200" si="71">B190/C190</f>
        <v>1.9639014231169736</v>
      </c>
      <c r="F190" s="7">
        <f t="shared" ref="F190:F200" si="72">B190/D190</f>
        <v>2.1360638667129472</v>
      </c>
      <c r="G190" s="7">
        <f t="shared" ref="G190:G200" si="73">C190/D190</f>
        <v>1.0876634853305054</v>
      </c>
      <c r="I190" s="41"/>
      <c r="J190" s="41"/>
      <c r="K190" s="41"/>
      <c r="N190" s="113" t="s">
        <v>249</v>
      </c>
      <c r="O190" s="113" t="s">
        <v>237</v>
      </c>
      <c r="P190" s="113" t="s">
        <v>250</v>
      </c>
      <c r="Q190" s="113" t="s">
        <v>237</v>
      </c>
    </row>
    <row r="191" spans="1:26" x14ac:dyDescent="0.25">
      <c r="A191" s="101" t="s">
        <v>136</v>
      </c>
      <c r="B191" s="114">
        <v>125.14484356894553</v>
      </c>
      <c r="C191" s="115">
        <v>63.462216476671756</v>
      </c>
      <c r="D191" s="116">
        <v>55.390296440660578</v>
      </c>
      <c r="E191" s="103">
        <f t="shared" si="71"/>
        <v>1.9719582850521438</v>
      </c>
      <c r="F191" s="7">
        <f t="shared" si="72"/>
        <v>2.2593279258400929</v>
      </c>
      <c r="G191" s="7">
        <f t="shared" si="73"/>
        <v>1.1457280526501352</v>
      </c>
      <c r="H191" t="s">
        <v>224</v>
      </c>
      <c r="I191" s="41"/>
      <c r="J191" s="41"/>
      <c r="K191" s="41"/>
      <c r="M191" s="199" t="s">
        <v>66</v>
      </c>
      <c r="N191" s="6">
        <v>97.65625</v>
      </c>
      <c r="O191" s="6" t="s">
        <v>255</v>
      </c>
      <c r="P191" s="6">
        <v>61.363636360000001</v>
      </c>
      <c r="Q191" s="6" t="s">
        <v>256</v>
      </c>
    </row>
    <row r="192" spans="1:26" x14ac:dyDescent="0.25">
      <c r="A192" s="101" t="s">
        <v>137</v>
      </c>
      <c r="B192" s="114">
        <v>124.95661228740022</v>
      </c>
      <c r="C192" s="115">
        <v>64.406476429018696</v>
      </c>
      <c r="D192" s="116">
        <v>54.409430968034457</v>
      </c>
      <c r="E192" s="103">
        <f t="shared" si="71"/>
        <v>1.9401249566122876</v>
      </c>
      <c r="F192" s="7">
        <f t="shared" si="72"/>
        <v>2.2965984033321765</v>
      </c>
      <c r="G192" s="7">
        <f t="shared" si="73"/>
        <v>1.1837373647016729</v>
      </c>
      <c r="H192">
        <f>AVERAGE(F189:F200)</f>
        <v>2.0475167995155545</v>
      </c>
      <c r="I192" s="41"/>
      <c r="J192" s="41"/>
      <c r="K192" s="41"/>
      <c r="M192" s="199" t="s">
        <v>67</v>
      </c>
      <c r="N192" s="6">
        <v>96.961861670000005</v>
      </c>
      <c r="O192" s="6" t="s">
        <v>255</v>
      </c>
      <c r="P192" s="6">
        <v>63.98862424</v>
      </c>
      <c r="Q192" s="6" t="s">
        <v>257</v>
      </c>
    </row>
    <row r="193" spans="1:25" x14ac:dyDescent="0.25">
      <c r="A193" s="101" t="s">
        <v>138</v>
      </c>
      <c r="B193" s="114">
        <v>154.70297029702968</v>
      </c>
      <c r="C193" s="115">
        <v>83.556149732620327</v>
      </c>
      <c r="D193" s="116">
        <v>76.92307692307692</v>
      </c>
      <c r="E193" s="103">
        <f t="shared" si="71"/>
        <v>1.8514851485148511</v>
      </c>
      <c r="F193" s="7">
        <f t="shared" si="72"/>
        <v>2.011138613861386</v>
      </c>
      <c r="G193" s="7">
        <f t="shared" si="73"/>
        <v>1.0862299465240643</v>
      </c>
      <c r="I193" s="41"/>
      <c r="J193" s="41"/>
      <c r="K193" s="41"/>
      <c r="M193" s="199" t="s">
        <v>68</v>
      </c>
      <c r="N193" s="6">
        <v>96.961861670000005</v>
      </c>
      <c r="O193" s="6" t="s">
        <v>255</v>
      </c>
      <c r="P193" s="6">
        <v>63.996207630000001</v>
      </c>
      <c r="Q193" s="6" t="s">
        <v>256</v>
      </c>
    </row>
    <row r="194" spans="1:25" x14ac:dyDescent="0.25">
      <c r="A194" s="101" t="s">
        <v>139</v>
      </c>
      <c r="B194" s="114">
        <v>145.85764294049008</v>
      </c>
      <c r="C194" s="115">
        <v>83.015108749792461</v>
      </c>
      <c r="D194" s="116">
        <v>74.107010523195498</v>
      </c>
      <c r="E194" s="103">
        <f t="shared" si="71"/>
        <v>1.7570011668611436</v>
      </c>
      <c r="F194" s="7">
        <f t="shared" si="72"/>
        <v>1.9682030338389731</v>
      </c>
      <c r="G194" s="7">
        <f t="shared" si="73"/>
        <v>1.1202058774696995</v>
      </c>
      <c r="H194" t="s">
        <v>225</v>
      </c>
      <c r="I194" s="41"/>
      <c r="J194" s="41"/>
      <c r="K194" s="41"/>
      <c r="M194" s="199" t="s">
        <v>69</v>
      </c>
      <c r="N194" s="6">
        <v>96.587250479999994</v>
      </c>
      <c r="O194" s="6" t="s">
        <v>255</v>
      </c>
      <c r="P194" s="6">
        <v>63.462216480000002</v>
      </c>
      <c r="Q194" s="6" t="s">
        <v>256</v>
      </c>
    </row>
    <row r="195" spans="1:25" x14ac:dyDescent="0.25">
      <c r="A195" s="101" t="s">
        <v>140</v>
      </c>
      <c r="B195" s="114">
        <v>155.50487248600456</v>
      </c>
      <c r="C195" s="115">
        <v>83.565459610027858</v>
      </c>
      <c r="D195" s="116">
        <v>70.165590794274493</v>
      </c>
      <c r="E195" s="103">
        <f t="shared" si="71"/>
        <v>1.8608749740825212</v>
      </c>
      <c r="F195" s="7">
        <f t="shared" si="72"/>
        <v>2.216255442670537</v>
      </c>
      <c r="G195" s="7">
        <f t="shared" si="73"/>
        <v>1.1909749303621169</v>
      </c>
      <c r="H195">
        <f>AVERAGE(G189:G200)</f>
        <v>1.1304723571252919</v>
      </c>
      <c r="I195" s="41"/>
      <c r="J195" s="41"/>
      <c r="K195" s="41"/>
    </row>
    <row r="196" spans="1:25" ht="15.75" x14ac:dyDescent="0.25">
      <c r="A196" s="101" t="s">
        <v>141</v>
      </c>
      <c r="B196" s="114">
        <v>152.25334957369063</v>
      </c>
      <c r="C196" s="115">
        <v>82.290980908492429</v>
      </c>
      <c r="D196" s="116">
        <v>69.362558091142404</v>
      </c>
      <c r="E196" s="103">
        <f t="shared" si="71"/>
        <v>1.8501827040194885</v>
      </c>
      <c r="F196" s="7">
        <f t="shared" si="72"/>
        <v>2.1950365408038977</v>
      </c>
      <c r="G196" s="7">
        <f t="shared" si="73"/>
        <v>1.1863890717577352</v>
      </c>
      <c r="I196" s="41"/>
      <c r="J196" s="41"/>
      <c r="K196" s="41"/>
      <c r="O196" s="195" t="s">
        <v>114</v>
      </c>
    </row>
    <row r="197" spans="1:25" x14ac:dyDescent="0.25">
      <c r="A197" s="101" t="s">
        <v>130</v>
      </c>
      <c r="B197" s="114">
        <v>160.59957173447538</v>
      </c>
      <c r="C197" s="115">
        <v>96.587250482936255</v>
      </c>
      <c r="D197" s="116">
        <v>90.198436560432953</v>
      </c>
      <c r="E197" s="103">
        <f t="shared" si="71"/>
        <v>1.6627408993576016</v>
      </c>
      <c r="F197" s="7">
        <f t="shared" si="72"/>
        <v>1.7805139186295504</v>
      </c>
      <c r="G197" s="7">
        <f t="shared" si="73"/>
        <v>1.0708306503541534</v>
      </c>
      <c r="I197" s="41"/>
      <c r="J197" s="41"/>
      <c r="K197" s="41"/>
      <c r="N197" s="113" t="s">
        <v>249</v>
      </c>
      <c r="O197" s="113" t="s">
        <v>237</v>
      </c>
      <c r="P197" s="113" t="s">
        <v>250</v>
      </c>
      <c r="Q197" s="113" t="s">
        <v>237</v>
      </c>
    </row>
    <row r="198" spans="1:25" x14ac:dyDescent="0.25">
      <c r="A198" s="101" t="s">
        <v>131</v>
      </c>
      <c r="B198" s="114">
        <v>158.73015873015873</v>
      </c>
      <c r="C198" s="115">
        <v>95.785440613026822</v>
      </c>
      <c r="D198" s="116">
        <v>86.033839977057639</v>
      </c>
      <c r="E198" s="103">
        <f t="shared" si="71"/>
        <v>1.6571428571428573</v>
      </c>
      <c r="F198" s="7">
        <f t="shared" si="72"/>
        <v>1.8449735449735452</v>
      </c>
      <c r="G198" s="7">
        <f t="shared" si="73"/>
        <v>1.1133461047254152</v>
      </c>
      <c r="I198" s="41"/>
      <c r="J198" s="41"/>
      <c r="K198" s="41"/>
      <c r="M198" s="199" t="s">
        <v>66</v>
      </c>
      <c r="N198" s="6">
        <v>52.770448549999998</v>
      </c>
      <c r="O198" s="6" t="s">
        <v>255</v>
      </c>
      <c r="P198" s="6">
        <v>32.191719569999997</v>
      </c>
      <c r="Q198" s="6" t="s">
        <v>251</v>
      </c>
    </row>
    <row r="199" spans="1:25" x14ac:dyDescent="0.25">
      <c r="A199" s="101" t="s">
        <v>133</v>
      </c>
      <c r="B199" s="114">
        <v>159.77276761938577</v>
      </c>
      <c r="C199" s="115">
        <v>96.421684165416764</v>
      </c>
      <c r="D199" s="116">
        <v>82.941664362731544</v>
      </c>
      <c r="E199" s="103">
        <f t="shared" si="71"/>
        <v>1.6570211255103853</v>
      </c>
      <c r="F199" s="7">
        <f t="shared" si="72"/>
        <v>1.9263270015977279</v>
      </c>
      <c r="G199" s="7">
        <f t="shared" si="73"/>
        <v>1.1625241054210416</v>
      </c>
      <c r="I199" s="41"/>
      <c r="J199" s="41"/>
      <c r="K199" s="41"/>
      <c r="M199" s="199" t="s">
        <v>67</v>
      </c>
      <c r="N199" s="6">
        <v>57.562239169999998</v>
      </c>
      <c r="O199" s="6" t="s">
        <v>252</v>
      </c>
      <c r="P199" s="6">
        <v>37.323748960000003</v>
      </c>
      <c r="Q199" s="6" t="s">
        <v>256</v>
      </c>
    </row>
    <row r="200" spans="1:25" x14ac:dyDescent="0.25">
      <c r="A200" s="101" t="s">
        <v>132</v>
      </c>
      <c r="B200" s="114">
        <v>157.81167806417676</v>
      </c>
      <c r="C200" s="115">
        <v>96.200096200096198</v>
      </c>
      <c r="D200" s="116">
        <v>81.179813286429436</v>
      </c>
      <c r="E200" s="103">
        <f t="shared" si="71"/>
        <v>1.6404523934771176</v>
      </c>
      <c r="F200" s="7">
        <f t="shared" si="72"/>
        <v>1.9439768542872176</v>
      </c>
      <c r="G200" s="7">
        <f t="shared" si="73"/>
        <v>1.1850248516915185</v>
      </c>
      <c r="I200" s="41"/>
      <c r="J200" s="41"/>
      <c r="K200" s="41"/>
      <c r="M200" s="199" t="s">
        <v>68</v>
      </c>
      <c r="N200" s="6">
        <v>70.126227209999996</v>
      </c>
      <c r="O200" s="6" t="s">
        <v>255</v>
      </c>
      <c r="P200" s="6">
        <v>44.299513939999997</v>
      </c>
      <c r="Q200" s="6" t="s">
        <v>251</v>
      </c>
    </row>
    <row r="201" spans="1:25" x14ac:dyDescent="0.25">
      <c r="M201" s="199" t="s">
        <v>69</v>
      </c>
      <c r="N201" s="6">
        <v>90.198436560000005</v>
      </c>
      <c r="O201" s="6" t="s">
        <v>255</v>
      </c>
      <c r="P201" s="6">
        <v>54.409430970000003</v>
      </c>
      <c r="Q201" s="6" t="s">
        <v>251</v>
      </c>
    </row>
    <row r="204" spans="1:25" ht="18.75" x14ac:dyDescent="0.3">
      <c r="A204" s="136" t="s">
        <v>233</v>
      </c>
      <c r="B204" s="136"/>
      <c r="C204" s="136"/>
      <c r="D204" s="136"/>
      <c r="E204" s="136"/>
      <c r="F204" s="136"/>
      <c r="G204" s="136"/>
      <c r="X204" s="131" t="s">
        <v>244</v>
      </c>
      <c r="Y204" s="131" t="s">
        <v>245</v>
      </c>
    </row>
    <row r="205" spans="1:25" ht="27" customHeight="1" x14ac:dyDescent="0.25">
      <c r="B205" s="185" t="s">
        <v>134</v>
      </c>
      <c r="C205" s="185"/>
      <c r="D205" s="185"/>
      <c r="E205" s="131" t="s">
        <v>244</v>
      </c>
      <c r="F205" s="131" t="s">
        <v>245</v>
      </c>
      <c r="G205" s="183" t="s">
        <v>135</v>
      </c>
      <c r="H205" s="184"/>
      <c r="I205" s="184"/>
      <c r="J205" s="131" t="s">
        <v>244</v>
      </c>
      <c r="K205" s="131" t="s">
        <v>245</v>
      </c>
      <c r="L205" s="183" t="s">
        <v>136</v>
      </c>
      <c r="M205" s="184"/>
      <c r="N205" s="184"/>
      <c r="O205" s="131" t="s">
        <v>244</v>
      </c>
      <c r="P205" s="131" t="s">
        <v>245</v>
      </c>
      <c r="Q205" s="183" t="s">
        <v>137</v>
      </c>
      <c r="R205" s="184"/>
      <c r="S205" s="184"/>
      <c r="T205" s="131" t="s">
        <v>244</v>
      </c>
      <c r="U205" s="131" t="s">
        <v>245</v>
      </c>
      <c r="W205" s="12" t="s">
        <v>66</v>
      </c>
      <c r="X205">
        <f>(E206+J206+O206+T206+E212+J212+O212+T212+E218+J218+O218+T218)/12</f>
        <v>0.59358333333333346</v>
      </c>
      <c r="Y205">
        <f>(F206+K206+P206+U206+F212+K212+P212+U212+F218+K218+P218+U218)/12</f>
        <v>0.57074999999999998</v>
      </c>
    </row>
    <row r="206" spans="1:25" ht="15.75" x14ac:dyDescent="0.25">
      <c r="A206" s="12" t="s">
        <v>66</v>
      </c>
      <c r="B206" s="74">
        <v>1.2110000000000001</v>
      </c>
      <c r="C206" s="17">
        <v>1.43</v>
      </c>
      <c r="D206" s="17">
        <v>1.6279999999999999</v>
      </c>
      <c r="E206">
        <f>C206-B206</f>
        <v>0.21899999999999986</v>
      </c>
      <c r="F206">
        <f>D206-C206</f>
        <v>0.19799999999999995</v>
      </c>
      <c r="G206" s="75">
        <v>2.415</v>
      </c>
      <c r="H206" s="19">
        <v>2.8370000000000002</v>
      </c>
      <c r="I206" s="19">
        <v>3.2549999999999999</v>
      </c>
      <c r="J206">
        <f>H206-G206</f>
        <v>0.42200000000000015</v>
      </c>
      <c r="K206">
        <f>I206-H206</f>
        <v>0.41799999999999971</v>
      </c>
      <c r="L206" s="80">
        <v>3.6379999999999999</v>
      </c>
      <c r="M206" s="16">
        <v>4.2480000000000002</v>
      </c>
      <c r="N206" s="16">
        <v>4.8719999999999999</v>
      </c>
      <c r="O206">
        <f>M206-L206</f>
        <v>0.61000000000000032</v>
      </c>
      <c r="P206">
        <f>N206-M206</f>
        <v>0.62399999999999967</v>
      </c>
      <c r="Q206" s="81">
        <v>4.8099999999999996</v>
      </c>
      <c r="R206" s="18">
        <v>5.6710000000000003</v>
      </c>
      <c r="S206" s="18">
        <v>6.681</v>
      </c>
      <c r="T206">
        <f>R206-Q206</f>
        <v>0.86100000000000065</v>
      </c>
      <c r="U206">
        <f>S206-R206</f>
        <v>1.0099999999999998</v>
      </c>
      <c r="W206" s="12" t="s">
        <v>238</v>
      </c>
      <c r="X206">
        <f t="shared" ref="X206:X208" si="74">(E207+J207+O207+T207+E213+J213+O213+T213+E219+J219+O219+T219)/12</f>
        <v>0.60916666666666652</v>
      </c>
      <c r="Y206">
        <f t="shared" ref="Y206:Y208" si="75">(F207+K207+P207+U207+F213+K213+P213+U213+F219+K219+P219+U219)/12</f>
        <v>0.58641666666666692</v>
      </c>
    </row>
    <row r="207" spans="1:25" ht="15.75" x14ac:dyDescent="0.25">
      <c r="A207" s="12" t="s">
        <v>238</v>
      </c>
      <c r="B207" s="74">
        <v>1.33</v>
      </c>
      <c r="C207" s="17">
        <v>1.4670000000000001</v>
      </c>
      <c r="D207" s="17">
        <v>1.667</v>
      </c>
      <c r="E207">
        <f t="shared" ref="E207:E209" si="76">C207-B207</f>
        <v>0.13700000000000001</v>
      </c>
      <c r="F207">
        <f t="shared" ref="F207:F209" si="77">D207-C207</f>
        <v>0.19999999999999996</v>
      </c>
      <c r="G207" s="75">
        <v>2.4969999999999999</v>
      </c>
      <c r="H207" s="19">
        <v>2.915</v>
      </c>
      <c r="I207" s="19">
        <v>3.3559999999999999</v>
      </c>
      <c r="J207">
        <f t="shared" ref="J207:J209" si="78">H207-G207</f>
        <v>0.41800000000000015</v>
      </c>
      <c r="K207">
        <f t="shared" ref="K207:K209" si="79">I207-H207</f>
        <v>0.44099999999999984</v>
      </c>
      <c r="L207" s="80">
        <v>3.7280000000000002</v>
      </c>
      <c r="M207" s="16">
        <v>4.3959999999999999</v>
      </c>
      <c r="N207" s="16">
        <v>5.0170000000000003</v>
      </c>
      <c r="O207">
        <f t="shared" ref="O207:O209" si="80">M207-L207</f>
        <v>0.66799999999999971</v>
      </c>
      <c r="P207">
        <f t="shared" ref="P207:P209" si="81">N207-M207</f>
        <v>0.62100000000000044</v>
      </c>
      <c r="Q207" s="81">
        <v>4.9000000000000004</v>
      </c>
      <c r="R207" s="18">
        <v>5.8339999999999996</v>
      </c>
      <c r="S207" s="18">
        <v>6.7629999999999999</v>
      </c>
      <c r="T207">
        <f t="shared" ref="T207:T209" si="82">R207-Q207</f>
        <v>0.93399999999999928</v>
      </c>
      <c r="U207">
        <f t="shared" ref="U207:U209" si="83">S207-R207</f>
        <v>0.92900000000000027</v>
      </c>
      <c r="W207" s="12" t="s">
        <v>68</v>
      </c>
      <c r="X207">
        <f t="shared" si="74"/>
        <v>0.38641666666666669</v>
      </c>
      <c r="Y207">
        <f t="shared" si="75"/>
        <v>0.60066666666666657</v>
      </c>
    </row>
    <row r="208" spans="1:25" ht="15.75" x14ac:dyDescent="0.25">
      <c r="A208" s="12" t="s">
        <v>68</v>
      </c>
      <c r="B208" s="74">
        <v>1.323</v>
      </c>
      <c r="C208" s="17">
        <v>1.464</v>
      </c>
      <c r="D208" s="17">
        <v>1.6519999999999999</v>
      </c>
      <c r="E208">
        <f t="shared" si="76"/>
        <v>0.14100000000000001</v>
      </c>
      <c r="F208">
        <f t="shared" si="77"/>
        <v>0.18799999999999994</v>
      </c>
      <c r="G208" s="75">
        <v>2.4870000000000001</v>
      </c>
      <c r="H208" s="19">
        <v>2.895</v>
      </c>
      <c r="I208" s="19">
        <v>3.3109999999999999</v>
      </c>
      <c r="J208">
        <f t="shared" si="78"/>
        <v>0.40799999999999992</v>
      </c>
      <c r="K208">
        <f t="shared" si="79"/>
        <v>0.41599999999999993</v>
      </c>
      <c r="L208" s="80">
        <v>3.944</v>
      </c>
      <c r="M208" s="16">
        <v>4.3490000000000002</v>
      </c>
      <c r="N208" s="16">
        <v>5.0270000000000001</v>
      </c>
      <c r="O208">
        <f t="shared" si="80"/>
        <v>0.40500000000000025</v>
      </c>
      <c r="P208">
        <f t="shared" si="81"/>
        <v>0.67799999999999994</v>
      </c>
      <c r="Q208" s="81">
        <v>4.9020000000000001</v>
      </c>
      <c r="R208" s="18">
        <v>5.7969999999999997</v>
      </c>
      <c r="S208" s="18">
        <v>6.782</v>
      </c>
      <c r="T208">
        <f t="shared" si="82"/>
        <v>0.89499999999999957</v>
      </c>
      <c r="U208">
        <f t="shared" si="83"/>
        <v>0.98500000000000032</v>
      </c>
      <c r="W208" s="12" t="s">
        <v>69</v>
      </c>
      <c r="X208">
        <f t="shared" si="74"/>
        <v>0.43124999999999997</v>
      </c>
      <c r="Y208">
        <f t="shared" si="75"/>
        <v>0.61175000000000002</v>
      </c>
    </row>
    <row r="209" spans="1:21" ht="15.75" x14ac:dyDescent="0.25">
      <c r="A209" s="12" t="s">
        <v>69</v>
      </c>
      <c r="B209" s="74">
        <v>1.323</v>
      </c>
      <c r="C209" s="17">
        <v>1.4610000000000001</v>
      </c>
      <c r="D209" s="17">
        <v>1.6379999999999999</v>
      </c>
      <c r="E209">
        <f t="shared" si="76"/>
        <v>0.13800000000000012</v>
      </c>
      <c r="F209">
        <f t="shared" si="77"/>
        <v>0.17699999999999982</v>
      </c>
      <c r="G209" s="75">
        <v>2.476</v>
      </c>
      <c r="H209" s="19">
        <v>2.8809999999999998</v>
      </c>
      <c r="I209" s="19">
        <v>3.2719999999999998</v>
      </c>
      <c r="J209">
        <f t="shared" si="78"/>
        <v>0.4049999999999998</v>
      </c>
      <c r="K209">
        <f t="shared" si="79"/>
        <v>0.39100000000000001</v>
      </c>
      <c r="L209" s="80">
        <v>4.0599999999999996</v>
      </c>
      <c r="M209" s="16">
        <v>4.3150000000000004</v>
      </c>
      <c r="N209" s="16">
        <v>4.9320000000000004</v>
      </c>
      <c r="O209">
        <f t="shared" si="80"/>
        <v>0.25500000000000078</v>
      </c>
      <c r="P209">
        <f t="shared" si="81"/>
        <v>0.61699999999999999</v>
      </c>
      <c r="Q209" s="81">
        <v>4.91</v>
      </c>
      <c r="R209" s="18">
        <v>5.7619999999999996</v>
      </c>
      <c r="S209" s="18">
        <v>6.7279999999999998</v>
      </c>
      <c r="T209">
        <f t="shared" si="82"/>
        <v>0.85199999999999942</v>
      </c>
      <c r="U209">
        <f t="shared" si="83"/>
        <v>0.96600000000000019</v>
      </c>
    </row>
    <row r="211" spans="1:21" ht="30" x14ac:dyDescent="0.25">
      <c r="B211" s="183" t="s">
        <v>138</v>
      </c>
      <c r="C211" s="184"/>
      <c r="D211" s="184"/>
      <c r="E211" s="131" t="s">
        <v>244</v>
      </c>
      <c r="F211" s="131" t="s">
        <v>245</v>
      </c>
      <c r="G211" s="183" t="s">
        <v>139</v>
      </c>
      <c r="H211" s="184"/>
      <c r="I211" s="184"/>
      <c r="J211" s="131" t="s">
        <v>244</v>
      </c>
      <c r="K211" s="131" t="s">
        <v>245</v>
      </c>
      <c r="L211" s="183" t="s">
        <v>140</v>
      </c>
      <c r="M211" s="184"/>
      <c r="N211" s="184"/>
      <c r="O211" s="131" t="s">
        <v>244</v>
      </c>
      <c r="P211" s="131" t="s">
        <v>245</v>
      </c>
      <c r="Q211" s="183" t="s">
        <v>141</v>
      </c>
      <c r="R211" s="184"/>
      <c r="S211" s="184"/>
      <c r="T211" s="131" t="s">
        <v>244</v>
      </c>
      <c r="U211" s="131" t="s">
        <v>245</v>
      </c>
    </row>
    <row r="212" spans="1:21" ht="15.75" x14ac:dyDescent="0.25">
      <c r="A212" s="12" t="s">
        <v>66</v>
      </c>
      <c r="B212" s="74">
        <v>1.369</v>
      </c>
      <c r="C212" s="17">
        <v>1.5980000000000001</v>
      </c>
      <c r="D212" s="28">
        <v>1.79</v>
      </c>
      <c r="E212">
        <f>C212-B212</f>
        <v>0.22900000000000009</v>
      </c>
      <c r="F212">
        <f>D212-C212</f>
        <v>0.19199999999999995</v>
      </c>
      <c r="G212" s="75">
        <v>2.7549999999999999</v>
      </c>
      <c r="H212" s="19">
        <v>3.19</v>
      </c>
      <c r="I212" s="29">
        <v>3.58</v>
      </c>
      <c r="J212">
        <f>H212-G212</f>
        <v>0.43500000000000005</v>
      </c>
      <c r="K212">
        <f>I212-H212</f>
        <v>0.39000000000000012</v>
      </c>
      <c r="L212" s="80">
        <v>4.117</v>
      </c>
      <c r="M212" s="16">
        <v>4.78</v>
      </c>
      <c r="N212" s="16">
        <v>5.407</v>
      </c>
      <c r="O212">
        <f>M212-L212</f>
        <v>0.66300000000000026</v>
      </c>
      <c r="P212">
        <f>N212-M212</f>
        <v>0.62699999999999978</v>
      </c>
      <c r="Q212" s="81">
        <v>5.4740000000000002</v>
      </c>
      <c r="R212" s="18">
        <v>6.3970000000000002</v>
      </c>
      <c r="S212" s="18">
        <v>7.165</v>
      </c>
      <c r="T212">
        <f>R212-Q212</f>
        <v>0.92300000000000004</v>
      </c>
      <c r="U212">
        <f>S212-R212</f>
        <v>0.76799999999999979</v>
      </c>
    </row>
    <row r="213" spans="1:21" ht="15.75" x14ac:dyDescent="0.25">
      <c r="A213" s="12" t="s">
        <v>238</v>
      </c>
      <c r="B213" s="74">
        <v>1.3979999999999999</v>
      </c>
      <c r="C213" s="17">
        <v>1.63</v>
      </c>
      <c r="D213" s="28">
        <v>1.8380000000000001</v>
      </c>
      <c r="E213">
        <f t="shared" ref="E213:E215" si="84">C213-B213</f>
        <v>0.23199999999999998</v>
      </c>
      <c r="F213">
        <f t="shared" ref="F213:F215" si="85">D213-C213</f>
        <v>0.20800000000000018</v>
      </c>
      <c r="G213" s="75">
        <v>2.806</v>
      </c>
      <c r="H213" s="19">
        <v>3.25</v>
      </c>
      <c r="I213" s="29">
        <v>3.694</v>
      </c>
      <c r="J213">
        <f t="shared" ref="J213:J215" si="86">H213-G213</f>
        <v>0.44399999999999995</v>
      </c>
      <c r="K213">
        <f t="shared" ref="K213:K215" si="87">I213-H213</f>
        <v>0.44399999999999995</v>
      </c>
      <c r="L213" s="80">
        <v>4.1950000000000003</v>
      </c>
      <c r="M213" s="16">
        <v>4.9269999999999996</v>
      </c>
      <c r="N213" s="16">
        <v>5.5060000000000002</v>
      </c>
      <c r="O213">
        <f t="shared" ref="O213:O215" si="88">M213-L213</f>
        <v>0.73199999999999932</v>
      </c>
      <c r="P213">
        <f t="shared" ref="P213:P215" si="89">N213-M213</f>
        <v>0.57900000000000063</v>
      </c>
      <c r="Q213" s="81">
        <v>5.6079999999999997</v>
      </c>
      <c r="R213" s="18">
        <v>6.5629999999999997</v>
      </c>
      <c r="S213" s="18">
        <v>7.3849999999999998</v>
      </c>
      <c r="T213">
        <f t="shared" ref="T213:T215" si="90">R213-Q213</f>
        <v>0.95500000000000007</v>
      </c>
      <c r="U213">
        <f t="shared" ref="U213:U215" si="91">S213-R213</f>
        <v>0.82200000000000006</v>
      </c>
    </row>
    <row r="214" spans="1:21" ht="15.75" x14ac:dyDescent="0.25">
      <c r="A214" s="12" t="s">
        <v>68</v>
      </c>
      <c r="B214" s="74">
        <v>1.401</v>
      </c>
      <c r="C214" s="17">
        <v>1.617</v>
      </c>
      <c r="D214" s="28">
        <v>1.8320000000000001</v>
      </c>
      <c r="E214">
        <f t="shared" si="84"/>
        <v>0.21599999999999997</v>
      </c>
      <c r="F214">
        <f t="shared" si="85"/>
        <v>0.21500000000000008</v>
      </c>
      <c r="G214" s="75">
        <v>2.8149999999999999</v>
      </c>
      <c r="H214" s="19">
        <v>3.4359999999999999</v>
      </c>
      <c r="I214" s="29">
        <v>3.6549999999999998</v>
      </c>
      <c r="J214">
        <f t="shared" si="86"/>
        <v>0.621</v>
      </c>
      <c r="K214">
        <f t="shared" si="87"/>
        <v>0.21899999999999986</v>
      </c>
      <c r="L214" s="80">
        <v>4.9429999999999996</v>
      </c>
      <c r="M214" s="16">
        <v>4.8630000000000004</v>
      </c>
      <c r="N214" s="16">
        <v>5.7190000000000003</v>
      </c>
      <c r="O214">
        <f t="shared" si="88"/>
        <v>-7.9999999999999183E-2</v>
      </c>
      <c r="P214">
        <f t="shared" si="89"/>
        <v>0.85599999999999987</v>
      </c>
      <c r="Q214" s="81">
        <v>5.6109999999999998</v>
      </c>
      <c r="R214" s="18">
        <v>6.5570000000000004</v>
      </c>
      <c r="S214" s="18">
        <v>7.3460000000000001</v>
      </c>
      <c r="T214">
        <f t="shared" si="90"/>
        <v>0.94600000000000062</v>
      </c>
      <c r="U214">
        <f t="shared" si="91"/>
        <v>0.7889999999999997</v>
      </c>
    </row>
    <row r="215" spans="1:21" ht="15.75" x14ac:dyDescent="0.25">
      <c r="A215" s="12" t="s">
        <v>69</v>
      </c>
      <c r="B215" s="74">
        <v>1.403</v>
      </c>
      <c r="C215" s="17">
        <v>1.6160000000000001</v>
      </c>
      <c r="D215" s="28">
        <v>1.8169999999999999</v>
      </c>
      <c r="E215">
        <f t="shared" si="84"/>
        <v>0.21300000000000008</v>
      </c>
      <c r="F215">
        <f t="shared" si="85"/>
        <v>0.20099999999999985</v>
      </c>
      <c r="G215" s="75">
        <v>2.8050000000000002</v>
      </c>
      <c r="H215" s="19">
        <v>3.4279999999999999</v>
      </c>
      <c r="I215" s="29">
        <v>3.6459999999999999</v>
      </c>
      <c r="J215">
        <f t="shared" si="86"/>
        <v>0.62299999999999978</v>
      </c>
      <c r="K215">
        <f t="shared" si="87"/>
        <v>0.21799999999999997</v>
      </c>
      <c r="L215" s="80">
        <v>4.7839999999999998</v>
      </c>
      <c r="M215" s="16">
        <v>4.8230000000000004</v>
      </c>
      <c r="N215" s="16">
        <v>5.9130000000000003</v>
      </c>
      <c r="O215">
        <f t="shared" si="88"/>
        <v>3.900000000000059E-2</v>
      </c>
      <c r="P215">
        <f t="shared" si="89"/>
        <v>1.0899999999999999</v>
      </c>
      <c r="Q215" s="81">
        <v>5.6210000000000004</v>
      </c>
      <c r="R215" s="18">
        <v>6.5679999999999996</v>
      </c>
      <c r="S215" s="18">
        <v>7.2649999999999997</v>
      </c>
      <c r="T215">
        <f t="shared" si="90"/>
        <v>0.94699999999999918</v>
      </c>
      <c r="U215">
        <f t="shared" si="91"/>
        <v>0.69700000000000006</v>
      </c>
    </row>
    <row r="217" spans="1:21" ht="30" x14ac:dyDescent="0.25">
      <c r="B217" s="183" t="s">
        <v>130</v>
      </c>
      <c r="C217" s="184"/>
      <c r="D217" s="184"/>
      <c r="E217" s="131" t="s">
        <v>244</v>
      </c>
      <c r="F217" s="131" t="s">
        <v>245</v>
      </c>
      <c r="G217" s="183" t="s">
        <v>131</v>
      </c>
      <c r="H217" s="184"/>
      <c r="I217" s="184"/>
      <c r="J217" s="131" t="s">
        <v>244</v>
      </c>
      <c r="K217" s="131" t="s">
        <v>245</v>
      </c>
      <c r="L217" s="183" t="s">
        <v>133</v>
      </c>
      <c r="M217" s="184"/>
      <c r="N217" s="184"/>
      <c r="O217" s="130" t="s">
        <v>244</v>
      </c>
      <c r="P217" s="130" t="s">
        <v>245</v>
      </c>
      <c r="Q217" s="183" t="s">
        <v>132</v>
      </c>
      <c r="R217" s="184"/>
      <c r="S217" s="184"/>
      <c r="T217" s="131" t="s">
        <v>244</v>
      </c>
      <c r="U217" s="131" t="s">
        <v>245</v>
      </c>
    </row>
    <row r="218" spans="1:21" ht="15.75" x14ac:dyDescent="0.25">
      <c r="A218" s="12" t="s">
        <v>66</v>
      </c>
      <c r="B218" s="17">
        <v>1.5740000000000001</v>
      </c>
      <c r="C218" s="17">
        <v>1.843</v>
      </c>
      <c r="D218" s="17">
        <v>2.1179999999999999</v>
      </c>
      <c r="E218">
        <f>C218-B218</f>
        <v>0.26899999999999991</v>
      </c>
      <c r="F218">
        <f>D218-C218</f>
        <v>0.27499999999999991</v>
      </c>
      <c r="G218" s="19">
        <v>3.1429999999999998</v>
      </c>
      <c r="H218" s="19">
        <v>3.73</v>
      </c>
      <c r="I218" s="29">
        <v>4.2279999999999998</v>
      </c>
      <c r="J218">
        <f>H218-G218</f>
        <v>0.58700000000000019</v>
      </c>
      <c r="K218">
        <f>I218-H218</f>
        <v>0.49799999999999978</v>
      </c>
      <c r="L218" s="16">
        <v>4.7149999999999999</v>
      </c>
      <c r="M218" s="16">
        <v>5.532</v>
      </c>
      <c r="N218" s="16">
        <v>6.36</v>
      </c>
      <c r="O218">
        <f>M218-L218</f>
        <v>0.81700000000000017</v>
      </c>
      <c r="P218">
        <f>N218-M218</f>
        <v>0.82800000000000029</v>
      </c>
      <c r="Q218" s="18">
        <v>6.335</v>
      </c>
      <c r="R218" s="18">
        <v>7.423</v>
      </c>
      <c r="S218" s="18">
        <v>8.4440000000000008</v>
      </c>
      <c r="T218">
        <f>R218-Q218</f>
        <v>1.0880000000000001</v>
      </c>
      <c r="U218">
        <f>S218-R218</f>
        <v>1.0210000000000008</v>
      </c>
    </row>
    <row r="219" spans="1:21" ht="15.75" x14ac:dyDescent="0.25">
      <c r="A219" s="12" t="s">
        <v>238</v>
      </c>
      <c r="B219" s="17">
        <v>1.591</v>
      </c>
      <c r="C219" s="17">
        <v>1.865</v>
      </c>
      <c r="D219" s="17">
        <v>2.1640000000000001</v>
      </c>
      <c r="E219">
        <f t="shared" ref="E219:E221" si="92">C219-B219</f>
        <v>0.27400000000000002</v>
      </c>
      <c r="F219">
        <f t="shared" ref="F219:F220" si="93">D219-C219</f>
        <v>0.29900000000000015</v>
      </c>
      <c r="G219" s="19">
        <v>3.1629999999999998</v>
      </c>
      <c r="H219" s="19">
        <v>3.77</v>
      </c>
      <c r="I219" s="29">
        <v>4.3070000000000004</v>
      </c>
      <c r="J219">
        <f t="shared" ref="J219:J221" si="94">H219-G219</f>
        <v>0.60700000000000021</v>
      </c>
      <c r="K219">
        <f t="shared" ref="K219:K221" si="95">I219-H219</f>
        <v>0.53700000000000037</v>
      </c>
      <c r="L219" s="16">
        <v>4.8040000000000003</v>
      </c>
      <c r="M219" s="16">
        <v>5.61</v>
      </c>
      <c r="N219" s="16">
        <v>6.4790000000000001</v>
      </c>
      <c r="O219">
        <f t="shared" ref="O219:O221" si="96">M219-L219</f>
        <v>0.80600000000000005</v>
      </c>
      <c r="P219">
        <f t="shared" ref="P219:P221" si="97">N219-M219</f>
        <v>0.86899999999999977</v>
      </c>
      <c r="Q219" s="18">
        <v>6.4009999999999998</v>
      </c>
      <c r="R219" s="18">
        <v>7.5039999999999996</v>
      </c>
      <c r="S219" s="18">
        <v>8.5920000000000005</v>
      </c>
      <c r="T219">
        <f t="shared" ref="T219:T221" si="98">R219-Q219</f>
        <v>1.1029999999999998</v>
      </c>
      <c r="U219">
        <f t="shared" ref="U219:U221" si="99">S219-R219</f>
        <v>1.088000000000001</v>
      </c>
    </row>
    <row r="220" spans="1:21" ht="15.75" x14ac:dyDescent="0.25">
      <c r="A220" s="12" t="s">
        <v>68</v>
      </c>
      <c r="B220" s="17">
        <v>1.58</v>
      </c>
      <c r="C220" s="17">
        <v>1.891</v>
      </c>
      <c r="D220" s="17">
        <v>2.157</v>
      </c>
      <c r="E220">
        <f t="shared" si="92"/>
        <v>0.31099999999999994</v>
      </c>
      <c r="F220">
        <f t="shared" si="93"/>
        <v>0.26600000000000001</v>
      </c>
      <c r="G220" s="19">
        <v>3.1619999999999999</v>
      </c>
      <c r="H220" s="19">
        <v>3.77</v>
      </c>
      <c r="I220" s="29">
        <v>4.306</v>
      </c>
      <c r="J220">
        <f t="shared" si="94"/>
        <v>0.6080000000000001</v>
      </c>
      <c r="K220">
        <f t="shared" si="95"/>
        <v>0.53600000000000003</v>
      </c>
      <c r="L220" s="16">
        <v>4.8230000000000004</v>
      </c>
      <c r="M220" s="16">
        <v>5.6230000000000002</v>
      </c>
      <c r="N220" s="16">
        <v>6.5759999999999996</v>
      </c>
      <c r="O220">
        <f t="shared" si="96"/>
        <v>0.79999999999999982</v>
      </c>
      <c r="P220">
        <f t="shared" si="97"/>
        <v>0.9529999999999994</v>
      </c>
      <c r="Q220" s="18">
        <v>8.1910000000000007</v>
      </c>
      <c r="R220" s="18">
        <v>7.5570000000000004</v>
      </c>
      <c r="S220" s="18">
        <v>8.6639999999999997</v>
      </c>
      <c r="T220">
        <f t="shared" si="98"/>
        <v>-0.63400000000000034</v>
      </c>
      <c r="U220">
        <f t="shared" si="99"/>
        <v>1.1069999999999993</v>
      </c>
    </row>
    <row r="221" spans="1:21" ht="15.75" x14ac:dyDescent="0.25">
      <c r="A221" s="12" t="s">
        <v>69</v>
      </c>
      <c r="B221" s="17">
        <v>1.5980000000000001</v>
      </c>
      <c r="C221" s="17">
        <v>1.8680000000000001</v>
      </c>
      <c r="D221" s="17">
        <v>2.153</v>
      </c>
      <c r="E221">
        <f t="shared" si="92"/>
        <v>0.27</v>
      </c>
      <c r="F221">
        <f>D221-C221</f>
        <v>0.28499999999999992</v>
      </c>
      <c r="G221" s="19">
        <v>3.1629999999999998</v>
      </c>
      <c r="H221" s="19">
        <v>3.78</v>
      </c>
      <c r="I221" s="29">
        <v>4.3010000000000002</v>
      </c>
      <c r="J221">
        <f t="shared" si="94"/>
        <v>0.61699999999999999</v>
      </c>
      <c r="K221">
        <f t="shared" si="95"/>
        <v>0.52100000000000035</v>
      </c>
      <c r="L221" s="16">
        <v>4.8479999999999999</v>
      </c>
      <c r="M221" s="16">
        <v>5.633</v>
      </c>
      <c r="N221" s="16">
        <v>6.7169999999999996</v>
      </c>
      <c r="O221">
        <f t="shared" si="96"/>
        <v>0.78500000000000014</v>
      </c>
      <c r="P221">
        <f t="shared" si="97"/>
        <v>1.0839999999999996</v>
      </c>
      <c r="Q221" s="18">
        <v>7.5730000000000004</v>
      </c>
      <c r="R221" s="18">
        <v>7.6040000000000001</v>
      </c>
      <c r="S221" s="18">
        <v>8.6980000000000004</v>
      </c>
      <c r="T221">
        <f t="shared" si="98"/>
        <v>3.0999999999999694E-2</v>
      </c>
      <c r="U221">
        <f t="shared" si="99"/>
        <v>1.0940000000000003</v>
      </c>
    </row>
    <row r="222" spans="1:21" x14ac:dyDescent="0.25">
      <c r="B222" s="128" t="s">
        <v>242</v>
      </c>
      <c r="C222" s="128" t="s">
        <v>246</v>
      </c>
      <c r="D222" s="128" t="s">
        <v>247</v>
      </c>
      <c r="G222" s="128" t="s">
        <v>242</v>
      </c>
      <c r="H222" s="128" t="s">
        <v>246</v>
      </c>
      <c r="I222" s="128" t="s">
        <v>247</v>
      </c>
      <c r="L222" s="128" t="s">
        <v>242</v>
      </c>
      <c r="M222" s="128" t="s">
        <v>246</v>
      </c>
      <c r="N222" s="128" t="s">
        <v>247</v>
      </c>
      <c r="Q222" s="128" t="s">
        <v>242</v>
      </c>
      <c r="R222" s="128" t="s">
        <v>246</v>
      </c>
      <c r="S222" s="128" t="s">
        <v>247</v>
      </c>
    </row>
  </sheetData>
  <mergeCells count="94">
    <mergeCell ref="Y36:AB36"/>
    <mergeCell ref="AD36:AG36"/>
    <mergeCell ref="AI36:AL36"/>
    <mergeCell ref="B42:D42"/>
    <mergeCell ref="E42:G42"/>
    <mergeCell ref="J42:L42"/>
    <mergeCell ref="M42:O42"/>
    <mergeCell ref="A4:G4"/>
    <mergeCell ref="B5:D5"/>
    <mergeCell ref="E5:G5"/>
    <mergeCell ref="B12:D12"/>
    <mergeCell ref="E12:G12"/>
    <mergeCell ref="B20:D20"/>
    <mergeCell ref="E20:G20"/>
    <mergeCell ref="M20:O20"/>
    <mergeCell ref="B27:D27"/>
    <mergeCell ref="E27:G27"/>
    <mergeCell ref="B35:D35"/>
    <mergeCell ref="E35:G35"/>
    <mergeCell ref="J27:L27"/>
    <mergeCell ref="M27:O27"/>
    <mergeCell ref="J35:L35"/>
    <mergeCell ref="M35:O35"/>
    <mergeCell ref="R27:T27"/>
    <mergeCell ref="U27:W27"/>
    <mergeCell ref="R35:T35"/>
    <mergeCell ref="U35:W35"/>
    <mergeCell ref="R42:T42"/>
    <mergeCell ref="U42:W42"/>
    <mergeCell ref="Z20:AB20"/>
    <mergeCell ref="S3:U3"/>
    <mergeCell ref="K3:M3"/>
    <mergeCell ref="D3:E3"/>
    <mergeCell ref="Z4:AB4"/>
    <mergeCell ref="R5:T5"/>
    <mergeCell ref="U5:W5"/>
    <mergeCell ref="R12:T12"/>
    <mergeCell ref="U12:W12"/>
    <mergeCell ref="R20:T20"/>
    <mergeCell ref="U20:W20"/>
    <mergeCell ref="J5:L5"/>
    <mergeCell ref="M5:O5"/>
    <mergeCell ref="J12:L12"/>
    <mergeCell ref="M12:O12"/>
    <mergeCell ref="J20:L20"/>
    <mergeCell ref="A152:E152"/>
    <mergeCell ref="G152:K152"/>
    <mergeCell ref="M152:Q152"/>
    <mergeCell ref="M101:Q101"/>
    <mergeCell ref="B119:D119"/>
    <mergeCell ref="E119:G119"/>
    <mergeCell ref="K119:M119"/>
    <mergeCell ref="N119:P119"/>
    <mergeCell ref="M51:Q51"/>
    <mergeCell ref="B69:D69"/>
    <mergeCell ref="E69:G69"/>
    <mergeCell ref="E85:G85"/>
    <mergeCell ref="B85:D85"/>
    <mergeCell ref="A51:E51"/>
    <mergeCell ref="G51:K51"/>
    <mergeCell ref="I85:K85"/>
    <mergeCell ref="K69:M69"/>
    <mergeCell ref="N69:P69"/>
    <mergeCell ref="T69:V69"/>
    <mergeCell ref="W69:Y69"/>
    <mergeCell ref="T119:V119"/>
    <mergeCell ref="W119:Y119"/>
    <mergeCell ref="B135:D135"/>
    <mergeCell ref="E135:G135"/>
    <mergeCell ref="I135:K135"/>
    <mergeCell ref="A101:E101"/>
    <mergeCell ref="G101:K101"/>
    <mergeCell ref="W171:Y171"/>
    <mergeCell ref="B187:D187"/>
    <mergeCell ref="E187:G187"/>
    <mergeCell ref="I187:K187"/>
    <mergeCell ref="B171:D171"/>
    <mergeCell ref="E171:G171"/>
    <mergeCell ref="K171:M171"/>
    <mergeCell ref="N171:P171"/>
    <mergeCell ref="T171:V171"/>
    <mergeCell ref="A204:G204"/>
    <mergeCell ref="B205:D205"/>
    <mergeCell ref="G205:I205"/>
    <mergeCell ref="L205:N205"/>
    <mergeCell ref="Q205:S205"/>
    <mergeCell ref="B211:D211"/>
    <mergeCell ref="G211:I211"/>
    <mergeCell ref="L211:N211"/>
    <mergeCell ref="Q211:S211"/>
    <mergeCell ref="B217:D217"/>
    <mergeCell ref="G217:I217"/>
    <mergeCell ref="L217:N217"/>
    <mergeCell ref="Q217:S21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2021-09-22T14:49:21Z</dcterms:modified>
</cp:coreProperties>
</file>